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480" yWindow="120" windowWidth="14760" windowHeight="10755" tabRatio="898" activeTab="2"/>
  </bookViews>
  <sheets>
    <sheet name="填表指引" sheetId="5" r:id="rId1"/>
    <sheet name="假设条件及经济指标" sheetId="23" r:id="rId2"/>
    <sheet name="勾稽关系" sheetId="10" r:id="rId3"/>
    <sheet name="经济指标" sheetId="4" r:id="rId4"/>
    <sheet name="规划指标" sheetId="1" r:id="rId5"/>
    <sheet name="项目开发强度计算器" sheetId="19" r:id="rId6"/>
    <sheet name="成本汇总" sheetId="2" r:id="rId7"/>
    <sheet name="投资估算表" sheetId="15" r:id="rId8"/>
    <sheet name="开发和销售计划" sheetId="7" r:id="rId9"/>
    <sheet name="项目现金流量表" sheetId="9" r:id="rId10"/>
    <sheet name="项目现金流量图" sheetId="16" r:id="rId11"/>
    <sheet name="资金需求分析表" sheetId="13" r:id="rId12"/>
    <sheet name="资金组织流量图" sheetId="17" r:id="rId13"/>
    <sheet name="沿海现金流量表" sheetId="24" r:id="rId14"/>
    <sheet name="合作方现金流量表" sheetId="25" r:id="rId15"/>
    <sheet name="利润测算" sheetId="3" r:id="rId16"/>
    <sheet name="现金流出表" sheetId="8" r:id="rId17"/>
    <sheet name="敏感性分析" sheetId="18" r:id="rId18"/>
    <sheet name="税费说明表" sheetId="12" r:id="rId19"/>
    <sheet name="项目分期方案" sheetId="21" r:id="rId20"/>
    <sheet name="经济效益分析表" sheetId="22" r:id="rId21"/>
  </sheets>
  <externalReferences>
    <externalReference r:id="rId22"/>
  </externalReferences>
  <definedNames>
    <definedName name="可销售面积">投资估算表!#REF!</definedName>
  </definedNames>
  <calcPr calcId="125725"/>
</workbook>
</file>

<file path=xl/calcChain.xml><?xml version="1.0" encoding="utf-8"?>
<calcChain xmlns="http://schemas.openxmlformats.org/spreadsheetml/2006/main">
  <c r="G39" i="15"/>
  <c r="L9" i="2" s="1"/>
  <c r="H9" i="1"/>
  <c r="C17" i="19"/>
  <c r="H13" i="1"/>
  <c r="H14"/>
  <c r="L3" i="9"/>
  <c r="B26" s="1"/>
  <c r="B14" i="4" s="1"/>
  <c r="D22" i="22" s="1"/>
  <c r="D5" i="2"/>
  <c r="N12" s="1"/>
  <c r="E5"/>
  <c r="I5"/>
  <c r="S21" s="1"/>
  <c r="J5"/>
  <c r="T12" s="1"/>
  <c r="N25" i="7"/>
  <c r="N48" s="1"/>
  <c r="M25"/>
  <c r="L25"/>
  <c r="N23"/>
  <c r="N46" s="1"/>
  <c r="M23"/>
  <c r="L23"/>
  <c r="L46" s="1"/>
  <c r="N22"/>
  <c r="N45" s="1"/>
  <c r="M22"/>
  <c r="M45" s="1"/>
  <c r="L22"/>
  <c r="N20"/>
  <c r="M20"/>
  <c r="M43" s="1"/>
  <c r="L20"/>
  <c r="L43" s="1"/>
  <c r="K25"/>
  <c r="J25"/>
  <c r="J48" s="1"/>
  <c r="I25"/>
  <c r="V25" s="1"/>
  <c r="K24"/>
  <c r="J24"/>
  <c r="I24"/>
  <c r="K23"/>
  <c r="K46" s="1"/>
  <c r="J23"/>
  <c r="J46" s="1"/>
  <c r="I23"/>
  <c r="K22"/>
  <c r="J22"/>
  <c r="I22"/>
  <c r="I45" s="1"/>
  <c r="D21" i="3" s="1"/>
  <c r="K21" i="7"/>
  <c r="J21"/>
  <c r="J44" s="1"/>
  <c r="I21"/>
  <c r="K19"/>
  <c r="J19"/>
  <c r="I19"/>
  <c r="I42" s="1"/>
  <c r="F20"/>
  <c r="F43" s="1"/>
  <c r="G20"/>
  <c r="H20"/>
  <c r="F21"/>
  <c r="G21"/>
  <c r="G44" s="1"/>
  <c r="H21"/>
  <c r="F22"/>
  <c r="G22"/>
  <c r="G45" s="1"/>
  <c r="H22"/>
  <c r="H45" s="1"/>
  <c r="F23"/>
  <c r="G23"/>
  <c r="H23"/>
  <c r="H46" s="1"/>
  <c r="F24"/>
  <c r="F47" s="1"/>
  <c r="G24"/>
  <c r="H24"/>
  <c r="F25"/>
  <c r="F48" s="1"/>
  <c r="G25"/>
  <c r="G48" s="1"/>
  <c r="H25"/>
  <c r="H19"/>
  <c r="G19"/>
  <c r="G42" s="1"/>
  <c r="F19"/>
  <c r="F42" s="1"/>
  <c r="H42"/>
  <c r="J42"/>
  <c r="K42"/>
  <c r="G43"/>
  <c r="H43"/>
  <c r="H44"/>
  <c r="I44"/>
  <c r="K44"/>
  <c r="F45"/>
  <c r="J45"/>
  <c r="L45"/>
  <c r="F46"/>
  <c r="G46"/>
  <c r="I46"/>
  <c r="M46"/>
  <c r="G47"/>
  <c r="H47"/>
  <c r="J47"/>
  <c r="K47"/>
  <c r="H48"/>
  <c r="K48"/>
  <c r="M48"/>
  <c r="D3" i="1"/>
  <c r="C1" i="15" s="1"/>
  <c r="G26" s="1"/>
  <c r="E16" i="1"/>
  <c r="L5" i="2" s="1"/>
  <c r="C13" i="10" s="1"/>
  <c r="C11" i="9"/>
  <c r="O8" i="2"/>
  <c r="U8"/>
  <c r="N10"/>
  <c r="N11"/>
  <c r="O11"/>
  <c r="C17" i="3"/>
  <c r="D11" i="9"/>
  <c r="C15" i="7"/>
  <c r="C21" i="2"/>
  <c r="C20" s="1"/>
  <c r="G24" i="8" s="1"/>
  <c r="C22" i="2"/>
  <c r="E11" i="9"/>
  <c r="F11"/>
  <c r="G7" i="13" s="1"/>
  <c r="G11" i="9"/>
  <c r="H7" i="13" s="1"/>
  <c r="H11" i="9"/>
  <c r="I7" i="13" s="1"/>
  <c r="I11" i="9"/>
  <c r="J11"/>
  <c r="N7" i="2"/>
  <c r="D6" i="3"/>
  <c r="O7" i="2"/>
  <c r="D7" i="3"/>
  <c r="G15" i="15"/>
  <c r="F4" i="1"/>
  <c r="D8" i="3"/>
  <c r="D11"/>
  <c r="D12"/>
  <c r="U13" i="2"/>
  <c r="U9"/>
  <c r="U7"/>
  <c r="U10"/>
  <c r="U11"/>
  <c r="U12"/>
  <c r="D13" i="3"/>
  <c r="D39"/>
  <c r="C39"/>
  <c r="C6"/>
  <c r="C5" s="1"/>
  <c r="C7"/>
  <c r="C8"/>
  <c r="C9"/>
  <c r="C10"/>
  <c r="C11"/>
  <c r="C12"/>
  <c r="C13"/>
  <c r="C14"/>
  <c r="K11" i="9"/>
  <c r="L11"/>
  <c r="M11"/>
  <c r="N7" i="13" s="1"/>
  <c r="N11" i="9"/>
  <c r="E6" i="3"/>
  <c r="E7"/>
  <c r="E12"/>
  <c r="E39"/>
  <c r="O11" i="9"/>
  <c r="P11"/>
  <c r="Q11"/>
  <c r="R7" i="13" s="1"/>
  <c r="R11" i="9"/>
  <c r="F6" i="3"/>
  <c r="F7"/>
  <c r="F39"/>
  <c r="B39" s="1"/>
  <c r="S11" i="9"/>
  <c r="T11"/>
  <c r="U11"/>
  <c r="V7" i="13" s="1"/>
  <c r="V11" i="9"/>
  <c r="W7" i="13" s="1"/>
  <c r="G6" i="3"/>
  <c r="G7"/>
  <c r="G8"/>
  <c r="G9"/>
  <c r="G10"/>
  <c r="G11"/>
  <c r="G12"/>
  <c r="G13"/>
  <c r="G14"/>
  <c r="G39"/>
  <c r="H35"/>
  <c r="H43" s="1"/>
  <c r="I35"/>
  <c r="I43" s="1"/>
  <c r="I44" s="1"/>
  <c r="I45"/>
  <c r="J35"/>
  <c r="J43"/>
  <c r="J44"/>
  <c r="J45" s="1"/>
  <c r="O41"/>
  <c r="E15" i="4"/>
  <c r="F11" i="25"/>
  <c r="H11"/>
  <c r="J11"/>
  <c r="D11"/>
  <c r="L11"/>
  <c r="N11"/>
  <c r="P11"/>
  <c r="R11"/>
  <c r="T11"/>
  <c r="V11"/>
  <c r="E11"/>
  <c r="G11"/>
  <c r="I11"/>
  <c r="K11"/>
  <c r="M11"/>
  <c r="C11"/>
  <c r="O11"/>
  <c r="Q11"/>
  <c r="S11"/>
  <c r="U11"/>
  <c r="E15" i="23"/>
  <c r="B22" i="25" s="1"/>
  <c r="C12" i="24"/>
  <c r="H12"/>
  <c r="K12"/>
  <c r="P12"/>
  <c r="S12"/>
  <c r="H8"/>
  <c r="D8"/>
  <c r="L8"/>
  <c r="P8"/>
  <c r="T8"/>
  <c r="C8"/>
  <c r="E8"/>
  <c r="G8"/>
  <c r="I8"/>
  <c r="K8"/>
  <c r="M8"/>
  <c r="O8"/>
  <c r="Q8"/>
  <c r="S8"/>
  <c r="U8"/>
  <c r="B56" i="3"/>
  <c r="B28" i="4" s="1"/>
  <c r="M36" i="23" s="1"/>
  <c r="E14"/>
  <c r="O17" i="2"/>
  <c r="U17"/>
  <c r="E18" i="23"/>
  <c r="N16" i="2"/>
  <c r="N18"/>
  <c r="N22"/>
  <c r="E27" i="13"/>
  <c r="C2" i="17" s="1"/>
  <c r="F27" i="13"/>
  <c r="D2" i="17"/>
  <c r="G27" i="13"/>
  <c r="E2" i="17" s="1"/>
  <c r="H27" i="13"/>
  <c r="F2" i="17"/>
  <c r="I27" i="13"/>
  <c r="G2" i="17" s="1"/>
  <c r="J27" i="13"/>
  <c r="H2" i="17"/>
  <c r="K27" i="13"/>
  <c r="I2" i="17" s="1"/>
  <c r="L27" i="13"/>
  <c r="J2" i="17"/>
  <c r="M27" i="13"/>
  <c r="K2" i="17" s="1"/>
  <c r="N27" i="13"/>
  <c r="L2" i="17"/>
  <c r="O27" i="13"/>
  <c r="M2" i="17" s="1"/>
  <c r="P27" i="13"/>
  <c r="N2" i="17"/>
  <c r="Q27" i="13"/>
  <c r="O2" i="17" s="1"/>
  <c r="R27" i="13"/>
  <c r="P2" i="17"/>
  <c r="S27" i="13"/>
  <c r="Q2" i="17" s="1"/>
  <c r="T27" i="13"/>
  <c r="R2" i="17"/>
  <c r="U27" i="13"/>
  <c r="S2" i="17" s="1"/>
  <c r="V27" i="13"/>
  <c r="T2" i="17"/>
  <c r="W27" i="13"/>
  <c r="U2" i="17" s="1"/>
  <c r="E28" i="13"/>
  <c r="C3" i="17"/>
  <c r="F28" i="13"/>
  <c r="D3" i="17" s="1"/>
  <c r="G28" i="13"/>
  <c r="E3" i="17"/>
  <c r="H28" i="13"/>
  <c r="F3" i="17" s="1"/>
  <c r="I28" i="13"/>
  <c r="G3" i="17"/>
  <c r="J28" i="13"/>
  <c r="H3" i="17" s="1"/>
  <c r="K28" i="13"/>
  <c r="I3" i="17"/>
  <c r="L28" i="13"/>
  <c r="J3" i="17" s="1"/>
  <c r="M28" i="13"/>
  <c r="K3" i="17"/>
  <c r="N28" i="13"/>
  <c r="L3" i="17" s="1"/>
  <c r="O28" i="13"/>
  <c r="M3" i="17"/>
  <c r="P28" i="13"/>
  <c r="N3" i="17" s="1"/>
  <c r="Q28" i="13"/>
  <c r="O3" i="17"/>
  <c r="R28" i="13"/>
  <c r="P3" i="17" s="1"/>
  <c r="S28" i="13"/>
  <c r="Q3" i="17"/>
  <c r="T28" i="13"/>
  <c r="R3" i="17" s="1"/>
  <c r="U28" i="13"/>
  <c r="S3" i="17"/>
  <c r="V28" i="13"/>
  <c r="T3" i="17" s="1"/>
  <c r="W28" i="13"/>
  <c r="U3" i="17"/>
  <c r="E29" i="13"/>
  <c r="C4" i="17" s="1"/>
  <c r="F29" i="13"/>
  <c r="D4" i="17"/>
  <c r="G29" i="13"/>
  <c r="E4" i="17" s="1"/>
  <c r="H29" i="13"/>
  <c r="F4" i="17"/>
  <c r="I29" i="13"/>
  <c r="G4" i="17" s="1"/>
  <c r="J29" i="13"/>
  <c r="H4" i="17"/>
  <c r="K29" i="13"/>
  <c r="I4" i="17" s="1"/>
  <c r="L29" i="13"/>
  <c r="J4" i="17"/>
  <c r="M29" i="13"/>
  <c r="K4" i="17" s="1"/>
  <c r="N29" i="13"/>
  <c r="L4" i="17"/>
  <c r="O29" i="13"/>
  <c r="M4" i="17" s="1"/>
  <c r="P29" i="13"/>
  <c r="N4" i="17"/>
  <c r="Q29" i="13"/>
  <c r="O4" i="17" s="1"/>
  <c r="R29" i="13"/>
  <c r="P4" i="17"/>
  <c r="S29" i="13"/>
  <c r="Q4" i="17" s="1"/>
  <c r="T29" i="13"/>
  <c r="R4" i="17"/>
  <c r="U29" i="13"/>
  <c r="S4" i="17" s="1"/>
  <c r="V29" i="13"/>
  <c r="T4" i="17"/>
  <c r="W29" i="13"/>
  <c r="U4" i="17" s="1"/>
  <c r="E30" i="13"/>
  <c r="C5" i="17"/>
  <c r="F30" i="13"/>
  <c r="D5" i="17" s="1"/>
  <c r="G30" i="13"/>
  <c r="E5" i="17"/>
  <c r="H30" i="13"/>
  <c r="F5" i="17" s="1"/>
  <c r="I30" i="13"/>
  <c r="G5" i="17"/>
  <c r="J30" i="13"/>
  <c r="H5" i="17" s="1"/>
  <c r="K30" i="13"/>
  <c r="I5" i="17"/>
  <c r="L30" i="13"/>
  <c r="J5" i="17" s="1"/>
  <c r="M30" i="13"/>
  <c r="K5" i="17"/>
  <c r="N30" i="13"/>
  <c r="L5" i="17" s="1"/>
  <c r="O30" i="13"/>
  <c r="M5" i="17"/>
  <c r="P30" i="13"/>
  <c r="N5" i="17" s="1"/>
  <c r="Q30" i="13"/>
  <c r="O5" i="17"/>
  <c r="R30" i="13"/>
  <c r="P5" i="17" s="1"/>
  <c r="S30" i="13"/>
  <c r="Q5" i="17"/>
  <c r="T30" i="13"/>
  <c r="R5" i="17" s="1"/>
  <c r="U30" i="13"/>
  <c r="S5" i="17"/>
  <c r="V30" i="13"/>
  <c r="T5" i="17" s="1"/>
  <c r="W30" i="13"/>
  <c r="U5" i="17"/>
  <c r="D28" i="13"/>
  <c r="B3" i="17" s="1"/>
  <c r="D29" i="13"/>
  <c r="B4" i="17"/>
  <c r="D30" i="13"/>
  <c r="B5" i="17" s="1"/>
  <c r="D27" i="13"/>
  <c r="B2" i="17"/>
  <c r="C18" i="13"/>
  <c r="C28" s="1"/>
  <c r="C23"/>
  <c r="C19"/>
  <c r="C29" s="1"/>
  <c r="C24"/>
  <c r="C20"/>
  <c r="C25"/>
  <c r="C30"/>
  <c r="C17"/>
  <c r="C22"/>
  <c r="C27"/>
  <c r="D3" i="9"/>
  <c r="D1" i="16" s="1"/>
  <c r="E3" i="9"/>
  <c r="D2" i="8" s="1"/>
  <c r="F3" i="9"/>
  <c r="E2" i="8" s="1"/>
  <c r="G3" i="9"/>
  <c r="G3" i="25" s="1"/>
  <c r="H3" i="9"/>
  <c r="H1" i="16" s="1"/>
  <c r="I3" i="9"/>
  <c r="H2" i="8" s="1"/>
  <c r="J3" i="9"/>
  <c r="I2" i="8" s="1"/>
  <c r="K3" i="9"/>
  <c r="J2" i="8" s="1"/>
  <c r="M3" i="9"/>
  <c r="L2" i="8" s="1"/>
  <c r="N3" i="9"/>
  <c r="N3" i="24" s="1"/>
  <c r="O3" i="9"/>
  <c r="N2" i="8" s="1"/>
  <c r="P3" i="9"/>
  <c r="O2" i="8"/>
  <c r="Q3" i="9"/>
  <c r="P2" i="8" s="1"/>
  <c r="R3" i="9"/>
  <c r="Q2" i="8" s="1"/>
  <c r="S3" i="9"/>
  <c r="R2" i="8" s="1"/>
  <c r="T3" i="9"/>
  <c r="S2" i="8" s="1"/>
  <c r="U3" i="9"/>
  <c r="T2" i="8" s="1"/>
  <c r="V3" i="9"/>
  <c r="V3" i="24" s="1"/>
  <c r="C3" i="9"/>
  <c r="B2" i="8" s="1"/>
  <c r="A1" i="25"/>
  <c r="A1" i="24"/>
  <c r="E3" i="25"/>
  <c r="I3"/>
  <c r="K3"/>
  <c r="O3"/>
  <c r="S3"/>
  <c r="U3"/>
  <c r="I3" i="24"/>
  <c r="K3"/>
  <c r="Q3"/>
  <c r="R3"/>
  <c r="U3"/>
  <c r="H3" i="13"/>
  <c r="F1" i="17" s="1"/>
  <c r="J3" i="13"/>
  <c r="H1" i="17" s="1"/>
  <c r="N3" i="13"/>
  <c r="L1" i="17" s="1"/>
  <c r="O3" i="13"/>
  <c r="R3"/>
  <c r="P1" i="17" s="1"/>
  <c r="S3" i="13"/>
  <c r="Q1" i="17" s="1"/>
  <c r="D3" i="13"/>
  <c r="B1" i="17" s="1"/>
  <c r="E41" i="7"/>
  <c r="F41"/>
  <c r="G41"/>
  <c r="H41"/>
  <c r="I41"/>
  <c r="J41"/>
  <c r="K41"/>
  <c r="L41"/>
  <c r="E17" i="3" s="1"/>
  <c r="M41" i="7"/>
  <c r="N41"/>
  <c r="O41"/>
  <c r="P41"/>
  <c r="C41"/>
  <c r="D41"/>
  <c r="Q41"/>
  <c r="R41"/>
  <c r="S41"/>
  <c r="T41"/>
  <c r="E42"/>
  <c r="D18" i="3" s="1"/>
  <c r="O42" i="7"/>
  <c r="P42"/>
  <c r="C42"/>
  <c r="D42"/>
  <c r="Q42"/>
  <c r="R42"/>
  <c r="S42"/>
  <c r="T42"/>
  <c r="E43"/>
  <c r="O43"/>
  <c r="P43"/>
  <c r="C43"/>
  <c r="D43"/>
  <c r="Q43"/>
  <c r="R43"/>
  <c r="S43"/>
  <c r="T43"/>
  <c r="E44"/>
  <c r="O44"/>
  <c r="P44"/>
  <c r="C44"/>
  <c r="D44"/>
  <c r="Q44"/>
  <c r="R44"/>
  <c r="S44"/>
  <c r="T44"/>
  <c r="E45"/>
  <c r="O45"/>
  <c r="P45"/>
  <c r="C45"/>
  <c r="D45"/>
  <c r="Q45"/>
  <c r="G21" i="3" s="1"/>
  <c r="R45" i="7"/>
  <c r="S45"/>
  <c r="T45"/>
  <c r="E46"/>
  <c r="O46"/>
  <c r="P46"/>
  <c r="C46"/>
  <c r="D46"/>
  <c r="Q46"/>
  <c r="R46"/>
  <c r="S46"/>
  <c r="T46"/>
  <c r="E47"/>
  <c r="O47"/>
  <c r="P47"/>
  <c r="C47"/>
  <c r="D47"/>
  <c r="Q47"/>
  <c r="R47"/>
  <c r="S47"/>
  <c r="T47"/>
  <c r="E48"/>
  <c r="O48"/>
  <c r="P48"/>
  <c r="C48"/>
  <c r="D48"/>
  <c r="Q48"/>
  <c r="R48"/>
  <c r="S48"/>
  <c r="T48"/>
  <c r="C7" i="19"/>
  <c r="C18"/>
  <c r="H8" i="1"/>
  <c r="E9" i="2"/>
  <c r="G52" i="15"/>
  <c r="G48"/>
  <c r="I9" i="2"/>
  <c r="B15" i="7"/>
  <c r="B10" i="12"/>
  <c r="E61" i="23" s="1"/>
  <c r="C16" i="2"/>
  <c r="D15" i="7"/>
  <c r="E15"/>
  <c r="G15"/>
  <c r="H15"/>
  <c r="J15"/>
  <c r="K15"/>
  <c r="L15"/>
  <c r="M15"/>
  <c r="N15"/>
  <c r="O15"/>
  <c r="P15"/>
  <c r="Q15"/>
  <c r="G14" i="23"/>
  <c r="D12" i="24" s="1"/>
  <c r="D12" i="13"/>
  <c r="D7"/>
  <c r="D16"/>
  <c r="D21"/>
  <c r="E12"/>
  <c r="E7"/>
  <c r="E16"/>
  <c r="E26" s="1"/>
  <c r="E21"/>
  <c r="F7"/>
  <c r="F12"/>
  <c r="F16"/>
  <c r="F21"/>
  <c r="F26"/>
  <c r="B22" i="9"/>
  <c r="F36" i="10" s="1"/>
  <c r="G12" i="13"/>
  <c r="G16"/>
  <c r="G21"/>
  <c r="H12"/>
  <c r="H21"/>
  <c r="H26" s="1"/>
  <c r="H16"/>
  <c r="I12"/>
  <c r="I21"/>
  <c r="I16"/>
  <c r="I26"/>
  <c r="J12"/>
  <c r="J7"/>
  <c r="J16"/>
  <c r="J21"/>
  <c r="J26"/>
  <c r="K12"/>
  <c r="K21"/>
  <c r="K16"/>
  <c r="L12"/>
  <c r="L7"/>
  <c r="L16"/>
  <c r="L26" s="1"/>
  <c r="L21"/>
  <c r="M12"/>
  <c r="M7"/>
  <c r="M21"/>
  <c r="M16"/>
  <c r="M26"/>
  <c r="N12"/>
  <c r="N16"/>
  <c r="N21"/>
  <c r="N26" s="1"/>
  <c r="O12"/>
  <c r="O7"/>
  <c r="O16"/>
  <c r="O21"/>
  <c r="P12"/>
  <c r="P7"/>
  <c r="P16"/>
  <c r="P21"/>
  <c r="Q12"/>
  <c r="Q7"/>
  <c r="Q16"/>
  <c r="Q26" s="1"/>
  <c r="Q21"/>
  <c r="B27" i="4"/>
  <c r="M35" i="23" s="1"/>
  <c r="T26" i="7"/>
  <c r="S26"/>
  <c r="T5" i="25"/>
  <c r="R26" i="7"/>
  <c r="Q26"/>
  <c r="R5" i="25"/>
  <c r="P26" i="7"/>
  <c r="O26"/>
  <c r="P5" i="25"/>
  <c r="H26" i="7"/>
  <c r="G26"/>
  <c r="H5" i="25"/>
  <c r="F26" i="7"/>
  <c r="G5" i="25" s="1"/>
  <c r="E26" i="7"/>
  <c r="F5" i="25"/>
  <c r="D26" i="7"/>
  <c r="C26"/>
  <c r="D5" i="25"/>
  <c r="R16" i="13"/>
  <c r="R21"/>
  <c r="S16"/>
  <c r="S21"/>
  <c r="S26" s="1"/>
  <c r="T16"/>
  <c r="T21"/>
  <c r="T26"/>
  <c r="U16"/>
  <c r="U26" s="1"/>
  <c r="U21"/>
  <c r="V16"/>
  <c r="V26" s="1"/>
  <c r="V21"/>
  <c r="W16"/>
  <c r="W21"/>
  <c r="W26"/>
  <c r="D5" i="24"/>
  <c r="F5"/>
  <c r="G5"/>
  <c r="H5"/>
  <c r="P5"/>
  <c r="R5"/>
  <c r="T5"/>
  <c r="E7" i="23"/>
  <c r="H5" i="3"/>
  <c r="H49" s="1"/>
  <c r="I5"/>
  <c r="I49" s="1"/>
  <c r="J5"/>
  <c r="J49" s="1"/>
  <c r="J21" i="22"/>
  <c r="U18" i="2"/>
  <c r="U15"/>
  <c r="U19"/>
  <c r="U16"/>
  <c r="U21"/>
  <c r="U20" s="1"/>
  <c r="U22"/>
  <c r="J9"/>
  <c r="D9"/>
  <c r="U5"/>
  <c r="N5"/>
  <c r="L4"/>
  <c r="V4" s="1"/>
  <c r="O16"/>
  <c r="O22"/>
  <c r="O21"/>
  <c r="O5"/>
  <c r="B40" i="7"/>
  <c r="C40"/>
  <c r="D40"/>
  <c r="D49" s="1"/>
  <c r="E40"/>
  <c r="F40"/>
  <c r="G40"/>
  <c r="H40"/>
  <c r="I40"/>
  <c r="J40"/>
  <c r="K40"/>
  <c r="L40"/>
  <c r="M40"/>
  <c r="N40"/>
  <c r="O40"/>
  <c r="P40"/>
  <c r="P49" s="1"/>
  <c r="Q40"/>
  <c r="R40"/>
  <c r="R49" s="1"/>
  <c r="S40"/>
  <c r="T40"/>
  <c r="T49" s="1"/>
  <c r="U40"/>
  <c r="U49" s="1"/>
  <c r="B41"/>
  <c r="V41" s="1"/>
  <c r="G88" i="15" s="1"/>
  <c r="E3" i="22" s="1"/>
  <c r="U41" i="7"/>
  <c r="B42"/>
  <c r="U42"/>
  <c r="B43"/>
  <c r="U43"/>
  <c r="B44"/>
  <c r="U44"/>
  <c r="B45"/>
  <c r="U45"/>
  <c r="B46"/>
  <c r="U46"/>
  <c r="B47"/>
  <c r="U47"/>
  <c r="B48"/>
  <c r="U48"/>
  <c r="O18" i="2"/>
  <c r="O19"/>
  <c r="O15"/>
  <c r="S15"/>
  <c r="B5" i="10"/>
  <c r="B11"/>
  <c r="V17" i="7"/>
  <c r="E87" i="15" s="1"/>
  <c r="F87" s="1"/>
  <c r="G48" i="23" s="1"/>
  <c r="C6" i="10"/>
  <c r="B6"/>
  <c r="B10"/>
  <c r="B13"/>
  <c r="V18" i="7"/>
  <c r="E88" i="15" s="1"/>
  <c r="B26" i="7"/>
  <c r="D5" i="9"/>
  <c r="E5"/>
  <c r="F5"/>
  <c r="G5"/>
  <c r="H5"/>
  <c r="P5"/>
  <c r="Q5"/>
  <c r="R5"/>
  <c r="T5"/>
  <c r="U26" i="7"/>
  <c r="E16" i="10"/>
  <c r="C36"/>
  <c r="E6" i="23"/>
  <c r="E38" i="7"/>
  <c r="E62" i="23"/>
  <c r="E63"/>
  <c r="E64"/>
  <c r="H49"/>
  <c r="V24" i="22"/>
  <c r="V25"/>
  <c r="V26"/>
  <c r="V27"/>
  <c r="V28"/>
  <c r="V29"/>
  <c r="V30"/>
  <c r="V23"/>
  <c r="D20"/>
  <c r="G74" i="15"/>
  <c r="F81" s="1"/>
  <c r="R15" i="7"/>
  <c r="S15"/>
  <c r="O37"/>
  <c r="P37"/>
  <c r="Q37"/>
  <c r="R37"/>
  <c r="S37"/>
  <c r="O38"/>
  <c r="P38"/>
  <c r="Q38"/>
  <c r="R38"/>
  <c r="S38"/>
  <c r="C38"/>
  <c r="D38"/>
  <c r="B37"/>
  <c r="T15"/>
  <c r="U15"/>
  <c r="U37"/>
  <c r="V6"/>
  <c r="V10"/>
  <c r="V11"/>
  <c r="V13"/>
  <c r="V5"/>
  <c r="C37"/>
  <c r="D37"/>
  <c r="E37"/>
  <c r="H15" i="3"/>
  <c r="H51" s="1"/>
  <c r="I15"/>
  <c r="J15"/>
  <c r="J51" s="1"/>
  <c r="H26"/>
  <c r="H27"/>
  <c r="H25" s="1"/>
  <c r="H33"/>
  <c r="H34"/>
  <c r="I26"/>
  <c r="I27"/>
  <c r="I33"/>
  <c r="I34"/>
  <c r="I25"/>
  <c r="J26"/>
  <c r="J27"/>
  <c r="J25" s="1"/>
  <c r="J33"/>
  <c r="J34"/>
  <c r="I51"/>
  <c r="A1" i="15"/>
  <c r="G2"/>
  <c r="B88"/>
  <c r="B90"/>
  <c r="B91"/>
  <c r="B92"/>
  <c r="B93"/>
  <c r="B89"/>
  <c r="B94"/>
  <c r="B95"/>
  <c r="B87"/>
  <c r="V4" i="8"/>
  <c r="V12"/>
  <c r="F1" i="16"/>
  <c r="K1"/>
  <c r="O1"/>
  <c r="P1"/>
  <c r="R1"/>
  <c r="C1"/>
  <c r="R12" i="13"/>
  <c r="S12"/>
  <c r="T12"/>
  <c r="U12"/>
  <c r="V12"/>
  <c r="W12"/>
  <c r="S7"/>
  <c r="T7"/>
  <c r="U7"/>
  <c r="M1" i="17"/>
  <c r="C50" i="3" l="1"/>
  <c r="C49"/>
  <c r="S1" i="16"/>
  <c r="V23" i="7"/>
  <c r="D14" i="3"/>
  <c r="U24" i="2"/>
  <c r="I48" i="7"/>
  <c r="V22"/>
  <c r="E92" i="15" s="1"/>
  <c r="F12" i="3"/>
  <c r="B12" s="1"/>
  <c r="G11" i="10" s="1"/>
  <c r="N1" i="16"/>
  <c r="N3" i="25"/>
  <c r="U2" i="8"/>
  <c r="M2"/>
  <c r="G5" i="3"/>
  <c r="G49" s="1"/>
  <c r="T1" i="16"/>
  <c r="O20" i="2"/>
  <c r="M3" i="13"/>
  <c r="K1" i="17" s="1"/>
  <c r="V3" i="25"/>
  <c r="K2" i="8"/>
  <c r="V1" i="16"/>
  <c r="I1"/>
  <c r="S5" i="2"/>
  <c r="D22" i="3"/>
  <c r="W3" i="13"/>
  <c r="U1" i="17" s="1"/>
  <c r="O3" i="24"/>
  <c r="E3"/>
  <c r="R3" i="25"/>
  <c r="J3"/>
  <c r="T19" i="2"/>
  <c r="B11" i="25"/>
  <c r="B26" s="1"/>
  <c r="L1" i="16"/>
  <c r="G1"/>
  <c r="C11" i="10"/>
  <c r="L3" i="24"/>
  <c r="T15" i="2"/>
  <c r="B31" i="4"/>
  <c r="M39" i="23" s="1"/>
  <c r="F11" i="3"/>
  <c r="Q1" i="16"/>
  <c r="E1"/>
  <c r="C5" i="10"/>
  <c r="O14" i="2"/>
  <c r="V5"/>
  <c r="B6" i="3"/>
  <c r="G5" i="10" s="1"/>
  <c r="V3" i="13"/>
  <c r="T1" i="17" s="1"/>
  <c r="P3" i="13"/>
  <c r="N1" i="17" s="1"/>
  <c r="L3" i="13"/>
  <c r="J1" i="17" s="1"/>
  <c r="F3" i="13"/>
  <c r="D1" i="17" s="1"/>
  <c r="S3" i="24"/>
  <c r="J3"/>
  <c r="C3" i="25"/>
  <c r="M3"/>
  <c r="N21" i="2"/>
  <c r="N20" s="1"/>
  <c r="N15"/>
  <c r="T18"/>
  <c r="N17"/>
  <c r="F14" i="3"/>
  <c r="T13" i="2"/>
  <c r="N9"/>
  <c r="N24" s="1"/>
  <c r="N8"/>
  <c r="N6" s="1"/>
  <c r="C29" i="10"/>
  <c r="G3" i="24"/>
  <c r="F2" i="8"/>
  <c r="T21" i="2"/>
  <c r="T17"/>
  <c r="T9"/>
  <c r="T8"/>
  <c r="U1" i="16"/>
  <c r="M1"/>
  <c r="V34" i="7"/>
  <c r="H36" i="10"/>
  <c r="T5" i="2"/>
  <c r="T3" i="13"/>
  <c r="R1" i="17" s="1"/>
  <c r="K3" i="13"/>
  <c r="I1" i="17" s="1"/>
  <c r="C3" i="24"/>
  <c r="M3"/>
  <c r="Q3" i="25"/>
  <c r="L3"/>
  <c r="N19" i="2"/>
  <c r="T22"/>
  <c r="T16"/>
  <c r="T7"/>
  <c r="N13"/>
  <c r="T10"/>
  <c r="I53" i="3"/>
  <c r="I47"/>
  <c r="B38" i="7"/>
  <c r="C5" i="25"/>
  <c r="C5" i="24"/>
  <c r="C5" i="9"/>
  <c r="C22" i="3"/>
  <c r="V46" i="7"/>
  <c r="C18" i="3"/>
  <c r="Q6" i="24"/>
  <c r="Q6" i="25"/>
  <c r="Q6" i="9"/>
  <c r="V6" i="25"/>
  <c r="V6" i="24"/>
  <c r="V6" i="9"/>
  <c r="G16" i="3"/>
  <c r="Q49" i="7"/>
  <c r="F16" i="3"/>
  <c r="E16"/>
  <c r="D16"/>
  <c r="E49" i="7"/>
  <c r="V40"/>
  <c r="I5" i="25"/>
  <c r="I5" i="24"/>
  <c r="I5" i="9"/>
  <c r="H38" i="7"/>
  <c r="D26" i="1"/>
  <c r="C2" i="8"/>
  <c r="D3" i="25"/>
  <c r="D3" i="24"/>
  <c r="E3" i="13"/>
  <c r="C1" i="17" s="1"/>
  <c r="H45" i="3"/>
  <c r="H44"/>
  <c r="I52"/>
  <c r="F21"/>
  <c r="G17"/>
  <c r="S8" i="2"/>
  <c r="S10"/>
  <c r="S9"/>
  <c r="S12"/>
  <c r="S7"/>
  <c r="S11"/>
  <c r="S17"/>
  <c r="S22"/>
  <c r="S20" s="1"/>
  <c r="S19"/>
  <c r="S13"/>
  <c r="C10" i="10"/>
  <c r="S18" i="2"/>
  <c r="S16"/>
  <c r="V5" i="24"/>
  <c r="V5" i="9"/>
  <c r="C24" i="3"/>
  <c r="C20"/>
  <c r="U6" i="9"/>
  <c r="U6" i="24"/>
  <c r="U6" i="25"/>
  <c r="E6" i="24"/>
  <c r="E6" i="9"/>
  <c r="E6" i="25"/>
  <c r="G50" i="3"/>
  <c r="C16" i="13"/>
  <c r="C26" s="1"/>
  <c r="D26"/>
  <c r="E95" i="15"/>
  <c r="E13" i="10"/>
  <c r="F92" i="15"/>
  <c r="D53" i="23"/>
  <c r="F88" i="15"/>
  <c r="D49" i="23"/>
  <c r="S6" i="24"/>
  <c r="S6" i="25"/>
  <c r="S6" i="9"/>
  <c r="S5" i="25"/>
  <c r="S5" i="24"/>
  <c r="S5" i="9"/>
  <c r="B7" i="8"/>
  <c r="J53" i="3"/>
  <c r="J50"/>
  <c r="J47"/>
  <c r="J52"/>
  <c r="I50"/>
  <c r="U38" i="7"/>
  <c r="V5" i="25"/>
  <c r="C12" i="13"/>
  <c r="U5" i="25"/>
  <c r="U5" i="24"/>
  <c r="C23" i="3"/>
  <c r="C19"/>
  <c r="E5" i="25"/>
  <c r="E5" i="24"/>
  <c r="G2" i="8"/>
  <c r="H3" i="25"/>
  <c r="H3" i="24"/>
  <c r="I3" i="13"/>
  <c r="G1" i="17" s="1"/>
  <c r="C16" i="3"/>
  <c r="U14" i="2"/>
  <c r="C21" i="13"/>
  <c r="D48" i="23"/>
  <c r="J1" i="16"/>
  <c r="T38" i="7"/>
  <c r="B49"/>
  <c r="E10" i="10"/>
  <c r="E6"/>
  <c r="H6" s="1"/>
  <c r="E5"/>
  <c r="S49" i="7"/>
  <c r="O49"/>
  <c r="G49"/>
  <c r="C49"/>
  <c r="R26" i="13"/>
  <c r="P26"/>
  <c r="O26"/>
  <c r="G23" i="3"/>
  <c r="G3" i="13"/>
  <c r="E1" i="17" s="1"/>
  <c r="F3" i="24"/>
  <c r="F3" i="25"/>
  <c r="C21" i="3"/>
  <c r="B7"/>
  <c r="G6" i="10" s="1"/>
  <c r="B11" i="9"/>
  <c r="K7" i="13"/>
  <c r="Q5" i="25"/>
  <c r="Q5" i="24"/>
  <c r="C8" i="19"/>
  <c r="D5" i="1"/>
  <c r="T3" i="25"/>
  <c r="T3" i="24"/>
  <c r="U3" i="13"/>
  <c r="S1" i="17" s="1"/>
  <c r="P3" i="25"/>
  <c r="P3" i="24"/>
  <c r="Q3" i="13"/>
  <c r="O1" i="17" s="1"/>
  <c r="K26" i="13"/>
  <c r="V28" i="7"/>
  <c r="V33"/>
  <c r="V29"/>
  <c r="T37"/>
  <c r="U5" i="9"/>
  <c r="H49" i="7"/>
  <c r="G26" i="13"/>
  <c r="G24" i="3"/>
  <c r="F24"/>
  <c r="G20"/>
  <c r="L48" i="7"/>
  <c r="V48" s="1"/>
  <c r="E14" i="3"/>
  <c r="G22"/>
  <c r="F22"/>
  <c r="G18"/>
  <c r="F17"/>
  <c r="D17"/>
  <c r="E17" i="23"/>
  <c r="T12" i="24"/>
  <c r="L12"/>
  <c r="F12"/>
  <c r="J12"/>
  <c r="N12"/>
  <c r="R12"/>
  <c r="V12"/>
  <c r="E12"/>
  <c r="I12"/>
  <c r="M12"/>
  <c r="Q12"/>
  <c r="U12"/>
  <c r="N43" i="7"/>
  <c r="F19" i="3" s="1"/>
  <c r="F9"/>
  <c r="D24"/>
  <c r="G19"/>
  <c r="O12" i="24"/>
  <c r="G12"/>
  <c r="U6" i="2"/>
  <c r="K45" i="7"/>
  <c r="E21" i="3" s="1"/>
  <c r="E11"/>
  <c r="B11" s="1"/>
  <c r="G10" i="10" s="1"/>
  <c r="I47" i="7"/>
  <c r="E22" i="3"/>
  <c r="D51" i="7"/>
  <c r="F44"/>
  <c r="D20" i="3" s="1"/>
  <c r="D10"/>
  <c r="O10" i="2"/>
  <c r="O9"/>
  <c r="O12"/>
  <c r="O13"/>
  <c r="D33" i="3"/>
  <c r="T11" i="2"/>
  <c r="H11" i="10" l="1"/>
  <c r="N14" i="2"/>
  <c r="N23" s="1"/>
  <c r="H87" i="15" s="1"/>
  <c r="E93"/>
  <c r="E11" i="10"/>
  <c r="E24" i="3"/>
  <c r="T20" i="2"/>
  <c r="G26" i="3"/>
  <c r="F26"/>
  <c r="C26"/>
  <c r="D26"/>
  <c r="E26"/>
  <c r="C51" i="7"/>
  <c r="F51"/>
  <c r="H51"/>
  <c r="M51"/>
  <c r="O51"/>
  <c r="Q51"/>
  <c r="R51"/>
  <c r="T51"/>
  <c r="J51"/>
  <c r="N51"/>
  <c r="S51"/>
  <c r="U51"/>
  <c r="E51"/>
  <c r="I51"/>
  <c r="L51"/>
  <c r="P51"/>
  <c r="G51"/>
  <c r="B12" i="24"/>
  <c r="B27" s="1"/>
  <c r="O6" i="2"/>
  <c r="E27" i="3" s="1"/>
  <c r="K51" i="7"/>
  <c r="B17" i="3"/>
  <c r="G16" i="10" s="1"/>
  <c r="H16" s="1"/>
  <c r="S14" i="2"/>
  <c r="S24"/>
  <c r="B56" i="7" s="1"/>
  <c r="V7" i="9"/>
  <c r="V8" s="1"/>
  <c r="B51" i="7"/>
  <c r="H5" i="10"/>
  <c r="T14" i="2"/>
  <c r="D27" i="3"/>
  <c r="G95" i="15"/>
  <c r="E23" i="10"/>
  <c r="V36" i="7"/>
  <c r="C14" i="9"/>
  <c r="B14" i="8"/>
  <c r="B15"/>
  <c r="B9"/>
  <c r="C15" i="24"/>
  <c r="C14" i="25"/>
  <c r="G49" i="23"/>
  <c r="D3" i="22"/>
  <c r="H53" i="3"/>
  <c r="H50"/>
  <c r="H52"/>
  <c r="H47"/>
  <c r="O6" i="23"/>
  <c r="E25" s="1"/>
  <c r="G8" i="15" s="1"/>
  <c r="G7" s="1"/>
  <c r="G6" s="1"/>
  <c r="E8" i="23"/>
  <c r="C3" i="15"/>
  <c r="C7" i="13"/>
  <c r="H6" i="9"/>
  <c r="H6" i="24"/>
  <c r="G37" i="7"/>
  <c r="H6" i="25"/>
  <c r="G38" i="7"/>
  <c r="C6" i="9"/>
  <c r="C6" i="25"/>
  <c r="C6" i="24"/>
  <c r="G87" i="15"/>
  <c r="E15" i="10"/>
  <c r="G33" i="3"/>
  <c r="C33"/>
  <c r="U23" i="2"/>
  <c r="H94" i="15" s="1"/>
  <c r="D6" i="9"/>
  <c r="E7" s="1"/>
  <c r="D6" i="25"/>
  <c r="E7" s="1"/>
  <c r="E8" s="1"/>
  <c r="D6" i="24"/>
  <c r="T6" i="9"/>
  <c r="T7" s="1"/>
  <c r="T6" i="24"/>
  <c r="T7" s="1"/>
  <c r="T9" s="1"/>
  <c r="T6" i="25"/>
  <c r="T7" s="1"/>
  <c r="T8" s="1"/>
  <c r="D7" i="22"/>
  <c r="G53" i="23"/>
  <c r="F14" i="7"/>
  <c r="V14" s="1"/>
  <c r="G47" i="15"/>
  <c r="C12" i="2" s="1"/>
  <c r="J17" i="22" s="1"/>
  <c r="R6" i="25"/>
  <c r="R7" s="1"/>
  <c r="R8" s="1"/>
  <c r="R6" i="9"/>
  <c r="R7" s="1"/>
  <c r="R6" i="24"/>
  <c r="R7" s="1"/>
  <c r="G15" i="3"/>
  <c r="D23"/>
  <c r="F49" i="7"/>
  <c r="U7" i="24"/>
  <c r="U9" s="1"/>
  <c r="S6" i="2"/>
  <c r="E31" i="3" s="1"/>
  <c r="V7" i="25"/>
  <c r="V8" s="1"/>
  <c r="D12" i="19"/>
  <c r="D13"/>
  <c r="D14"/>
  <c r="D11"/>
  <c r="D16"/>
  <c r="D10"/>
  <c r="D15"/>
  <c r="C15" i="3"/>
  <c r="B16"/>
  <c r="D56" i="7"/>
  <c r="F56"/>
  <c r="N56"/>
  <c r="S56"/>
  <c r="T56"/>
  <c r="F6" i="9"/>
  <c r="F7" s="1"/>
  <c r="F6" i="25"/>
  <c r="F7" s="1"/>
  <c r="F8" s="1"/>
  <c r="F6" i="24"/>
  <c r="F7" s="1"/>
  <c r="U11" i="8"/>
  <c r="W5" i="13"/>
  <c r="W4" s="1"/>
  <c r="G93" i="15"/>
  <c r="H54" i="23" s="1"/>
  <c r="E21" i="10"/>
  <c r="T24" i="2"/>
  <c r="T6"/>
  <c r="I6" i="9"/>
  <c r="I6" i="24"/>
  <c r="I7" s="1"/>
  <c r="I9" s="1"/>
  <c r="I6" i="25"/>
  <c r="H37" i="7"/>
  <c r="B27" i="9"/>
  <c r="B15" i="4" s="1"/>
  <c r="F25" i="10"/>
  <c r="P6" i="9"/>
  <c r="Q7" s="1"/>
  <c r="P6" i="25"/>
  <c r="P6" i="24"/>
  <c r="F95" i="15"/>
  <c r="D56" i="23"/>
  <c r="B21" i="3"/>
  <c r="G20" i="10" s="1"/>
  <c r="H10"/>
  <c r="O24" i="2"/>
  <c r="B14" i="3"/>
  <c r="G13" i="10" s="1"/>
  <c r="H13" s="1"/>
  <c r="V45" i="7"/>
  <c r="B24" i="3"/>
  <c r="G23" i="10" s="1"/>
  <c r="V7" i="24"/>
  <c r="Q7"/>
  <c r="Q9" s="1"/>
  <c r="B22" i="3"/>
  <c r="G21" i="10" s="1"/>
  <c r="E48" i="23" l="1"/>
  <c r="I87" i="15"/>
  <c r="F48" i="23" s="1"/>
  <c r="F93" i="15"/>
  <c r="G54" i="23" s="1"/>
  <c r="D54"/>
  <c r="S7" i="9"/>
  <c r="T5" i="13" s="1"/>
  <c r="T4" s="1"/>
  <c r="V51" i="7"/>
  <c r="B26" i="3"/>
  <c r="S7" i="24"/>
  <c r="S9" s="1"/>
  <c r="U7" i="9"/>
  <c r="T11" i="8" s="1"/>
  <c r="P56" i="7"/>
  <c r="O56"/>
  <c r="G56"/>
  <c r="D7" i="24"/>
  <c r="D9" s="1"/>
  <c r="G27" i="3"/>
  <c r="U7" i="25"/>
  <c r="U8" s="1"/>
  <c r="I7" i="9"/>
  <c r="U10" i="8"/>
  <c r="I56" i="7"/>
  <c r="K56"/>
  <c r="Q56"/>
  <c r="J56"/>
  <c r="C56"/>
  <c r="F27" i="3"/>
  <c r="C27"/>
  <c r="U56" i="7"/>
  <c r="H56"/>
  <c r="O23" i="2"/>
  <c r="H88" i="15" s="1"/>
  <c r="E49" i="23" s="1"/>
  <c r="H21" i="10"/>
  <c r="M56" i="7"/>
  <c r="R56"/>
  <c r="L56"/>
  <c r="E56"/>
  <c r="D7" i="9"/>
  <c r="D8" s="1"/>
  <c r="E11" i="8"/>
  <c r="E10"/>
  <c r="F8" i="9"/>
  <c r="G5" i="13"/>
  <c r="G4" s="1"/>
  <c r="D11" i="1"/>
  <c r="E13" i="19"/>
  <c r="U8" i="9"/>
  <c r="H11" i="8"/>
  <c r="H10"/>
  <c r="I8" i="9"/>
  <c r="J5" i="13"/>
  <c r="J4" s="1"/>
  <c r="D12" i="1"/>
  <c r="E14" i="19"/>
  <c r="R16" i="8"/>
  <c r="T16"/>
  <c r="S16"/>
  <c r="U16"/>
  <c r="G52" i="3"/>
  <c r="G51"/>
  <c r="S10" i="8"/>
  <c r="S11"/>
  <c r="T8" i="9"/>
  <c r="U5" i="13"/>
  <c r="U4" s="1"/>
  <c r="C7" i="24"/>
  <c r="P11" i="8"/>
  <c r="P10"/>
  <c r="Q8" i="9"/>
  <c r="R5" i="13"/>
  <c r="R4" s="1"/>
  <c r="B52" i="7"/>
  <c r="D52"/>
  <c r="G52"/>
  <c r="C52"/>
  <c r="E52"/>
  <c r="F52"/>
  <c r="H52"/>
  <c r="J52"/>
  <c r="L52"/>
  <c r="N52"/>
  <c r="O52"/>
  <c r="Q52"/>
  <c r="R52"/>
  <c r="S52"/>
  <c r="U52"/>
  <c r="I52"/>
  <c r="K52"/>
  <c r="P52"/>
  <c r="M52"/>
  <c r="T52"/>
  <c r="G56" i="23"/>
  <c r="D9" i="22"/>
  <c r="D32" i="3"/>
  <c r="E32"/>
  <c r="T23" i="2"/>
  <c r="H93" i="15" s="1"/>
  <c r="C32" i="3"/>
  <c r="G32"/>
  <c r="F32"/>
  <c r="C16" i="8"/>
  <c r="B16"/>
  <c r="D16"/>
  <c r="E16"/>
  <c r="C51" i="3"/>
  <c r="C52"/>
  <c r="D9" i="1"/>
  <c r="E4" i="2" s="1"/>
  <c r="O4" s="1"/>
  <c r="E11" i="19"/>
  <c r="E5" i="13"/>
  <c r="E4" s="1"/>
  <c r="C16" i="9"/>
  <c r="C16" i="25"/>
  <c r="C17" i="24"/>
  <c r="E9" i="22"/>
  <c r="H56" i="23"/>
  <c r="Q7" i="25"/>
  <c r="Q8" s="1"/>
  <c r="G92" i="15"/>
  <c r="E20" i="10"/>
  <c r="H20" s="1"/>
  <c r="R11" i="8"/>
  <c r="V2" i="16"/>
  <c r="D8" i="1"/>
  <c r="E10" i="19"/>
  <c r="C7" i="25"/>
  <c r="I88" i="15"/>
  <c r="F49" i="23" s="1"/>
  <c r="C57" i="7"/>
  <c r="E57"/>
  <c r="F57"/>
  <c r="H57"/>
  <c r="B57"/>
  <c r="I57"/>
  <c r="M57"/>
  <c r="N57"/>
  <c r="U57"/>
  <c r="O57"/>
  <c r="R57"/>
  <c r="J57"/>
  <c r="P57"/>
  <c r="S57"/>
  <c r="T57"/>
  <c r="D57"/>
  <c r="G57"/>
  <c r="K57"/>
  <c r="L57"/>
  <c r="Q57"/>
  <c r="D13" i="1"/>
  <c r="I4" i="2" s="1"/>
  <c r="S4" s="1"/>
  <c r="E15" i="19"/>
  <c r="C4"/>
  <c r="G6" i="9"/>
  <c r="G7" s="1"/>
  <c r="G6" i="24"/>
  <c r="G7" s="1"/>
  <c r="G9" s="1"/>
  <c r="G6" i="25"/>
  <c r="G7" s="1"/>
  <c r="G8" s="1"/>
  <c r="F37" i="7"/>
  <c r="F38"/>
  <c r="Q10" i="8"/>
  <c r="Q11"/>
  <c r="R8" i="9"/>
  <c r="S5" i="13"/>
  <c r="S4" s="1"/>
  <c r="E55" i="23"/>
  <c r="C7" i="2"/>
  <c r="E27" i="23"/>
  <c r="G15" i="10"/>
  <c r="H15" s="1"/>
  <c r="D14" i="1"/>
  <c r="J4" i="2" s="1"/>
  <c r="T4" s="1"/>
  <c r="E16" i="19"/>
  <c r="D10" i="1"/>
  <c r="E12" i="19"/>
  <c r="F31" i="3"/>
  <c r="G31"/>
  <c r="C31"/>
  <c r="S23" i="2"/>
  <c r="H92" i="15" s="1"/>
  <c r="D31" i="3"/>
  <c r="D10" i="8"/>
  <c r="E8" i="9"/>
  <c r="D11" i="8"/>
  <c r="F5" i="13"/>
  <c r="F4" s="1"/>
  <c r="H48" i="23"/>
  <c r="C7" i="9"/>
  <c r="D10" i="13"/>
  <c r="S7" i="25"/>
  <c r="S8" s="1"/>
  <c r="I7"/>
  <c r="I8" s="1"/>
  <c r="E7" i="24"/>
  <c r="E9" s="1"/>
  <c r="D7" i="25"/>
  <c r="D8" s="1"/>
  <c r="H7" i="24"/>
  <c r="H9" s="1"/>
  <c r="H23" i="10"/>
  <c r="T10" i="8" l="1"/>
  <c r="V56" i="7"/>
  <c r="S8" i="9"/>
  <c r="C10" i="8"/>
  <c r="B32" i="3"/>
  <c r="V5" i="13"/>
  <c r="V4" s="1"/>
  <c r="B27" i="3"/>
  <c r="R10" i="8"/>
  <c r="C11"/>
  <c r="B31" i="3"/>
  <c r="E2" i="16"/>
  <c r="G33" i="15"/>
  <c r="E10" i="1"/>
  <c r="F4" i="2"/>
  <c r="P4" s="1"/>
  <c r="S2" i="16"/>
  <c r="D17" i="25"/>
  <c r="D18" i="24"/>
  <c r="D17" i="9"/>
  <c r="E14" i="13" s="1"/>
  <c r="I93" i="15"/>
  <c r="F54" i="23" s="1"/>
  <c r="E54"/>
  <c r="V52" i="7"/>
  <c r="C9" i="24"/>
  <c r="V17" i="9"/>
  <c r="W14" i="13" s="1"/>
  <c r="V18" i="24"/>
  <c r="V17" i="25"/>
  <c r="H7"/>
  <c r="H8" s="1"/>
  <c r="B11" i="8"/>
  <c r="C8" i="9"/>
  <c r="B10" i="8"/>
  <c r="D5" i="13"/>
  <c r="I92" i="15"/>
  <c r="F53" i="23" s="1"/>
  <c r="E53"/>
  <c r="C25" i="10"/>
  <c r="H25" s="1"/>
  <c r="J12" i="22"/>
  <c r="B15" i="18"/>
  <c r="R2" i="16"/>
  <c r="C5" i="19"/>
  <c r="H3" i="1" s="1"/>
  <c r="I1" i="15" s="1"/>
  <c r="H4" i="1"/>
  <c r="I2" i="15" s="1"/>
  <c r="D4" i="2"/>
  <c r="D15" i="1"/>
  <c r="H53" i="23"/>
  <c r="E7" i="22"/>
  <c r="D13" i="13"/>
  <c r="C17" i="9"/>
  <c r="C18" i="24"/>
  <c r="C17" i="25"/>
  <c r="S18" i="24"/>
  <c r="S17" i="9"/>
  <c r="T14" i="13" s="1"/>
  <c r="S17" i="25"/>
  <c r="I2" i="16"/>
  <c r="F2"/>
  <c r="F11" i="8"/>
  <c r="F10"/>
  <c r="G8" i="9"/>
  <c r="H5" i="13"/>
  <c r="H4" s="1"/>
  <c r="E17" i="9"/>
  <c r="F14" i="13" s="1"/>
  <c r="E18" i="24"/>
  <c r="E17" i="25"/>
  <c r="Q2" i="16"/>
  <c r="T2"/>
  <c r="U17" i="9"/>
  <c r="V14" i="13" s="1"/>
  <c r="U18" i="24"/>
  <c r="U17" i="25"/>
  <c r="U2" i="16"/>
  <c r="C8" i="25"/>
  <c r="D2" i="16"/>
  <c r="F17" i="9"/>
  <c r="G14" i="13" s="1"/>
  <c r="F18" i="24"/>
  <c r="F17" i="25"/>
  <c r="T18" i="24"/>
  <c r="T17" i="25"/>
  <c r="T17" i="9"/>
  <c r="U14" i="13" s="1"/>
  <c r="E12" i="1"/>
  <c r="G35" i="15"/>
  <c r="H9" i="2" s="1"/>
  <c r="H4"/>
  <c r="R4" s="1"/>
  <c r="E11" i="1"/>
  <c r="G34" i="15"/>
  <c r="G9" i="2" s="1"/>
  <c r="G4"/>
  <c r="Q4" s="1"/>
  <c r="G38" i="3"/>
  <c r="V57" i="7"/>
  <c r="G37" i="3"/>
  <c r="H7" i="9"/>
  <c r="E15" i="18" l="1"/>
  <c r="D15"/>
  <c r="C15"/>
  <c r="F15"/>
  <c r="C37" i="3"/>
  <c r="B8" i="8"/>
  <c r="H12" i="1"/>
  <c r="H5" i="2"/>
  <c r="I9" i="7"/>
  <c r="B9" i="10"/>
  <c r="G2" i="16"/>
  <c r="N4" i="2"/>
  <c r="D4" i="13"/>
  <c r="F10" i="1"/>
  <c r="F14"/>
  <c r="F12"/>
  <c r="F9"/>
  <c r="F13"/>
  <c r="F8"/>
  <c r="F11"/>
  <c r="C38" i="3"/>
  <c r="F9" i="2"/>
  <c r="G10" i="8"/>
  <c r="H8" i="9"/>
  <c r="I5" i="13"/>
  <c r="I4" s="1"/>
  <c r="G11" i="8"/>
  <c r="H11" i="1"/>
  <c r="G5" i="2"/>
  <c r="F8" i="7"/>
  <c r="B8" i="10"/>
  <c r="D14" i="13"/>
  <c r="C2" i="16"/>
  <c r="H10" i="1"/>
  <c r="H15" s="1"/>
  <c r="E4" i="19" s="1"/>
  <c r="I7" i="7"/>
  <c r="F5" i="2"/>
  <c r="E15" i="1"/>
  <c r="B7" i="10"/>
  <c r="H2" i="16" l="1"/>
  <c r="R5" i="2"/>
  <c r="C9" i="10"/>
  <c r="L19" i="7"/>
  <c r="M19"/>
  <c r="N19"/>
  <c r="V7"/>
  <c r="K20"/>
  <c r="I20"/>
  <c r="F15"/>
  <c r="J20"/>
  <c r="V8"/>
  <c r="L21"/>
  <c r="M21"/>
  <c r="N21"/>
  <c r="N44" s="1"/>
  <c r="V9"/>
  <c r="C7" i="10"/>
  <c r="P5" i="2"/>
  <c r="C5"/>
  <c r="C15" i="9"/>
  <c r="C16" i="24"/>
  <c r="C15" i="25"/>
  <c r="F15" i="1"/>
  <c r="F6" i="19"/>
  <c r="C20" s="1"/>
  <c r="F5"/>
  <c r="C19" s="1"/>
  <c r="Q5" i="2"/>
  <c r="C8" i="10"/>
  <c r="K43" i="7" l="1"/>
  <c r="K49" s="1"/>
  <c r="K26"/>
  <c r="M42"/>
  <c r="F8" i="3"/>
  <c r="D28" i="1"/>
  <c r="F5"/>
  <c r="C6" i="19"/>
  <c r="D4" i="1" s="1"/>
  <c r="C2" i="15" s="1"/>
  <c r="G40"/>
  <c r="C10" i="2" s="1"/>
  <c r="J15" i="22" s="1"/>
  <c r="F12" i="2"/>
  <c r="P12" s="1"/>
  <c r="H10"/>
  <c r="H12"/>
  <c r="R12" s="1"/>
  <c r="G46" i="15"/>
  <c r="C11" i="2" s="1"/>
  <c r="J16" i="22" s="1"/>
  <c r="L10" i="2"/>
  <c r="G65" i="15"/>
  <c r="G64" s="1"/>
  <c r="H64" s="1"/>
  <c r="G12" i="2"/>
  <c r="Q12" s="1"/>
  <c r="G10"/>
  <c r="L12"/>
  <c r="V12" s="1"/>
  <c r="I12"/>
  <c r="G16"/>
  <c r="Q16" s="1"/>
  <c r="K16"/>
  <c r="K22"/>
  <c r="D16"/>
  <c r="I16"/>
  <c r="E22"/>
  <c r="H21"/>
  <c r="I21"/>
  <c r="J22"/>
  <c r="D21"/>
  <c r="K10"/>
  <c r="J12"/>
  <c r="H8" i="15"/>
  <c r="H12"/>
  <c r="H18"/>
  <c r="H26"/>
  <c r="H34"/>
  <c r="H42"/>
  <c r="H50"/>
  <c r="H54"/>
  <c r="H58"/>
  <c r="H62"/>
  <c r="H74"/>
  <c r="E12" i="2"/>
  <c r="F16"/>
  <c r="P16" s="1"/>
  <c r="E21"/>
  <c r="H22"/>
  <c r="R22" s="1"/>
  <c r="M21"/>
  <c r="M10"/>
  <c r="K15" i="22" s="1"/>
  <c r="K12" i="2"/>
  <c r="M7"/>
  <c r="H16"/>
  <c r="R16" s="1"/>
  <c r="F21"/>
  <c r="G21"/>
  <c r="I22"/>
  <c r="L22"/>
  <c r="V22" s="1"/>
  <c r="M22"/>
  <c r="K21"/>
  <c r="J10"/>
  <c r="D12"/>
  <c r="M12"/>
  <c r="K17" i="22" s="1"/>
  <c r="H11" i="15"/>
  <c r="H16"/>
  <c r="H21"/>
  <c r="H33"/>
  <c r="H37"/>
  <c r="H41"/>
  <c r="H45"/>
  <c r="H49"/>
  <c r="H53"/>
  <c r="H57"/>
  <c r="H61"/>
  <c r="H67"/>
  <c r="H7"/>
  <c r="H17"/>
  <c r="L16" i="2"/>
  <c r="V16" s="1"/>
  <c r="G22"/>
  <c r="Q22" s="1"/>
  <c r="M16"/>
  <c r="K21" i="22" s="1"/>
  <c r="E16" i="2"/>
  <c r="D22"/>
  <c r="J21"/>
  <c r="H9" i="15"/>
  <c r="H19"/>
  <c r="H27"/>
  <c r="H35"/>
  <c r="H43"/>
  <c r="H51"/>
  <c r="H59"/>
  <c r="H66"/>
  <c r="F22" i="2"/>
  <c r="P22" s="1"/>
  <c r="H13" i="15"/>
  <c r="H39"/>
  <c r="H47"/>
  <c r="H63"/>
  <c r="H10"/>
  <c r="H44"/>
  <c r="H60"/>
  <c r="H15"/>
  <c r="L21" i="2"/>
  <c r="H14" i="15"/>
  <c r="H32"/>
  <c r="H40"/>
  <c r="H48"/>
  <c r="H56"/>
  <c r="H65"/>
  <c r="H76"/>
  <c r="H6"/>
  <c r="E26" i="23" s="1"/>
  <c r="H31" i="15"/>
  <c r="H55"/>
  <c r="H75"/>
  <c r="J16" i="2"/>
  <c r="H20" i="15"/>
  <c r="H36"/>
  <c r="H52"/>
  <c r="H70"/>
  <c r="J43" i="7"/>
  <c r="J49" s="1"/>
  <c r="J26"/>
  <c r="D11" i="13"/>
  <c r="L44" i="7"/>
  <c r="V21"/>
  <c r="E10" i="3"/>
  <c r="I43" i="7"/>
  <c r="E9" i="3"/>
  <c r="I26" i="7"/>
  <c r="D9" i="3"/>
  <c r="V20" i="7"/>
  <c r="M44"/>
  <c r="F20" i="3" s="1"/>
  <c r="F10"/>
  <c r="N42" i="7"/>
  <c r="L42"/>
  <c r="E8" i="3"/>
  <c r="V19" i="7"/>
  <c r="M5" i="2"/>
  <c r="E10" i="23" s="1"/>
  <c r="K20" i="2" l="1"/>
  <c r="E20"/>
  <c r="D10"/>
  <c r="F10"/>
  <c r="P10" s="1"/>
  <c r="M11"/>
  <c r="K16" i="22" s="1"/>
  <c r="D11" i="2"/>
  <c r="D24" s="1"/>
  <c r="H11"/>
  <c r="R11" s="1"/>
  <c r="I10"/>
  <c r="E10"/>
  <c r="E24" s="1"/>
  <c r="E11"/>
  <c r="J11"/>
  <c r="I11"/>
  <c r="L11"/>
  <c r="V11" s="1"/>
  <c r="B10" i="3"/>
  <c r="G9" i="10" s="1"/>
  <c r="F20" i="2"/>
  <c r="P21"/>
  <c r="P20" s="1"/>
  <c r="Q10"/>
  <c r="V10"/>
  <c r="G25" i="15"/>
  <c r="H25" s="1"/>
  <c r="G23"/>
  <c r="G24"/>
  <c r="H24" s="1"/>
  <c r="E90"/>
  <c r="E8" i="10"/>
  <c r="G20" i="2"/>
  <c r="Q21"/>
  <c r="Q20" s="1"/>
  <c r="L6" i="9"/>
  <c r="L6" i="25"/>
  <c r="L6" i="24"/>
  <c r="E18" i="3"/>
  <c r="V42" i="7"/>
  <c r="E20" i="3"/>
  <c r="B20" s="1"/>
  <c r="G19" i="10" s="1"/>
  <c r="V44" i="7"/>
  <c r="V32" s="1"/>
  <c r="V21" i="2"/>
  <c r="V20" s="1"/>
  <c r="L20"/>
  <c r="B8" i="3"/>
  <c r="J5" i="24"/>
  <c r="J5" i="25"/>
  <c r="J5" i="9"/>
  <c r="E9" i="10"/>
  <c r="E91" i="15"/>
  <c r="K5" i="25"/>
  <c r="K5" i="9"/>
  <c r="K5" i="24"/>
  <c r="J37" i="7"/>
  <c r="J38"/>
  <c r="K12" i="22"/>
  <c r="G3" i="15"/>
  <c r="E9" i="23"/>
  <c r="F18" i="3"/>
  <c r="J20" i="2"/>
  <c r="J24"/>
  <c r="D20"/>
  <c r="G11"/>
  <c r="Q11" s="1"/>
  <c r="M20"/>
  <c r="K11"/>
  <c r="H46" i="15"/>
  <c r="I20" i="2"/>
  <c r="E7" i="10"/>
  <c r="E89" i="15"/>
  <c r="B9" i="3"/>
  <c r="G8" i="10" s="1"/>
  <c r="D5" i="3"/>
  <c r="E19"/>
  <c r="I49" i="7"/>
  <c r="D19" i="3"/>
  <c r="V43" i="7"/>
  <c r="V31" s="1"/>
  <c r="K6" i="9"/>
  <c r="K6" i="25"/>
  <c r="K6" i="24"/>
  <c r="H20" i="2"/>
  <c r="R21"/>
  <c r="R20" s="1"/>
  <c r="H20" i="8"/>
  <c r="C7" s="1"/>
  <c r="C13" i="2"/>
  <c r="H24"/>
  <c r="R10"/>
  <c r="E28" i="1"/>
  <c r="G38" i="15"/>
  <c r="K4" i="2"/>
  <c r="D30" i="1"/>
  <c r="H28"/>
  <c r="H30" s="1"/>
  <c r="L5" i="24"/>
  <c r="K37" i="7"/>
  <c r="L5" i="25"/>
  <c r="L5" i="9"/>
  <c r="K38" i="7"/>
  <c r="F11" i="2"/>
  <c r="P11" s="1"/>
  <c r="H9" i="10" l="1"/>
  <c r="G24" i="2"/>
  <c r="L24"/>
  <c r="I24"/>
  <c r="I12" i="7"/>
  <c r="E30" i="1"/>
  <c r="C15" i="8"/>
  <c r="C14"/>
  <c r="D14" i="9"/>
  <c r="D14" i="25"/>
  <c r="D15" i="24"/>
  <c r="D7" i="8"/>
  <c r="E7" s="1"/>
  <c r="J6" i="9"/>
  <c r="J6" i="25"/>
  <c r="J6" i="24"/>
  <c r="D52" i="23"/>
  <c r="G89" i="15"/>
  <c r="F89" s="1"/>
  <c r="E17" i="10"/>
  <c r="K9" i="2"/>
  <c r="G30" i="15"/>
  <c r="H38"/>
  <c r="J18" i="22"/>
  <c r="G13" i="2"/>
  <c r="Q13" s="1"/>
  <c r="E13"/>
  <c r="M13"/>
  <c r="K18" i="22" s="1"/>
  <c r="D13" i="2"/>
  <c r="J13"/>
  <c r="K13"/>
  <c r="L13"/>
  <c r="V13" s="1"/>
  <c r="H13"/>
  <c r="R13" s="1"/>
  <c r="I13"/>
  <c r="F13"/>
  <c r="P13" s="1"/>
  <c r="B19" i="3"/>
  <c r="G18" i="10" s="1"/>
  <c r="D15" i="3"/>
  <c r="H23" i="15"/>
  <c r="U4" i="2"/>
  <c r="M4" s="1"/>
  <c r="C4"/>
  <c r="G90" i="15"/>
  <c r="E18" i="10"/>
  <c r="K7" i="25"/>
  <c r="K8" s="1"/>
  <c r="I37" i="7"/>
  <c r="L7" i="9"/>
  <c r="H8" i="10"/>
  <c r="K7" i="24"/>
  <c r="K9" s="1"/>
  <c r="I38" i="7"/>
  <c r="L7" i="25"/>
  <c r="L8" s="1"/>
  <c r="V30" i="7"/>
  <c r="L7" i="24"/>
  <c r="L9" s="1"/>
  <c r="D50" i="23"/>
  <c r="G7" i="10"/>
  <c r="H7" s="1"/>
  <c r="G91" i="15"/>
  <c r="E19" i="10"/>
  <c r="H19" s="1"/>
  <c r="B18" i="3"/>
  <c r="F90" i="15"/>
  <c r="D51" i="23"/>
  <c r="F24" i="2"/>
  <c r="D4" i="22" l="1"/>
  <c r="G50" i="23"/>
  <c r="K24" i="2"/>
  <c r="V9"/>
  <c r="V24" s="1"/>
  <c r="P9"/>
  <c r="P24" s="1"/>
  <c r="Q9"/>
  <c r="Q24" s="1"/>
  <c r="R9"/>
  <c r="R24" s="1"/>
  <c r="J7" i="9"/>
  <c r="D5" i="22"/>
  <c r="G51" i="23"/>
  <c r="H52"/>
  <c r="E6" i="22"/>
  <c r="G29" i="15"/>
  <c r="H30"/>
  <c r="H50" i="23"/>
  <c r="E4" i="22"/>
  <c r="J7" i="25"/>
  <c r="N24" i="7"/>
  <c r="L24"/>
  <c r="M24"/>
  <c r="V12"/>
  <c r="I15"/>
  <c r="V15" s="1"/>
  <c r="L8" i="9"/>
  <c r="K11" i="8"/>
  <c r="M5" i="13"/>
  <c r="M4" s="1"/>
  <c r="K10" i="8"/>
  <c r="H51" i="23"/>
  <c r="E5" i="22"/>
  <c r="J7" i="24"/>
  <c r="D15" i="8"/>
  <c r="D14"/>
  <c r="E14" i="9"/>
  <c r="F10" i="13" s="1"/>
  <c r="E14" i="25"/>
  <c r="E15" i="24"/>
  <c r="E10" i="13"/>
  <c r="B12" i="10"/>
  <c r="H5" i="1"/>
  <c r="C4" i="10"/>
  <c r="F16" i="8"/>
  <c r="H16"/>
  <c r="G16"/>
  <c r="D16" i="9"/>
  <c r="D16" i="25"/>
  <c r="D17" i="24"/>
  <c r="F7" i="8"/>
  <c r="K7" i="9"/>
  <c r="H18" i="10"/>
  <c r="F91" i="15"/>
  <c r="G17" i="10"/>
  <c r="H17" s="1"/>
  <c r="F14" i="9"/>
  <c r="G10" i="13" s="1"/>
  <c r="E15" i="8"/>
  <c r="F14" i="25"/>
  <c r="F15" i="24"/>
  <c r="E14" i="8"/>
  <c r="C41" i="3" s="1"/>
  <c r="E13" i="13" l="1"/>
  <c r="H17" i="9"/>
  <c r="I14" i="13" s="1"/>
  <c r="H18" i="24"/>
  <c r="H17" i="25"/>
  <c r="I11" i="8"/>
  <c r="I10"/>
  <c r="K5" i="13"/>
  <c r="J8" i="9"/>
  <c r="B58" i="7"/>
  <c r="C58"/>
  <c r="E58"/>
  <c r="I58"/>
  <c r="D58"/>
  <c r="P58"/>
  <c r="T58"/>
  <c r="O58"/>
  <c r="R58"/>
  <c r="G58"/>
  <c r="H58"/>
  <c r="J58"/>
  <c r="S58"/>
  <c r="F58"/>
  <c r="K58"/>
  <c r="L58"/>
  <c r="M58"/>
  <c r="Q58"/>
  <c r="N58"/>
  <c r="U58"/>
  <c r="G52" i="23"/>
  <c r="D6" i="22"/>
  <c r="G17" i="9"/>
  <c r="G18" i="24"/>
  <c r="G17" i="25"/>
  <c r="N47" i="7"/>
  <c r="N49" s="1"/>
  <c r="N26"/>
  <c r="C53"/>
  <c r="E53"/>
  <c r="F53"/>
  <c r="H53"/>
  <c r="B53"/>
  <c r="M53"/>
  <c r="G53"/>
  <c r="O53"/>
  <c r="R53"/>
  <c r="P53"/>
  <c r="S53"/>
  <c r="N53"/>
  <c r="T53"/>
  <c r="U53"/>
  <c r="D53"/>
  <c r="Q53"/>
  <c r="J53"/>
  <c r="L53"/>
  <c r="I53"/>
  <c r="K53"/>
  <c r="J10" i="8"/>
  <c r="J11"/>
  <c r="K8" i="9"/>
  <c r="L5" i="13"/>
  <c r="L4" s="1"/>
  <c r="E16" i="25"/>
  <c r="E17" i="24"/>
  <c r="E16" i="9"/>
  <c r="F13" i="13" s="1"/>
  <c r="L2" i="16"/>
  <c r="L47" i="7"/>
  <c r="V24"/>
  <c r="E13" i="3"/>
  <c r="L26" i="7"/>
  <c r="C9" i="2"/>
  <c r="H29" i="15"/>
  <c r="B54" i="7"/>
  <c r="C54"/>
  <c r="E54"/>
  <c r="D54"/>
  <c r="P54"/>
  <c r="T54"/>
  <c r="J54"/>
  <c r="S54"/>
  <c r="K54"/>
  <c r="L54"/>
  <c r="Q54"/>
  <c r="U54"/>
  <c r="M54"/>
  <c r="O54"/>
  <c r="N54"/>
  <c r="R54"/>
  <c r="F54"/>
  <c r="G54"/>
  <c r="H54"/>
  <c r="I54"/>
  <c r="G7" i="8"/>
  <c r="F16" i="25"/>
  <c r="F17" i="24"/>
  <c r="F16" i="9"/>
  <c r="G13" i="13" s="1"/>
  <c r="F14" i="8"/>
  <c r="F15"/>
  <c r="G14" i="9"/>
  <c r="G14" i="25"/>
  <c r="G15" i="24"/>
  <c r="I17" i="9"/>
  <c r="J14" i="13" s="1"/>
  <c r="I18" i="24"/>
  <c r="I17" i="25"/>
  <c r="I3" i="15"/>
  <c r="B4" i="10"/>
  <c r="M47" i="7"/>
  <c r="F13" i="3"/>
  <c r="M26" i="7"/>
  <c r="J8" i="25"/>
  <c r="D55" i="7"/>
  <c r="B55"/>
  <c r="G55"/>
  <c r="C55"/>
  <c r="F55"/>
  <c r="L55"/>
  <c r="P55"/>
  <c r="Q55"/>
  <c r="M55"/>
  <c r="N55"/>
  <c r="T55"/>
  <c r="U55"/>
  <c r="E55"/>
  <c r="H55"/>
  <c r="O55"/>
  <c r="R55"/>
  <c r="S55"/>
  <c r="J55"/>
  <c r="I55"/>
  <c r="K55"/>
  <c r="C42" i="3"/>
  <c r="P59" i="7" l="1"/>
  <c r="P6" i="8" s="1"/>
  <c r="Q14" i="24" s="1"/>
  <c r="U59" i="7"/>
  <c r="U6" i="8" s="1"/>
  <c r="V13" i="25" s="1"/>
  <c r="J59" i="7"/>
  <c r="J6" i="8" s="1"/>
  <c r="K13" i="25" s="1"/>
  <c r="R59" i="7"/>
  <c r="R6" i="8" s="1"/>
  <c r="F33" i="3"/>
  <c r="F5"/>
  <c r="M5" i="25"/>
  <c r="M5" i="24"/>
  <c r="M5" i="9"/>
  <c r="V26" i="7"/>
  <c r="K14" i="24"/>
  <c r="S14"/>
  <c r="S13" i="25"/>
  <c r="S13" i="9"/>
  <c r="T9" i="13" s="1"/>
  <c r="V53" i="7"/>
  <c r="B59"/>
  <c r="D37" i="3"/>
  <c r="T59" i="7"/>
  <c r="T6" i="8" s="1"/>
  <c r="C59" i="7"/>
  <c r="C6" i="8" s="1"/>
  <c r="V58" i="7"/>
  <c r="E12" i="10"/>
  <c r="E94" i="15"/>
  <c r="K2" i="16"/>
  <c r="O6" i="25"/>
  <c r="O6" i="24"/>
  <c r="O6" i="9"/>
  <c r="H14" i="13"/>
  <c r="J2" i="16"/>
  <c r="I59" i="7"/>
  <c r="I6" i="8" s="1"/>
  <c r="D59" i="7"/>
  <c r="D6" i="8" s="1"/>
  <c r="S59" i="7"/>
  <c r="S6" i="8" s="1"/>
  <c r="G59" i="7"/>
  <c r="G6" i="8" s="1"/>
  <c r="F59" i="7"/>
  <c r="F6" i="8" s="1"/>
  <c r="N5" i="24"/>
  <c r="N5" i="25"/>
  <c r="N5" i="9"/>
  <c r="G16"/>
  <c r="G16" i="25"/>
  <c r="G17" i="24"/>
  <c r="G15" i="8"/>
  <c r="H14" i="25"/>
  <c r="H15" i="24"/>
  <c r="G14" i="8"/>
  <c r="H14" i="9"/>
  <c r="I10" i="13" s="1"/>
  <c r="H7" i="8"/>
  <c r="C24" i="2"/>
  <c r="J14" i="22"/>
  <c r="M9" i="2"/>
  <c r="E23" i="3"/>
  <c r="V47" i="7"/>
  <c r="V35" s="1"/>
  <c r="L49"/>
  <c r="L37" s="1"/>
  <c r="Q13" i="9"/>
  <c r="R9" i="13" s="1"/>
  <c r="K4"/>
  <c r="F23" i="3"/>
  <c r="F15" s="1"/>
  <c r="M49" i="7"/>
  <c r="H10" i="13"/>
  <c r="E33" i="3"/>
  <c r="B13"/>
  <c r="E5"/>
  <c r="O5" i="25"/>
  <c r="O5" i="9"/>
  <c r="N38" i="7"/>
  <c r="O5" i="24"/>
  <c r="N37" i="7"/>
  <c r="D38" i="3"/>
  <c r="V55" i="7"/>
  <c r="L59"/>
  <c r="L6" i="8" s="1"/>
  <c r="M59" i="7"/>
  <c r="M6" i="8" s="1"/>
  <c r="E59" i="7"/>
  <c r="E6" i="8" s="1"/>
  <c r="V54" i="7"/>
  <c r="K59"/>
  <c r="K6" i="8" s="1"/>
  <c r="Q59" i="7"/>
  <c r="Q6" i="8" s="1"/>
  <c r="N59" i="7"/>
  <c r="N6" i="8" s="1"/>
  <c r="O59" i="7"/>
  <c r="O6" i="8" s="1"/>
  <c r="H59" i="7"/>
  <c r="H6" i="8" s="1"/>
  <c r="B33" i="3" l="1"/>
  <c r="Q13" i="25"/>
  <c r="V14" i="24"/>
  <c r="K13" i="9"/>
  <c r="L9" i="13" s="1"/>
  <c r="V13" i="9"/>
  <c r="W9" i="13" s="1"/>
  <c r="R13" i="9"/>
  <c r="S9" i="13" s="1"/>
  <c r="R13" i="25"/>
  <c r="R14" i="24"/>
  <c r="G13" i="9"/>
  <c r="H9" i="13" s="1"/>
  <c r="G14" i="24"/>
  <c r="G13" i="25"/>
  <c r="O14" i="24"/>
  <c r="O13" i="9"/>
  <c r="P9" i="13" s="1"/>
  <c r="O13" i="25"/>
  <c r="M13" i="9"/>
  <c r="N9" i="13" s="1"/>
  <c r="M13" i="25"/>
  <c r="M14" i="24"/>
  <c r="G12" i="10"/>
  <c r="H12" s="1"/>
  <c r="B5" i="3"/>
  <c r="N6" i="9"/>
  <c r="O7" s="1"/>
  <c r="N16" i="8" s="1"/>
  <c r="N6" i="25"/>
  <c r="N6" i="24"/>
  <c r="M24" i="2"/>
  <c r="K14" i="22"/>
  <c r="H14" i="8"/>
  <c r="H15"/>
  <c r="I15" i="24"/>
  <c r="I14" i="25"/>
  <c r="I14" i="9"/>
  <c r="E13"/>
  <c r="F9" i="13" s="1"/>
  <c r="E13" i="25"/>
  <c r="E14" i="24"/>
  <c r="P7" i="9"/>
  <c r="U13"/>
  <c r="V9" i="13" s="1"/>
  <c r="U13" i="25"/>
  <c r="U14" i="24"/>
  <c r="P13" i="25"/>
  <c r="P14" i="24"/>
  <c r="P13" i="9"/>
  <c r="Q9" i="13" s="1"/>
  <c r="N13" i="9"/>
  <c r="O9" i="13" s="1"/>
  <c r="N14" i="24"/>
  <c r="N13" i="25"/>
  <c r="B23" i="3"/>
  <c r="E15"/>
  <c r="H16" i="9"/>
  <c r="I13" i="13" s="1"/>
  <c r="H16" i="25"/>
  <c r="H17" i="24"/>
  <c r="H13" i="13"/>
  <c r="T14" i="24"/>
  <c r="T13" i="25"/>
  <c r="T13" i="9"/>
  <c r="U9" i="13" s="1"/>
  <c r="D13" i="9"/>
  <c r="E9" i="13" s="1"/>
  <c r="D14" i="24"/>
  <c r="D13" i="25"/>
  <c r="B6" i="8"/>
  <c r="V59" i="7"/>
  <c r="E4" i="10"/>
  <c r="M38" i="7"/>
  <c r="B5" i="25"/>
  <c r="B5" i="24"/>
  <c r="P16" i="8"/>
  <c r="M6" i="9"/>
  <c r="M6" i="24"/>
  <c r="M6" i="25"/>
  <c r="J13" i="9"/>
  <c r="K9" i="13" s="1"/>
  <c r="J14" i="24"/>
  <c r="J13" i="25"/>
  <c r="P7" i="24"/>
  <c r="P9" s="1"/>
  <c r="I13" i="9"/>
  <c r="J9" i="13" s="1"/>
  <c r="I14" i="24"/>
  <c r="I13" i="25"/>
  <c r="L13" i="9"/>
  <c r="M9" i="13" s="1"/>
  <c r="L14" i="24"/>
  <c r="L13" i="25"/>
  <c r="F13" i="9"/>
  <c r="G9" i="13" s="1"/>
  <c r="F13" i="25"/>
  <c r="F14" i="24"/>
  <c r="G94" i="15"/>
  <c r="E22" i="10"/>
  <c r="V49" i="7"/>
  <c r="V38" s="1"/>
  <c r="H13" i="9"/>
  <c r="I9" i="13" s="1"/>
  <c r="H13" i="25"/>
  <c r="H14" i="24"/>
  <c r="P7" i="25"/>
  <c r="P8" s="1"/>
  <c r="F94" i="15"/>
  <c r="D55" i="23"/>
  <c r="I94" i="15"/>
  <c r="F55" i="23" s="1"/>
  <c r="E96" i="15"/>
  <c r="L38" i="7"/>
  <c r="I7" i="8"/>
  <c r="M37" i="7"/>
  <c r="B5" i="9"/>
  <c r="F4" i="10" s="1"/>
  <c r="N7" i="25" l="1"/>
  <c r="N8" s="1"/>
  <c r="J14" i="9"/>
  <c r="K10" i="13" s="1"/>
  <c r="I15" i="8"/>
  <c r="J15" i="24"/>
  <c r="I14" i="8"/>
  <c r="D41" i="3" s="1"/>
  <c r="J14" i="25"/>
  <c r="M7" i="9"/>
  <c r="L16" i="8" s="1"/>
  <c r="B6" i="9"/>
  <c r="M7" i="24"/>
  <c r="B6"/>
  <c r="C13" i="9"/>
  <c r="C13" i="25"/>
  <c r="B13" s="1"/>
  <c r="C14" i="24"/>
  <c r="B14" s="1"/>
  <c r="V6" i="8"/>
  <c r="J16"/>
  <c r="K16"/>
  <c r="J10" i="13"/>
  <c r="I16" i="9"/>
  <c r="I16" i="25"/>
  <c r="I17" i="24"/>
  <c r="D57" i="23"/>
  <c r="E97" i="15"/>
  <c r="M7" i="25"/>
  <c r="B6"/>
  <c r="Q17" i="9"/>
  <c r="R14" i="13" s="1"/>
  <c r="Q18" i="24"/>
  <c r="Q17" i="25"/>
  <c r="G4" i="10"/>
  <c r="H4" s="1"/>
  <c r="G55" i="23"/>
  <c r="D8" i="22"/>
  <c r="E8"/>
  <c r="E10" s="1"/>
  <c r="H55" i="23"/>
  <c r="G96" i="15"/>
  <c r="N10" i="8"/>
  <c r="O8" i="9"/>
  <c r="P5" i="13"/>
  <c r="P4" s="1"/>
  <c r="N11" i="8"/>
  <c r="O7" i="25"/>
  <c r="O8" s="1"/>
  <c r="V37" i="7"/>
  <c r="B5" i="18" s="1"/>
  <c r="N7" i="24"/>
  <c r="O7"/>
  <c r="O9" s="1"/>
  <c r="J7" i="8"/>
  <c r="N7" i="9"/>
  <c r="G22" i="10"/>
  <c r="H22" s="1"/>
  <c r="B15" i="3"/>
  <c r="O10" i="8"/>
  <c r="P8" i="9"/>
  <c r="Q5" i="13"/>
  <c r="Q4" s="1"/>
  <c r="O11" i="8"/>
  <c r="F7" i="2"/>
  <c r="G7"/>
  <c r="H7"/>
  <c r="E14" i="10"/>
  <c r="E7" i="2"/>
  <c r="L7"/>
  <c r="D7"/>
  <c r="I7"/>
  <c r="J7"/>
  <c r="B6" i="18"/>
  <c r="O17" i="9"/>
  <c r="P14" i="13" s="1"/>
  <c r="O18" i="24"/>
  <c r="O17" i="25"/>
  <c r="O16" i="8"/>
  <c r="F38" i="3" l="1"/>
  <c r="F37"/>
  <c r="R7" i="2"/>
  <c r="E5" i="18"/>
  <c r="F5"/>
  <c r="C5"/>
  <c r="D5"/>
  <c r="G97" i="15"/>
  <c r="F97" s="1"/>
  <c r="H57" i="23"/>
  <c r="M8" i="25"/>
  <c r="B7"/>
  <c r="J13" i="13"/>
  <c r="D7" i="12"/>
  <c r="F14" i="10"/>
  <c r="J16" i="25"/>
  <c r="J16" i="9"/>
  <c r="K13" i="13" s="1"/>
  <c r="J17" i="24"/>
  <c r="P17" i="25"/>
  <c r="P17" i="9"/>
  <c r="Q14" i="13" s="1"/>
  <c r="P18" i="24"/>
  <c r="J14" i="8"/>
  <c r="J15"/>
  <c r="K15" i="24"/>
  <c r="K14" i="25"/>
  <c r="K14" i="9"/>
  <c r="D58" i="23"/>
  <c r="L17" i="9"/>
  <c r="M14" i="13" s="1"/>
  <c r="L18" i="24"/>
  <c r="L17" i="25"/>
  <c r="M9" i="24"/>
  <c r="B7"/>
  <c r="P7" i="2"/>
  <c r="O2" i="16"/>
  <c r="M17" i="9"/>
  <c r="N14" i="13" s="1"/>
  <c r="M18" i="24"/>
  <c r="M17" i="25"/>
  <c r="E6" i="18"/>
  <c r="D6"/>
  <c r="F6"/>
  <c r="C6"/>
  <c r="V7" i="2"/>
  <c r="Q7"/>
  <c r="P2" i="16"/>
  <c r="M11" i="8"/>
  <c r="N8" i="9"/>
  <c r="M10" i="8"/>
  <c r="O5" i="13"/>
  <c r="O4" s="1"/>
  <c r="K17" i="9"/>
  <c r="L14" i="13" s="1"/>
  <c r="K18" i="24"/>
  <c r="K17" i="25"/>
  <c r="B13" i="9"/>
  <c r="D9" i="13"/>
  <c r="C9" s="1"/>
  <c r="L10" i="8"/>
  <c r="L11"/>
  <c r="M8" i="9"/>
  <c r="N5" i="13"/>
  <c r="B7" i="9"/>
  <c r="K7" i="8"/>
  <c r="F96" i="15"/>
  <c r="G57" i="23" s="1"/>
  <c r="D42" i="3"/>
  <c r="G14" i="10"/>
  <c r="G33"/>
  <c r="H14" l="1"/>
  <c r="D10" i="22"/>
  <c r="G58" i="23"/>
  <c r="K14" i="8"/>
  <c r="L14" i="25"/>
  <c r="K15" i="8"/>
  <c r="L15" i="24"/>
  <c r="L14" i="9"/>
  <c r="M10" i="13" s="1"/>
  <c r="L7" i="8"/>
  <c r="M2" i="16"/>
  <c r="B8" i="9"/>
  <c r="B9"/>
  <c r="N4" i="13"/>
  <c r="C5"/>
  <c r="V10" i="8"/>
  <c r="E37" i="3"/>
  <c r="B37" s="1"/>
  <c r="G28" i="10" s="1"/>
  <c r="N2" i="16"/>
  <c r="D8" i="12"/>
  <c r="D9"/>
  <c r="B8" i="25"/>
  <c r="B9"/>
  <c r="V11" i="8"/>
  <c r="E38" i="3"/>
  <c r="B38" s="1"/>
  <c r="L10" i="13"/>
  <c r="K16" i="25"/>
  <c r="K16" i="9"/>
  <c r="L13" i="13" s="1"/>
  <c r="K17" i="24"/>
  <c r="G69" i="15"/>
  <c r="G28"/>
  <c r="G73"/>
  <c r="H58" i="23"/>
  <c r="D10" i="12" l="1"/>
  <c r="D28" i="10" s="1"/>
  <c r="H28" s="1"/>
  <c r="L14" i="8"/>
  <c r="L15"/>
  <c r="M14" i="25"/>
  <c r="M14" i="9"/>
  <c r="N10" i="13" s="1"/>
  <c r="M15" i="24"/>
  <c r="M7" i="8"/>
  <c r="C15" i="2"/>
  <c r="H69" i="15"/>
  <c r="C4" i="13"/>
  <c r="L16" i="25"/>
  <c r="L16" i="9"/>
  <c r="M13" i="13" s="1"/>
  <c r="L17" i="24"/>
  <c r="H28" i="15"/>
  <c r="G22"/>
  <c r="C19" i="2"/>
  <c r="H73" i="15"/>
  <c r="F33" i="10"/>
  <c r="H33" s="1"/>
  <c r="D11" i="12"/>
  <c r="J23" i="22" l="1"/>
  <c r="H19" i="2"/>
  <c r="R19" s="1"/>
  <c r="D19"/>
  <c r="M19"/>
  <c r="K23" i="22" s="1"/>
  <c r="G19" i="2"/>
  <c r="Q19" s="1"/>
  <c r="F19"/>
  <c r="P19" s="1"/>
  <c r="J19"/>
  <c r="E19"/>
  <c r="I19"/>
  <c r="L19"/>
  <c r="V19" s="1"/>
  <c r="K19"/>
  <c r="M16" i="25"/>
  <c r="M17" i="24"/>
  <c r="M16" i="9"/>
  <c r="N13" i="13" s="1"/>
  <c r="M15" i="8"/>
  <c r="E42" i="3" s="1"/>
  <c r="N14" i="9"/>
  <c r="O10" i="13" s="1"/>
  <c r="N14" i="25"/>
  <c r="N15" i="24"/>
  <c r="M14" i="8"/>
  <c r="E41" i="3" s="1"/>
  <c r="N7" i="8"/>
  <c r="C22"/>
  <c r="J20" i="22"/>
  <c r="D15" i="2"/>
  <c r="L15"/>
  <c r="I15"/>
  <c r="K15"/>
  <c r="E15"/>
  <c r="F15"/>
  <c r="M15"/>
  <c r="G15"/>
  <c r="J15"/>
  <c r="H15"/>
  <c r="C8"/>
  <c r="G5" i="15"/>
  <c r="H22"/>
  <c r="N14" i="8" l="1"/>
  <c r="N15"/>
  <c r="O14" i="9"/>
  <c r="P10" i="13" s="1"/>
  <c r="N9" i="8"/>
  <c r="O15" i="24"/>
  <c r="O14" i="25"/>
  <c r="O7" i="8"/>
  <c r="R15" i="2"/>
  <c r="P15"/>
  <c r="V15"/>
  <c r="C9" i="8"/>
  <c r="D9"/>
  <c r="D8" s="1"/>
  <c r="E9"/>
  <c r="F9"/>
  <c r="G9"/>
  <c r="G8" s="1"/>
  <c r="H9"/>
  <c r="H8" s="1"/>
  <c r="I9"/>
  <c r="J9"/>
  <c r="K9"/>
  <c r="K8" s="1"/>
  <c r="L9"/>
  <c r="L8" s="1"/>
  <c r="J13" i="22"/>
  <c r="C6" i="2"/>
  <c r="H8"/>
  <c r="I8"/>
  <c r="I6" s="1"/>
  <c r="F8"/>
  <c r="L8"/>
  <c r="M8"/>
  <c r="J8"/>
  <c r="J6" s="1"/>
  <c r="E8"/>
  <c r="E6" s="1"/>
  <c r="G8"/>
  <c r="D8"/>
  <c r="D6" s="1"/>
  <c r="K8"/>
  <c r="K6" s="1"/>
  <c r="K20" i="22"/>
  <c r="N16" i="25"/>
  <c r="N17" i="24"/>
  <c r="N16" i="9"/>
  <c r="O13" i="13" s="1"/>
  <c r="F79" i="15"/>
  <c r="G71"/>
  <c r="H5"/>
  <c r="Q15" i="2"/>
  <c r="M9" i="8"/>
  <c r="D11" i="22" l="1"/>
  <c r="Q8" i="2"/>
  <c r="G6"/>
  <c r="V8"/>
  <c r="V6" s="1"/>
  <c r="L6"/>
  <c r="J8" i="8"/>
  <c r="E36" i="3"/>
  <c r="D36"/>
  <c r="F8" i="8"/>
  <c r="K13" i="22"/>
  <c r="M6" i="2"/>
  <c r="R8"/>
  <c r="R6" s="1"/>
  <c r="H6"/>
  <c r="H15" i="9"/>
  <c r="I11" i="13" s="1"/>
  <c r="H16" i="24"/>
  <c r="H15" i="25"/>
  <c r="C8" i="8"/>
  <c r="C36" i="3"/>
  <c r="O16" i="25"/>
  <c r="O17" i="24"/>
  <c r="O16" i="9"/>
  <c r="P13" i="13" s="1"/>
  <c r="M15" i="25"/>
  <c r="M16" i="24"/>
  <c r="M15" i="9"/>
  <c r="N11" i="13" s="1"/>
  <c r="I15" i="9"/>
  <c r="J11" i="13" s="1"/>
  <c r="I15" i="25"/>
  <c r="I16" i="24"/>
  <c r="E15" i="9"/>
  <c r="F11" i="13" s="1"/>
  <c r="E15" i="25"/>
  <c r="E16" i="24"/>
  <c r="O15" i="8"/>
  <c r="O9"/>
  <c r="P14" i="9"/>
  <c r="Q10" i="13" s="1"/>
  <c r="C10" s="1"/>
  <c r="P14" i="25"/>
  <c r="P15" i="24"/>
  <c r="O14" i="8"/>
  <c r="P7"/>
  <c r="C26" i="10"/>
  <c r="J11" i="22"/>
  <c r="C17" i="2"/>
  <c r="L15" i="9"/>
  <c r="M11" i="13" s="1"/>
  <c r="L15" i="25"/>
  <c r="L16" i="24"/>
  <c r="P8" i="2"/>
  <c r="P6" s="1"/>
  <c r="F6"/>
  <c r="N8" i="8"/>
  <c r="O8" l="1"/>
  <c r="P16" i="24" s="1"/>
  <c r="G34" i="3"/>
  <c r="C34"/>
  <c r="D34"/>
  <c r="F34"/>
  <c r="E34"/>
  <c r="P14" i="8"/>
  <c r="Q14" i="9"/>
  <c r="R10" i="13" s="1"/>
  <c r="Q15" i="24"/>
  <c r="P15" i="8"/>
  <c r="Q14" i="25"/>
  <c r="P9" i="8"/>
  <c r="Q7"/>
  <c r="K11" i="22"/>
  <c r="G15" i="25"/>
  <c r="G15" i="9"/>
  <c r="H11" i="13" s="1"/>
  <c r="G16" i="24"/>
  <c r="J17" i="2"/>
  <c r="G17"/>
  <c r="I17"/>
  <c r="K17"/>
  <c r="L17"/>
  <c r="H17"/>
  <c r="M17"/>
  <c r="F17"/>
  <c r="D17"/>
  <c r="E17"/>
  <c r="C30" i="3"/>
  <c r="G30"/>
  <c r="D30"/>
  <c r="E30"/>
  <c r="F30"/>
  <c r="K16" i="24"/>
  <c r="K15" i="25"/>
  <c r="K15" i="9"/>
  <c r="L11" i="13" s="1"/>
  <c r="D5" i="8"/>
  <c r="J5"/>
  <c r="P5"/>
  <c r="S5"/>
  <c r="K5"/>
  <c r="L5"/>
  <c r="Q5"/>
  <c r="T5"/>
  <c r="O5"/>
  <c r="R5"/>
  <c r="U5"/>
  <c r="G5"/>
  <c r="N5"/>
  <c r="B5"/>
  <c r="H5"/>
  <c r="M5"/>
  <c r="C5"/>
  <c r="E5"/>
  <c r="I5"/>
  <c r="F5"/>
  <c r="Q6" i="2"/>
  <c r="O15" i="9"/>
  <c r="P11" i="13" s="1"/>
  <c r="O15" i="25"/>
  <c r="O16" i="24"/>
  <c r="D28" i="3"/>
  <c r="G28"/>
  <c r="C28"/>
  <c r="E28"/>
  <c r="F28"/>
  <c r="P16" i="9"/>
  <c r="Q13" i="13" s="1"/>
  <c r="C13" s="1"/>
  <c r="P16" i="25"/>
  <c r="P17" i="24"/>
  <c r="D15" i="9"/>
  <c r="D16" i="24"/>
  <c r="D15" i="25"/>
  <c r="P15" i="9" l="1"/>
  <c r="Q11" i="13" s="1"/>
  <c r="P8" i="8"/>
  <c r="Q15" i="25" s="1"/>
  <c r="P15"/>
  <c r="D12" i="9"/>
  <c r="D13" i="24"/>
  <c r="D19" s="1"/>
  <c r="D21" s="1"/>
  <c r="D12" i="25"/>
  <c r="D18" s="1"/>
  <c r="D20" s="1"/>
  <c r="C3" i="8"/>
  <c r="P13" i="24"/>
  <c r="P19" s="1"/>
  <c r="P21" s="1"/>
  <c r="P12" i="9"/>
  <c r="P12" i="25"/>
  <c r="P18" s="1"/>
  <c r="P20" s="1"/>
  <c r="O3" i="8"/>
  <c r="L12" i="9"/>
  <c r="L13" i="24"/>
  <c r="L19" s="1"/>
  <c r="L21" s="1"/>
  <c r="L12" i="25"/>
  <c r="L18" s="1"/>
  <c r="L20" s="1"/>
  <c r="K3" i="8"/>
  <c r="V17" i="2"/>
  <c r="E11" i="13"/>
  <c r="C12" i="9"/>
  <c r="C12" i="25"/>
  <c r="C13" i="24"/>
  <c r="B3" i="8"/>
  <c r="V5"/>
  <c r="M12" i="9"/>
  <c r="M12" i="25"/>
  <c r="M18" s="1"/>
  <c r="M20" s="1"/>
  <c r="M13" i="24"/>
  <c r="M19" s="1"/>
  <c r="M21" s="1"/>
  <c r="L3" i="8"/>
  <c r="R17" i="2"/>
  <c r="B28" i="3"/>
  <c r="J12" i="9"/>
  <c r="J13" i="24"/>
  <c r="J12" i="25"/>
  <c r="I3" i="8"/>
  <c r="I12" i="25"/>
  <c r="I18" s="1"/>
  <c r="I20" s="1"/>
  <c r="I12" i="9"/>
  <c r="I13" i="24"/>
  <c r="I19" s="1"/>
  <c r="I21" s="1"/>
  <c r="H3" i="8"/>
  <c r="V12" i="9"/>
  <c r="V12" i="25"/>
  <c r="V13" i="24"/>
  <c r="R12" i="9"/>
  <c r="R13" i="24"/>
  <c r="R12" i="25"/>
  <c r="Q3" i="8"/>
  <c r="Q12" i="9"/>
  <c r="Q12" i="25"/>
  <c r="Q13" i="24"/>
  <c r="P3" i="8"/>
  <c r="B34" i="3"/>
  <c r="G29"/>
  <c r="G25" s="1"/>
  <c r="C29"/>
  <c r="F29"/>
  <c r="E29"/>
  <c r="E25" s="1"/>
  <c r="D29"/>
  <c r="D25" s="1"/>
  <c r="O12" i="25"/>
  <c r="O18" s="1"/>
  <c r="O20" s="1"/>
  <c r="O12" i="9"/>
  <c r="O13" i="24"/>
  <c r="O19" s="1"/>
  <c r="O21" s="1"/>
  <c r="N3" i="8"/>
  <c r="E12" i="9"/>
  <c r="E12" i="25"/>
  <c r="E18" s="1"/>
  <c r="E20" s="1"/>
  <c r="E13" i="24"/>
  <c r="E19" s="1"/>
  <c r="E21" s="1"/>
  <c r="D3" i="8"/>
  <c r="Q14"/>
  <c r="R14" i="25"/>
  <c r="R15" i="24"/>
  <c r="Q15" i="8"/>
  <c r="Q9"/>
  <c r="R14" i="9"/>
  <c r="S10" i="13" s="1"/>
  <c r="R7" i="8"/>
  <c r="R3" s="1"/>
  <c r="F12" i="9"/>
  <c r="F12" i="25"/>
  <c r="F13" i="24"/>
  <c r="E3" i="8"/>
  <c r="S12" i="25"/>
  <c r="S12" i="9"/>
  <c r="S13" i="24"/>
  <c r="K12" i="25"/>
  <c r="K18" s="1"/>
  <c r="K20" s="1"/>
  <c r="K13" i="24"/>
  <c r="K19" s="1"/>
  <c r="K21" s="1"/>
  <c r="J3" i="8"/>
  <c r="K12" i="9"/>
  <c r="Q17" i="2"/>
  <c r="Q16" i="25"/>
  <c r="Q16" i="9"/>
  <c r="R13" i="13" s="1"/>
  <c r="Q17" i="24"/>
  <c r="G12" i="25"/>
  <c r="G18" s="1"/>
  <c r="G20" s="1"/>
  <c r="G13" i="24"/>
  <c r="G19" s="1"/>
  <c r="G21" s="1"/>
  <c r="G12" i="9"/>
  <c r="F3" i="8"/>
  <c r="N13" i="24"/>
  <c r="N12" i="9"/>
  <c r="N12" i="25"/>
  <c r="M3" i="8"/>
  <c r="H12" i="9"/>
  <c r="H13" i="24"/>
  <c r="H19" s="1"/>
  <c r="H21" s="1"/>
  <c r="G3" i="8"/>
  <c r="H12" i="25"/>
  <c r="H18" s="1"/>
  <c r="H20" s="1"/>
  <c r="U12" i="9"/>
  <c r="U12" i="25"/>
  <c r="U13" i="24"/>
  <c r="T12" i="25"/>
  <c r="T13" i="24"/>
  <c r="T12" i="9"/>
  <c r="P17" i="2"/>
  <c r="Q16" i="24"/>
  <c r="F25" i="3"/>
  <c r="B30"/>
  <c r="Q15" i="9" l="1"/>
  <c r="R11" i="13" s="1"/>
  <c r="I13" i="8"/>
  <c r="G18" i="9"/>
  <c r="H8" i="13"/>
  <c r="H6" s="1"/>
  <c r="H15" s="1"/>
  <c r="H31" s="1"/>
  <c r="M13" i="8"/>
  <c r="K18" i="9"/>
  <c r="L8" i="13"/>
  <c r="L6" s="1"/>
  <c r="L15" s="1"/>
  <c r="L31" s="1"/>
  <c r="R8"/>
  <c r="R6" s="1"/>
  <c r="R15" s="1"/>
  <c r="R31" s="1"/>
  <c r="S8"/>
  <c r="W8"/>
  <c r="M18" i="9"/>
  <c r="N8" i="13"/>
  <c r="N6" s="1"/>
  <c r="N15" s="1"/>
  <c r="N31" s="1"/>
  <c r="P18" i="9"/>
  <c r="Q8" i="13"/>
  <c r="Q6" s="1"/>
  <c r="Q15" s="1"/>
  <c r="Q31" s="1"/>
  <c r="G8"/>
  <c r="I18" i="9"/>
  <c r="J8" i="13"/>
  <c r="J6" s="1"/>
  <c r="J15" s="1"/>
  <c r="J31" s="1"/>
  <c r="V8"/>
  <c r="H18" i="9"/>
  <c r="I8" i="13"/>
  <c r="I6" s="1"/>
  <c r="I15" s="1"/>
  <c r="I31" s="1"/>
  <c r="T8"/>
  <c r="F36" i="3"/>
  <c r="O8" i="13"/>
  <c r="Q13" i="8"/>
  <c r="Q8" s="1"/>
  <c r="O18" i="9"/>
  <c r="P8" i="13"/>
  <c r="P6" s="1"/>
  <c r="P15" s="1"/>
  <c r="P31" s="1"/>
  <c r="C18" i="9"/>
  <c r="E13" i="8"/>
  <c r="D8" i="13"/>
  <c r="B12" i="9"/>
  <c r="M8" i="13"/>
  <c r="M6" s="1"/>
  <c r="M15" s="1"/>
  <c r="M31" s="1"/>
  <c r="L18" i="9"/>
  <c r="D18"/>
  <c r="E8" i="13"/>
  <c r="E6" s="1"/>
  <c r="E15" s="1"/>
  <c r="E31" s="1"/>
  <c r="B29" i="3"/>
  <c r="Q18" i="25"/>
  <c r="Q20" s="1"/>
  <c r="C25" i="3"/>
  <c r="R14" i="8"/>
  <c r="R15"/>
  <c r="R9"/>
  <c r="S14" i="9"/>
  <c r="T10" i="13" s="1"/>
  <c r="S15" i="24"/>
  <c r="S14" i="25"/>
  <c r="S7" i="8"/>
  <c r="K8" i="13"/>
  <c r="B12" i="25"/>
  <c r="C18"/>
  <c r="U8" i="13"/>
  <c r="R16" i="25"/>
  <c r="R17" i="24"/>
  <c r="R16" i="9"/>
  <c r="S13" i="13" s="1"/>
  <c r="C19" i="24"/>
  <c r="B13"/>
  <c r="L41" i="3"/>
  <c r="F41"/>
  <c r="E18" i="9"/>
  <c r="F8" i="13"/>
  <c r="F6" s="1"/>
  <c r="F15" s="1"/>
  <c r="F31" s="1"/>
  <c r="F42" i="3"/>
  <c r="Q19" i="24"/>
  <c r="Q21" s="1"/>
  <c r="B25" i="3"/>
  <c r="Q18" i="9" l="1"/>
  <c r="Q3" i="16" s="1"/>
  <c r="R15" i="9"/>
  <c r="R16" i="24"/>
  <c r="R15" i="25"/>
  <c r="E3" i="16"/>
  <c r="E20" i="9"/>
  <c r="S16"/>
  <c r="T13" i="13" s="1"/>
  <c r="S16" i="25"/>
  <c r="S17" i="24"/>
  <c r="D3" i="16"/>
  <c r="D20" i="9"/>
  <c r="D6" i="13"/>
  <c r="D15" s="1"/>
  <c r="C8"/>
  <c r="O3" i="16"/>
  <c r="O20" i="9"/>
  <c r="G3" i="16"/>
  <c r="G20" i="9"/>
  <c r="C20" i="25"/>
  <c r="S15" i="8"/>
  <c r="S14"/>
  <c r="S9"/>
  <c r="T14" i="25"/>
  <c r="T15" i="24"/>
  <c r="T14" i="9"/>
  <c r="T7" i="8"/>
  <c r="S3"/>
  <c r="R8"/>
  <c r="H3" i="16"/>
  <c r="H20" i="9"/>
  <c r="I3" i="16"/>
  <c r="I20" i="9"/>
  <c r="P3" i="16"/>
  <c r="P20" i="9"/>
  <c r="C3" i="16"/>
  <c r="C20" i="9"/>
  <c r="N8" i="24"/>
  <c r="N9" s="1"/>
  <c r="E40" i="3"/>
  <c r="E35" s="1"/>
  <c r="E43" s="1"/>
  <c r="M8" i="8"/>
  <c r="G26" i="10"/>
  <c r="C21" i="24"/>
  <c r="L3" i="16"/>
  <c r="L20" i="9"/>
  <c r="F8" i="24"/>
  <c r="C40" i="3"/>
  <c r="E8" i="8"/>
  <c r="F40" i="3"/>
  <c r="F35" s="1"/>
  <c r="F43" s="1"/>
  <c r="R8" i="24"/>
  <c r="R9" s="1"/>
  <c r="M3" i="16"/>
  <c r="M20" i="9"/>
  <c r="K3" i="16"/>
  <c r="K20" i="9"/>
  <c r="D40" i="3"/>
  <c r="D35" s="1"/>
  <c r="D43" s="1"/>
  <c r="J8" i="24"/>
  <c r="J9" s="1"/>
  <c r="I8" i="8"/>
  <c r="Q20" i="9" l="1"/>
  <c r="F44" i="3"/>
  <c r="Q16" i="8" s="1"/>
  <c r="F49" i="3"/>
  <c r="F51"/>
  <c r="C21" i="25"/>
  <c r="D49" i="3"/>
  <c r="D51"/>
  <c r="F9" i="24"/>
  <c r="T16" i="25"/>
  <c r="T17" i="24"/>
  <c r="T16" i="9"/>
  <c r="U13" i="13" s="1"/>
  <c r="C35" i="3"/>
  <c r="C43" s="1"/>
  <c r="E44" s="1"/>
  <c r="C21" i="9"/>
  <c r="S16" i="24"/>
  <c r="S19" s="1"/>
  <c r="S21" s="1"/>
  <c r="S15" i="9"/>
  <c r="S15" i="25"/>
  <c r="S18" s="1"/>
  <c r="S20" s="1"/>
  <c r="J15" i="9"/>
  <c r="J15" i="25"/>
  <c r="J16" i="24"/>
  <c r="T14" i="8"/>
  <c r="U14" i="9"/>
  <c r="T15" i="8"/>
  <c r="U14" i="25"/>
  <c r="U15" i="24"/>
  <c r="T9" i="8"/>
  <c r="U7"/>
  <c r="T3"/>
  <c r="S8"/>
  <c r="S11" i="13"/>
  <c r="F15" i="9"/>
  <c r="F16" i="24"/>
  <c r="F15" i="25"/>
  <c r="C22" i="24"/>
  <c r="E49" i="3"/>
  <c r="E51"/>
  <c r="D31" i="13"/>
  <c r="H26" i="10"/>
  <c r="N15" i="25"/>
  <c r="N16" i="24"/>
  <c r="N15" i="9"/>
  <c r="U10" i="13"/>
  <c r="M16" i="8" l="1"/>
  <c r="N18" i="24" s="1"/>
  <c r="N19" s="1"/>
  <c r="N21" s="1"/>
  <c r="E45" i="3"/>
  <c r="E50" s="1"/>
  <c r="D44"/>
  <c r="I16" i="8" s="1"/>
  <c r="D21" i="9"/>
  <c r="C4" i="16"/>
  <c r="R18" i="24"/>
  <c r="R19" s="1"/>
  <c r="R21" s="1"/>
  <c r="R17" i="9"/>
  <c r="R17" i="25"/>
  <c r="R18" s="1"/>
  <c r="R20" s="1"/>
  <c r="E47" i="3"/>
  <c r="F18" i="25"/>
  <c r="T16" i="24"/>
  <c r="T19" s="1"/>
  <c r="T21" s="1"/>
  <c r="T15" i="25"/>
  <c r="T18" s="1"/>
  <c r="T20" s="1"/>
  <c r="T15" i="9"/>
  <c r="J17"/>
  <c r="J18" s="1"/>
  <c r="J18" i="24"/>
  <c r="J19" s="1"/>
  <c r="J21" s="1"/>
  <c r="G11" i="13"/>
  <c r="F18" i="9"/>
  <c r="V14"/>
  <c r="V15" i="24"/>
  <c r="V14" i="25"/>
  <c r="U14" i="8"/>
  <c r="V14" s="1"/>
  <c r="U9"/>
  <c r="G36" i="3" s="1"/>
  <c r="U15" i="8"/>
  <c r="V7"/>
  <c r="U3"/>
  <c r="V3" s="1"/>
  <c r="U16" i="25"/>
  <c r="U17" i="24"/>
  <c r="U16" i="9"/>
  <c r="V13" i="13" s="1"/>
  <c r="C44" i="3"/>
  <c r="C45" s="1"/>
  <c r="D21" i="25"/>
  <c r="E21" s="1"/>
  <c r="F45" i="3"/>
  <c r="O11" i="13"/>
  <c r="F19" i="24"/>
  <c r="F21" s="1"/>
  <c r="T11" i="13"/>
  <c r="T6" s="1"/>
  <c r="T15" s="1"/>
  <c r="T31" s="1"/>
  <c r="S18" i="9"/>
  <c r="D32" i="13"/>
  <c r="N17" i="9"/>
  <c r="O14" i="13" s="1"/>
  <c r="D22" i="24"/>
  <c r="E22" s="1"/>
  <c r="T8" i="8"/>
  <c r="V10" i="13"/>
  <c r="K11"/>
  <c r="D45" i="3"/>
  <c r="N17" i="25" l="1"/>
  <c r="N18" s="1"/>
  <c r="N20" s="1"/>
  <c r="V16" i="8"/>
  <c r="J17" i="25"/>
  <c r="J18" s="1"/>
  <c r="J20" s="1"/>
  <c r="E52" i="3"/>
  <c r="F22" i="24"/>
  <c r="G22" s="1"/>
  <c r="H22" s="1"/>
  <c r="I22" s="1"/>
  <c r="J22" s="1"/>
  <c r="K22" s="1"/>
  <c r="L22" s="1"/>
  <c r="M22" s="1"/>
  <c r="N22" s="1"/>
  <c r="O22" s="1"/>
  <c r="P22" s="1"/>
  <c r="Q22" s="1"/>
  <c r="R22" s="1"/>
  <c r="S22" s="1"/>
  <c r="T22" s="1"/>
  <c r="N18" i="9"/>
  <c r="G41" i="3"/>
  <c r="B41" s="1"/>
  <c r="E46"/>
  <c r="B36"/>
  <c r="C46"/>
  <c r="C47"/>
  <c r="U15" i="9"/>
  <c r="U15" i="25"/>
  <c r="U18" s="1"/>
  <c r="U20" s="1"/>
  <c r="U16" i="24"/>
  <c r="U19" s="1"/>
  <c r="S3" i="16"/>
  <c r="S20" i="9"/>
  <c r="N3" i="16"/>
  <c r="N20" i="9"/>
  <c r="S14" i="13"/>
  <c r="S6" s="1"/>
  <c r="S15" s="1"/>
  <c r="S31" s="1"/>
  <c r="R18" i="9"/>
  <c r="D46" i="3"/>
  <c r="D47"/>
  <c r="D50"/>
  <c r="D52"/>
  <c r="G72" i="15"/>
  <c r="N41" i="3"/>
  <c r="F3" i="16"/>
  <c r="F20" i="9"/>
  <c r="F20" i="25"/>
  <c r="O6" i="13"/>
  <c r="O15" s="1"/>
  <c r="O31" s="1"/>
  <c r="M41" i="3"/>
  <c r="V9" i="8"/>
  <c r="W10" i="13"/>
  <c r="B14" i="9"/>
  <c r="U13" i="8"/>
  <c r="U8" s="1"/>
  <c r="E21" i="9"/>
  <c r="D4" i="16"/>
  <c r="J3"/>
  <c r="J20" i="9"/>
  <c r="E32" i="13"/>
  <c r="B6" i="17"/>
  <c r="V16" i="25"/>
  <c r="B16" s="1"/>
  <c r="V16" i="9"/>
  <c r="V17" i="24"/>
  <c r="B17" s="1"/>
  <c r="V15" i="8"/>
  <c r="G42" i="3"/>
  <c r="B42" s="1"/>
  <c r="G29" i="10" s="1"/>
  <c r="B15" i="24"/>
  <c r="C11" i="13"/>
  <c r="G6"/>
  <c r="G15" s="1"/>
  <c r="K14"/>
  <c r="C14" s="1"/>
  <c r="B17" i="9"/>
  <c r="F30" i="10" s="1"/>
  <c r="F46" i="3"/>
  <c r="F47"/>
  <c r="F52"/>
  <c r="F50"/>
  <c r="B14" i="25"/>
  <c r="U11" i="13"/>
  <c r="U6" s="1"/>
  <c r="U15" s="1"/>
  <c r="U31" s="1"/>
  <c r="T18" i="9"/>
  <c r="B18" i="24"/>
  <c r="B17" i="25" l="1"/>
  <c r="C6" i="13"/>
  <c r="K6"/>
  <c r="K15" s="1"/>
  <c r="K31" s="1"/>
  <c r="U21" i="24"/>
  <c r="G31" i="13"/>
  <c r="C15"/>
  <c r="V15" i="9"/>
  <c r="V15" i="25"/>
  <c r="V16" i="24"/>
  <c r="D7" i="18"/>
  <c r="F7"/>
  <c r="E7"/>
  <c r="C7"/>
  <c r="W13" i="13"/>
  <c r="B16" i="9"/>
  <c r="F29" i="10" s="1"/>
  <c r="H29" s="1"/>
  <c r="V8" i="24"/>
  <c r="G40" i="3"/>
  <c r="V13" i="8"/>
  <c r="V8" s="1"/>
  <c r="R3" i="16"/>
  <c r="R20" i="9"/>
  <c r="V11" i="13"/>
  <c r="V6" s="1"/>
  <c r="V15" s="1"/>
  <c r="V31" s="1"/>
  <c r="U18" i="9"/>
  <c r="F21" i="25"/>
  <c r="T3" i="16"/>
  <c r="T20" i="9"/>
  <c r="F32" i="13"/>
  <c r="C6" i="17"/>
  <c r="F21" i="9"/>
  <c r="E4" i="16"/>
  <c r="C18" i="2"/>
  <c r="H72" i="15"/>
  <c r="G68"/>
  <c r="C31" i="13" l="1"/>
  <c r="B40" i="3"/>
  <c r="B35" s="1"/>
  <c r="G27" i="10" s="1"/>
  <c r="G35" i="3"/>
  <c r="G43" s="1"/>
  <c r="D6" i="17"/>
  <c r="G32" i="13"/>
  <c r="F8" i="18"/>
  <c r="F10"/>
  <c r="B15" i="25"/>
  <c r="V18"/>
  <c r="U22" i="24"/>
  <c r="U3" i="16"/>
  <c r="U20" i="9"/>
  <c r="C8" i="18"/>
  <c r="C10"/>
  <c r="J22" i="22"/>
  <c r="L18" i="2"/>
  <c r="J18"/>
  <c r="J14" s="1"/>
  <c r="J23" s="1"/>
  <c r="M18"/>
  <c r="M14" s="1"/>
  <c r="E18"/>
  <c r="E14" s="1"/>
  <c r="E23" s="1"/>
  <c r="I18"/>
  <c r="I14" s="1"/>
  <c r="I23" s="1"/>
  <c r="K18"/>
  <c r="K14" s="1"/>
  <c r="K23" s="1"/>
  <c r="D18"/>
  <c r="D14" s="1"/>
  <c r="D23" s="1"/>
  <c r="H18"/>
  <c r="G18"/>
  <c r="F18"/>
  <c r="C14"/>
  <c r="G21" i="25"/>
  <c r="H21" s="1"/>
  <c r="I21" s="1"/>
  <c r="J21" s="1"/>
  <c r="K21" s="1"/>
  <c r="L21" s="1"/>
  <c r="M21" s="1"/>
  <c r="N21" s="1"/>
  <c r="O21" s="1"/>
  <c r="P21" s="1"/>
  <c r="Q21" s="1"/>
  <c r="R21" s="1"/>
  <c r="S21" s="1"/>
  <c r="T21" s="1"/>
  <c r="U21" s="1"/>
  <c r="D8" i="18"/>
  <c r="D10"/>
  <c r="W11" i="13"/>
  <c r="W6" s="1"/>
  <c r="W15" s="1"/>
  <c r="W31" s="1"/>
  <c r="V18" i="9"/>
  <c r="F80" i="15"/>
  <c r="H68"/>
  <c r="F83" s="1"/>
  <c r="G21" i="9"/>
  <c r="C53" i="3"/>
  <c r="F4" i="16"/>
  <c r="V9" i="24"/>
  <c r="B8"/>
  <c r="E8" i="18"/>
  <c r="E10"/>
  <c r="B16" i="24"/>
  <c r="V19"/>
  <c r="B19" i="9"/>
  <c r="B25" s="1"/>
  <c r="B15"/>
  <c r="F27" i="10" s="1"/>
  <c r="B23" i="9" l="1"/>
  <c r="B5" i="4" s="1"/>
  <c r="G24" i="10"/>
  <c r="R18" i="2"/>
  <c r="R14" s="1"/>
  <c r="R23" s="1"/>
  <c r="H91" i="15" s="1"/>
  <c r="H14" i="2"/>
  <c r="H23" s="1"/>
  <c r="E11" i="18"/>
  <c r="E9"/>
  <c r="D12" i="22"/>
  <c r="F82" i="15"/>
  <c r="D13" i="22" s="1"/>
  <c r="D11" i="18"/>
  <c r="D9"/>
  <c r="P18" i="2"/>
  <c r="P14" s="1"/>
  <c r="P23" s="1"/>
  <c r="H89" i="15" s="1"/>
  <c r="F14" i="2"/>
  <c r="F23" s="1"/>
  <c r="C11" i="18"/>
  <c r="C9"/>
  <c r="J19" i="22"/>
  <c r="C27" i="10"/>
  <c r="H27" s="1"/>
  <c r="C23" i="2"/>
  <c r="K19" i="22"/>
  <c r="M23" i="2"/>
  <c r="K24" i="22" s="1"/>
  <c r="V21" i="24"/>
  <c r="B10"/>
  <c r="B9"/>
  <c r="H21" i="9"/>
  <c r="G4" i="16"/>
  <c r="V20" i="25"/>
  <c r="B20" s="1"/>
  <c r="B18"/>
  <c r="B19"/>
  <c r="B24" s="1"/>
  <c r="E6" i="17"/>
  <c r="H32" i="13"/>
  <c r="G44" i="3"/>
  <c r="B44" s="1"/>
  <c r="B43"/>
  <c r="B19" i="24"/>
  <c r="B20"/>
  <c r="V3" i="16"/>
  <c r="V20" i="9"/>
  <c r="B20" s="1"/>
  <c r="Q18" i="2"/>
  <c r="Q14" s="1"/>
  <c r="Q23" s="1"/>
  <c r="H90" i="15" s="1"/>
  <c r="G14" i="2"/>
  <c r="G23" s="1"/>
  <c r="V18"/>
  <c r="V14" s="1"/>
  <c r="V23" s="1"/>
  <c r="H95" i="15" s="1"/>
  <c r="L14" i="2"/>
  <c r="L23" s="1"/>
  <c r="V22" i="24"/>
  <c r="B22" s="1"/>
  <c r="F11" i="18"/>
  <c r="F9"/>
  <c r="B18" i="9"/>
  <c r="F34" i="10" s="1"/>
  <c r="B24" i="24" l="1"/>
  <c r="M15" i="23"/>
  <c r="D19" i="22"/>
  <c r="I95" i="15"/>
  <c r="F56" i="23" s="1"/>
  <c r="E56"/>
  <c r="I21" i="9"/>
  <c r="H4" i="16"/>
  <c r="D14" i="22"/>
  <c r="B7" i="18"/>
  <c r="B17" s="1"/>
  <c r="G31" i="10"/>
  <c r="B49" i="3"/>
  <c r="B51"/>
  <c r="B21" i="24"/>
  <c r="B23"/>
  <c r="B19" i="4" s="1"/>
  <c r="M27" i="23" s="1"/>
  <c r="G45" i="3"/>
  <c r="F24" i="10"/>
  <c r="G30"/>
  <c r="G34" s="1"/>
  <c r="H34" s="1"/>
  <c r="D13" i="12"/>
  <c r="D30" i="10" s="1"/>
  <c r="E51" i="23"/>
  <c r="I90" i="15"/>
  <c r="F51" i="23" s="1"/>
  <c r="I32" i="13"/>
  <c r="F6" i="17"/>
  <c r="J24" i="22"/>
  <c r="B16" i="18"/>
  <c r="C24" i="10"/>
  <c r="H24" s="1"/>
  <c r="I89" i="15"/>
  <c r="E50" i="23"/>
  <c r="I91" i="15"/>
  <c r="F52" i="23" s="1"/>
  <c r="E52"/>
  <c r="B25" i="24"/>
  <c r="V21" i="25"/>
  <c r="J32" i="13" l="1"/>
  <c r="G6" i="17"/>
  <c r="J21" i="9"/>
  <c r="I4" i="16"/>
  <c r="F50" i="23"/>
  <c r="I96" i="15"/>
  <c r="G47" i="3"/>
  <c r="B47" s="1"/>
  <c r="B30" i="4" s="1"/>
  <c r="M38" i="23" s="1"/>
  <c r="G46" i="3"/>
  <c r="B46" s="1"/>
  <c r="B45"/>
  <c r="H30" i="10"/>
  <c r="B21" i="25"/>
  <c r="B23"/>
  <c r="E16" i="18"/>
  <c r="E17" s="1"/>
  <c r="C16"/>
  <c r="C17" s="1"/>
  <c r="F16"/>
  <c r="F17" s="1"/>
  <c r="D16"/>
  <c r="D17" s="1"/>
  <c r="B11" i="4"/>
  <c r="M21" i="23" s="1"/>
  <c r="B10" i="18"/>
  <c r="B20" s="1"/>
  <c r="D16" i="22"/>
  <c r="D18" i="18" l="1"/>
  <c r="D20"/>
  <c r="F57" i="23"/>
  <c r="I97" i="15"/>
  <c r="H96"/>
  <c r="E57" i="23" s="1"/>
  <c r="O10" s="1"/>
  <c r="E98" i="15"/>
  <c r="E18" i="18"/>
  <c r="E20"/>
  <c r="K21" i="9"/>
  <c r="D53" i="3"/>
  <c r="J4" i="16"/>
  <c r="C18" i="18"/>
  <c r="C20"/>
  <c r="F18"/>
  <c r="F20"/>
  <c r="B54" i="3"/>
  <c r="B7" i="4" s="1"/>
  <c r="G32" i="10"/>
  <c r="M20" i="23"/>
  <c r="B10" i="4"/>
  <c r="D15" i="22"/>
  <c r="B8" i="18"/>
  <c r="B18" s="1"/>
  <c r="B50" i="3"/>
  <c r="B52"/>
  <c r="H6" i="17"/>
  <c r="K32" i="13"/>
  <c r="B22" i="4"/>
  <c r="M30" i="23" s="1"/>
  <c r="B55" i="3"/>
  <c r="B20" i="4" s="1"/>
  <c r="F19" i="18" l="1"/>
  <c r="F21"/>
  <c r="B23" i="4"/>
  <c r="M31" i="23" s="1"/>
  <c r="M28"/>
  <c r="I6" i="17"/>
  <c r="L32" i="13"/>
  <c r="L21" i="9"/>
  <c r="K4" i="16"/>
  <c r="D19" i="18"/>
  <c r="D21"/>
  <c r="B9" i="4"/>
  <c r="M19" i="23" s="1"/>
  <c r="B9" i="18"/>
  <c r="B19" s="1"/>
  <c r="D17" i="22"/>
  <c r="B6" i="4"/>
  <c r="M16" i="23" s="1"/>
  <c r="B11" i="18"/>
  <c r="E19"/>
  <c r="E21"/>
  <c r="M17" i="23"/>
  <c r="D18" i="22"/>
  <c r="B12" i="4"/>
  <c r="M22" i="23" s="1"/>
  <c r="C19" i="18"/>
  <c r="C21"/>
  <c r="F58" i="23"/>
  <c r="H97" i="15"/>
  <c r="E58" i="23" s="1"/>
  <c r="O11" s="1"/>
  <c r="M32" i="13" l="1"/>
  <c r="J6" i="17"/>
  <c r="B21" i="18"/>
  <c r="F22" s="1"/>
  <c r="C12"/>
  <c r="E12"/>
  <c r="F12"/>
  <c r="D12"/>
  <c r="M21" i="9"/>
  <c r="L4" i="16"/>
  <c r="E22" i="18"/>
  <c r="C22"/>
  <c r="D22" l="1"/>
  <c r="N32" i="13"/>
  <c r="K6" i="17"/>
  <c r="N21" i="9"/>
  <c r="M4" i="16"/>
  <c r="L6" i="17" l="1"/>
  <c r="O32" i="13"/>
  <c r="O21" i="9"/>
  <c r="E53" i="3"/>
  <c r="N4" i="16"/>
  <c r="M6" i="17" l="1"/>
  <c r="P32" i="13"/>
  <c r="P21" i="9"/>
  <c r="O4" i="16"/>
  <c r="Q32" i="13" l="1"/>
  <c r="N6" i="17"/>
  <c r="Q21" i="9"/>
  <c r="P4" i="16"/>
  <c r="C32" i="13" l="1"/>
  <c r="O6" i="17"/>
  <c r="R32" i="13"/>
  <c r="R21" i="9"/>
  <c r="Q4" i="16"/>
  <c r="S32" i="13" l="1"/>
  <c r="P6" i="17"/>
  <c r="S21" i="9"/>
  <c r="F53" i="3"/>
  <c r="R4" i="16"/>
  <c r="T32" i="13" l="1"/>
  <c r="Q6" i="17"/>
  <c r="T21" i="9"/>
  <c r="S4" i="16"/>
  <c r="R6" i="17" l="1"/>
  <c r="U32" i="13"/>
  <c r="U21" i="9"/>
  <c r="T4" i="16"/>
  <c r="S6" i="17" l="1"/>
  <c r="V32" i="13"/>
  <c r="V21" i="9"/>
  <c r="U4" i="16"/>
  <c r="W32" i="13" l="1"/>
  <c r="U6" i="17" s="1"/>
  <c r="T6"/>
  <c r="G53" i="3"/>
  <c r="V4" i="16"/>
  <c r="B21" i="9"/>
  <c r="F35" i="10" s="1"/>
  <c r="F32" s="1"/>
  <c r="B24" i="9"/>
  <c r="B13" i="4" s="1"/>
  <c r="M23" i="23" l="1"/>
  <c r="D21" i="22"/>
  <c r="F31" i="10"/>
  <c r="H31" s="1"/>
  <c r="H32"/>
  <c r="H37" l="1"/>
</calcChain>
</file>

<file path=xl/comments1.xml><?xml version="1.0" encoding="utf-8"?>
<comments xmlns="http://schemas.openxmlformats.org/spreadsheetml/2006/main">
  <authors>
    <author>作者</author>
  </authors>
  <commentList>
    <comment ref="E3" authorId="0">
      <text>
        <r>
          <rPr>
            <b/>
            <sz val="9"/>
            <color indexed="81"/>
            <rFont val="宋体"/>
            <charset val="134"/>
          </rPr>
          <t>在项目没有明确规划指标情况下，停车率按0.8填写，否则按规定的指标填写。</t>
        </r>
        <r>
          <rPr>
            <sz val="9"/>
            <color indexed="81"/>
            <rFont val="宋体"/>
            <charset val="134"/>
          </rPr>
          <t xml:space="preserve">
</t>
        </r>
      </text>
    </comment>
  </commentList>
</comments>
</file>

<file path=xl/comments2.xml><?xml version="1.0" encoding="utf-8"?>
<comments xmlns="http://schemas.openxmlformats.org/spreadsheetml/2006/main">
  <authors>
    <author>作者</author>
  </authors>
  <commentList>
    <comment ref="B24" authorId="0">
      <text>
        <r>
          <rPr>
            <b/>
            <sz val="9"/>
            <color indexed="81"/>
            <rFont val="宋体"/>
            <charset val="134"/>
          </rPr>
          <t>工程款＝主体建安+管网+园林+公共配套</t>
        </r>
        <r>
          <rPr>
            <sz val="9"/>
            <color indexed="81"/>
            <rFont val="宋体"/>
            <charset val="134"/>
          </rPr>
          <t xml:space="preserve">
</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charset val="134"/>
          </rPr>
          <t>从项目首期开工所在季度到最后一笔销售回款所在年度的年末期间的半年度个数。</t>
        </r>
        <r>
          <rPr>
            <sz val="9"/>
            <color indexed="81"/>
            <rFont val="宋体"/>
            <charset val="134"/>
          </rPr>
          <t xml:space="preserve">
</t>
        </r>
      </text>
    </comment>
    <comment ref="B9" authorId="0">
      <text>
        <r>
          <rPr>
            <b/>
            <sz val="11"/>
            <color indexed="81"/>
            <rFont val="宋体"/>
            <charset val="134"/>
          </rPr>
          <t>作者:</t>
        </r>
        <r>
          <rPr>
            <sz val="11"/>
            <color indexed="81"/>
            <rFont val="宋体"/>
            <charset val="134"/>
          </rPr>
          <t xml:space="preserve">
插入NPV函数，表达式=NPV（贴现率，B2：Bn）+B1。B为各期的现金流量</t>
        </r>
      </text>
    </comment>
    <comment ref="A14" authorId="0">
      <text>
        <r>
          <rPr>
            <b/>
            <sz val="8"/>
            <color indexed="81"/>
            <rFont val="宋体"/>
            <charset val="134"/>
          </rPr>
          <t>vk:</t>
        </r>
        <r>
          <rPr>
            <b/>
            <sz val="10"/>
            <color indexed="81"/>
            <rFont val="宋体"/>
            <charset val="134"/>
          </rPr>
          <t>不包括资本化利息</t>
        </r>
        <r>
          <rPr>
            <sz val="8"/>
            <color indexed="81"/>
            <rFont val="宋体"/>
            <charset val="134"/>
          </rPr>
          <t xml:space="preserve">
</t>
        </r>
      </text>
    </comment>
    <comment ref="A15" authorId="0">
      <text>
        <r>
          <rPr>
            <b/>
            <sz val="9"/>
            <color indexed="81"/>
            <rFont val="宋体"/>
            <charset val="134"/>
          </rPr>
          <t>不包括财务费</t>
        </r>
        <r>
          <rPr>
            <sz val="9"/>
            <color indexed="81"/>
            <rFont val="宋体"/>
            <charset val="134"/>
          </rPr>
          <t xml:space="preserve">
</t>
        </r>
      </text>
    </comment>
    <comment ref="B19" authorId="0">
      <text>
        <r>
          <rPr>
            <b/>
            <sz val="11"/>
            <color indexed="81"/>
            <rFont val="宋体"/>
            <charset val="134"/>
          </rPr>
          <t>作者:</t>
        </r>
        <r>
          <rPr>
            <sz val="11"/>
            <color indexed="81"/>
            <rFont val="宋体"/>
            <charset val="134"/>
          </rPr>
          <t xml:space="preserve">
插入NPV函数，表达式=NPV（贴现率，B2：Bn）+B1。B为各期的现金流量</t>
        </r>
      </text>
    </comment>
    <comment ref="A22" authorId="0">
      <text>
        <r>
          <rPr>
            <sz val="11"/>
            <color indexed="81"/>
            <rFont val="宋体"/>
            <charset val="134"/>
          </rPr>
          <t>按资金平均占用计算的项目资金利息，应≥开发间接费用中的资本化利息＋期间费用中的财务费用。资金成本=平均资金占用*资本化利率（见经济指标表）</t>
        </r>
      </text>
    </comment>
    <comment ref="B23" authorId="0">
      <text>
        <r>
          <rPr>
            <b/>
            <sz val="11"/>
            <color indexed="81"/>
            <rFont val="宋体"/>
            <charset val="134"/>
          </rPr>
          <t>作者:</t>
        </r>
        <r>
          <rPr>
            <sz val="11"/>
            <color indexed="81"/>
            <rFont val="宋体"/>
            <charset val="134"/>
          </rPr>
          <t xml:space="preserve">
插入IRR函数，表达式=IRR（净现金流量数组）</t>
        </r>
      </text>
    </comment>
    <comment ref="B27" authorId="0">
      <text>
        <r>
          <rPr>
            <b/>
            <sz val="11"/>
            <color indexed="81"/>
            <rFont val="宋体"/>
            <charset val="134"/>
          </rPr>
          <t>各期支付地价现值之和/地价总额</t>
        </r>
      </text>
    </comment>
  </commentList>
</comments>
</file>

<file path=xl/comments4.xml><?xml version="1.0" encoding="utf-8"?>
<comments xmlns="http://schemas.openxmlformats.org/spreadsheetml/2006/main">
  <authors>
    <author>作者</author>
  </authors>
  <commentList>
    <comment ref="B10" authorId="0">
      <text>
        <r>
          <rPr>
            <b/>
            <sz val="8"/>
            <color indexed="81"/>
            <rFont val="宋体"/>
            <charset val="134"/>
          </rPr>
          <t>vk:</t>
        </r>
        <r>
          <rPr>
            <b/>
            <sz val="10"/>
            <color indexed="81"/>
            <rFont val="宋体"/>
            <charset val="134"/>
          </rPr>
          <t>不包括资本化利息</t>
        </r>
        <r>
          <rPr>
            <sz val="8"/>
            <color indexed="81"/>
            <rFont val="宋体"/>
            <charset val="134"/>
          </rPr>
          <t xml:space="preserve">
</t>
        </r>
      </text>
    </comment>
    <comment ref="B11" authorId="0">
      <text>
        <r>
          <rPr>
            <b/>
            <sz val="9"/>
            <color indexed="81"/>
            <rFont val="宋体"/>
            <charset val="134"/>
          </rPr>
          <t>不包括财务费</t>
        </r>
        <r>
          <rPr>
            <sz val="9"/>
            <color indexed="81"/>
            <rFont val="宋体"/>
            <charset val="134"/>
          </rPr>
          <t xml:space="preserve">
</t>
        </r>
      </text>
    </comment>
    <comment ref="B12" authorId="0">
      <text>
        <r>
          <rPr>
            <b/>
            <sz val="9"/>
            <color indexed="81"/>
            <rFont val="宋体"/>
            <charset val="134"/>
          </rPr>
          <t>作者:</t>
        </r>
        <r>
          <rPr>
            <sz val="9"/>
            <color indexed="81"/>
            <rFont val="宋体"/>
            <charset val="134"/>
          </rPr>
          <t xml:space="preserve">
按资金平均占用计算的项目资金利息，应≥开发间接费用中的资本化利息＋期间费用中的财务费用。资金成本=平均资金占用*资本化利率（见经济指标表）</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charset val="134"/>
          </rPr>
          <t>从项目首期开工所在季度到最后一笔销售回款所在年度的年末期间的半年度个数。</t>
        </r>
        <r>
          <rPr>
            <sz val="9"/>
            <color indexed="81"/>
            <rFont val="宋体"/>
            <charset val="134"/>
          </rPr>
          <t xml:space="preserve">
</t>
        </r>
      </text>
    </comment>
    <comment ref="B10" authorId="0">
      <text>
        <r>
          <rPr>
            <b/>
            <sz val="11"/>
            <color indexed="81"/>
            <rFont val="宋体"/>
            <charset val="134"/>
          </rPr>
          <t>作者:</t>
        </r>
        <r>
          <rPr>
            <sz val="11"/>
            <color indexed="81"/>
            <rFont val="宋体"/>
            <charset val="134"/>
          </rPr>
          <t xml:space="preserve">
插入NPV函数，表达式=NPV（贴现率，B2：Bn）+B1。B为各期的现金流量</t>
        </r>
      </text>
    </comment>
    <comment ref="A15" authorId="0">
      <text>
        <r>
          <rPr>
            <b/>
            <sz val="8"/>
            <color indexed="81"/>
            <rFont val="宋体"/>
            <charset val="134"/>
          </rPr>
          <t>vk:</t>
        </r>
        <r>
          <rPr>
            <b/>
            <sz val="10"/>
            <color indexed="81"/>
            <rFont val="宋体"/>
            <charset val="134"/>
          </rPr>
          <t>不包括资本化利息</t>
        </r>
        <r>
          <rPr>
            <sz val="8"/>
            <color indexed="81"/>
            <rFont val="宋体"/>
            <charset val="134"/>
          </rPr>
          <t xml:space="preserve">
</t>
        </r>
      </text>
    </comment>
    <comment ref="A16" authorId="0">
      <text>
        <r>
          <rPr>
            <b/>
            <sz val="9"/>
            <color indexed="81"/>
            <rFont val="宋体"/>
            <charset val="134"/>
          </rPr>
          <t>不包括财务费</t>
        </r>
        <r>
          <rPr>
            <sz val="9"/>
            <color indexed="81"/>
            <rFont val="宋体"/>
            <charset val="134"/>
          </rPr>
          <t xml:space="preserve">
</t>
        </r>
      </text>
    </comment>
    <comment ref="B20" authorId="0">
      <text>
        <r>
          <rPr>
            <b/>
            <sz val="11"/>
            <color indexed="81"/>
            <rFont val="宋体"/>
            <charset val="134"/>
          </rPr>
          <t>作者:</t>
        </r>
        <r>
          <rPr>
            <sz val="11"/>
            <color indexed="81"/>
            <rFont val="宋体"/>
            <charset val="134"/>
          </rPr>
          <t xml:space="preserve">
插入NPV函数，表达式=NPV（贴现率，B2：Bn）+B1。B为各期的现金流量</t>
        </r>
      </text>
    </comment>
    <comment ref="B23" authorId="0">
      <text>
        <r>
          <rPr>
            <b/>
            <sz val="11"/>
            <color indexed="81"/>
            <rFont val="宋体"/>
            <charset val="134"/>
          </rPr>
          <t>作者:</t>
        </r>
        <r>
          <rPr>
            <sz val="11"/>
            <color indexed="81"/>
            <rFont val="宋体"/>
            <charset val="134"/>
          </rPr>
          <t xml:space="preserve">
插入IRR函数，表达式=IRR（净现金流量数组）</t>
        </r>
      </text>
    </comment>
    <comment ref="B27" authorId="0">
      <text>
        <r>
          <rPr>
            <b/>
            <sz val="11"/>
            <color indexed="81"/>
            <rFont val="宋体"/>
            <charset val="134"/>
          </rPr>
          <t>各期支付地价现值之和/地价总额</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charset val="134"/>
          </rPr>
          <t>从项目首期开工所在季度到最后一笔销售回款所在年度的年末期间的半年度个数。</t>
        </r>
        <r>
          <rPr>
            <sz val="9"/>
            <color indexed="81"/>
            <rFont val="宋体"/>
            <charset val="134"/>
          </rPr>
          <t xml:space="preserve">
</t>
        </r>
      </text>
    </comment>
    <comment ref="B9" authorId="0">
      <text>
        <r>
          <rPr>
            <b/>
            <sz val="11"/>
            <color indexed="81"/>
            <rFont val="宋体"/>
            <charset val="134"/>
          </rPr>
          <t>作者:</t>
        </r>
        <r>
          <rPr>
            <sz val="11"/>
            <color indexed="81"/>
            <rFont val="宋体"/>
            <charset val="134"/>
          </rPr>
          <t xml:space="preserve">
插入NPV函数，表达式=NPV（贴现率，B2：Bn）+B1。B为各期的现金流量</t>
        </r>
      </text>
    </comment>
    <comment ref="A14" authorId="0">
      <text>
        <r>
          <rPr>
            <b/>
            <sz val="8"/>
            <color indexed="81"/>
            <rFont val="宋体"/>
            <charset val="134"/>
          </rPr>
          <t>vk:</t>
        </r>
        <r>
          <rPr>
            <b/>
            <sz val="10"/>
            <color indexed="81"/>
            <rFont val="宋体"/>
            <charset val="134"/>
          </rPr>
          <t>不包括资本化利息</t>
        </r>
        <r>
          <rPr>
            <sz val="8"/>
            <color indexed="81"/>
            <rFont val="宋体"/>
            <charset val="134"/>
          </rPr>
          <t xml:space="preserve">
</t>
        </r>
      </text>
    </comment>
    <comment ref="A15" authorId="0">
      <text>
        <r>
          <rPr>
            <b/>
            <sz val="9"/>
            <color indexed="81"/>
            <rFont val="宋体"/>
            <charset val="134"/>
          </rPr>
          <t>不包括财务费</t>
        </r>
        <r>
          <rPr>
            <sz val="9"/>
            <color indexed="81"/>
            <rFont val="宋体"/>
            <charset val="134"/>
          </rPr>
          <t xml:space="preserve">
</t>
        </r>
      </text>
    </comment>
    <comment ref="B19" authorId="0">
      <text>
        <r>
          <rPr>
            <b/>
            <sz val="11"/>
            <color indexed="81"/>
            <rFont val="宋体"/>
            <charset val="134"/>
          </rPr>
          <t>作者:</t>
        </r>
        <r>
          <rPr>
            <sz val="11"/>
            <color indexed="81"/>
            <rFont val="宋体"/>
            <charset val="134"/>
          </rPr>
          <t xml:space="preserve">
插入NPV函数，表达式=NPV（贴现率，B2：Bn）+B1。B为各期的现金流量</t>
        </r>
      </text>
    </comment>
    <comment ref="B22" authorId="0">
      <text>
        <r>
          <rPr>
            <b/>
            <sz val="11"/>
            <color indexed="81"/>
            <rFont val="宋体"/>
            <charset val="134"/>
          </rPr>
          <t>作者:</t>
        </r>
        <r>
          <rPr>
            <sz val="11"/>
            <color indexed="81"/>
            <rFont val="宋体"/>
            <charset val="134"/>
          </rPr>
          <t xml:space="preserve">
插入IRR函数，表达式=IRR（净现金流量数组）</t>
        </r>
      </text>
    </comment>
    <comment ref="B26" authorId="0">
      <text>
        <r>
          <rPr>
            <b/>
            <sz val="11"/>
            <color indexed="81"/>
            <rFont val="宋体"/>
            <charset val="134"/>
          </rPr>
          <t>各期支付地价现值之和/地价总额</t>
        </r>
      </text>
    </comment>
  </commentList>
</comments>
</file>

<file path=xl/sharedStrings.xml><?xml version="1.0" encoding="utf-8"?>
<sst xmlns="http://schemas.openxmlformats.org/spreadsheetml/2006/main" count="1087" uniqueCount="746">
  <si>
    <t>科目编号</t>
    <phoneticPr fontId="2" type="noConversion"/>
  </si>
  <si>
    <t>科目(项目明细)</t>
    <phoneticPr fontId="2" type="noConversion"/>
  </si>
  <si>
    <t>总成本（万元）</t>
    <phoneticPr fontId="2" type="noConversion"/>
  </si>
  <si>
    <t>合计</t>
    <phoneticPr fontId="2" type="noConversion"/>
  </si>
  <si>
    <t>多层住宅</t>
    <phoneticPr fontId="2" type="noConversion"/>
  </si>
  <si>
    <t>联排别墅</t>
    <phoneticPr fontId="2" type="noConversion"/>
  </si>
  <si>
    <t>独栋别墅</t>
    <phoneticPr fontId="2" type="noConversion"/>
  </si>
  <si>
    <t>商业</t>
    <phoneticPr fontId="2" type="noConversion"/>
  </si>
  <si>
    <t>建筑面积</t>
    <phoneticPr fontId="2" type="noConversion"/>
  </si>
  <si>
    <t>可售面积</t>
    <phoneticPr fontId="2" type="noConversion"/>
  </si>
  <si>
    <t>开发成本</t>
    <phoneticPr fontId="2" type="noConversion"/>
  </si>
  <si>
    <t>1.1.1.2</t>
  </si>
  <si>
    <t>1.1.1.3</t>
  </si>
  <si>
    <t>1.1.1.4</t>
  </si>
  <si>
    <t>1.1.1.5</t>
  </si>
  <si>
    <t>1.1.1.6</t>
  </si>
  <si>
    <t>1.1.1.7</t>
  </si>
  <si>
    <t>1.1.2.2</t>
  </si>
  <si>
    <t>1.6.1.2</t>
  </si>
  <si>
    <t>1.6.1.3</t>
  </si>
  <si>
    <t>1.6.2.2</t>
  </si>
  <si>
    <t>1.6.2.3</t>
  </si>
  <si>
    <t>1.6.2.4</t>
  </si>
  <si>
    <t>1.6.2.5</t>
  </si>
  <si>
    <t>1.6.2.6</t>
  </si>
  <si>
    <t>1.6.2.7</t>
  </si>
  <si>
    <t>1.6.2.8</t>
  </si>
  <si>
    <t>1.6.2.9</t>
  </si>
  <si>
    <t>1.6.2.10</t>
  </si>
  <si>
    <t>1.6.2.11</t>
  </si>
  <si>
    <t>期间费用</t>
    <phoneticPr fontId="2" type="noConversion"/>
  </si>
  <si>
    <t>多层住宅</t>
  </si>
  <si>
    <r>
      <t>绿化率</t>
    </r>
    <r>
      <rPr>
        <sz val="9"/>
        <rFont val="Times New Roman"/>
        <family val="1"/>
      </rPr>
      <t>%</t>
    </r>
  </si>
  <si>
    <t>总建筑面积</t>
    <phoneticPr fontId="2" type="noConversion"/>
  </si>
  <si>
    <r>
      <t xml:space="preserve">  </t>
    </r>
    <r>
      <rPr>
        <sz val="9"/>
        <rFont val="宋体"/>
        <charset val="134"/>
      </rPr>
      <t>规划容积率</t>
    </r>
    <phoneticPr fontId="2" type="noConversion"/>
  </si>
  <si>
    <t>计容积率建筑面积</t>
    <phoneticPr fontId="2" type="noConversion"/>
  </si>
  <si>
    <t>不计容积率建筑面积</t>
    <phoneticPr fontId="2" type="noConversion"/>
  </si>
  <si>
    <t>可售建筑面积</t>
    <phoneticPr fontId="2" type="noConversion"/>
  </si>
  <si>
    <t>地下车位（含人防）</t>
    <phoneticPr fontId="2" type="noConversion"/>
  </si>
  <si>
    <t>规划指标</t>
    <phoneticPr fontId="2" type="noConversion"/>
  </si>
  <si>
    <t>合计</t>
    <phoneticPr fontId="2" type="noConversion"/>
  </si>
  <si>
    <t>联排别墅</t>
    <phoneticPr fontId="2" type="noConversion"/>
  </si>
  <si>
    <t>独栋别墅</t>
    <phoneticPr fontId="2" type="noConversion"/>
  </si>
  <si>
    <t>商业</t>
    <phoneticPr fontId="2" type="noConversion"/>
  </si>
  <si>
    <t>其他公共配套</t>
    <phoneticPr fontId="2" type="noConversion"/>
  </si>
  <si>
    <t>开发销售计划</t>
    <phoneticPr fontId="2" type="noConversion"/>
  </si>
  <si>
    <t>敏感系数：100%</t>
    <phoneticPr fontId="2" type="noConversion"/>
  </si>
  <si>
    <t>项目</t>
    <phoneticPr fontId="2" type="noConversion"/>
  </si>
  <si>
    <r>
      <t>二、销售面积（</t>
    </r>
    <r>
      <rPr>
        <b/>
        <sz val="10"/>
        <color indexed="12"/>
        <rFont val="Times New Roman"/>
        <family val="1"/>
      </rPr>
      <t>m</t>
    </r>
    <r>
      <rPr>
        <b/>
        <vertAlign val="superscript"/>
        <sz val="10"/>
        <color indexed="12"/>
        <rFont val="Times New Roman"/>
        <family val="1"/>
      </rPr>
      <t>2</t>
    </r>
    <r>
      <rPr>
        <b/>
        <sz val="10"/>
        <color indexed="12"/>
        <rFont val="宋体"/>
        <charset val="134"/>
      </rPr>
      <t>）</t>
    </r>
    <phoneticPr fontId="2" type="noConversion"/>
  </si>
  <si>
    <t>小计</t>
  </si>
  <si>
    <r>
      <t>三、销售单价（元</t>
    </r>
    <r>
      <rPr>
        <b/>
        <sz val="10"/>
        <color indexed="12"/>
        <rFont val="Times New Roman"/>
        <family val="1"/>
      </rPr>
      <t>/m</t>
    </r>
    <r>
      <rPr>
        <b/>
        <vertAlign val="superscript"/>
        <sz val="10"/>
        <color indexed="12"/>
        <rFont val="Times New Roman"/>
        <family val="1"/>
      </rPr>
      <t>2</t>
    </r>
    <r>
      <rPr>
        <b/>
        <sz val="10"/>
        <color indexed="12"/>
        <rFont val="宋体"/>
        <charset val="134"/>
      </rPr>
      <t>）</t>
    </r>
    <phoneticPr fontId="2" type="noConversion"/>
  </si>
  <si>
    <t>销售均价</t>
    <phoneticPr fontId="2" type="noConversion"/>
  </si>
  <si>
    <t>四、销售额（万）</t>
    <phoneticPr fontId="2" type="noConversion"/>
  </si>
  <si>
    <t>多层住宅</t>
    <phoneticPr fontId="2" type="noConversion"/>
  </si>
  <si>
    <t>小高住宅</t>
    <phoneticPr fontId="2" type="noConversion"/>
  </si>
  <si>
    <t>高层住宅</t>
    <phoneticPr fontId="2" type="noConversion"/>
  </si>
  <si>
    <t>花园洋房</t>
    <phoneticPr fontId="2" type="noConversion"/>
  </si>
  <si>
    <t>联排别墅</t>
    <phoneticPr fontId="2" type="noConversion"/>
  </si>
  <si>
    <t>独栋别墅</t>
    <phoneticPr fontId="2" type="noConversion"/>
  </si>
  <si>
    <t>商业</t>
    <phoneticPr fontId="2" type="noConversion"/>
  </si>
  <si>
    <t>地下车位（含人防）</t>
    <phoneticPr fontId="2" type="noConversion"/>
  </si>
  <si>
    <t>金额单位：万元</t>
  </si>
  <si>
    <t>面积单位：平方米</t>
    <phoneticPr fontId="2" type="noConversion"/>
  </si>
  <si>
    <t>一、现金流入</t>
  </si>
  <si>
    <r>
      <t>销售面积（</t>
    </r>
    <r>
      <rPr>
        <sz val="10"/>
        <rFont val="Times New Roman"/>
        <family val="1"/>
      </rPr>
      <t>m</t>
    </r>
    <r>
      <rPr>
        <vertAlign val="superscript"/>
        <sz val="10"/>
        <rFont val="Times New Roman"/>
        <family val="1"/>
      </rPr>
      <t>2</t>
    </r>
    <r>
      <rPr>
        <sz val="10"/>
        <rFont val="宋体"/>
        <charset val="134"/>
      </rPr>
      <t>）</t>
    </r>
    <phoneticPr fontId="2" type="noConversion"/>
  </si>
  <si>
    <t>销售额</t>
  </si>
  <si>
    <t>回款额</t>
  </si>
  <si>
    <t>小计</t>
    <phoneticPr fontId="2" type="noConversion"/>
  </si>
  <si>
    <r>
      <t>现金流入现值</t>
    </r>
    <r>
      <rPr>
        <sz val="10"/>
        <rFont val="Times New Roman"/>
        <family val="1"/>
      </rPr>
      <t>NPV</t>
    </r>
    <phoneticPr fontId="2" type="noConversion"/>
  </si>
  <si>
    <t>二、现金流出</t>
  </si>
  <si>
    <r>
      <t>小计</t>
    </r>
    <r>
      <rPr>
        <sz val="11"/>
        <color indexed="52"/>
        <rFont val="宋体"/>
        <charset val="134"/>
      </rPr>
      <t/>
    </r>
    <phoneticPr fontId="2" type="noConversion"/>
  </si>
  <si>
    <r>
      <t>现金流出现值</t>
    </r>
    <r>
      <rPr>
        <sz val="10"/>
        <rFont val="Times New Roman"/>
        <family val="1"/>
      </rPr>
      <t>NPV</t>
    </r>
    <phoneticPr fontId="2" type="noConversion"/>
  </si>
  <si>
    <t>三、净现金流量</t>
    <phoneticPr fontId="2" type="noConversion"/>
  </si>
  <si>
    <t>说明：</t>
    <phoneticPr fontId="2" type="noConversion"/>
  </si>
  <si>
    <t>开发成本</t>
    <phoneticPr fontId="2" type="noConversion"/>
  </si>
  <si>
    <t>期间费用</t>
    <phoneticPr fontId="2" type="noConversion"/>
  </si>
  <si>
    <t>利润测算表</t>
    <phoneticPr fontId="2" type="noConversion"/>
  </si>
  <si>
    <t>金额单位：万元</t>
    <phoneticPr fontId="2" type="noConversion"/>
  </si>
  <si>
    <r>
      <t>项</t>
    </r>
    <r>
      <rPr>
        <b/>
        <sz val="10"/>
        <rFont val="Times New Roman"/>
        <family val="1"/>
      </rPr>
      <t xml:space="preserve">  </t>
    </r>
    <r>
      <rPr>
        <b/>
        <sz val="10"/>
        <rFont val="宋体"/>
        <charset val="134"/>
      </rPr>
      <t>目</t>
    </r>
    <phoneticPr fontId="2" type="noConversion"/>
  </si>
  <si>
    <t>利润体现</t>
    <phoneticPr fontId="2" type="noConversion"/>
  </si>
  <si>
    <t>说明</t>
    <phoneticPr fontId="2" type="noConversion"/>
  </si>
  <si>
    <t>营业收入</t>
    <phoneticPr fontId="2" type="noConversion"/>
  </si>
  <si>
    <t>税后利润</t>
    <phoneticPr fontId="2" type="noConversion"/>
  </si>
  <si>
    <r>
      <t>税后利润</t>
    </r>
    <r>
      <rPr>
        <sz val="10"/>
        <rFont val="Times New Roman"/>
        <family val="1"/>
      </rPr>
      <t>/</t>
    </r>
    <r>
      <rPr>
        <sz val="10"/>
        <rFont val="宋体"/>
        <charset val="134"/>
      </rPr>
      <t>结算面积</t>
    </r>
    <phoneticPr fontId="26" type="noConversion"/>
  </si>
  <si>
    <r>
      <t>项目净利润</t>
    </r>
    <r>
      <rPr>
        <sz val="10"/>
        <rFont val="Times New Roman"/>
        <family val="1"/>
      </rPr>
      <t>/</t>
    </r>
    <r>
      <rPr>
        <sz val="10"/>
        <rFont val="宋体"/>
        <charset val="134"/>
      </rPr>
      <t>销售收入</t>
    </r>
    <r>
      <rPr>
        <sz val="10"/>
        <rFont val="Times New Roman"/>
        <family val="1"/>
      </rPr>
      <t>×100%</t>
    </r>
  </si>
  <si>
    <r>
      <t xml:space="preserve">    </t>
    </r>
    <r>
      <rPr>
        <sz val="10"/>
        <rFont val="宋体"/>
        <charset val="134"/>
      </rPr>
      <t>其中：营销费</t>
    </r>
    <phoneticPr fontId="2" type="noConversion"/>
  </si>
  <si>
    <t>营业税及附加</t>
    <phoneticPr fontId="2" type="noConversion"/>
  </si>
  <si>
    <t>土地增值税</t>
    <phoneticPr fontId="2" type="noConversion"/>
  </si>
  <si>
    <t>税费说明</t>
    <phoneticPr fontId="32" type="noConversion"/>
  </si>
  <si>
    <r>
      <t xml:space="preserve">        </t>
    </r>
    <r>
      <rPr>
        <sz val="10"/>
        <rFont val="宋体"/>
        <charset val="134"/>
      </rPr>
      <t>单位：万元</t>
    </r>
    <r>
      <rPr>
        <sz val="10"/>
        <rFont val="Times New Roman"/>
        <family val="1"/>
      </rPr>
      <t xml:space="preserve">                </t>
    </r>
    <phoneticPr fontId="32" type="noConversion"/>
  </si>
  <si>
    <r>
      <t>1</t>
    </r>
    <r>
      <rPr>
        <b/>
        <sz val="10"/>
        <rFont val="宋体"/>
        <charset val="134"/>
      </rPr>
      <t>、地价票据合法性情况</t>
    </r>
    <phoneticPr fontId="32" type="noConversion"/>
  </si>
  <si>
    <r>
      <t xml:space="preserve">      </t>
    </r>
    <r>
      <rPr>
        <sz val="10"/>
        <rFont val="宋体"/>
        <charset val="134"/>
      </rPr>
      <t>合同中关于票据之规定情况：</t>
    </r>
    <phoneticPr fontId="32" type="noConversion"/>
  </si>
  <si>
    <t>2、预计税费情况</t>
    <phoneticPr fontId="32" type="noConversion"/>
  </si>
  <si>
    <r>
      <t>税率</t>
    </r>
    <r>
      <rPr>
        <b/>
        <sz val="10"/>
        <rFont val="Times New Roman"/>
        <family val="1"/>
      </rPr>
      <t>%</t>
    </r>
    <phoneticPr fontId="2" type="noConversion"/>
  </si>
  <si>
    <t>计税依据或应税所得</t>
  </si>
  <si>
    <t>预计税额</t>
  </si>
  <si>
    <t>计算说明</t>
  </si>
  <si>
    <r>
      <t xml:space="preserve">         </t>
    </r>
    <r>
      <rPr>
        <sz val="10"/>
        <rFont val="宋体"/>
        <charset val="134"/>
      </rPr>
      <t>营业税</t>
    </r>
    <phoneticPr fontId="32" type="noConversion"/>
  </si>
  <si>
    <t>营业收入</t>
  </si>
  <si>
    <r>
      <t xml:space="preserve">         </t>
    </r>
    <r>
      <rPr>
        <sz val="10"/>
        <rFont val="宋体"/>
        <charset val="134"/>
      </rPr>
      <t>城建税</t>
    </r>
    <phoneticPr fontId="32" type="noConversion"/>
  </si>
  <si>
    <t>营业税额</t>
  </si>
  <si>
    <r>
      <t xml:space="preserve">         </t>
    </r>
    <r>
      <rPr>
        <sz val="10"/>
        <rFont val="宋体"/>
        <charset val="134"/>
      </rPr>
      <t>教育费附加</t>
    </r>
    <phoneticPr fontId="32" type="noConversion"/>
  </si>
  <si>
    <t>营业税金及附加</t>
    <phoneticPr fontId="32" type="noConversion"/>
  </si>
  <si>
    <r>
      <t xml:space="preserve">            </t>
    </r>
    <r>
      <rPr>
        <sz val="10"/>
        <rFont val="宋体"/>
        <charset val="134"/>
      </rPr>
      <t>土地增值税</t>
    </r>
    <phoneticPr fontId="32" type="noConversion"/>
  </si>
  <si>
    <t>土地增值额</t>
  </si>
  <si>
    <r>
      <t xml:space="preserve">           </t>
    </r>
    <r>
      <rPr>
        <sz val="10"/>
        <rFont val="宋体"/>
        <charset val="134"/>
      </rPr>
      <t>契税</t>
    </r>
    <phoneticPr fontId="32" type="noConversion"/>
  </si>
  <si>
    <t>成交价</t>
  </si>
  <si>
    <r>
      <t xml:space="preserve">          </t>
    </r>
    <r>
      <rPr>
        <b/>
        <sz val="10"/>
        <color indexed="12"/>
        <rFont val="宋体"/>
        <charset val="134"/>
      </rPr>
      <t>企业所得税</t>
    </r>
    <phoneticPr fontId="32" type="noConversion"/>
  </si>
  <si>
    <t>应纳税所得额</t>
  </si>
  <si>
    <r>
      <t xml:space="preserve"> 3</t>
    </r>
    <r>
      <rPr>
        <b/>
        <sz val="10"/>
        <rFont val="宋体"/>
        <charset val="134"/>
      </rPr>
      <t>、项目税收优惠政策情况</t>
    </r>
    <phoneticPr fontId="32" type="noConversion"/>
  </si>
  <si>
    <r>
      <t xml:space="preserve">        1</t>
    </r>
    <r>
      <rPr>
        <sz val="10"/>
        <rFont val="宋体"/>
        <charset val="134"/>
      </rPr>
      <t>、所得税</t>
    </r>
    <phoneticPr fontId="32" type="noConversion"/>
  </si>
  <si>
    <r>
      <t xml:space="preserve">        2</t>
    </r>
    <r>
      <rPr>
        <sz val="10"/>
        <rFont val="宋体"/>
        <charset val="134"/>
      </rPr>
      <t>、营业税</t>
    </r>
    <phoneticPr fontId="32" type="noConversion"/>
  </si>
  <si>
    <r>
      <t>=-各年项目净利润</t>
    </r>
    <r>
      <rPr>
        <sz val="10"/>
        <rFont val="Times New Roman"/>
        <family val="1"/>
      </rPr>
      <t>/</t>
    </r>
    <r>
      <rPr>
        <sz val="10"/>
        <rFont val="宋体"/>
        <charset val="134"/>
      </rPr>
      <t>各年累计净现金流（含利息）</t>
    </r>
    <r>
      <rPr>
        <sz val="10"/>
        <rFont val="Times New Roman"/>
        <family val="1"/>
      </rPr>
      <t>×100%</t>
    </r>
    <r>
      <rPr>
        <sz val="10"/>
        <rFont val="宋体"/>
        <charset val="134"/>
      </rPr>
      <t>，当净现金流为正时，将该值设为无穷大</t>
    </r>
    <phoneticPr fontId="2" type="noConversion"/>
  </si>
  <si>
    <t>税前利润</t>
    <phoneticPr fontId="2" type="noConversion"/>
  </si>
  <si>
    <t>所得税</t>
    <phoneticPr fontId="2" type="noConversion"/>
  </si>
  <si>
    <r>
      <t>税前利润</t>
    </r>
    <r>
      <rPr>
        <sz val="10"/>
        <rFont val="Times New Roman"/>
        <family val="1"/>
      </rPr>
      <t>/</t>
    </r>
    <r>
      <rPr>
        <sz val="10"/>
        <rFont val="宋体"/>
        <charset val="134"/>
      </rPr>
      <t>结算面积</t>
    </r>
    <phoneticPr fontId="26" type="noConversion"/>
  </si>
  <si>
    <r>
      <t>税前利润</t>
    </r>
    <r>
      <rPr>
        <sz val="10"/>
        <rFont val="Times New Roman"/>
        <family val="1"/>
      </rPr>
      <t>/</t>
    </r>
    <r>
      <rPr>
        <sz val="10"/>
        <rFont val="宋体"/>
        <charset val="134"/>
      </rPr>
      <t>销售收入</t>
    </r>
    <r>
      <rPr>
        <sz val="10"/>
        <rFont val="Times New Roman"/>
        <family val="1"/>
      </rPr>
      <t>×100%</t>
    </r>
    <phoneticPr fontId="2" type="noConversion"/>
  </si>
  <si>
    <t>前期准备费</t>
    <phoneticPr fontId="2" type="noConversion"/>
  </si>
  <si>
    <t>付地价款</t>
    <phoneticPr fontId="2" type="noConversion"/>
  </si>
  <si>
    <t>付工程款</t>
    <phoneticPr fontId="2" type="noConversion"/>
  </si>
  <si>
    <r>
      <t xml:space="preserve"> </t>
    </r>
    <r>
      <rPr>
        <sz val="10"/>
        <rFont val="宋体"/>
        <charset val="134"/>
      </rPr>
      <t>期间费用</t>
    </r>
    <phoneticPr fontId="2" type="noConversion"/>
  </si>
  <si>
    <t>开发间接费</t>
    <phoneticPr fontId="2" type="noConversion"/>
  </si>
  <si>
    <r>
      <t xml:space="preserve">  </t>
    </r>
    <r>
      <rPr>
        <sz val="10"/>
        <rFont val="宋体"/>
        <charset val="134"/>
      </rPr>
      <t>财务费</t>
    </r>
    <phoneticPr fontId="2" type="noConversion"/>
  </si>
  <si>
    <r>
      <t xml:space="preserve">  </t>
    </r>
    <r>
      <rPr>
        <sz val="10"/>
        <rFont val="宋体"/>
        <charset val="134"/>
      </rPr>
      <t>营销费</t>
    </r>
    <phoneticPr fontId="2" type="noConversion"/>
  </si>
  <si>
    <r>
      <t xml:space="preserve">  </t>
    </r>
    <r>
      <rPr>
        <sz val="10"/>
        <rFont val="宋体"/>
        <charset val="134"/>
      </rPr>
      <t>所得税</t>
    </r>
    <phoneticPr fontId="2" type="noConversion"/>
  </si>
  <si>
    <t>企业所得税</t>
    <phoneticPr fontId="2" type="noConversion"/>
  </si>
  <si>
    <t>指标值</t>
    <phoneticPr fontId="2" type="noConversion"/>
  </si>
  <si>
    <t>说明</t>
    <phoneticPr fontId="2" type="noConversion"/>
  </si>
  <si>
    <t>核心指标：</t>
    <phoneticPr fontId="2" type="noConversion"/>
  </si>
  <si>
    <t>使累计净现值为零的贴现率</t>
    <phoneticPr fontId="2" type="noConversion"/>
  </si>
  <si>
    <t>参考指标：</t>
    <phoneticPr fontId="2" type="noConversion"/>
  </si>
  <si>
    <r>
      <t>项目净利润</t>
    </r>
    <r>
      <rPr>
        <sz val="10"/>
        <rFont val="Times New Roman"/>
        <family val="1"/>
      </rPr>
      <t>/</t>
    </r>
    <r>
      <rPr>
        <sz val="10"/>
        <rFont val="宋体"/>
        <charset val="134"/>
      </rPr>
      <t>销售面积</t>
    </r>
    <r>
      <rPr>
        <b/>
        <sz val="12"/>
        <rFont val="Times New Roman"/>
        <family val="1"/>
      </rPr>
      <t/>
    </r>
    <phoneticPr fontId="2" type="noConversion"/>
  </si>
  <si>
    <r>
      <t>各期支付地价现值之和</t>
    </r>
    <r>
      <rPr>
        <sz val="10"/>
        <rFont val="Times New Roman"/>
        <family val="1"/>
      </rPr>
      <t>/</t>
    </r>
    <r>
      <rPr>
        <sz val="10"/>
        <rFont val="宋体"/>
        <charset val="134"/>
      </rPr>
      <t>地价总额</t>
    </r>
    <phoneticPr fontId="2" type="noConversion"/>
  </si>
  <si>
    <r>
      <t xml:space="preserve">    </t>
    </r>
    <r>
      <rPr>
        <b/>
        <sz val="10"/>
        <color indexed="12"/>
        <rFont val="宋体"/>
        <charset val="134"/>
      </rPr>
      <t>核心指标的基本要求（参考）：</t>
    </r>
    <phoneticPr fontId="2" type="noConversion"/>
  </si>
  <si>
    <r>
      <t>1</t>
    </r>
    <r>
      <rPr>
        <sz val="10"/>
        <rFont val="宋体"/>
        <charset val="134"/>
      </rPr>
      <t>、内部收益率≥</t>
    </r>
    <r>
      <rPr>
        <sz val="10"/>
        <rFont val="Times New Roman"/>
        <family val="1"/>
      </rPr>
      <t>25%</t>
    </r>
    <phoneticPr fontId="2" type="noConversion"/>
  </si>
  <si>
    <t xml:space="preserve">                             </t>
    <phoneticPr fontId="2" type="noConversion"/>
  </si>
  <si>
    <r>
      <t>项目净利润</t>
    </r>
    <r>
      <rPr>
        <sz val="10"/>
        <rFont val="Times New Roman"/>
        <family val="1"/>
      </rPr>
      <t>=</t>
    </r>
    <r>
      <rPr>
        <sz val="10"/>
        <rFont val="宋体"/>
        <charset val="134"/>
      </rPr>
      <t>税前利润</t>
    </r>
    <r>
      <rPr>
        <sz val="10"/>
        <rFont val="Times New Roman"/>
        <family val="1"/>
      </rPr>
      <t>--</t>
    </r>
    <r>
      <rPr>
        <sz val="10"/>
        <rFont val="宋体"/>
        <charset val="134"/>
      </rPr>
      <t>所得税</t>
    </r>
    <phoneticPr fontId="2" type="noConversion"/>
  </si>
  <si>
    <r>
      <t>税前利润</t>
    </r>
    <r>
      <rPr>
        <sz val="10"/>
        <rFont val="Times New Roman"/>
        <family val="1"/>
      </rPr>
      <t>/</t>
    </r>
    <r>
      <rPr>
        <sz val="10"/>
        <rFont val="宋体"/>
        <charset val="134"/>
      </rPr>
      <t>销售收入</t>
    </r>
    <r>
      <rPr>
        <sz val="10"/>
        <rFont val="Times New Roman"/>
        <family val="1"/>
      </rPr>
      <t>×100%</t>
    </r>
    <phoneticPr fontId="2" type="noConversion"/>
  </si>
  <si>
    <r>
      <t>税前利润</t>
    </r>
    <r>
      <rPr>
        <sz val="10"/>
        <rFont val="Times New Roman"/>
        <family val="1"/>
      </rPr>
      <t>=</t>
    </r>
    <r>
      <rPr>
        <sz val="10"/>
        <rFont val="宋体"/>
        <charset val="134"/>
      </rPr>
      <t>销售收入</t>
    </r>
    <r>
      <rPr>
        <sz val="10"/>
        <rFont val="Times New Roman"/>
        <family val="1"/>
      </rPr>
      <t>-</t>
    </r>
    <r>
      <rPr>
        <sz val="10"/>
        <rFont val="宋体"/>
        <charset val="134"/>
      </rPr>
      <t>开发成本</t>
    </r>
    <r>
      <rPr>
        <sz val="10"/>
        <rFont val="Times New Roman"/>
        <family val="1"/>
      </rPr>
      <t>-</t>
    </r>
    <r>
      <rPr>
        <sz val="10"/>
        <rFont val="宋体"/>
        <charset val="134"/>
      </rPr>
      <t>期间费用</t>
    </r>
    <phoneticPr fontId="2" type="noConversion"/>
  </si>
  <si>
    <t>自有资金</t>
    <phoneticPr fontId="2" type="noConversion"/>
  </si>
  <si>
    <t>各表间勾稽关系检查表</t>
    <phoneticPr fontId="2" type="noConversion"/>
  </si>
  <si>
    <t>项目名称</t>
    <phoneticPr fontId="2" type="noConversion"/>
  </si>
  <si>
    <t>税费说明</t>
    <phoneticPr fontId="2" type="noConversion"/>
  </si>
  <si>
    <t>开发及销售计划</t>
    <phoneticPr fontId="2" type="noConversion"/>
  </si>
  <si>
    <t>现金流量</t>
    <phoneticPr fontId="2" type="noConversion"/>
  </si>
  <si>
    <t>利润预测</t>
    <phoneticPr fontId="2" type="noConversion"/>
  </si>
  <si>
    <t>检查式</t>
    <phoneticPr fontId="2" type="noConversion"/>
  </si>
  <si>
    <t>备注</t>
    <phoneticPr fontId="2" type="noConversion"/>
  </si>
  <si>
    <t>销售收入</t>
    <phoneticPr fontId="2" type="noConversion"/>
  </si>
  <si>
    <t>项目总投资</t>
    <phoneticPr fontId="2" type="noConversion"/>
  </si>
  <si>
    <t>总地价</t>
    <phoneticPr fontId="2" type="noConversion"/>
  </si>
  <si>
    <t>营业税金及附加合计</t>
    <phoneticPr fontId="32" type="noConversion"/>
  </si>
  <si>
    <r>
      <t xml:space="preserve">          </t>
    </r>
    <r>
      <rPr>
        <sz val="10"/>
        <rFont val="宋体"/>
        <charset val="134"/>
      </rPr>
      <t>企业所得税</t>
    </r>
    <phoneticPr fontId="32" type="noConversion"/>
  </si>
  <si>
    <t>税后利润</t>
    <phoneticPr fontId="2" type="noConversion"/>
  </si>
  <si>
    <t>现金流入</t>
    <phoneticPr fontId="2" type="noConversion"/>
  </si>
  <si>
    <t>现金流出</t>
    <phoneticPr fontId="2" type="noConversion"/>
  </si>
  <si>
    <t>净现金流</t>
    <phoneticPr fontId="2" type="noConversion"/>
  </si>
  <si>
    <t>资金成本</t>
    <phoneticPr fontId="2" type="noConversion"/>
  </si>
  <si>
    <t>检查式合计</t>
    <phoneticPr fontId="2" type="noConversion"/>
  </si>
  <si>
    <t>成本情况</t>
    <phoneticPr fontId="2" type="noConversion"/>
  </si>
  <si>
    <t>规划指标</t>
    <phoneticPr fontId="2" type="noConversion"/>
  </si>
  <si>
    <t>税前利润</t>
    <phoneticPr fontId="2" type="noConversion"/>
  </si>
  <si>
    <t>1.4.2</t>
  </si>
  <si>
    <t>1.4.3</t>
  </si>
  <si>
    <t>1.4.4</t>
  </si>
  <si>
    <t>1.4.5</t>
  </si>
  <si>
    <t>土地获得价款</t>
    <phoneticPr fontId="2" type="noConversion"/>
  </si>
  <si>
    <t>前期准备费</t>
    <phoneticPr fontId="2" type="noConversion"/>
  </si>
  <si>
    <t>主体建筑安装工程费</t>
    <phoneticPr fontId="2" type="noConversion"/>
  </si>
  <si>
    <t>社区管网工程费</t>
    <phoneticPr fontId="2" type="noConversion"/>
  </si>
  <si>
    <t>园林景观工程费</t>
    <phoneticPr fontId="2" type="noConversion"/>
  </si>
  <si>
    <t>公共配套设施费</t>
    <phoneticPr fontId="2" type="noConversion"/>
  </si>
  <si>
    <t>开发间接费</t>
    <phoneticPr fontId="2" type="noConversion"/>
  </si>
  <si>
    <t>营销费</t>
    <phoneticPr fontId="2" type="noConversion"/>
  </si>
  <si>
    <t>财务费</t>
    <phoneticPr fontId="2" type="noConversion"/>
  </si>
  <si>
    <t>税金</t>
    <phoneticPr fontId="2" type="noConversion"/>
  </si>
  <si>
    <t>机动数</t>
    <phoneticPr fontId="2" type="noConversion"/>
  </si>
  <si>
    <t>企业风险基金</t>
    <phoneticPr fontId="2" type="noConversion"/>
  </si>
  <si>
    <t>成本机动数及企业风险基金</t>
    <phoneticPr fontId="2" type="noConversion"/>
  </si>
  <si>
    <t>开发间接费（不含资本化财务费用）</t>
    <phoneticPr fontId="2" type="noConversion"/>
  </si>
  <si>
    <t>项目总投资</t>
    <phoneticPr fontId="2" type="noConversion"/>
  </si>
  <si>
    <t>一级科目</t>
    <phoneticPr fontId="2" type="noConversion"/>
  </si>
  <si>
    <t>二级科目</t>
    <phoneticPr fontId="2" type="noConversion"/>
  </si>
  <si>
    <t>三级科目编号</t>
    <phoneticPr fontId="2" type="noConversion"/>
  </si>
  <si>
    <t>三级科目</t>
    <phoneticPr fontId="2" type="noConversion"/>
  </si>
  <si>
    <t>四级科目编号</t>
    <phoneticPr fontId="2" type="noConversion"/>
  </si>
  <si>
    <t>四级科目(项目明细)</t>
    <phoneticPr fontId="2" type="noConversion"/>
  </si>
  <si>
    <t>一、开发成本合计</t>
    <phoneticPr fontId="2" type="noConversion"/>
  </si>
  <si>
    <t>土地获得价款小计</t>
    <phoneticPr fontId="2" type="noConversion"/>
  </si>
  <si>
    <t>1.1.1</t>
    <phoneticPr fontId="2" type="noConversion"/>
  </si>
  <si>
    <t>政府地价</t>
    <phoneticPr fontId="2" type="noConversion"/>
  </si>
  <si>
    <t>1.1.1.1</t>
    <phoneticPr fontId="2" type="noConversion"/>
  </si>
  <si>
    <t>土地出让费/转让费/征用费</t>
    <phoneticPr fontId="2" type="noConversion"/>
  </si>
  <si>
    <t>土地勘界费</t>
    <phoneticPr fontId="2" type="noConversion"/>
  </si>
  <si>
    <t>土地评估费</t>
    <phoneticPr fontId="2" type="noConversion"/>
  </si>
  <si>
    <t>土地契税</t>
    <phoneticPr fontId="2" type="noConversion"/>
  </si>
  <si>
    <t>土地使用费</t>
    <phoneticPr fontId="2" type="noConversion"/>
  </si>
  <si>
    <t>耕地占用税</t>
    <phoneticPr fontId="2" type="noConversion"/>
  </si>
  <si>
    <t>土地变更用途和超面积补交的地价</t>
    <phoneticPr fontId="2" type="noConversion"/>
  </si>
  <si>
    <t>1.1.2</t>
    <phoneticPr fontId="2" type="noConversion"/>
  </si>
  <si>
    <t>合作款项</t>
    <phoneticPr fontId="2" type="noConversion"/>
  </si>
  <si>
    <t>1.1.2.1</t>
    <phoneticPr fontId="2" type="noConversion"/>
  </si>
  <si>
    <t>为获土地收购公司费用</t>
    <phoneticPr fontId="2" type="noConversion"/>
  </si>
  <si>
    <t>1.1.3</t>
    <phoneticPr fontId="2" type="noConversion"/>
  </si>
  <si>
    <t>红线外大市政配套费</t>
    <phoneticPr fontId="2" type="noConversion"/>
  </si>
  <si>
    <t>1.1.4</t>
  </si>
  <si>
    <t>增容费</t>
    <phoneticPr fontId="2" type="noConversion"/>
  </si>
  <si>
    <t>1.1.5</t>
  </si>
  <si>
    <t>拆迁补偿费</t>
    <phoneticPr fontId="2" type="noConversion"/>
  </si>
  <si>
    <t>1.1.6</t>
  </si>
  <si>
    <t>土地评估调整（内部考核）</t>
    <phoneticPr fontId="2" type="noConversion"/>
  </si>
  <si>
    <t>前期准备费小计</t>
    <phoneticPr fontId="2" type="noConversion"/>
  </si>
  <si>
    <t>前期费用</t>
    <phoneticPr fontId="2" type="noConversion"/>
  </si>
  <si>
    <t>1.2.1</t>
    <phoneticPr fontId="2" type="noConversion"/>
  </si>
  <si>
    <t xml:space="preserve">勘察费 </t>
    <phoneticPr fontId="2" type="noConversion"/>
  </si>
  <si>
    <t>小计</t>
    <phoneticPr fontId="2" type="noConversion"/>
  </si>
  <si>
    <t>1.2.2</t>
  </si>
  <si>
    <t>设计费</t>
    <phoneticPr fontId="2" type="noConversion"/>
  </si>
  <si>
    <t>1.2.3</t>
  </si>
  <si>
    <t>报批报建费</t>
    <phoneticPr fontId="2" type="noConversion"/>
  </si>
  <si>
    <t>1.2.4</t>
  </si>
  <si>
    <t>三通一平费</t>
    <phoneticPr fontId="2" type="noConversion"/>
  </si>
  <si>
    <t>1.2.5</t>
  </si>
  <si>
    <t>临时设施费</t>
    <phoneticPr fontId="2" type="noConversion"/>
  </si>
  <si>
    <t>1.2.6</t>
  </si>
  <si>
    <t>咨讯顾问费</t>
    <phoneticPr fontId="2" type="noConversion"/>
  </si>
  <si>
    <t>主体建筑安装工程费小计</t>
    <phoneticPr fontId="2" type="noConversion"/>
  </si>
  <si>
    <t>1.3.1</t>
    <phoneticPr fontId="2" type="noConversion"/>
  </si>
  <si>
    <t>主体建筑安装工程</t>
    <phoneticPr fontId="2" type="noConversion"/>
  </si>
  <si>
    <t>社区管网工程费小计</t>
    <phoneticPr fontId="2" type="noConversion"/>
  </si>
  <si>
    <t>社区管网工程费</t>
    <phoneticPr fontId="2" type="noConversion"/>
  </si>
  <si>
    <t>1.4.1</t>
    <phoneticPr fontId="2" type="noConversion"/>
  </si>
  <si>
    <t>室外集水系统费（包括给排水、采暖系统）</t>
    <phoneticPr fontId="2" type="noConversion"/>
  </si>
  <si>
    <t>室外电气工程费（包括电气及高低配电工程、泛光照明系统、弱电系统、电表集抄系统）</t>
    <phoneticPr fontId="2" type="noConversion"/>
  </si>
  <si>
    <t>室外消防系统</t>
    <phoneticPr fontId="2" type="noConversion"/>
  </si>
  <si>
    <t>燃气系统</t>
    <phoneticPr fontId="2" type="noConversion"/>
  </si>
  <si>
    <t>室外道路系统</t>
    <phoneticPr fontId="2" type="noConversion"/>
  </si>
  <si>
    <t>园林景观工程费</t>
    <phoneticPr fontId="2" type="noConversion"/>
  </si>
  <si>
    <t>公共配套设施费小计</t>
    <phoneticPr fontId="2" type="noConversion"/>
  </si>
  <si>
    <t>1.6.1</t>
    <phoneticPr fontId="2" type="noConversion"/>
  </si>
  <si>
    <t>公共配套设施(一)其成本只有本期承担</t>
    <phoneticPr fontId="2" type="noConversion"/>
  </si>
  <si>
    <t>公共配套设施（一）其成本只有本期承担</t>
    <phoneticPr fontId="2" type="noConversion"/>
  </si>
  <si>
    <t>1.6.1.1</t>
    <phoneticPr fontId="2" type="noConversion"/>
  </si>
  <si>
    <t>岗亭、属于本期的物业管理用房</t>
    <phoneticPr fontId="2" type="noConversion"/>
  </si>
  <si>
    <t>自行车棚</t>
    <phoneticPr fontId="2" type="noConversion"/>
  </si>
  <si>
    <t>儿童乐园、游艺设施、室外健身器材</t>
    <phoneticPr fontId="2" type="noConversion"/>
  </si>
  <si>
    <t>1.6.2</t>
    <phoneticPr fontId="2" type="noConversion"/>
  </si>
  <si>
    <t>公共配套设施(二)跨期分摊的项目</t>
    <phoneticPr fontId="2" type="noConversion"/>
  </si>
  <si>
    <t>公共配套（二）跨期分摊的项目</t>
    <phoneticPr fontId="2" type="noConversion"/>
  </si>
  <si>
    <t>1.6.2.1</t>
    <phoneticPr fontId="2" type="noConversion"/>
  </si>
  <si>
    <t>开发间接费小计</t>
    <phoneticPr fontId="2" type="noConversion"/>
  </si>
  <si>
    <t>1.7.1</t>
    <phoneticPr fontId="2" type="noConversion"/>
  </si>
  <si>
    <t>工程管理费</t>
    <phoneticPr fontId="2" type="noConversion"/>
  </si>
  <si>
    <t>1.7.2</t>
  </si>
  <si>
    <t>资本化财务费用</t>
    <phoneticPr fontId="2" type="noConversion"/>
  </si>
  <si>
    <t>1.7.3</t>
  </si>
  <si>
    <t>物业管理完善费</t>
    <phoneticPr fontId="2" type="noConversion"/>
  </si>
  <si>
    <t>期间费用</t>
    <phoneticPr fontId="2" type="noConversion"/>
  </si>
  <si>
    <t>营销费</t>
    <phoneticPr fontId="2" type="noConversion"/>
  </si>
  <si>
    <t>税金</t>
    <phoneticPr fontId="2" type="noConversion"/>
  </si>
  <si>
    <t>机动数及企业风险基金</t>
    <phoneticPr fontId="2" type="noConversion"/>
  </si>
  <si>
    <t>机动数小计</t>
    <phoneticPr fontId="2" type="noConversion"/>
  </si>
  <si>
    <t>企业风险基金小计</t>
    <phoneticPr fontId="2" type="noConversion"/>
  </si>
  <si>
    <t>本项成本           (万元)</t>
    <phoneticPr fontId="2" type="noConversion"/>
  </si>
  <si>
    <t>编制说明附件文号</t>
    <phoneticPr fontId="2" type="noConversion"/>
  </si>
  <si>
    <t>项目总成本</t>
    <phoneticPr fontId="2" type="noConversion"/>
  </si>
  <si>
    <t>项目盈利空间(可销售总额-项目总成本)</t>
    <phoneticPr fontId="2" type="noConversion"/>
  </si>
  <si>
    <t>项目成本总结</t>
    <phoneticPr fontId="2" type="noConversion"/>
  </si>
  <si>
    <t>各项成本总额</t>
    <phoneticPr fontId="2" type="noConversion"/>
  </si>
  <si>
    <t>可销售总额和产品销货成本</t>
    <phoneticPr fontId="2" type="noConversion"/>
  </si>
  <si>
    <t>产品类型</t>
    <phoneticPr fontId="2" type="noConversion"/>
  </si>
  <si>
    <t>可销售总额（万元）</t>
    <phoneticPr fontId="2" type="noConversion"/>
  </si>
  <si>
    <t>产品销货成本（万元）</t>
    <phoneticPr fontId="2" type="noConversion"/>
  </si>
  <si>
    <t>销售总额（万元）</t>
    <phoneticPr fontId="2" type="noConversion"/>
  </si>
  <si>
    <t>总结栏</t>
    <phoneticPr fontId="2" type="noConversion"/>
  </si>
  <si>
    <t>二、期间费用合计</t>
    <phoneticPr fontId="2" type="noConversion"/>
  </si>
  <si>
    <t xml:space="preserve"> 三、成本机动数及企业风险基金合计</t>
    <phoneticPr fontId="2" type="noConversion"/>
  </si>
  <si>
    <t>成本机动数及企业风险基金合计</t>
    <phoneticPr fontId="2" type="noConversion"/>
  </si>
  <si>
    <r>
      <t>销售单价(元/m</t>
    </r>
    <r>
      <rPr>
        <vertAlign val="superscript"/>
        <sz val="10"/>
        <rFont val="宋体"/>
        <charset val="134"/>
      </rPr>
      <t>2</t>
    </r>
    <r>
      <rPr>
        <sz val="10"/>
        <rFont val="宋体"/>
        <charset val="134"/>
      </rPr>
      <t>)</t>
    </r>
    <phoneticPr fontId="2" type="noConversion"/>
  </si>
  <si>
    <r>
      <t>销货成本单价(元/m</t>
    </r>
    <r>
      <rPr>
        <vertAlign val="superscript"/>
        <sz val="10"/>
        <rFont val="宋体"/>
        <charset val="134"/>
      </rPr>
      <t>2</t>
    </r>
    <r>
      <rPr>
        <sz val="10"/>
        <rFont val="宋体"/>
        <charset val="134"/>
      </rPr>
      <t>)</t>
    </r>
    <phoneticPr fontId="2" type="noConversion"/>
  </si>
  <si>
    <t>总销货成本（万元）</t>
    <phoneticPr fontId="2" type="noConversion"/>
  </si>
  <si>
    <r>
      <t>可销售面积（m</t>
    </r>
    <r>
      <rPr>
        <b/>
        <vertAlign val="superscript"/>
        <sz val="10"/>
        <rFont val="宋体"/>
        <charset val="134"/>
      </rPr>
      <t>2</t>
    </r>
    <r>
      <rPr>
        <b/>
        <sz val="10"/>
        <rFont val="宋体"/>
        <charset val="134"/>
      </rPr>
      <t>）</t>
    </r>
    <phoneticPr fontId="2" type="noConversion"/>
  </si>
  <si>
    <t>洋房</t>
    <phoneticPr fontId="2" type="noConversion"/>
  </si>
  <si>
    <r>
      <t>应纳税所得额</t>
    </r>
    <r>
      <rPr>
        <sz val="10"/>
        <rFont val="Times New Roman"/>
        <family val="1"/>
      </rPr>
      <t>*%</t>
    </r>
    <phoneticPr fontId="32" type="noConversion"/>
  </si>
  <si>
    <t>说明：</t>
    <phoneticPr fontId="2" type="noConversion"/>
  </si>
  <si>
    <t>成本机动数及企业风险基金</t>
    <phoneticPr fontId="2" type="noConversion"/>
  </si>
  <si>
    <t>现金流入</t>
    <phoneticPr fontId="2" type="noConversion"/>
  </si>
  <si>
    <t>现金流出</t>
    <phoneticPr fontId="2" type="noConversion"/>
  </si>
  <si>
    <t>四、累计净流量</t>
    <phoneticPr fontId="2" type="noConversion"/>
  </si>
  <si>
    <t>累计净流量</t>
    <phoneticPr fontId="2" type="noConversion"/>
  </si>
  <si>
    <t xml:space="preserve">资金需求分析表 </t>
    <phoneticPr fontId="2" type="noConversion"/>
  </si>
  <si>
    <t>二</t>
    <phoneticPr fontId="2" type="noConversion"/>
  </si>
  <si>
    <t>资金流出</t>
    <phoneticPr fontId="2" type="noConversion"/>
  </si>
  <si>
    <t>所得税</t>
    <phoneticPr fontId="2" type="noConversion"/>
  </si>
  <si>
    <t>三</t>
    <phoneticPr fontId="2" type="noConversion"/>
  </si>
  <si>
    <t>资金缺口</t>
    <phoneticPr fontId="2" type="noConversion"/>
  </si>
  <si>
    <t>四</t>
    <phoneticPr fontId="2" type="noConversion"/>
  </si>
  <si>
    <t>银行贷款</t>
    <phoneticPr fontId="2" type="noConversion"/>
  </si>
  <si>
    <t>盈余资金</t>
    <phoneticPr fontId="2" type="noConversion"/>
  </si>
  <si>
    <t>累计盈余资金</t>
    <phoneticPr fontId="2" type="noConversion"/>
  </si>
  <si>
    <t>单位：万元</t>
    <phoneticPr fontId="2" type="noConversion"/>
  </si>
  <si>
    <t>一</t>
    <phoneticPr fontId="2" type="noConversion"/>
  </si>
  <si>
    <t>资金流入</t>
    <phoneticPr fontId="2" type="noConversion"/>
  </si>
  <si>
    <t>销售收入</t>
    <phoneticPr fontId="2" type="noConversion"/>
  </si>
  <si>
    <t>策略联盟</t>
    <phoneticPr fontId="2" type="noConversion"/>
  </si>
  <si>
    <t>五</t>
    <phoneticPr fontId="2" type="noConversion"/>
  </si>
  <si>
    <t>六</t>
    <phoneticPr fontId="2" type="noConversion"/>
  </si>
  <si>
    <t>资金成本</t>
    <phoneticPr fontId="2" type="noConversion"/>
  </si>
  <si>
    <t>累计盈余资金</t>
    <phoneticPr fontId="2" type="noConversion"/>
  </si>
  <si>
    <r>
      <t>2</t>
    </r>
    <r>
      <rPr>
        <sz val="10"/>
        <rFont val="宋体"/>
        <charset val="134"/>
      </rPr>
      <t>、销售净利率≥</t>
    </r>
    <r>
      <rPr>
        <sz val="10"/>
        <rFont val="Times New Roman"/>
        <family val="1"/>
      </rPr>
      <t>12%</t>
    </r>
    <phoneticPr fontId="2" type="noConversion"/>
  </si>
  <si>
    <t>自有资金投资回报率</t>
    <phoneticPr fontId="2" type="noConversion"/>
  </si>
  <si>
    <t xml:space="preserve">审核人：           </t>
    <phoneticPr fontId="2" type="noConversion"/>
  </si>
  <si>
    <r>
      <t>项目净利润</t>
    </r>
    <r>
      <rPr>
        <sz val="10"/>
        <rFont val="Times New Roman"/>
        <family val="1"/>
      </rPr>
      <t>/</t>
    </r>
    <r>
      <rPr>
        <sz val="10"/>
        <rFont val="宋体"/>
        <charset val="134"/>
      </rPr>
      <t>销售收入</t>
    </r>
    <r>
      <rPr>
        <sz val="10"/>
        <rFont val="Times New Roman"/>
        <family val="1"/>
      </rPr>
      <t>×100%</t>
    </r>
    <phoneticPr fontId="2" type="noConversion"/>
  </si>
  <si>
    <t>项目净利润/自有资金×100%</t>
    <phoneticPr fontId="2" type="noConversion"/>
  </si>
  <si>
    <r>
      <t>项目净利润</t>
    </r>
    <r>
      <rPr>
        <sz val="10"/>
        <rFont val="Times New Roman"/>
        <family val="1"/>
      </rPr>
      <t>/</t>
    </r>
    <r>
      <rPr>
        <sz val="10"/>
        <rFont val="宋体"/>
        <charset val="134"/>
      </rPr>
      <t>自有资金</t>
    </r>
    <r>
      <rPr>
        <sz val="10"/>
        <rFont val="Times New Roman"/>
        <family val="1"/>
      </rPr>
      <t>×100%</t>
    </r>
    <phoneticPr fontId="2" type="noConversion"/>
  </si>
  <si>
    <r>
      <t xml:space="preserve">  </t>
    </r>
    <r>
      <rPr>
        <b/>
        <sz val="10"/>
        <rFont val="宋体"/>
        <charset val="134"/>
      </rPr>
      <t>项目名称：</t>
    </r>
    <r>
      <rPr>
        <b/>
        <sz val="10"/>
        <rFont val="Times New Roman"/>
        <family val="1"/>
      </rPr>
      <t xml:space="preserve">                </t>
    </r>
    <phoneticPr fontId="2" type="noConversion"/>
  </si>
  <si>
    <t>经济指标</t>
    <phoneticPr fontId="2" type="noConversion"/>
  </si>
  <si>
    <t>一、售价的影响</t>
    <phoneticPr fontId="2" type="noConversion"/>
  </si>
  <si>
    <t>预计售价</t>
    <phoneticPr fontId="2" type="noConversion"/>
  </si>
  <si>
    <t>敏感系数</t>
    <phoneticPr fontId="2" type="noConversion"/>
  </si>
  <si>
    <r>
      <t>（</t>
    </r>
    <r>
      <rPr>
        <sz val="10"/>
        <rFont val="Times New Roman"/>
        <family val="1"/>
      </rPr>
      <t>×</t>
    </r>
    <r>
      <rPr>
        <sz val="10"/>
        <rFont val="宋体"/>
        <charset val="134"/>
      </rPr>
      <t>100%）</t>
    </r>
    <phoneticPr fontId="2" type="noConversion"/>
  </si>
  <si>
    <r>
      <t>（</t>
    </r>
    <r>
      <rPr>
        <sz val="10"/>
        <rFont val="Times New Roman"/>
        <family val="1"/>
      </rPr>
      <t>×</t>
    </r>
    <r>
      <rPr>
        <sz val="10"/>
        <rFont val="宋体"/>
        <charset val="134"/>
      </rPr>
      <t>95%）</t>
    </r>
    <phoneticPr fontId="2" type="noConversion"/>
  </si>
  <si>
    <r>
      <t>（</t>
    </r>
    <r>
      <rPr>
        <sz val="10"/>
        <rFont val="Times New Roman"/>
        <family val="1"/>
      </rPr>
      <t>×</t>
    </r>
    <r>
      <rPr>
        <sz val="10"/>
        <rFont val="宋体"/>
        <charset val="134"/>
      </rPr>
      <t>90%）</t>
    </r>
    <r>
      <rPr>
        <b/>
        <sz val="12"/>
        <rFont val="Times New Roman"/>
        <family val="1"/>
      </rPr>
      <t/>
    </r>
    <phoneticPr fontId="2" type="noConversion"/>
  </si>
  <si>
    <r>
      <t>（</t>
    </r>
    <r>
      <rPr>
        <sz val="10"/>
        <rFont val="Times New Roman"/>
        <family val="1"/>
      </rPr>
      <t>×</t>
    </r>
    <r>
      <rPr>
        <sz val="10"/>
        <rFont val="宋体"/>
        <charset val="134"/>
      </rPr>
      <t>105%）</t>
    </r>
    <phoneticPr fontId="2" type="noConversion"/>
  </si>
  <si>
    <r>
      <t>（</t>
    </r>
    <r>
      <rPr>
        <sz val="10"/>
        <rFont val="Times New Roman"/>
        <family val="1"/>
      </rPr>
      <t>×</t>
    </r>
    <r>
      <rPr>
        <sz val="10"/>
        <rFont val="宋体"/>
        <charset val="134"/>
      </rPr>
      <t>110%）</t>
    </r>
    <phoneticPr fontId="2" type="noConversion"/>
  </si>
  <si>
    <r>
      <t>销售均价</t>
    </r>
    <r>
      <rPr>
        <sz val="10"/>
        <color indexed="12"/>
        <rFont val="Times New Roman"/>
        <family val="1"/>
      </rPr>
      <t>(</t>
    </r>
    <r>
      <rPr>
        <sz val="10"/>
        <color indexed="12"/>
        <rFont val="宋体"/>
        <charset val="134"/>
      </rPr>
      <t>元/m</t>
    </r>
    <r>
      <rPr>
        <vertAlign val="superscript"/>
        <sz val="10"/>
        <color indexed="12"/>
        <rFont val="宋体"/>
        <charset val="134"/>
      </rPr>
      <t>2</t>
    </r>
    <r>
      <rPr>
        <sz val="10"/>
        <color indexed="12"/>
        <rFont val="Times New Roman"/>
        <family val="1"/>
      </rPr>
      <t>)</t>
    </r>
    <phoneticPr fontId="2" type="noConversion"/>
  </si>
  <si>
    <r>
      <t xml:space="preserve">      </t>
    </r>
    <r>
      <rPr>
        <sz val="10"/>
        <rFont val="宋体"/>
        <charset val="134"/>
      </rPr>
      <t>营业收入</t>
    </r>
    <phoneticPr fontId="2" type="noConversion"/>
  </si>
  <si>
    <r>
      <t xml:space="preserve">      </t>
    </r>
    <r>
      <rPr>
        <sz val="10"/>
        <rFont val="宋体"/>
        <charset val="134"/>
      </rPr>
      <t>税后利润</t>
    </r>
    <phoneticPr fontId="2" type="noConversion"/>
  </si>
  <si>
    <r>
      <t xml:space="preserve">      </t>
    </r>
    <r>
      <rPr>
        <sz val="10"/>
        <rFont val="宋体"/>
        <charset val="134"/>
      </rPr>
      <t>单位净利</t>
    </r>
    <phoneticPr fontId="2" type="noConversion"/>
  </si>
  <si>
    <r>
      <t xml:space="preserve">      </t>
    </r>
    <r>
      <rPr>
        <sz val="10"/>
        <rFont val="宋体"/>
        <charset val="134"/>
      </rPr>
      <t>销售毛利率</t>
    </r>
    <r>
      <rPr>
        <sz val="10"/>
        <rFont val="Times New Roman"/>
        <family val="1"/>
      </rPr>
      <t>%</t>
    </r>
    <phoneticPr fontId="2" type="noConversion"/>
  </si>
  <si>
    <r>
      <t xml:space="preserve">      </t>
    </r>
    <r>
      <rPr>
        <sz val="10"/>
        <rFont val="宋体"/>
        <charset val="134"/>
      </rPr>
      <t>销售净利率</t>
    </r>
    <r>
      <rPr>
        <sz val="10"/>
        <rFont val="Times New Roman"/>
        <family val="1"/>
      </rPr>
      <t>%</t>
    </r>
    <phoneticPr fontId="2" type="noConversion"/>
  </si>
  <si>
    <t>敏感系数（净利率）</t>
    <phoneticPr fontId="2" type="noConversion"/>
  </si>
  <si>
    <t>二、成本的影响</t>
    <phoneticPr fontId="2" type="noConversion"/>
  </si>
  <si>
    <t>估算成本</t>
    <phoneticPr fontId="2" type="noConversion"/>
  </si>
  <si>
    <t xml:space="preserve">   开发总成本</t>
    <phoneticPr fontId="2" type="noConversion"/>
  </si>
  <si>
    <r>
      <t xml:space="preserve">      </t>
    </r>
    <r>
      <rPr>
        <sz val="10"/>
        <rFont val="宋体"/>
        <charset val="134"/>
      </rPr>
      <t>税前利润</t>
    </r>
    <phoneticPr fontId="2" type="noConversion"/>
  </si>
  <si>
    <t>土地成本（万元）</t>
    <phoneticPr fontId="2" type="noConversion"/>
  </si>
  <si>
    <r>
      <t xml:space="preserve">      </t>
    </r>
    <r>
      <rPr>
        <sz val="10"/>
        <rFont val="宋体"/>
        <charset val="134"/>
      </rPr>
      <t>税前利润</t>
    </r>
    <phoneticPr fontId="2" type="noConversion"/>
  </si>
  <si>
    <r>
      <t>营业收入</t>
    </r>
    <r>
      <rPr>
        <sz val="10"/>
        <rFont val="Times New Roman"/>
        <family val="1"/>
      </rPr>
      <t>*%</t>
    </r>
    <r>
      <rPr>
        <b/>
        <sz val="12"/>
        <rFont val="Times New Roman"/>
        <family val="1"/>
      </rPr>
      <t/>
    </r>
    <phoneticPr fontId="32" type="noConversion"/>
  </si>
  <si>
    <t>销售额*%</t>
    <phoneticPr fontId="2" type="noConversion"/>
  </si>
  <si>
    <t>序号</t>
    <phoneticPr fontId="2" type="noConversion"/>
  </si>
  <si>
    <t xml:space="preserve">               年度
项目</t>
    <phoneticPr fontId="2" type="noConversion"/>
  </si>
  <si>
    <t>合计</t>
    <phoneticPr fontId="2" type="noConversion"/>
  </si>
  <si>
    <t>资金峰值为累计负向净现金流量的最大值</t>
    <phoneticPr fontId="2" type="noConversion"/>
  </si>
  <si>
    <r>
      <t>3</t>
    </r>
    <r>
      <rPr>
        <sz val="10"/>
        <rFont val="宋体"/>
        <charset val="134"/>
      </rPr>
      <t>、自有资金投资回报率</t>
    </r>
    <phoneticPr fontId="2" type="noConversion"/>
  </si>
  <si>
    <r>
      <t>3</t>
    </r>
    <r>
      <rPr>
        <sz val="10"/>
        <rFont val="宋体"/>
        <charset val="134"/>
      </rPr>
      <t>、自有资金投资回报率≥</t>
    </r>
    <r>
      <rPr>
        <sz val="10"/>
        <rFont val="Times New Roman"/>
        <family val="1"/>
      </rPr>
      <t>70%</t>
    </r>
    <phoneticPr fontId="2" type="noConversion"/>
  </si>
  <si>
    <t xml:space="preserve">填表人：              </t>
    <phoneticPr fontId="2" type="noConversion"/>
  </si>
  <si>
    <t>居住用地开发强度分析计算器</t>
    <phoneticPr fontId="2" type="noConversion"/>
  </si>
  <si>
    <t>建筑高度(m);</t>
    <phoneticPr fontId="2" type="noConversion"/>
  </si>
  <si>
    <t>建筑面积毛密度(容积率):</t>
    <phoneticPr fontId="2" type="noConversion"/>
  </si>
  <si>
    <t>停车率(辆/户)</t>
    <phoneticPr fontId="2" type="noConversion"/>
  </si>
  <si>
    <t>建筑密度(%):</t>
    <phoneticPr fontId="2" type="noConversion"/>
  </si>
  <si>
    <t xml:space="preserve"> 敏感系数：100%</t>
  </si>
  <si>
    <t>用地面积(㎡):</t>
    <phoneticPr fontId="2" type="noConversion"/>
  </si>
  <si>
    <r>
      <t>绿化率</t>
    </r>
    <r>
      <rPr>
        <sz val="10"/>
        <rFont val="Times New Roman"/>
        <family val="1"/>
      </rPr>
      <t>%</t>
    </r>
  </si>
  <si>
    <t>总建筑面积</t>
    <phoneticPr fontId="2" type="noConversion"/>
  </si>
  <si>
    <t>计容积率建筑面积</t>
    <phoneticPr fontId="2" type="noConversion"/>
  </si>
  <si>
    <t>不计容积率建筑面积</t>
    <phoneticPr fontId="2" type="noConversion"/>
  </si>
  <si>
    <t>可售建筑面积</t>
    <phoneticPr fontId="2" type="noConversion"/>
  </si>
  <si>
    <t>产品组合</t>
    <phoneticPr fontId="2" type="noConversion"/>
  </si>
  <si>
    <t>建筑面积</t>
    <phoneticPr fontId="2" type="noConversion"/>
  </si>
  <si>
    <t>可售面积</t>
    <phoneticPr fontId="2" type="noConversion"/>
  </si>
  <si>
    <t>产品比例</t>
    <phoneticPr fontId="2" type="noConversion"/>
  </si>
  <si>
    <t>平均每户面积</t>
    <phoneticPr fontId="2" type="noConversion"/>
  </si>
  <si>
    <t>总户数</t>
    <phoneticPr fontId="2" type="noConversion"/>
  </si>
  <si>
    <t>住宅</t>
    <phoneticPr fontId="2" type="noConversion"/>
  </si>
  <si>
    <t>车位数</t>
    <phoneticPr fontId="2" type="noConversion"/>
  </si>
  <si>
    <t>总户数(户)</t>
    <phoneticPr fontId="2" type="noConversion"/>
  </si>
  <si>
    <t>绿地率(%):</t>
    <phoneticPr fontId="2" type="noConversion"/>
  </si>
  <si>
    <t>车位数(辆)</t>
    <phoneticPr fontId="2" type="noConversion"/>
  </si>
  <si>
    <t>地上</t>
    <phoneticPr fontId="2" type="noConversion"/>
  </si>
  <si>
    <t>总建筑面积(㎡):</t>
    <phoneticPr fontId="2" type="noConversion"/>
  </si>
  <si>
    <t>地下</t>
    <phoneticPr fontId="2" type="noConversion"/>
  </si>
  <si>
    <t>地上建筑面积(㎡):</t>
    <phoneticPr fontId="2" type="noConversion"/>
  </si>
  <si>
    <t>住宅建筑面积(㎡):</t>
    <phoneticPr fontId="2" type="noConversion"/>
  </si>
  <si>
    <t>其
中</t>
    <phoneticPr fontId="2" type="noConversion"/>
  </si>
  <si>
    <t>产品类别</t>
    <phoneticPr fontId="2" type="noConversion"/>
  </si>
  <si>
    <t>占住宅总建筑面积比例(%)</t>
    <phoneticPr fontId="2" type="noConversion"/>
  </si>
  <si>
    <t>建筑面积(㎡):</t>
    <phoneticPr fontId="2" type="noConversion"/>
  </si>
  <si>
    <t>备注</t>
    <phoneticPr fontId="2" type="noConversion"/>
  </si>
  <si>
    <t>多层住宅（4～6层）</t>
    <phoneticPr fontId="2" type="noConversion"/>
  </si>
  <si>
    <t>小高层住宅（7～11.5层）</t>
    <phoneticPr fontId="2" type="noConversion"/>
  </si>
  <si>
    <t>中高层住宅（12～18层）</t>
    <phoneticPr fontId="2" type="noConversion"/>
  </si>
  <si>
    <t>高层住宅（19层～100m）</t>
    <phoneticPr fontId="2" type="noConversion"/>
  </si>
  <si>
    <t>配套公建建筑面积(㎡):</t>
    <phoneticPr fontId="2" type="noConversion"/>
  </si>
  <si>
    <t>地下建筑面积(㎡):</t>
    <phoneticPr fontId="2" type="noConversion"/>
  </si>
  <si>
    <t>地上停车面积(㎡):</t>
    <phoneticPr fontId="2" type="noConversion"/>
  </si>
  <si>
    <t>面积单位：</t>
    <phoneticPr fontId="2" type="noConversion"/>
  </si>
  <si>
    <t>平方米</t>
    <phoneticPr fontId="2" type="noConversion"/>
  </si>
  <si>
    <t>中高层住宅</t>
    <phoneticPr fontId="2" type="noConversion"/>
  </si>
  <si>
    <t>配套公建</t>
    <phoneticPr fontId="2" type="noConversion"/>
  </si>
  <si>
    <t>商业建筑面积(㎡):</t>
    <phoneticPr fontId="2" type="noConversion"/>
  </si>
  <si>
    <r>
      <t xml:space="preserve">  </t>
    </r>
    <r>
      <rPr>
        <sz val="10"/>
        <rFont val="宋体"/>
        <charset val="134"/>
      </rPr>
      <t>容积率</t>
    </r>
    <phoneticPr fontId="2" type="noConversion"/>
  </si>
  <si>
    <t>用地面积</t>
    <phoneticPr fontId="2" type="noConversion"/>
  </si>
  <si>
    <t>洋房</t>
    <phoneticPr fontId="2" type="noConversion"/>
  </si>
  <si>
    <t>小高层住宅</t>
    <phoneticPr fontId="2" type="noConversion"/>
  </si>
  <si>
    <t>工程款</t>
    <phoneticPr fontId="2" type="noConversion"/>
  </si>
  <si>
    <r>
      <t>一、开发计划（</t>
    </r>
    <r>
      <rPr>
        <b/>
        <sz val="10"/>
        <color indexed="12"/>
        <rFont val="Times New Roman"/>
        <family val="1"/>
      </rPr>
      <t>m</t>
    </r>
    <r>
      <rPr>
        <b/>
        <vertAlign val="superscript"/>
        <sz val="10"/>
        <color indexed="12"/>
        <rFont val="Times New Roman"/>
        <family val="1"/>
      </rPr>
      <t>2</t>
    </r>
    <r>
      <rPr>
        <b/>
        <sz val="10"/>
        <color indexed="12"/>
        <rFont val="宋体"/>
        <charset val="134"/>
      </rPr>
      <t>）</t>
    </r>
    <phoneticPr fontId="2" type="noConversion"/>
  </si>
  <si>
    <t>工程款</t>
    <phoneticPr fontId="2" type="noConversion"/>
  </si>
  <si>
    <t>1、本计算器适用于除超高层住宅（&gt;100m）以外的其他住宅项目开发；</t>
    <phoneticPr fontId="2" type="noConversion"/>
  </si>
  <si>
    <t>2、基本原理：在一定层数条件下，容积率与建筑密度成正比；在一定建筑密度条件下，容积率与层数成正比；</t>
    <phoneticPr fontId="2" type="noConversion"/>
  </si>
  <si>
    <t>3、在容积率不确定的情况下，可以利用本计算器进行试算，通过对不同容积率及产品组合的多方案比较，</t>
    <phoneticPr fontId="2" type="noConversion"/>
  </si>
  <si>
    <t xml:space="preserve">   导出最能满足集团对项目开发的基本指标要求的规划指标及产品组合；</t>
    <phoneticPr fontId="2" type="noConversion"/>
  </si>
  <si>
    <t>单元数(单元)</t>
    <phoneticPr fontId="2" type="noConversion"/>
  </si>
  <si>
    <t>4、本计算器可计算建筑密度和绿地率，从而通过计算出的建筑密度是否超过规划指标，来验证产品组合的合理性；</t>
    <phoneticPr fontId="2" type="noConversion"/>
  </si>
  <si>
    <t>5、计算出的相关数据均为经验估算值，仅作为投资专业人员分析项目的参考数据，并不作为概念性方案或规划设计方案的指导指标；</t>
    <phoneticPr fontId="2" type="noConversion"/>
  </si>
  <si>
    <t xml:space="preserve">   在规划指标没有确定的情况下，建筑密度可根据同区域类似项目的建筑密度进行取值；</t>
    <phoneticPr fontId="2" type="noConversion"/>
  </si>
  <si>
    <t>6、计算公式中的经验数值均为住宅小区通常情况设定的，针对具体项目可以进行调整。</t>
    <phoneticPr fontId="2" type="noConversion"/>
  </si>
  <si>
    <t>五、工程款支付节奏（万）</t>
    <phoneticPr fontId="2" type="noConversion"/>
  </si>
  <si>
    <t>五、资金成本</t>
    <phoneticPr fontId="2" type="noConversion"/>
  </si>
  <si>
    <r>
      <t xml:space="preserve">  </t>
    </r>
    <r>
      <rPr>
        <b/>
        <sz val="10"/>
        <color indexed="12"/>
        <rFont val="宋体"/>
        <charset val="134"/>
      </rPr>
      <t>六、内部收益率</t>
    </r>
    <r>
      <rPr>
        <sz val="10"/>
        <color indexed="12"/>
        <rFont val="Times New Roman"/>
        <family val="1"/>
      </rPr>
      <t>IRR</t>
    </r>
    <phoneticPr fontId="2" type="noConversion"/>
  </si>
  <si>
    <t>七、资金峰值</t>
    <phoneticPr fontId="2" type="noConversion"/>
  </si>
  <si>
    <t>说明</t>
    <phoneticPr fontId="2" type="noConversion"/>
  </si>
  <si>
    <t>1、资金组织中，要求填写借款和还款现金流。</t>
    <phoneticPr fontId="2" type="noConversion"/>
  </si>
  <si>
    <t>建筑密度%</t>
    <phoneticPr fontId="2" type="noConversion"/>
  </si>
  <si>
    <t>建筑密度%</t>
    <phoneticPr fontId="2" type="noConversion"/>
  </si>
  <si>
    <t>为获土地专项资本的利息</t>
    <phoneticPr fontId="2" type="noConversion"/>
  </si>
  <si>
    <t>包括直接用于项目开发所借入资金的利息支出、折价或溢价摊销和辅助费用，以及因外币借款而发生汇兑差额。因借款而发生的辅助费用包括手续费等。</t>
    <phoneticPr fontId="2" type="noConversion"/>
  </si>
  <si>
    <t>项目总成本的10%</t>
    <phoneticPr fontId="2" type="noConversion"/>
  </si>
  <si>
    <t>开发成本总计</t>
    <phoneticPr fontId="2" type="noConversion"/>
  </si>
  <si>
    <t>期间费用合计</t>
    <phoneticPr fontId="2" type="noConversion"/>
  </si>
  <si>
    <r>
      <t>出让地价</t>
    </r>
    <r>
      <rPr>
        <sz val="10"/>
        <rFont val="Times New Roman"/>
        <family val="1"/>
      </rPr>
      <t>*%</t>
    </r>
    <phoneticPr fontId="32" type="noConversion"/>
  </si>
  <si>
    <t>土地获得价款（不含为获土地专项资本的利息）</t>
    <phoneticPr fontId="2" type="noConversion"/>
  </si>
  <si>
    <t>计算式</t>
    <phoneticPr fontId="2" type="noConversion"/>
  </si>
  <si>
    <t>资金峰值</t>
    <phoneticPr fontId="2" type="noConversion"/>
  </si>
  <si>
    <t>累计现金流为正时所在的半年度</t>
    <phoneticPr fontId="2" type="noConversion"/>
  </si>
  <si>
    <r>
      <t xml:space="preserve">        1</t>
    </r>
    <r>
      <rPr>
        <sz val="10"/>
        <rFont val="宋体"/>
        <charset val="134"/>
      </rPr>
      <t>、现值可使用</t>
    </r>
    <r>
      <rPr>
        <sz val="10"/>
        <rFont val="Times New Roman"/>
        <family val="1"/>
      </rPr>
      <t>NPV</t>
    </r>
    <r>
      <rPr>
        <sz val="10"/>
        <rFont val="宋体"/>
        <charset val="134"/>
      </rPr>
      <t>函数，表达式=</t>
    </r>
    <r>
      <rPr>
        <sz val="10"/>
        <rFont val="Times New Roman"/>
        <family val="1"/>
      </rPr>
      <t>NPV</t>
    </r>
    <r>
      <rPr>
        <sz val="10"/>
        <rFont val="宋体"/>
        <charset val="134"/>
      </rPr>
      <t>（贴现率，</t>
    </r>
    <r>
      <rPr>
        <sz val="10"/>
        <rFont val="Times New Roman"/>
        <family val="1"/>
      </rPr>
      <t>B2</t>
    </r>
    <r>
      <rPr>
        <sz val="10"/>
        <rFont val="宋体"/>
        <charset val="134"/>
      </rPr>
      <t>：</t>
    </r>
    <r>
      <rPr>
        <sz val="10"/>
        <rFont val="Times New Roman"/>
        <family val="1"/>
      </rPr>
      <t>B</t>
    </r>
    <r>
      <rPr>
        <vertAlign val="subscript"/>
        <sz val="10"/>
        <rFont val="Times New Roman"/>
        <family val="1"/>
      </rPr>
      <t>n</t>
    </r>
    <r>
      <rPr>
        <sz val="10"/>
        <rFont val="宋体"/>
        <charset val="134"/>
      </rPr>
      <t>）</t>
    </r>
    <r>
      <rPr>
        <sz val="10"/>
        <rFont val="Times New Roman"/>
        <family val="1"/>
      </rPr>
      <t>+B1</t>
    </r>
    <r>
      <rPr>
        <sz val="10"/>
        <rFont val="宋体"/>
        <charset val="134"/>
      </rPr>
      <t>，</t>
    </r>
    <r>
      <rPr>
        <sz val="10"/>
        <rFont val="Times New Roman"/>
        <family val="1"/>
      </rPr>
      <t>B</t>
    </r>
    <r>
      <rPr>
        <sz val="10"/>
        <rFont val="宋体"/>
        <charset val="134"/>
      </rPr>
      <t>指各期现金流量（期数次序不得颠倒）；</t>
    </r>
    <phoneticPr fontId="2" type="noConversion"/>
  </si>
  <si>
    <r>
      <t xml:space="preserve">        2</t>
    </r>
    <r>
      <rPr>
        <sz val="10"/>
        <rFont val="宋体"/>
        <charset val="134"/>
      </rPr>
      <t>、内部收益率可使用</t>
    </r>
    <r>
      <rPr>
        <sz val="10"/>
        <rFont val="Times New Roman"/>
        <family val="1"/>
      </rPr>
      <t>IRR</t>
    </r>
    <r>
      <rPr>
        <sz val="10"/>
        <rFont val="宋体"/>
        <charset val="134"/>
      </rPr>
      <t>函数，表达式=IRR（</t>
    </r>
    <r>
      <rPr>
        <sz val="10"/>
        <rFont val="Times New Roman"/>
        <family val="1"/>
      </rPr>
      <t>B1</t>
    </r>
    <r>
      <rPr>
        <sz val="10"/>
        <rFont val="宋体"/>
        <charset val="134"/>
      </rPr>
      <t>：</t>
    </r>
    <r>
      <rPr>
        <vertAlign val="subscript"/>
        <sz val="10"/>
        <rFont val="Times New Roman"/>
        <family val="1"/>
      </rPr>
      <t>Bn</t>
    </r>
    <r>
      <rPr>
        <sz val="10"/>
        <rFont val="宋体"/>
        <charset val="134"/>
      </rPr>
      <t>），</t>
    </r>
    <r>
      <rPr>
        <vertAlign val="subscript"/>
        <sz val="10"/>
        <rFont val="Times New Roman"/>
        <family val="1"/>
      </rPr>
      <t>B</t>
    </r>
    <r>
      <rPr>
        <sz val="10"/>
        <rFont val="宋体"/>
        <charset val="134"/>
      </rPr>
      <t>指各期净现金流量（期数次序不得颠倒）；本公式不适用于以物业抵付地价款的情况</t>
    </r>
    <phoneticPr fontId="2" type="noConversion"/>
  </si>
  <si>
    <r>
      <t xml:space="preserve">        3</t>
    </r>
    <r>
      <rPr>
        <sz val="10"/>
        <rFont val="宋体"/>
        <charset val="134"/>
      </rPr>
      <t>、当年销售现金回款，一般按当年销售额的</t>
    </r>
    <r>
      <rPr>
        <sz val="10"/>
        <rFont val="Times New Roman"/>
        <family val="1"/>
      </rPr>
      <t>80%</t>
    </r>
    <r>
      <rPr>
        <sz val="10"/>
        <rFont val="宋体"/>
        <charset val="134"/>
      </rPr>
      <t>计算，加上年销售额的</t>
    </r>
    <r>
      <rPr>
        <sz val="10"/>
        <rFont val="Times New Roman"/>
        <family val="1"/>
      </rPr>
      <t>20%</t>
    </r>
    <r>
      <rPr>
        <sz val="10"/>
        <rFont val="宋体"/>
        <charset val="134"/>
      </rPr>
      <t>计算；</t>
    </r>
    <phoneticPr fontId="26" type="noConversion"/>
  </si>
  <si>
    <r>
      <t xml:space="preserve">        4</t>
    </r>
    <r>
      <rPr>
        <sz val="10"/>
        <rFont val="宋体"/>
        <charset val="134"/>
      </rPr>
      <t>、资金成本合计＝为获土地专项资本的利息</t>
    </r>
    <r>
      <rPr>
        <sz val="10"/>
        <rFont val="Times New Roman"/>
        <family val="1"/>
      </rPr>
      <t>+</t>
    </r>
    <r>
      <rPr>
        <sz val="10"/>
        <rFont val="宋体"/>
        <charset val="134"/>
      </rPr>
      <t>开发间接费中的资本化财务费用</t>
    </r>
    <r>
      <rPr>
        <sz val="10"/>
        <rFont val="Times New Roman"/>
        <family val="1"/>
      </rPr>
      <t>+</t>
    </r>
    <r>
      <rPr>
        <sz val="10"/>
        <rFont val="宋体"/>
        <charset val="134"/>
      </rPr>
      <t>期间费用中的财务费用；</t>
    </r>
    <phoneticPr fontId="2" type="noConversion"/>
  </si>
  <si>
    <r>
      <t xml:space="preserve">              </t>
    </r>
    <r>
      <rPr>
        <sz val="10"/>
        <rFont val="宋体"/>
        <charset val="134"/>
      </rPr>
      <t>累计净现金流量为零以前的各期的资金成本＝资金成本合计</t>
    </r>
    <r>
      <rPr>
        <sz val="10"/>
        <rFont val="Times New Roman"/>
        <family val="1"/>
      </rPr>
      <t>/</t>
    </r>
    <r>
      <rPr>
        <sz val="10"/>
        <rFont val="宋体"/>
        <charset val="134"/>
      </rPr>
      <t>累计净现金流量为零以前的期数；累计净现金流量为零及以后的各期的资金成本为零。</t>
    </r>
    <phoneticPr fontId="2" type="noConversion"/>
  </si>
  <si>
    <r>
      <t xml:space="preserve">        5</t>
    </r>
    <r>
      <rPr>
        <sz val="10"/>
        <rFont val="宋体"/>
        <charset val="134"/>
      </rPr>
      <t>、资金峰值为累计负向净现金流量的最大值。</t>
    </r>
    <phoneticPr fontId="2" type="noConversion"/>
  </si>
  <si>
    <t>2、项目测算的假设条件：</t>
    <phoneticPr fontId="2" type="noConversion"/>
  </si>
  <si>
    <t>开发计划中，除公共配套填写建筑面积以外，其他的栏目填写可售面积。</t>
    <phoneticPr fontId="2" type="noConversion"/>
  </si>
  <si>
    <t>土地成本和售价敏感性分析</t>
    <phoneticPr fontId="2" type="noConversion"/>
  </si>
  <si>
    <t>夹层融资</t>
    <phoneticPr fontId="2" type="noConversion"/>
  </si>
  <si>
    <r>
      <t xml:space="preserve">        6</t>
    </r>
    <r>
      <rPr>
        <sz val="10"/>
        <rFont val="宋体"/>
        <charset val="134"/>
      </rPr>
      <t>、累计现金流为正时所在的半年度。</t>
    </r>
    <phoneticPr fontId="2" type="noConversion"/>
  </si>
  <si>
    <t>注释：
1、上表中住宅产品的分类没有完全依照《民用设计通则》，而是根据以往开发经验，按开发成本进行划分，超高层未列入其中。
2、C4公式中，各类产品的平均层数分别为取：低层2.5；多层5；小高层9.25；中高层15：高层25.5：配套1.7。
3、C5公式中，其他用地面积（除建筑基地面积、各类绿地面积以外）与居住区用地面积的比率取35%（道路用地面积约占其中的20%）。
4、F5公式中，地上停车位数占总车位数的比率取10%。
5、E10至E16公式中，各类产品的每个单元单层面积平均值分别取：别墅80㎡；多层、洋房220㎡；小高层260㎡；中高层350㎡：高层550㎡。
6、C17公式中，人均住宅（含商业）建筑面积取40㎡，人均配套公建面积取1.8㎡。
7、C18公式中，地上停车面积按地下室面积15㎡/辆（车）估算，C19公式中，地下建筑面积（包括停车、人防、设备等）按40㎡/辆（车）估算。</t>
    <phoneticPr fontId="2" type="noConversion"/>
  </si>
  <si>
    <t>销售均价（不含地下车位面积）</t>
    <phoneticPr fontId="2" type="noConversion"/>
  </si>
  <si>
    <t>有产权的可售面积</t>
    <phoneticPr fontId="2" type="noConversion"/>
  </si>
  <si>
    <t>有产权的可售面积单位成本（元）</t>
    <phoneticPr fontId="2" type="noConversion"/>
  </si>
  <si>
    <r>
      <t>有产权的可售指标(元/m</t>
    </r>
    <r>
      <rPr>
        <vertAlign val="superscript"/>
        <sz val="10"/>
        <rFont val="宋体"/>
        <charset val="134"/>
      </rPr>
      <t>2</t>
    </r>
    <r>
      <rPr>
        <sz val="10"/>
        <rFont val="宋体"/>
        <charset val="134"/>
      </rPr>
      <t>)</t>
    </r>
    <phoneticPr fontId="2" type="noConversion"/>
  </si>
  <si>
    <t>决策会之前，机动数取零值，通过决策会后，取值项目总成本的4%</t>
    <phoneticPr fontId="2" type="noConversion"/>
  </si>
  <si>
    <t>决策会之前，风险基金取零值，通过决策会后，取值项目总成本的6%</t>
    <phoneticPr fontId="2" type="noConversion"/>
  </si>
  <si>
    <t>有产权的可售面积单方成本</t>
    <phoneticPr fontId="2" type="noConversion"/>
  </si>
  <si>
    <t>合计（不含地下车位面积）</t>
    <phoneticPr fontId="2" type="noConversion"/>
  </si>
  <si>
    <t>小高层住宅</t>
    <phoneticPr fontId="2" type="noConversion"/>
  </si>
  <si>
    <t>板式高层住宅</t>
    <phoneticPr fontId="2" type="noConversion"/>
  </si>
  <si>
    <t>点式高层住宅</t>
    <phoneticPr fontId="2" type="noConversion"/>
  </si>
  <si>
    <t>洋房</t>
    <phoneticPr fontId="2" type="noConversion"/>
  </si>
  <si>
    <t>联排别墅</t>
    <phoneticPr fontId="2" type="noConversion"/>
  </si>
  <si>
    <t>独栋别墅</t>
    <phoneticPr fontId="2" type="noConversion"/>
  </si>
  <si>
    <t>居委会及物业用房</t>
    <phoneticPr fontId="2" type="noConversion"/>
  </si>
  <si>
    <t>社区警务站</t>
    <phoneticPr fontId="2" type="noConversion"/>
  </si>
  <si>
    <t>社区健康服务中心</t>
    <phoneticPr fontId="2" type="noConversion"/>
  </si>
  <si>
    <t>文化活动站</t>
    <phoneticPr fontId="2" type="noConversion"/>
  </si>
  <si>
    <t>幼儿园</t>
    <phoneticPr fontId="2" type="noConversion"/>
  </si>
  <si>
    <t>公厕</t>
    <phoneticPr fontId="2" type="noConversion"/>
  </si>
  <si>
    <t>垃圾转运站</t>
    <phoneticPr fontId="2" type="noConversion"/>
  </si>
  <si>
    <t>市政配电房</t>
    <phoneticPr fontId="2" type="noConversion"/>
  </si>
  <si>
    <t>市政电视、通信设备房</t>
    <phoneticPr fontId="2" type="noConversion"/>
  </si>
  <si>
    <t>5元/建筑面积</t>
    <phoneticPr fontId="2" type="noConversion"/>
  </si>
  <si>
    <t>设计费50元/建筑面积</t>
    <phoneticPr fontId="2" type="noConversion"/>
  </si>
  <si>
    <t>估算：8元/用地面积</t>
    <phoneticPr fontId="2" type="noConversion"/>
  </si>
  <si>
    <t>集团管理费销售的1%，易建网费100万/年;监理与顾问费:每年100万;</t>
    <phoneticPr fontId="2" type="noConversion"/>
  </si>
  <si>
    <t>居委会及物业用房</t>
    <phoneticPr fontId="2" type="noConversion"/>
  </si>
  <si>
    <t>社区警务站</t>
    <phoneticPr fontId="2" type="noConversion"/>
  </si>
  <si>
    <t>社区健康服务中心</t>
    <phoneticPr fontId="2" type="noConversion"/>
  </si>
  <si>
    <t>文化活动站</t>
    <phoneticPr fontId="2" type="noConversion"/>
  </si>
  <si>
    <t>幼儿园</t>
    <phoneticPr fontId="2" type="noConversion"/>
  </si>
  <si>
    <t>公厕</t>
    <phoneticPr fontId="2" type="noConversion"/>
  </si>
  <si>
    <t>垃圾转运站</t>
    <phoneticPr fontId="2" type="noConversion"/>
  </si>
  <si>
    <t>市政配电房</t>
    <phoneticPr fontId="2" type="noConversion"/>
  </si>
  <si>
    <t>市政电视、通信设备房</t>
    <phoneticPr fontId="2" type="noConversion"/>
  </si>
  <si>
    <r>
      <t>2016</t>
    </r>
    <r>
      <rPr>
        <sz val="10"/>
        <rFont val="宋体"/>
        <charset val="134"/>
      </rPr>
      <t>年</t>
    </r>
  </si>
  <si>
    <r>
      <t>2017</t>
    </r>
    <r>
      <rPr>
        <sz val="10"/>
        <rFont val="宋体"/>
        <charset val="134"/>
      </rPr>
      <t>年</t>
    </r>
  </si>
  <si>
    <r>
      <t>2018</t>
    </r>
    <r>
      <rPr>
        <sz val="10"/>
        <rFont val="宋体"/>
        <charset val="134"/>
      </rPr>
      <t>年</t>
    </r>
  </si>
  <si>
    <t>产品类型</t>
    <phoneticPr fontId="2" type="noConversion"/>
  </si>
  <si>
    <t>1期</t>
    <phoneticPr fontId="2" type="noConversion"/>
  </si>
  <si>
    <t>2期</t>
  </si>
  <si>
    <t>3期</t>
  </si>
  <si>
    <t>4期</t>
  </si>
  <si>
    <t>5期</t>
  </si>
  <si>
    <t>6期</t>
  </si>
  <si>
    <t>项目</t>
  </si>
  <si>
    <t>售价（元/m2）</t>
    <phoneticPr fontId="2" type="noConversion"/>
  </si>
  <si>
    <t>总计（万元）</t>
  </si>
  <si>
    <t>备注</t>
  </si>
  <si>
    <t>销售总收入</t>
  </si>
  <si>
    <t>商业</t>
    <phoneticPr fontId="2" type="noConversion"/>
  </si>
  <si>
    <t>合计</t>
  </si>
  <si>
    <t>开发成本</t>
  </si>
  <si>
    <t>期间费用</t>
  </si>
  <si>
    <t>总投资</t>
  </si>
  <si>
    <t>税前利润</t>
  </si>
  <si>
    <t>税后利润</t>
  </si>
  <si>
    <t>销售毛利率%</t>
  </si>
  <si>
    <t>销售净利率</t>
  </si>
  <si>
    <t>自有资金投资回报率</t>
    <phoneticPr fontId="2" type="noConversion"/>
  </si>
  <si>
    <t>内部收益率</t>
  </si>
  <si>
    <t>启动资金</t>
  </si>
  <si>
    <t xml:space="preserve">投资总额（万元） </t>
  </si>
  <si>
    <t xml:space="preserve">单位成本（元/平方米） </t>
  </si>
  <si>
    <t>土地获得价款</t>
  </si>
  <si>
    <t>前期准备费</t>
  </si>
  <si>
    <t>主体建筑安装工程费</t>
  </si>
  <si>
    <t>社区管网工程费</t>
  </si>
  <si>
    <t>园林景观工程费</t>
  </si>
  <si>
    <t>公共配套设施费</t>
  </si>
  <si>
    <t>开发间接费</t>
  </si>
  <si>
    <t>营销费</t>
  </si>
  <si>
    <t>财务费</t>
  </si>
  <si>
    <t>税金</t>
  </si>
  <si>
    <t>项目总投资</t>
  </si>
  <si>
    <r>
      <t>单位利润(元/m</t>
    </r>
    <r>
      <rPr>
        <vertAlign val="superscript"/>
        <sz val="10"/>
        <color indexed="8"/>
        <rFont val="宋体"/>
        <charset val="134"/>
      </rPr>
      <t>2</t>
    </r>
    <r>
      <rPr>
        <sz val="10"/>
        <color indexed="8"/>
        <rFont val="宋体"/>
        <charset val="134"/>
      </rPr>
      <t>)</t>
    </r>
  </si>
  <si>
    <t>利润(万元)</t>
  </si>
  <si>
    <r>
      <t>销售面积（m</t>
    </r>
    <r>
      <rPr>
        <vertAlign val="superscript"/>
        <sz val="10"/>
        <color indexed="8"/>
        <rFont val="宋体"/>
        <charset val="134"/>
      </rPr>
      <t>2</t>
    </r>
    <r>
      <rPr>
        <sz val="10"/>
        <color indexed="8"/>
        <rFont val="宋体"/>
        <charset val="134"/>
      </rPr>
      <t>）</t>
    </r>
    <phoneticPr fontId="2" type="noConversion"/>
  </si>
  <si>
    <t>15元/建筑面积</t>
    <phoneticPr fontId="2" type="noConversion"/>
  </si>
  <si>
    <t>管理费</t>
    <phoneticPr fontId="2" type="noConversion"/>
  </si>
  <si>
    <t>地下车位</t>
    <phoneticPr fontId="2" type="noConversion"/>
  </si>
  <si>
    <t>地下车位</t>
    <phoneticPr fontId="2" type="noConversion"/>
  </si>
  <si>
    <t>按建筑面积销售，其中地下车位按地下建面70％销售</t>
    <phoneticPr fontId="2" type="noConversion"/>
  </si>
  <si>
    <t>盈亏平衡点</t>
    <phoneticPr fontId="2" type="noConversion"/>
  </si>
  <si>
    <t>资金峰值</t>
    <phoneticPr fontId="2" type="noConversion"/>
  </si>
  <si>
    <t>产品类型</t>
    <phoneticPr fontId="2" type="noConversion"/>
  </si>
  <si>
    <t>起始均价</t>
    <phoneticPr fontId="2" type="noConversion"/>
  </si>
  <si>
    <t>年均增长率</t>
    <phoneticPr fontId="2" type="noConversion"/>
  </si>
  <si>
    <t>小高层住宅</t>
    <phoneticPr fontId="2" type="noConversion"/>
  </si>
  <si>
    <t>洋房</t>
    <phoneticPr fontId="2" type="noConversion"/>
  </si>
  <si>
    <t>联排别墅</t>
    <phoneticPr fontId="2" type="noConversion"/>
  </si>
  <si>
    <t>地下车位</t>
    <phoneticPr fontId="2" type="noConversion"/>
  </si>
  <si>
    <t>八、净现值</t>
    <phoneticPr fontId="2" type="noConversion"/>
  </si>
  <si>
    <t>九、盈亏平衡点</t>
    <phoneticPr fontId="2" type="noConversion"/>
  </si>
  <si>
    <t>十、地价支付贴现比</t>
    <phoneticPr fontId="2" type="noConversion"/>
  </si>
  <si>
    <t>规划指标</t>
    <phoneticPr fontId="2" type="noConversion"/>
  </si>
  <si>
    <t>项目用地面积（m2）</t>
    <phoneticPr fontId="2" type="noConversion"/>
  </si>
  <si>
    <t>容积率</t>
    <phoneticPr fontId="2" type="noConversion"/>
  </si>
  <si>
    <t>地上建筑面积（m2）</t>
    <phoneticPr fontId="2" type="noConversion"/>
  </si>
  <si>
    <t>地下车位及人防（m2）</t>
    <phoneticPr fontId="2" type="noConversion"/>
  </si>
  <si>
    <t>有产权的可售建筑面积（m2）</t>
    <phoneticPr fontId="2" type="noConversion"/>
  </si>
  <si>
    <t>贴现率</t>
    <phoneticPr fontId="2" type="noConversion"/>
  </si>
  <si>
    <t>银行贷款年利率</t>
    <phoneticPr fontId="2" type="noConversion"/>
  </si>
  <si>
    <t>成本及开发周期</t>
    <phoneticPr fontId="2" type="noConversion"/>
  </si>
  <si>
    <t>土地获得价款楼面单价（元/m2）</t>
    <phoneticPr fontId="2" type="noConversion"/>
  </si>
  <si>
    <t xml:space="preserve"> =土地出让金+契税+土地利息</t>
    <phoneticPr fontId="2" type="noConversion"/>
  </si>
  <si>
    <t>土地获得价款总计（万元）</t>
    <phoneticPr fontId="2" type="noConversion"/>
  </si>
  <si>
    <t>管理费（万/月）</t>
    <phoneticPr fontId="2" type="noConversion"/>
  </si>
  <si>
    <t>开发周期</t>
    <phoneticPr fontId="2" type="noConversion"/>
  </si>
  <si>
    <t>产品销售起始价格及年均增长率</t>
    <phoneticPr fontId="2" type="noConversion"/>
  </si>
  <si>
    <t>产品类型</t>
    <phoneticPr fontId="2" type="noConversion"/>
  </si>
  <si>
    <t>起始均价</t>
    <phoneticPr fontId="2" type="noConversion"/>
  </si>
  <si>
    <t>年均增长率</t>
    <phoneticPr fontId="2" type="noConversion"/>
  </si>
  <si>
    <t>小高层住宅</t>
    <phoneticPr fontId="2" type="noConversion"/>
  </si>
  <si>
    <t>洋房</t>
    <phoneticPr fontId="2" type="noConversion"/>
  </si>
  <si>
    <t>联排别墅</t>
    <phoneticPr fontId="2" type="noConversion"/>
  </si>
  <si>
    <t>地下车位</t>
    <phoneticPr fontId="2" type="noConversion"/>
  </si>
  <si>
    <t>商业</t>
    <phoneticPr fontId="2" type="noConversion"/>
  </si>
  <si>
    <t>合计</t>
    <phoneticPr fontId="2" type="noConversion"/>
  </si>
  <si>
    <t>产品销售成本及销售均价</t>
    <phoneticPr fontId="2" type="noConversion"/>
  </si>
  <si>
    <t>可销售面积（m2）</t>
    <phoneticPr fontId="2" type="noConversion"/>
  </si>
  <si>
    <t>销货成本单价（元/m2）</t>
    <phoneticPr fontId="2" type="noConversion"/>
  </si>
  <si>
    <t>总销货成本（万元）</t>
    <phoneticPr fontId="2" type="noConversion"/>
  </si>
  <si>
    <t>销售单价    （元/m2）</t>
    <phoneticPr fontId="2" type="noConversion"/>
  </si>
  <si>
    <t>销售总额   （万元）</t>
    <phoneticPr fontId="2" type="noConversion"/>
  </si>
  <si>
    <t>合计（含地下车位面积）</t>
    <phoneticPr fontId="2" type="noConversion"/>
  </si>
  <si>
    <t>合计（不含地下车位面积）</t>
    <phoneticPr fontId="2" type="noConversion"/>
  </si>
  <si>
    <t>税费</t>
    <phoneticPr fontId="2" type="noConversion"/>
  </si>
  <si>
    <t>营业税金及附加</t>
    <phoneticPr fontId="32" type="noConversion"/>
  </si>
  <si>
    <t>销售额×％</t>
    <phoneticPr fontId="2" type="noConversion"/>
  </si>
  <si>
    <t>土地增值税</t>
    <phoneticPr fontId="32" type="noConversion"/>
  </si>
  <si>
    <t>契税</t>
    <phoneticPr fontId="32" type="noConversion"/>
  </si>
  <si>
    <t>土地出让金×%</t>
    <phoneticPr fontId="32" type="noConversion"/>
  </si>
  <si>
    <t>企业所得税</t>
    <phoneticPr fontId="32" type="noConversion"/>
  </si>
  <si>
    <t>应纳税所得额×%</t>
    <phoneticPr fontId="32" type="noConversion"/>
  </si>
  <si>
    <t>附表一：计划假定</t>
    <phoneticPr fontId="2" type="noConversion"/>
  </si>
  <si>
    <t>土地出让金楼面单价（元/m2）</t>
    <phoneticPr fontId="2" type="noConversion"/>
  </si>
  <si>
    <t>核心指标：</t>
    <phoneticPr fontId="2" type="noConversion"/>
  </si>
  <si>
    <t>参考指标：</t>
    <phoneticPr fontId="2" type="noConversion"/>
  </si>
  <si>
    <r>
      <t>项目净利润</t>
    </r>
    <r>
      <rPr>
        <sz val="11"/>
        <rFont val="Times New Roman"/>
        <family val="1"/>
      </rPr>
      <t>/</t>
    </r>
    <r>
      <rPr>
        <sz val="11"/>
        <rFont val="宋体"/>
        <charset val="134"/>
      </rPr>
      <t>销售面积</t>
    </r>
    <r>
      <rPr>
        <b/>
        <sz val="12"/>
        <rFont val="Times New Roman"/>
        <family val="1"/>
      </rPr>
      <t/>
    </r>
    <phoneticPr fontId="2" type="noConversion"/>
  </si>
  <si>
    <r>
      <t>税前利润</t>
    </r>
    <r>
      <rPr>
        <sz val="11"/>
        <rFont val="Times New Roman"/>
        <family val="1"/>
      </rPr>
      <t>/</t>
    </r>
    <r>
      <rPr>
        <sz val="11"/>
        <rFont val="宋体"/>
        <charset val="134"/>
      </rPr>
      <t>销售收入</t>
    </r>
    <r>
      <rPr>
        <sz val="11"/>
        <rFont val="Times New Roman"/>
        <family val="1"/>
      </rPr>
      <t>×100%</t>
    </r>
    <phoneticPr fontId="2" type="noConversion"/>
  </si>
  <si>
    <t>自有资金投资回报率/年数</t>
    <phoneticPr fontId="2" type="noConversion"/>
  </si>
  <si>
    <r>
      <t>税后净利润</t>
    </r>
    <r>
      <rPr>
        <sz val="11"/>
        <rFont val="Times New Roman"/>
        <family val="1"/>
      </rPr>
      <t>/</t>
    </r>
    <r>
      <rPr>
        <sz val="11"/>
        <rFont val="宋体"/>
        <charset val="134"/>
      </rPr>
      <t>销售收入</t>
    </r>
    <r>
      <rPr>
        <sz val="11"/>
        <rFont val="Times New Roman"/>
        <family val="1"/>
      </rPr>
      <t>×100%</t>
    </r>
    <phoneticPr fontId="2" type="noConversion"/>
  </si>
  <si>
    <t>自有资金年均投资回报率</t>
    <phoneticPr fontId="2" type="noConversion"/>
  </si>
  <si>
    <t>销售净利率</t>
    <phoneticPr fontId="2" type="noConversion"/>
  </si>
  <si>
    <t>内部收益率</t>
    <phoneticPr fontId="2" type="noConversion"/>
  </si>
  <si>
    <t>销售毛利率</t>
    <phoneticPr fontId="2" type="noConversion"/>
  </si>
  <si>
    <t>资金峰值（万元）</t>
    <phoneticPr fontId="2" type="noConversion"/>
  </si>
  <si>
    <t>净利润总计（万元）</t>
    <phoneticPr fontId="2" type="noConversion"/>
  </si>
  <si>
    <t>项目启动资金及贷款年利率</t>
    <phoneticPr fontId="2" type="noConversion"/>
  </si>
  <si>
    <t>启动资金（万元）</t>
    <phoneticPr fontId="2" type="noConversion"/>
  </si>
  <si>
    <r>
      <t>售货成本单价（含地下车位面积）（元</t>
    </r>
    <r>
      <rPr>
        <sz val="11"/>
        <rFont val="Times New Roman"/>
        <family val="1"/>
      </rPr>
      <t>/m2</t>
    </r>
    <r>
      <rPr>
        <sz val="11"/>
        <rFont val="宋体"/>
        <charset val="134"/>
      </rPr>
      <t>）</t>
    </r>
    <phoneticPr fontId="2" type="noConversion"/>
  </si>
  <si>
    <r>
      <t>售货成本单价（不含地下车位面积）（元</t>
    </r>
    <r>
      <rPr>
        <sz val="11"/>
        <rFont val="Times New Roman"/>
        <family val="1"/>
      </rPr>
      <t>/m2</t>
    </r>
    <r>
      <rPr>
        <sz val="11"/>
        <rFont val="宋体"/>
        <charset val="134"/>
      </rPr>
      <t>）</t>
    </r>
    <phoneticPr fontId="2" type="noConversion"/>
  </si>
  <si>
    <r>
      <t>土地出让金楼面单价（元</t>
    </r>
    <r>
      <rPr>
        <sz val="11"/>
        <rFont val="Times New Roman"/>
        <family val="1"/>
      </rPr>
      <t>/m2</t>
    </r>
    <r>
      <rPr>
        <sz val="11"/>
        <rFont val="宋体"/>
        <charset val="134"/>
      </rPr>
      <t>）</t>
    </r>
    <phoneticPr fontId="2" type="noConversion"/>
  </si>
  <si>
    <t>假定</t>
    <phoneticPr fontId="2" type="noConversion"/>
  </si>
  <si>
    <t>（请输入土地价格）</t>
    <phoneticPr fontId="2" type="noConversion"/>
  </si>
  <si>
    <t>管理费</t>
    <phoneticPr fontId="2" type="noConversion"/>
  </si>
  <si>
    <t>所占比例</t>
    <phoneticPr fontId="2" type="noConversion"/>
  </si>
  <si>
    <t>合作方启动资金（万元）</t>
    <phoneticPr fontId="2" type="noConversion"/>
  </si>
  <si>
    <t>合作方利润</t>
    <phoneticPr fontId="2" type="noConversion"/>
  </si>
  <si>
    <t>沿海启动资金（万元）</t>
    <phoneticPr fontId="2" type="noConversion"/>
  </si>
  <si>
    <t>沿海利润</t>
    <phoneticPr fontId="2" type="noConversion"/>
  </si>
  <si>
    <t>项目整体经济指标：</t>
    <phoneticPr fontId="2" type="noConversion"/>
  </si>
  <si>
    <t>项目现金流量表</t>
    <phoneticPr fontId="2" type="noConversion"/>
  </si>
  <si>
    <t>沿海经济指标：</t>
    <phoneticPr fontId="2" type="noConversion"/>
  </si>
  <si>
    <t>项目整体经济指标</t>
    <phoneticPr fontId="2" type="noConversion"/>
  </si>
  <si>
    <t>沿海经济指标</t>
    <phoneticPr fontId="2" type="noConversion"/>
  </si>
  <si>
    <r>
      <t>项目单位毛利</t>
    </r>
    <r>
      <rPr>
        <sz val="10"/>
        <rFont val="Times New Roman"/>
        <family val="1"/>
      </rPr>
      <t>(</t>
    </r>
    <r>
      <rPr>
        <sz val="10"/>
        <rFont val="宋体"/>
        <charset val="134"/>
      </rPr>
      <t>元/m2)</t>
    </r>
    <phoneticPr fontId="2" type="noConversion"/>
  </si>
  <si>
    <r>
      <t>项目单位净利</t>
    </r>
    <r>
      <rPr>
        <sz val="10"/>
        <rFont val="Times New Roman"/>
        <family val="1"/>
      </rPr>
      <t>(</t>
    </r>
    <r>
      <rPr>
        <sz val="10"/>
        <rFont val="宋体"/>
        <charset val="134"/>
      </rPr>
      <t>元/m2)</t>
    </r>
    <phoneticPr fontId="2" type="noConversion"/>
  </si>
  <si>
    <r>
      <t>项目销售毛利率</t>
    </r>
    <r>
      <rPr>
        <sz val="10"/>
        <rFont val="Times New Roman"/>
        <family val="1"/>
      </rPr>
      <t>%</t>
    </r>
    <phoneticPr fontId="2" type="noConversion"/>
  </si>
  <si>
    <r>
      <t>项目销售净利率</t>
    </r>
    <r>
      <rPr>
        <sz val="10"/>
        <rFont val="Times New Roman"/>
        <family val="1"/>
      </rPr>
      <t>%</t>
    </r>
    <phoneticPr fontId="2" type="noConversion"/>
  </si>
  <si>
    <t>项目自有资金投资回报率</t>
    <phoneticPr fontId="2" type="noConversion"/>
  </si>
  <si>
    <t>沿海自有资金投资回报率</t>
    <phoneticPr fontId="2" type="noConversion"/>
  </si>
  <si>
    <r>
      <t>各年资金占用回报率</t>
    </r>
    <r>
      <rPr>
        <sz val="10"/>
        <rFont val="Times New Roman"/>
        <family val="1"/>
      </rPr>
      <t>%</t>
    </r>
    <phoneticPr fontId="2" type="noConversion"/>
  </si>
  <si>
    <t>沿海净利润/自有资金×100%</t>
    <phoneticPr fontId="2" type="noConversion"/>
  </si>
  <si>
    <r>
      <t>单位面积净利（元</t>
    </r>
    <r>
      <rPr>
        <sz val="11"/>
        <rFont val="Times New Roman"/>
        <family val="1"/>
      </rPr>
      <t>/m2</t>
    </r>
    <r>
      <rPr>
        <sz val="11"/>
        <rFont val="宋体"/>
        <charset val="134"/>
      </rPr>
      <t>）</t>
    </r>
    <phoneticPr fontId="2" type="noConversion"/>
  </si>
  <si>
    <r>
      <t>4</t>
    </r>
    <r>
      <rPr>
        <sz val="10"/>
        <rFont val="宋体"/>
        <charset val="134"/>
      </rPr>
      <t>、单位面积净利（元</t>
    </r>
    <r>
      <rPr>
        <sz val="10"/>
        <rFont val="Times New Roman"/>
        <family val="1"/>
      </rPr>
      <t>/m2</t>
    </r>
    <r>
      <rPr>
        <sz val="10"/>
        <rFont val="宋体"/>
        <charset val="134"/>
      </rPr>
      <t>）</t>
    </r>
    <phoneticPr fontId="2" type="noConversion"/>
  </si>
  <si>
    <r>
      <t>1</t>
    </r>
    <r>
      <rPr>
        <sz val="10"/>
        <rFont val="宋体"/>
        <charset val="134"/>
      </rPr>
      <t>、内部收益率</t>
    </r>
    <phoneticPr fontId="2" type="noConversion"/>
  </si>
  <si>
    <r>
      <t>2</t>
    </r>
    <r>
      <rPr>
        <sz val="10"/>
        <rFont val="宋体"/>
        <charset val="134"/>
      </rPr>
      <t>、销售净利率</t>
    </r>
    <phoneticPr fontId="2" type="noConversion"/>
  </si>
  <si>
    <r>
      <t>5</t>
    </r>
    <r>
      <rPr>
        <sz val="10"/>
        <rFont val="宋体"/>
        <charset val="134"/>
      </rPr>
      <t>、净利润总计（万元）</t>
    </r>
    <phoneticPr fontId="2" type="noConversion"/>
  </si>
  <si>
    <t>项目净利润总计</t>
    <phoneticPr fontId="2" type="noConversion"/>
  </si>
  <si>
    <t>沿海净利润总计</t>
    <phoneticPr fontId="2" type="noConversion"/>
  </si>
  <si>
    <r>
      <t>6</t>
    </r>
    <r>
      <rPr>
        <sz val="10"/>
        <rFont val="宋体"/>
        <charset val="134"/>
      </rPr>
      <t>、销售毛利率</t>
    </r>
    <phoneticPr fontId="2" type="noConversion"/>
  </si>
  <si>
    <r>
      <t>7</t>
    </r>
    <r>
      <rPr>
        <sz val="10"/>
        <rFont val="宋体"/>
        <charset val="134"/>
      </rPr>
      <t>、自有资金年均投资回报率</t>
    </r>
    <phoneticPr fontId="2" type="noConversion"/>
  </si>
  <si>
    <r>
      <t>8</t>
    </r>
    <r>
      <rPr>
        <sz val="10"/>
        <rFont val="宋体"/>
        <charset val="134"/>
      </rPr>
      <t>、资金峰值（万元）</t>
    </r>
    <phoneticPr fontId="2" type="noConversion"/>
  </si>
  <si>
    <r>
      <t>9</t>
    </r>
    <r>
      <rPr>
        <sz val="10"/>
        <rFont val="宋体"/>
        <charset val="134"/>
      </rPr>
      <t>、盈亏平衡点</t>
    </r>
    <phoneticPr fontId="2" type="noConversion"/>
  </si>
  <si>
    <r>
      <t>10</t>
    </r>
    <r>
      <rPr>
        <sz val="10"/>
        <rFont val="宋体"/>
        <charset val="134"/>
      </rPr>
      <t>、地价支付贴现比</t>
    </r>
    <phoneticPr fontId="2" type="noConversion"/>
  </si>
  <si>
    <t xml:space="preserve"> </t>
    <phoneticPr fontId="2" type="noConversion"/>
  </si>
  <si>
    <t>沿海自有资金投资回报率/年数</t>
    <phoneticPr fontId="2" type="noConversion"/>
  </si>
  <si>
    <t>沿海净利润</t>
    <phoneticPr fontId="2" type="noConversion"/>
  </si>
  <si>
    <t>项目净利润</t>
    <phoneticPr fontId="2" type="noConversion"/>
  </si>
  <si>
    <t>沿海净利润比例</t>
    <phoneticPr fontId="2" type="noConversion"/>
  </si>
  <si>
    <t>合作方净利润分配</t>
    <phoneticPr fontId="2" type="noConversion"/>
  </si>
  <si>
    <t>自有资金成本率</t>
    <phoneticPr fontId="2" type="noConversion"/>
  </si>
  <si>
    <t>资金组织流入</t>
    <phoneticPr fontId="2" type="noConversion"/>
  </si>
  <si>
    <t>资金组织流出</t>
    <phoneticPr fontId="2" type="noConversion"/>
  </si>
  <si>
    <t>资金组织净流量</t>
    <phoneticPr fontId="2" type="noConversion"/>
  </si>
  <si>
    <t>七</t>
    <phoneticPr fontId="2" type="noConversion"/>
  </si>
  <si>
    <t>八</t>
    <phoneticPr fontId="2" type="noConversion"/>
  </si>
  <si>
    <r>
      <t xml:space="preserve">  </t>
    </r>
    <r>
      <rPr>
        <b/>
        <sz val="10"/>
        <color indexed="12"/>
        <rFont val="宋体"/>
        <charset val="134"/>
      </rPr>
      <t>五、内部收益率</t>
    </r>
    <r>
      <rPr>
        <sz val="10"/>
        <color indexed="12"/>
        <rFont val="Times New Roman"/>
        <family val="1"/>
      </rPr>
      <t>IRR</t>
    </r>
    <phoneticPr fontId="2" type="noConversion"/>
  </si>
  <si>
    <t>六、资金峰值</t>
    <phoneticPr fontId="2" type="noConversion"/>
  </si>
  <si>
    <t>七、净现值</t>
    <phoneticPr fontId="2" type="noConversion"/>
  </si>
  <si>
    <t>八、盈亏平衡点</t>
    <phoneticPr fontId="2" type="noConversion"/>
  </si>
  <si>
    <t>九、地价支付贴现比</t>
    <phoneticPr fontId="2" type="noConversion"/>
  </si>
  <si>
    <t>沿海现金流量表</t>
    <phoneticPr fontId="2" type="noConversion"/>
  </si>
  <si>
    <t>合作方现金流量表</t>
    <phoneticPr fontId="2" type="noConversion"/>
  </si>
  <si>
    <r>
      <t>销售面积（</t>
    </r>
    <r>
      <rPr>
        <sz val="10"/>
        <rFont val="Times New Roman"/>
        <family val="1"/>
      </rPr>
      <t>m</t>
    </r>
    <r>
      <rPr>
        <vertAlign val="superscript"/>
        <sz val="10"/>
        <rFont val="Times New Roman"/>
        <family val="1"/>
      </rPr>
      <t>2</t>
    </r>
    <r>
      <rPr>
        <sz val="10"/>
        <rFont val="宋体"/>
        <charset val="134"/>
      </rPr>
      <t>）</t>
    </r>
    <phoneticPr fontId="2" type="noConversion"/>
  </si>
  <si>
    <t>销售额</t>
    <phoneticPr fontId="2" type="noConversion"/>
  </si>
  <si>
    <t>回款额</t>
    <phoneticPr fontId="2" type="noConversion"/>
  </si>
  <si>
    <t>银行贷款利息/土地楼面单价（万元）</t>
    <phoneticPr fontId="2" type="noConversion"/>
  </si>
  <si>
    <t>自有资金成本/土地楼面单价（万元）</t>
    <phoneticPr fontId="2" type="noConversion"/>
  </si>
  <si>
    <t>合作方自有资金投资回报率</t>
    <phoneticPr fontId="2" type="noConversion"/>
  </si>
  <si>
    <t>合作方经济指标：</t>
    <phoneticPr fontId="2" type="noConversion"/>
  </si>
  <si>
    <r>
      <t>2</t>
    </r>
    <r>
      <rPr>
        <sz val="10"/>
        <rFont val="宋体"/>
        <charset val="134"/>
      </rPr>
      <t>、自有资金投资回报率</t>
    </r>
    <phoneticPr fontId="2" type="noConversion"/>
  </si>
  <si>
    <r>
      <t>3</t>
    </r>
    <r>
      <rPr>
        <sz val="10"/>
        <rFont val="宋体"/>
        <charset val="134"/>
      </rPr>
      <t>、净利润总计（万元）</t>
    </r>
    <phoneticPr fontId="2" type="noConversion"/>
  </si>
  <si>
    <r>
      <t>4</t>
    </r>
    <r>
      <rPr>
        <sz val="10"/>
        <rFont val="宋体"/>
        <charset val="134"/>
      </rPr>
      <t>、自有资金年均投资回报率</t>
    </r>
    <phoneticPr fontId="2" type="noConversion"/>
  </si>
  <si>
    <r>
      <t>3</t>
    </r>
    <r>
      <rPr>
        <sz val="10"/>
        <rFont val="宋体"/>
        <charset val="134"/>
      </rPr>
      <t>、净利润总计（万元）</t>
    </r>
    <phoneticPr fontId="2" type="noConversion"/>
  </si>
  <si>
    <t>合作方经济指标</t>
    <phoneticPr fontId="2" type="noConversion"/>
  </si>
  <si>
    <t>附表二：经济指标计算器</t>
    <phoneticPr fontId="2" type="noConversion"/>
  </si>
  <si>
    <t>中高层住宅</t>
    <phoneticPr fontId="2" type="noConversion"/>
  </si>
  <si>
    <t>高层住宅</t>
    <phoneticPr fontId="2" type="noConversion"/>
  </si>
  <si>
    <t>地下车位(人防)</t>
    <phoneticPr fontId="2" type="noConversion"/>
  </si>
  <si>
    <t>期，年</t>
    <phoneticPr fontId="2" type="noConversion"/>
  </si>
  <si>
    <t>总销售额×％</t>
    <phoneticPr fontId="2" type="noConversion"/>
  </si>
  <si>
    <t>车库</t>
    <phoneticPr fontId="2" type="noConversion"/>
  </si>
  <si>
    <t>第1年</t>
    <phoneticPr fontId="2" type="noConversion"/>
  </si>
  <si>
    <t>第2年</t>
  </si>
  <si>
    <t>第3年</t>
  </si>
  <si>
    <t>第4年</t>
  </si>
  <si>
    <t>第5年</t>
  </si>
  <si>
    <t>营销费/总销售额</t>
    <phoneticPr fontId="2" type="noConversion"/>
  </si>
  <si>
    <t>地下车位可售面积/地下总面积</t>
    <phoneticPr fontId="2" type="noConversion"/>
  </si>
  <si>
    <t>产品类型</t>
    <phoneticPr fontId="2" type="noConversion"/>
  </si>
  <si>
    <t>1期</t>
    <phoneticPr fontId="2" type="noConversion"/>
  </si>
  <si>
    <t>合计</t>
    <phoneticPr fontId="2" type="noConversion"/>
  </si>
  <si>
    <t>小高层住宅</t>
    <phoneticPr fontId="2" type="noConversion"/>
  </si>
  <si>
    <t>洋房</t>
    <phoneticPr fontId="2" type="noConversion"/>
  </si>
  <si>
    <t>联排别墅</t>
    <phoneticPr fontId="2" type="noConversion"/>
  </si>
  <si>
    <t>地下车位</t>
    <phoneticPr fontId="2" type="noConversion"/>
  </si>
  <si>
    <t>商业</t>
    <phoneticPr fontId="2" type="noConversion"/>
  </si>
  <si>
    <t>中高层住宅</t>
    <phoneticPr fontId="2" type="noConversion"/>
  </si>
  <si>
    <t>高层高层住宅</t>
    <phoneticPr fontId="2" type="noConversion"/>
  </si>
  <si>
    <t>结算面积</t>
    <phoneticPr fontId="2" type="noConversion"/>
  </si>
  <si>
    <r>
      <t>8</t>
    </r>
    <r>
      <rPr>
        <sz val="10"/>
        <rFont val="宋体"/>
        <charset val="134"/>
      </rPr>
      <t>、新项目经济指标计算中原则上不考虑税费优惠，如税费优惠是项目决策的关键因素，则在测算中要考虑税费优惠，并在税费说明表中作出说明；</t>
    </r>
    <phoneticPr fontId="2" type="noConversion"/>
  </si>
  <si>
    <r>
      <t>9</t>
    </r>
    <r>
      <rPr>
        <sz val="10"/>
        <rFont val="宋体"/>
        <charset val="134"/>
      </rPr>
      <t>、勾稽关系表无须填列，表中检查式数值应为“</t>
    </r>
    <r>
      <rPr>
        <sz val="10"/>
        <rFont val="Times New Roman"/>
        <family val="1"/>
      </rPr>
      <t>0”</t>
    </r>
    <r>
      <rPr>
        <sz val="10"/>
        <rFont val="宋体"/>
        <charset val="134"/>
      </rPr>
      <t>。</t>
    </r>
    <phoneticPr fontId="2" type="noConversion"/>
  </si>
  <si>
    <t>夹层融资成本/土地楼面单价（万元）</t>
    <phoneticPr fontId="2" type="noConversion"/>
  </si>
  <si>
    <t>夹层融资年利率</t>
    <phoneticPr fontId="2" type="noConversion"/>
  </si>
  <si>
    <t>可售车位未计入</t>
    <phoneticPr fontId="2" type="noConversion"/>
  </si>
  <si>
    <t>260元/有产权的可售面积</t>
    <phoneticPr fontId="2" type="noConversion"/>
  </si>
  <si>
    <t>100元/有产权的可售面积</t>
    <phoneticPr fontId="2" type="noConversion"/>
  </si>
  <si>
    <t>1500元/建筑面积</t>
    <phoneticPr fontId="2" type="noConversion"/>
  </si>
  <si>
    <t>60元/有产权的可售面积</t>
    <phoneticPr fontId="2" type="noConversion"/>
  </si>
  <si>
    <t>多层住宅</t>
    <phoneticPr fontId="2" type="noConversion"/>
  </si>
  <si>
    <t>说明：1、可售面积除规划指标规定外，一般按建筑面积填写。</t>
    <phoneticPr fontId="2" type="noConversion"/>
  </si>
  <si>
    <t>按100万元/月</t>
    <phoneticPr fontId="2" type="noConversion"/>
  </si>
  <si>
    <t>专业服务费</t>
    <phoneticPr fontId="2" type="noConversion"/>
  </si>
  <si>
    <t>（开发成本-土地获得价款-开发成本中的利息）×％</t>
    <phoneticPr fontId="2" type="noConversion"/>
  </si>
  <si>
    <t>专业服务费</t>
    <phoneticPr fontId="2" type="noConversion"/>
  </si>
  <si>
    <t>财务费</t>
    <phoneticPr fontId="2" type="noConversion"/>
  </si>
  <si>
    <t>策略联盟（合作方）</t>
    <phoneticPr fontId="2" type="noConversion"/>
  </si>
  <si>
    <t>填表指引</t>
    <phoneticPr fontId="2" type="noConversion"/>
  </si>
  <si>
    <r>
      <t>1</t>
    </r>
    <r>
      <rPr>
        <sz val="10"/>
        <rFont val="宋体"/>
        <charset val="134"/>
      </rPr>
      <t>、本表适用于以盈利为目的、开发周期、付款周期、回款周期不超过</t>
    </r>
    <r>
      <rPr>
        <sz val="10"/>
        <rFont val="Times New Roman"/>
        <family val="1"/>
      </rPr>
      <t>5</t>
    </r>
    <r>
      <rPr>
        <sz val="10"/>
        <rFont val="宋体"/>
        <charset val="134"/>
      </rPr>
      <t>年的住宅项目投资经济测算；</t>
    </r>
    <phoneticPr fontId="2" type="noConversion"/>
  </si>
  <si>
    <r>
      <t xml:space="preserve">   </t>
    </r>
    <r>
      <rPr>
        <b/>
        <sz val="10"/>
        <rFont val="宋体"/>
        <charset val="134"/>
      </rPr>
      <t>开发周期：</t>
    </r>
    <r>
      <rPr>
        <sz val="10"/>
        <rFont val="宋体"/>
        <charset val="134"/>
      </rPr>
      <t>从项目首期开工所在季度到最后一笔销售回款所在年度的年末期间的季度个数，每期为一个季度；</t>
    </r>
    <phoneticPr fontId="2" type="noConversion"/>
  </si>
  <si>
    <r>
      <t xml:space="preserve">   </t>
    </r>
    <r>
      <rPr>
        <b/>
        <sz val="10"/>
        <rFont val="宋体"/>
        <charset val="134"/>
      </rPr>
      <t>付款周期：</t>
    </r>
    <r>
      <rPr>
        <sz val="10"/>
        <rFont val="宋体"/>
        <charset val="134"/>
      </rPr>
      <t>从项目第一笔付款所在季度到最后一笔付款所在季度期间的季度个数，每期为一个季度；</t>
    </r>
    <phoneticPr fontId="2" type="noConversion"/>
  </si>
  <si>
    <r>
      <t xml:space="preserve">   </t>
    </r>
    <r>
      <rPr>
        <b/>
        <sz val="10"/>
        <rFont val="宋体"/>
        <charset val="134"/>
      </rPr>
      <t>回款周期：</t>
    </r>
    <r>
      <rPr>
        <sz val="10"/>
        <rFont val="宋体"/>
        <charset val="134"/>
      </rPr>
      <t>从项目首期开工所在季度到最后一笔销售回款所在年度的年末期间的季度个数，每期为一个季度；</t>
    </r>
    <phoneticPr fontId="2" type="noConversion"/>
  </si>
  <si>
    <r>
      <t xml:space="preserve">   </t>
    </r>
    <r>
      <rPr>
        <b/>
        <sz val="10"/>
        <rFont val="宋体"/>
        <charset val="134"/>
      </rPr>
      <t>可售面积/可售建筑面积：</t>
    </r>
    <r>
      <rPr>
        <sz val="10"/>
        <rFont val="宋体"/>
        <charset val="134"/>
      </rPr>
      <t>包括项目的有产权的销售建筑面积和无产权的销售建筑面积（如地下车位的销售面积是无产权的）；</t>
    </r>
    <phoneticPr fontId="2" type="noConversion"/>
  </si>
  <si>
    <t xml:space="preserve">   1）项目测算仅从项目本身经济效益角度出发，不考虑项目所在区域公司的其他项目对本项目的影响；</t>
    <phoneticPr fontId="2" type="noConversion"/>
  </si>
  <si>
    <t xml:space="preserve">   2）项目的开发和销售计划是以行业开发节奏和建设水平为依据；</t>
    <phoneticPr fontId="2" type="noConversion"/>
  </si>
  <si>
    <t>3、本表为项目投资经济测算表模版，对具体项目进行经济测算时，需要填入的数据分为必填数据和选填数据，</t>
    <phoneticPr fontId="2" type="noConversion"/>
  </si>
  <si>
    <t xml:space="preserve">   必填数据的表格为金色            ，</t>
    <phoneticPr fontId="2" type="noConversion"/>
  </si>
  <si>
    <t>选填数据的表格为茶色            ，</t>
    <phoneticPr fontId="2" type="noConversion"/>
  </si>
  <si>
    <t>其余表格不用填写；</t>
    <phoneticPr fontId="2" type="noConversion"/>
  </si>
  <si>
    <t>4、表中建筑产品类型9种，应根据具体项目的产品类型填写，不在此列的产品，可将各表中产品的名字改变后，填入相关数据。</t>
    <phoneticPr fontId="2" type="noConversion"/>
  </si>
  <si>
    <t>5、本表由投资发展部牵头组织填写，涉及到相关专业数据，请投资发展部协调相关部门。各表具体填写要求详见各表的填写说明；</t>
    <phoneticPr fontId="2" type="noConversion"/>
  </si>
  <si>
    <t xml:space="preserve">   其中，需要填写数据的表格有：规划指标、项目开发强度计算器、投资估算表、开发和销售计划表、现金流量表、资金需求分析表、现金流出表、财税说明表；</t>
    <phoneticPr fontId="2" type="noConversion"/>
  </si>
  <si>
    <r>
      <t>6</t>
    </r>
    <r>
      <rPr>
        <sz val="10"/>
        <rFont val="宋体"/>
        <charset val="134"/>
      </rPr>
      <t>、投资估算表中的成本数据填写时，原则上需要填入项目所在地区的行业平均数据，</t>
    </r>
    <phoneticPr fontId="2" type="noConversion"/>
  </si>
  <si>
    <r>
      <t xml:space="preserve">      </t>
    </r>
    <r>
      <rPr>
        <sz val="10"/>
        <rFont val="宋体"/>
        <charset val="134"/>
      </rPr>
      <t>数据可参考集团</t>
    </r>
    <r>
      <rPr>
        <sz val="10"/>
        <rFont val="Times New Roman"/>
        <family val="1"/>
      </rPr>
      <t>OA</t>
    </r>
    <r>
      <rPr>
        <sz val="10"/>
        <rFont val="宋体"/>
        <charset val="134"/>
      </rPr>
      <t>系统中专向资讯平台</t>
    </r>
    <r>
      <rPr>
        <sz val="10"/>
        <rFont val="Times New Roman"/>
        <family val="1"/>
      </rPr>
      <t>/</t>
    </r>
    <r>
      <rPr>
        <sz val="10"/>
        <rFont val="宋体"/>
        <charset val="134"/>
      </rPr>
      <t>投资与策划专向资讯平台</t>
    </r>
    <r>
      <rPr>
        <sz val="10"/>
        <rFont val="Times New Roman"/>
        <family val="1"/>
      </rPr>
      <t>/</t>
    </r>
    <r>
      <rPr>
        <sz val="10"/>
        <rFont val="宋体"/>
        <charset val="134"/>
      </rPr>
      <t>区域</t>
    </r>
    <r>
      <rPr>
        <sz val="10"/>
        <rFont val="Times New Roman"/>
        <family val="1"/>
      </rPr>
      <t>/</t>
    </r>
    <r>
      <rPr>
        <sz val="10"/>
        <rFont val="宋体"/>
        <charset val="134"/>
      </rPr>
      <t>城市</t>
    </r>
    <r>
      <rPr>
        <sz val="10"/>
        <rFont val="Times New Roman"/>
        <family val="1"/>
      </rPr>
      <t>/</t>
    </r>
    <r>
      <rPr>
        <sz val="10"/>
        <rFont val="宋体"/>
        <charset val="134"/>
      </rPr>
      <t>造价参考；</t>
    </r>
    <r>
      <rPr>
        <sz val="10"/>
        <rFont val="Times New Roman"/>
        <family val="1"/>
      </rPr>
      <t xml:space="preserve"> </t>
    </r>
    <phoneticPr fontId="2" type="noConversion"/>
  </si>
  <si>
    <r>
      <t>7</t>
    </r>
    <r>
      <rPr>
        <sz val="10"/>
        <rFont val="宋体"/>
        <charset val="134"/>
      </rPr>
      <t>、现金流量表中的内部收益率</t>
    </r>
    <r>
      <rPr>
        <sz val="10"/>
        <rFont val="Times New Roman"/>
        <family val="1"/>
      </rPr>
      <t>IRR</t>
    </r>
    <r>
      <rPr>
        <sz val="10"/>
        <rFont val="宋体"/>
        <charset val="134"/>
      </rPr>
      <t>是从投资角度进行计算，所得结果与财务内部收益率</t>
    </r>
    <r>
      <rPr>
        <sz val="10"/>
        <rFont val="Times New Roman"/>
        <family val="1"/>
      </rPr>
      <t>IRR</t>
    </r>
    <r>
      <rPr>
        <sz val="10"/>
        <rFont val="宋体"/>
        <charset val="134"/>
      </rPr>
      <t>的计算结果可能所有不同；</t>
    </r>
    <phoneticPr fontId="2" type="noConversion"/>
  </si>
  <si>
    <r>
      <t>第</t>
    </r>
    <r>
      <rPr>
        <sz val="10"/>
        <rFont val="Times New Roman"/>
        <family val="1"/>
      </rPr>
      <t>1</t>
    </r>
    <r>
      <rPr>
        <sz val="10"/>
        <rFont val="宋体"/>
        <charset val="134"/>
      </rPr>
      <t>年</t>
    </r>
    <r>
      <rPr>
        <sz val="10"/>
        <rFont val="Times New Roman"/>
        <family val="1"/>
      </rPr>
      <t>1</t>
    </r>
    <r>
      <rPr>
        <sz val="10"/>
        <rFont val="宋体"/>
        <charset val="134"/>
      </rPr>
      <t>季度</t>
    </r>
    <phoneticPr fontId="2" type="noConversion"/>
  </si>
  <si>
    <t>第1年2季度</t>
    <phoneticPr fontId="2" type="noConversion"/>
  </si>
  <si>
    <r>
      <t>第</t>
    </r>
    <r>
      <rPr>
        <sz val="10"/>
        <rFont val="Times New Roman"/>
        <family val="1"/>
      </rPr>
      <t>1</t>
    </r>
    <r>
      <rPr>
        <sz val="10"/>
        <rFont val="宋体"/>
        <charset val="134"/>
      </rPr>
      <t>年</t>
    </r>
    <r>
      <rPr>
        <sz val="10"/>
        <rFont val="Times New Roman"/>
        <family val="1"/>
      </rPr>
      <t>3</t>
    </r>
    <r>
      <rPr>
        <sz val="10"/>
        <rFont val="宋体"/>
        <charset val="134"/>
      </rPr>
      <t>季度</t>
    </r>
    <phoneticPr fontId="2" type="noConversion"/>
  </si>
  <si>
    <t>第1年4季度</t>
    <phoneticPr fontId="2" type="noConversion"/>
  </si>
  <si>
    <r>
      <t>第</t>
    </r>
    <r>
      <rPr>
        <sz val="10"/>
        <rFont val="Times New Roman"/>
        <family val="1"/>
      </rPr>
      <t>2</t>
    </r>
    <r>
      <rPr>
        <sz val="10"/>
        <rFont val="宋体"/>
        <charset val="134"/>
      </rPr>
      <t>年</t>
    </r>
    <r>
      <rPr>
        <sz val="10"/>
        <rFont val="Times New Roman"/>
        <family val="1"/>
      </rPr>
      <t>1</t>
    </r>
    <r>
      <rPr>
        <sz val="10"/>
        <rFont val="宋体"/>
        <charset val="134"/>
      </rPr>
      <t>季度</t>
    </r>
    <phoneticPr fontId="2" type="noConversion"/>
  </si>
  <si>
    <r>
      <t>第</t>
    </r>
    <r>
      <rPr>
        <sz val="10"/>
        <rFont val="Times New Roman"/>
        <family val="1"/>
      </rPr>
      <t>2</t>
    </r>
    <r>
      <rPr>
        <sz val="10"/>
        <rFont val="宋体"/>
        <charset val="134"/>
      </rPr>
      <t>年</t>
    </r>
    <r>
      <rPr>
        <sz val="10"/>
        <rFont val="Times New Roman"/>
        <family val="1"/>
      </rPr>
      <t>2</t>
    </r>
    <r>
      <rPr>
        <sz val="10"/>
        <rFont val="宋体"/>
        <charset val="134"/>
      </rPr>
      <t>季度</t>
    </r>
    <phoneticPr fontId="2" type="noConversion"/>
  </si>
  <si>
    <r>
      <t>第</t>
    </r>
    <r>
      <rPr>
        <sz val="10"/>
        <rFont val="Times New Roman"/>
        <family val="1"/>
      </rPr>
      <t>2</t>
    </r>
    <r>
      <rPr>
        <sz val="10"/>
        <rFont val="宋体"/>
        <charset val="134"/>
      </rPr>
      <t>年</t>
    </r>
    <r>
      <rPr>
        <sz val="10"/>
        <rFont val="Times New Roman"/>
        <family val="1"/>
      </rPr>
      <t>3</t>
    </r>
    <r>
      <rPr>
        <sz val="10"/>
        <rFont val="宋体"/>
        <charset val="134"/>
      </rPr>
      <t>季度</t>
    </r>
    <phoneticPr fontId="2" type="noConversion"/>
  </si>
  <si>
    <r>
      <t>第</t>
    </r>
    <r>
      <rPr>
        <sz val="10"/>
        <rFont val="Times New Roman"/>
        <family val="1"/>
      </rPr>
      <t>2</t>
    </r>
    <r>
      <rPr>
        <sz val="10"/>
        <rFont val="宋体"/>
        <charset val="134"/>
      </rPr>
      <t>年</t>
    </r>
    <r>
      <rPr>
        <sz val="10"/>
        <rFont val="Times New Roman"/>
        <family val="1"/>
      </rPr>
      <t>4</t>
    </r>
    <r>
      <rPr>
        <sz val="10"/>
        <rFont val="宋体"/>
        <charset val="134"/>
      </rPr>
      <t>季度</t>
    </r>
    <phoneticPr fontId="2" type="noConversion"/>
  </si>
  <si>
    <r>
      <t>第</t>
    </r>
    <r>
      <rPr>
        <sz val="10"/>
        <rFont val="Times New Roman"/>
        <family val="1"/>
      </rPr>
      <t>3</t>
    </r>
    <r>
      <rPr>
        <sz val="10"/>
        <rFont val="宋体"/>
        <charset val="134"/>
      </rPr>
      <t>年</t>
    </r>
    <r>
      <rPr>
        <sz val="10"/>
        <rFont val="Times New Roman"/>
        <family val="1"/>
      </rPr>
      <t>1</t>
    </r>
    <r>
      <rPr>
        <sz val="10"/>
        <rFont val="宋体"/>
        <charset val="134"/>
      </rPr>
      <t>季度</t>
    </r>
    <phoneticPr fontId="2" type="noConversion"/>
  </si>
  <si>
    <r>
      <t>第</t>
    </r>
    <r>
      <rPr>
        <sz val="10"/>
        <rFont val="Times New Roman"/>
        <family val="1"/>
      </rPr>
      <t>3</t>
    </r>
    <r>
      <rPr>
        <sz val="10"/>
        <rFont val="宋体"/>
        <charset val="134"/>
      </rPr>
      <t>年</t>
    </r>
    <r>
      <rPr>
        <sz val="10"/>
        <rFont val="Times New Roman"/>
        <family val="1"/>
      </rPr>
      <t>2</t>
    </r>
    <r>
      <rPr>
        <sz val="10"/>
        <rFont val="宋体"/>
        <charset val="134"/>
      </rPr>
      <t>季度</t>
    </r>
    <phoneticPr fontId="2" type="noConversion"/>
  </si>
  <si>
    <r>
      <t>第</t>
    </r>
    <r>
      <rPr>
        <sz val="10"/>
        <rFont val="Times New Roman"/>
        <family val="1"/>
      </rPr>
      <t>3</t>
    </r>
    <r>
      <rPr>
        <sz val="10"/>
        <rFont val="宋体"/>
        <charset val="134"/>
      </rPr>
      <t>年</t>
    </r>
    <r>
      <rPr>
        <sz val="10"/>
        <rFont val="Times New Roman"/>
        <family val="1"/>
      </rPr>
      <t>3</t>
    </r>
    <r>
      <rPr>
        <sz val="10"/>
        <rFont val="宋体"/>
        <charset val="134"/>
      </rPr>
      <t>季度</t>
    </r>
    <phoneticPr fontId="2" type="noConversion"/>
  </si>
  <si>
    <r>
      <t>第</t>
    </r>
    <r>
      <rPr>
        <sz val="10"/>
        <rFont val="Times New Roman"/>
        <family val="1"/>
      </rPr>
      <t>3</t>
    </r>
    <r>
      <rPr>
        <sz val="10"/>
        <rFont val="宋体"/>
        <charset val="134"/>
      </rPr>
      <t>年</t>
    </r>
    <r>
      <rPr>
        <sz val="10"/>
        <rFont val="Times New Roman"/>
        <family val="1"/>
      </rPr>
      <t>4</t>
    </r>
    <r>
      <rPr>
        <sz val="10"/>
        <rFont val="宋体"/>
        <charset val="134"/>
      </rPr>
      <t>季度</t>
    </r>
    <phoneticPr fontId="2" type="noConversion"/>
  </si>
  <si>
    <r>
      <t>第</t>
    </r>
    <r>
      <rPr>
        <sz val="10"/>
        <rFont val="Times New Roman"/>
        <family val="1"/>
      </rPr>
      <t>4</t>
    </r>
    <r>
      <rPr>
        <sz val="10"/>
        <rFont val="宋体"/>
        <charset val="134"/>
      </rPr>
      <t>年</t>
    </r>
    <r>
      <rPr>
        <sz val="10"/>
        <rFont val="Times New Roman"/>
        <family val="1"/>
      </rPr>
      <t>1</t>
    </r>
    <r>
      <rPr>
        <sz val="10"/>
        <rFont val="宋体"/>
        <charset val="134"/>
      </rPr>
      <t>季度</t>
    </r>
    <phoneticPr fontId="2" type="noConversion"/>
  </si>
  <si>
    <r>
      <t>第</t>
    </r>
    <r>
      <rPr>
        <sz val="10"/>
        <rFont val="Times New Roman"/>
        <family val="1"/>
      </rPr>
      <t>4</t>
    </r>
    <r>
      <rPr>
        <sz val="10"/>
        <rFont val="宋体"/>
        <charset val="134"/>
      </rPr>
      <t>年</t>
    </r>
    <r>
      <rPr>
        <sz val="10"/>
        <rFont val="Times New Roman"/>
        <family val="1"/>
      </rPr>
      <t>2</t>
    </r>
    <r>
      <rPr>
        <sz val="10"/>
        <rFont val="宋体"/>
        <charset val="134"/>
      </rPr>
      <t>季度</t>
    </r>
    <phoneticPr fontId="2" type="noConversion"/>
  </si>
  <si>
    <r>
      <t>第</t>
    </r>
    <r>
      <rPr>
        <sz val="10"/>
        <rFont val="Times New Roman"/>
        <family val="1"/>
      </rPr>
      <t>4</t>
    </r>
    <r>
      <rPr>
        <sz val="10"/>
        <rFont val="宋体"/>
        <charset val="134"/>
      </rPr>
      <t>年</t>
    </r>
    <r>
      <rPr>
        <sz val="10"/>
        <rFont val="Times New Roman"/>
        <family val="1"/>
      </rPr>
      <t>3</t>
    </r>
    <r>
      <rPr>
        <sz val="10"/>
        <rFont val="宋体"/>
        <charset val="134"/>
      </rPr>
      <t>季度</t>
    </r>
    <phoneticPr fontId="2" type="noConversion"/>
  </si>
  <si>
    <r>
      <t>第</t>
    </r>
    <r>
      <rPr>
        <sz val="10"/>
        <rFont val="Times New Roman"/>
        <family val="1"/>
      </rPr>
      <t>4</t>
    </r>
    <r>
      <rPr>
        <sz val="10"/>
        <rFont val="宋体"/>
        <charset val="134"/>
      </rPr>
      <t>年</t>
    </r>
    <r>
      <rPr>
        <sz val="10"/>
        <rFont val="Times New Roman"/>
        <family val="1"/>
      </rPr>
      <t>4</t>
    </r>
    <r>
      <rPr>
        <sz val="10"/>
        <rFont val="宋体"/>
        <charset val="134"/>
      </rPr>
      <t>季度</t>
    </r>
    <phoneticPr fontId="2" type="noConversion"/>
  </si>
  <si>
    <r>
      <t>第</t>
    </r>
    <r>
      <rPr>
        <sz val="10"/>
        <rFont val="Times New Roman"/>
        <family val="1"/>
      </rPr>
      <t>5</t>
    </r>
    <r>
      <rPr>
        <sz val="10"/>
        <rFont val="宋体"/>
        <charset val="134"/>
      </rPr>
      <t>年</t>
    </r>
    <r>
      <rPr>
        <sz val="10"/>
        <rFont val="Times New Roman"/>
        <family val="1"/>
      </rPr>
      <t>1</t>
    </r>
    <r>
      <rPr>
        <sz val="10"/>
        <rFont val="宋体"/>
        <charset val="134"/>
      </rPr>
      <t>季度</t>
    </r>
    <phoneticPr fontId="2" type="noConversion"/>
  </si>
  <si>
    <r>
      <t>第</t>
    </r>
    <r>
      <rPr>
        <sz val="10"/>
        <rFont val="Times New Roman"/>
        <family val="1"/>
      </rPr>
      <t>5</t>
    </r>
    <r>
      <rPr>
        <sz val="10"/>
        <rFont val="宋体"/>
        <charset val="134"/>
      </rPr>
      <t>年</t>
    </r>
    <r>
      <rPr>
        <sz val="10"/>
        <rFont val="Times New Roman"/>
        <family val="1"/>
      </rPr>
      <t>2</t>
    </r>
    <r>
      <rPr>
        <sz val="10"/>
        <rFont val="宋体"/>
        <charset val="134"/>
      </rPr>
      <t>季度</t>
    </r>
    <phoneticPr fontId="2" type="noConversion"/>
  </si>
  <si>
    <r>
      <t>第</t>
    </r>
    <r>
      <rPr>
        <sz val="10"/>
        <rFont val="Times New Roman"/>
        <family val="1"/>
      </rPr>
      <t>5</t>
    </r>
    <r>
      <rPr>
        <sz val="10"/>
        <rFont val="宋体"/>
        <charset val="134"/>
      </rPr>
      <t>年</t>
    </r>
    <r>
      <rPr>
        <sz val="10"/>
        <rFont val="Times New Roman"/>
        <family val="1"/>
      </rPr>
      <t>3</t>
    </r>
    <r>
      <rPr>
        <sz val="10"/>
        <rFont val="宋体"/>
        <charset val="134"/>
      </rPr>
      <t>季度</t>
    </r>
    <phoneticPr fontId="2" type="noConversion"/>
  </si>
  <si>
    <r>
      <t>第</t>
    </r>
    <r>
      <rPr>
        <sz val="10"/>
        <rFont val="Times New Roman"/>
        <family val="1"/>
      </rPr>
      <t>5</t>
    </r>
    <r>
      <rPr>
        <sz val="10"/>
        <rFont val="宋体"/>
        <charset val="134"/>
      </rPr>
      <t>年</t>
    </r>
    <r>
      <rPr>
        <sz val="10"/>
        <rFont val="Times New Roman"/>
        <family val="1"/>
      </rPr>
      <t>4</t>
    </r>
    <r>
      <rPr>
        <sz val="10"/>
        <rFont val="宋体"/>
        <charset val="134"/>
      </rPr>
      <t>季度</t>
    </r>
    <phoneticPr fontId="2" type="noConversion"/>
  </si>
  <si>
    <t>自有资金投资回报率/开发周期×4</t>
    <phoneticPr fontId="2" type="noConversion"/>
  </si>
  <si>
    <t>沿海自有资金投资回报率/开发周期×4</t>
    <phoneticPr fontId="2" type="noConversion"/>
  </si>
  <si>
    <t>1、每个季度的开发间接费（不含资本化财务费用）＝（开发间接费总额－资本化财务费用总额）/开发周期个数 ＝</t>
    <phoneticPr fontId="2" type="noConversion"/>
  </si>
  <si>
    <t xml:space="preserve">  开发间接费支付的首期为项目首期开工所在的季度，支付的末期为项目最后一笔销售回款所在年度的第四个季度。</t>
    <phoneticPr fontId="2" type="noConversion"/>
  </si>
  <si>
    <t>2、每个季度的营销费＝营销费总额/开发周期个数 ＝</t>
    <phoneticPr fontId="2" type="noConversion"/>
  </si>
  <si>
    <t xml:space="preserve">  营销费支付的首期为项目首期开工所在的季度，支付的末期为项目最后一笔销售回款所在年度的第四个季度。</t>
    <phoneticPr fontId="2" type="noConversion"/>
  </si>
  <si>
    <t xml:space="preserve">3、每个季度的成本机动数及企业风险基金  ＝  成本机动数及企业风险基金总额/开发周期个数  ＝ </t>
    <phoneticPr fontId="2" type="noConversion"/>
  </si>
  <si>
    <t xml:space="preserve">  成本机动数及企业风险基金支付的首期为项目首期开工所在的季度，支付的末期为项目最后一笔销售回款所在年度的第四个季度。</t>
    <phoneticPr fontId="2" type="noConversion"/>
  </si>
  <si>
    <t>4、土地获得价款按实际支付节奏填写。</t>
    <phoneticPr fontId="2" type="noConversion"/>
  </si>
</sst>
</file>

<file path=xl/styles.xml><?xml version="1.0" encoding="utf-8"?>
<styleSheet xmlns="http://schemas.openxmlformats.org/spreadsheetml/2006/main">
  <numFmts count="16">
    <numFmt numFmtId="43" formatCode="_ * #,##0.00_ ;_ * \-#,##0.00_ ;_ * &quot;-&quot;??_ ;_ @_ "/>
    <numFmt numFmtId="176" formatCode="&quot;总建筑面积＝&quot;\ #,##0.00000&quot;万m2&quot;"/>
    <numFmt numFmtId="177" formatCode="#,##0_);[Red]\(#,##0\)"/>
    <numFmt numFmtId="178" formatCode="0.00_ "/>
    <numFmt numFmtId="179" formatCode="_ * #,##0_ ;_ * \-#,##0_ ;_ * &quot;-&quot;??_ ;_ @_ "/>
    <numFmt numFmtId="180" formatCode="#,##0_ "/>
    <numFmt numFmtId="182" formatCode="0_ "/>
    <numFmt numFmtId="183" formatCode="0.00_);[Red]\(0.00\)"/>
    <numFmt numFmtId="184" formatCode="0_);[Red]\(0\)"/>
    <numFmt numFmtId="186" formatCode="#,##0.00_);[Red]\(#,##0.00\)"/>
    <numFmt numFmtId="187" formatCode="&quot;开发周期＝&quot;\ #,##0&quot;个季度&quot;"/>
    <numFmt numFmtId="188" formatCode="0.0%"/>
    <numFmt numFmtId="192" formatCode="&quot;贴现率＝&quot;\ #,##0.0%&quot;&quot;"/>
    <numFmt numFmtId="193" formatCode="&quot;年利率＝&quot;\ #,##0.0%&quot;&quot;"/>
    <numFmt numFmtId="194" formatCode="0.0_);[Red]\(0.0\)"/>
    <numFmt numFmtId="195" formatCode="&quot;开发周期＝&quot;\ #,##0&quot;个半年度&quot;"/>
  </numFmts>
  <fonts count="68">
    <font>
      <sz val="12"/>
      <name val="宋体"/>
      <charset val="134"/>
    </font>
    <font>
      <sz val="12"/>
      <name val="宋体"/>
      <charset val="134"/>
    </font>
    <font>
      <sz val="9"/>
      <name val="宋体"/>
      <charset val="134"/>
    </font>
    <font>
      <sz val="9"/>
      <name val="Arial Narrow"/>
      <family val="2"/>
    </font>
    <font>
      <b/>
      <sz val="12"/>
      <name val="Arial Narrow"/>
      <family val="2"/>
    </font>
    <font>
      <b/>
      <sz val="11"/>
      <name val="Arial Narrow"/>
      <family val="2"/>
    </font>
    <font>
      <b/>
      <sz val="11"/>
      <name val="宋体"/>
      <charset val="134"/>
    </font>
    <font>
      <sz val="10"/>
      <name val="宋体"/>
      <charset val="134"/>
    </font>
    <font>
      <b/>
      <sz val="9"/>
      <name val="宋体"/>
      <charset val="134"/>
    </font>
    <font>
      <sz val="11"/>
      <name val="宋体"/>
      <charset val="134"/>
    </font>
    <font>
      <sz val="12"/>
      <name val="宋体"/>
      <charset val="134"/>
    </font>
    <font>
      <sz val="9"/>
      <name val="Times New Roman"/>
      <family val="1"/>
    </font>
    <font>
      <b/>
      <sz val="16"/>
      <name val="宋体"/>
      <charset val="134"/>
    </font>
    <font>
      <b/>
      <sz val="10"/>
      <name val="宋体"/>
      <charset val="134"/>
    </font>
    <font>
      <b/>
      <sz val="9"/>
      <name val="Arial Narrow"/>
      <family val="2"/>
    </font>
    <font>
      <sz val="10"/>
      <name val="Times New Roman"/>
      <family val="1"/>
    </font>
    <font>
      <b/>
      <sz val="18"/>
      <color indexed="12"/>
      <name val="宋体"/>
      <charset val="134"/>
    </font>
    <font>
      <sz val="10"/>
      <color indexed="60"/>
      <name val="宋体"/>
      <charset val="134"/>
    </font>
    <font>
      <b/>
      <sz val="10"/>
      <name val="Times New Roman"/>
      <family val="1"/>
    </font>
    <font>
      <b/>
      <sz val="10"/>
      <color indexed="12"/>
      <name val="宋体"/>
      <charset val="134"/>
    </font>
    <font>
      <b/>
      <sz val="10"/>
      <color indexed="12"/>
      <name val="Times New Roman"/>
      <family val="1"/>
    </font>
    <font>
      <b/>
      <vertAlign val="superscript"/>
      <sz val="10"/>
      <color indexed="12"/>
      <name val="Times New Roman"/>
      <family val="1"/>
    </font>
    <font>
      <sz val="10"/>
      <color indexed="12"/>
      <name val="Times New Roman"/>
      <family val="1"/>
    </font>
    <font>
      <sz val="10"/>
      <color indexed="12"/>
      <name val="宋体"/>
      <charset val="134"/>
    </font>
    <font>
      <vertAlign val="superscript"/>
      <sz val="10"/>
      <name val="Times New Roman"/>
      <family val="1"/>
    </font>
    <font>
      <sz val="11"/>
      <color indexed="52"/>
      <name val="宋体"/>
      <charset val="134"/>
    </font>
    <font>
      <b/>
      <sz val="18"/>
      <name val="宋体"/>
      <charset val="134"/>
    </font>
    <font>
      <b/>
      <sz val="11"/>
      <color indexed="81"/>
      <name val="宋体"/>
      <charset val="134"/>
    </font>
    <font>
      <sz val="11"/>
      <color indexed="81"/>
      <name val="宋体"/>
      <charset val="134"/>
    </font>
    <font>
      <b/>
      <sz val="8"/>
      <color indexed="81"/>
      <name val="宋体"/>
      <charset val="134"/>
    </font>
    <font>
      <b/>
      <sz val="10"/>
      <color indexed="81"/>
      <name val="宋体"/>
      <charset val="134"/>
    </font>
    <font>
      <sz val="8"/>
      <color indexed="81"/>
      <name val="宋体"/>
      <charset val="134"/>
    </font>
    <font>
      <sz val="10"/>
      <name val="MS Sans Serif"/>
      <family val="2"/>
    </font>
    <font>
      <b/>
      <sz val="12"/>
      <name val="Times New Roman"/>
      <family val="1"/>
    </font>
    <font>
      <sz val="10"/>
      <color indexed="48"/>
      <name val="宋体"/>
      <charset val="134"/>
    </font>
    <font>
      <b/>
      <u/>
      <sz val="10"/>
      <color indexed="12"/>
      <name val="宋体"/>
      <charset val="134"/>
    </font>
    <font>
      <b/>
      <sz val="18"/>
      <color indexed="60"/>
      <name val="Times New Roman"/>
      <family val="1"/>
    </font>
    <font>
      <b/>
      <sz val="10"/>
      <color indexed="18"/>
      <name val="宋体"/>
      <charset val="134"/>
    </font>
    <font>
      <sz val="10"/>
      <color indexed="56"/>
      <name val="Times New Roman"/>
      <family val="1"/>
    </font>
    <font>
      <b/>
      <sz val="10"/>
      <color indexed="56"/>
      <name val="宋体"/>
      <charset val="134"/>
    </font>
    <font>
      <b/>
      <sz val="10"/>
      <name val="Arial Narrow"/>
      <family val="2"/>
    </font>
    <font>
      <sz val="9"/>
      <color indexed="81"/>
      <name val="宋体"/>
      <charset val="134"/>
    </font>
    <font>
      <b/>
      <sz val="9"/>
      <color indexed="81"/>
      <name val="宋体"/>
      <charset val="134"/>
    </font>
    <font>
      <vertAlign val="superscript"/>
      <sz val="10"/>
      <name val="宋体"/>
      <charset val="134"/>
    </font>
    <font>
      <b/>
      <sz val="10"/>
      <color indexed="10"/>
      <name val="宋体"/>
      <charset val="134"/>
    </font>
    <font>
      <sz val="10"/>
      <color indexed="10"/>
      <name val="宋体"/>
      <charset val="134"/>
    </font>
    <font>
      <b/>
      <vertAlign val="superscript"/>
      <sz val="10"/>
      <name val="宋体"/>
      <charset val="134"/>
    </font>
    <font>
      <u/>
      <sz val="12"/>
      <color indexed="12"/>
      <name val="宋体"/>
      <charset val="134"/>
    </font>
    <font>
      <sz val="12"/>
      <name val="华文仿宋"/>
      <charset val="134"/>
    </font>
    <font>
      <sz val="10"/>
      <name val="华文仿宋"/>
      <charset val="134"/>
    </font>
    <font>
      <sz val="10"/>
      <color indexed="53"/>
      <name val="宋体"/>
      <charset val="134"/>
    </font>
    <font>
      <b/>
      <sz val="12"/>
      <name val="华文仿宋"/>
      <charset val="134"/>
    </font>
    <font>
      <vertAlign val="subscript"/>
      <sz val="10"/>
      <name val="Times New Roman"/>
      <family val="1"/>
    </font>
    <font>
      <vertAlign val="superscript"/>
      <sz val="10"/>
      <color indexed="12"/>
      <name val="宋体"/>
      <charset val="134"/>
    </font>
    <font>
      <sz val="10"/>
      <name val="华文细黑"/>
      <charset val="134"/>
    </font>
    <font>
      <sz val="16"/>
      <name val="宋体"/>
      <charset val="134"/>
    </font>
    <font>
      <sz val="20"/>
      <name val="宋体"/>
      <charset val="134"/>
    </font>
    <font>
      <b/>
      <sz val="12"/>
      <name val="宋体"/>
      <charset val="134"/>
    </font>
    <font>
      <sz val="10.5"/>
      <name val="宋体"/>
      <charset val="134"/>
    </font>
    <font>
      <sz val="10"/>
      <color indexed="8"/>
      <name val="宋体"/>
      <charset val="134"/>
    </font>
    <font>
      <vertAlign val="superscript"/>
      <sz val="10"/>
      <color indexed="8"/>
      <name val="宋体"/>
      <charset val="134"/>
    </font>
    <font>
      <sz val="11"/>
      <name val="Times New Roman"/>
      <family val="1"/>
    </font>
    <font>
      <b/>
      <sz val="14"/>
      <color indexed="9"/>
      <name val="宋体"/>
      <charset val="134"/>
    </font>
    <font>
      <sz val="11"/>
      <color indexed="48"/>
      <name val="宋体"/>
      <charset val="134"/>
    </font>
    <font>
      <sz val="11"/>
      <color indexed="9"/>
      <name val="宋体"/>
      <charset val="134"/>
    </font>
    <font>
      <b/>
      <sz val="13"/>
      <name val="宋体"/>
      <charset val="134"/>
    </font>
    <font>
      <b/>
      <sz val="12"/>
      <color indexed="12"/>
      <name val="隶书"/>
      <family val="3"/>
      <charset val="134"/>
    </font>
    <font>
      <b/>
      <sz val="12"/>
      <color indexed="12"/>
      <name val="宋体"/>
      <charset val="134"/>
    </font>
  </fonts>
  <fills count="1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indexed="9"/>
        <bgColor indexed="64"/>
      </patternFill>
    </fill>
    <fill>
      <patternFill patternType="solid">
        <fgColor indexed="41"/>
        <bgColor indexed="64"/>
      </patternFill>
    </fill>
    <fill>
      <patternFill patternType="solid">
        <fgColor indexed="51"/>
        <bgColor indexed="64"/>
      </patternFill>
    </fill>
    <fill>
      <patternFill patternType="solid">
        <fgColor indexed="22"/>
        <bgColor indexed="64"/>
      </patternFill>
    </fill>
    <fill>
      <patternFill patternType="solid">
        <fgColor indexed="27"/>
        <bgColor indexed="64"/>
      </patternFill>
    </fill>
    <fill>
      <patternFill patternType="solid">
        <fgColor indexed="47"/>
        <bgColor indexed="64"/>
      </patternFill>
    </fill>
    <fill>
      <patternFill patternType="solid">
        <fgColor indexed="12"/>
        <bgColor indexed="64"/>
      </patternFill>
    </fill>
    <fill>
      <patternFill patternType="solid">
        <fgColor indexed="13"/>
        <bgColor indexed="64"/>
      </patternFill>
    </fill>
  </fills>
  <borders count="8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diagonalDown="1">
      <left style="thin">
        <color indexed="64"/>
      </left>
      <right style="thin">
        <color indexed="64"/>
      </right>
      <top style="medium">
        <color indexed="64"/>
      </top>
      <bottom style="thin">
        <color indexed="64"/>
      </bottom>
      <diagonal style="thin">
        <color indexed="64"/>
      </diagonal>
    </border>
    <border>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56"/>
      </top>
      <bottom style="thin">
        <color indexed="56"/>
      </bottom>
      <diagonal/>
    </border>
    <border>
      <left/>
      <right/>
      <top style="medium">
        <color indexed="56"/>
      </top>
      <bottom style="thin">
        <color indexed="56"/>
      </bottom>
      <diagonal/>
    </border>
    <border>
      <left/>
      <right/>
      <top style="thin">
        <color indexed="56"/>
      </top>
      <bottom style="medium">
        <color indexed="56"/>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right/>
      <top/>
      <bottom style="thin">
        <color indexed="56"/>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thin">
        <color indexed="64"/>
      </top>
      <bottom style="medium">
        <color indexed="64"/>
      </bottom>
      <diagonal/>
    </border>
    <border>
      <left/>
      <right style="double">
        <color indexed="64"/>
      </right>
      <top style="medium">
        <color indexed="64"/>
      </top>
      <bottom/>
      <diagonal/>
    </border>
    <border>
      <left style="medium">
        <color indexed="64"/>
      </left>
      <right/>
      <top/>
      <bottom style="thin">
        <color indexed="64"/>
      </bottom>
      <diagonal/>
    </border>
    <border>
      <left/>
      <right style="double">
        <color indexed="64"/>
      </right>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5">
    <xf numFmtId="0" fontId="0" fillId="0" borderId="0"/>
    <xf numFmtId="9" fontId="1" fillId="0" borderId="0" applyFont="0" applyFill="0" applyBorder="0" applyAlignment="0" applyProtection="0"/>
    <xf numFmtId="0" fontId="10" fillId="0" borderId="0"/>
    <xf numFmtId="0" fontId="47" fillId="0" borderId="0" applyNumberFormat="0" applyFill="0" applyBorder="0" applyAlignment="0" applyProtection="0">
      <alignment vertical="top"/>
      <protection locked="0"/>
    </xf>
    <xf numFmtId="43" fontId="1" fillId="0" borderId="0" applyFont="0" applyFill="0" applyBorder="0" applyAlignment="0" applyProtection="0"/>
  </cellStyleXfs>
  <cellXfs count="922">
    <xf numFmtId="0" fontId="0" fillId="0" borderId="0" xfId="0"/>
    <xf numFmtId="176" fontId="3" fillId="0" borderId="0" xfId="0" applyNumberFormat="1" applyFont="1" applyFill="1" applyBorder="1" applyAlignment="1">
      <alignment horizontal="left" vertical="center" wrapText="1"/>
    </xf>
    <xf numFmtId="176" fontId="2" fillId="0" borderId="0" xfId="0" applyNumberFormat="1" applyFont="1" applyFill="1" applyBorder="1" applyAlignment="1">
      <alignment horizontal="left" vertical="center" wrapText="1"/>
    </xf>
    <xf numFmtId="43" fontId="2" fillId="0" borderId="0" xfId="0" applyNumberFormat="1" applyFont="1" applyFill="1" applyBorder="1" applyAlignment="1">
      <alignment horizontal="left" vertical="center" wrapText="1"/>
    </xf>
    <xf numFmtId="0" fontId="3" fillId="0"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Fill="1" applyAlignment="1">
      <alignment horizontal="center" vertical="center" wrapText="1"/>
    </xf>
    <xf numFmtId="0" fontId="2" fillId="2" borderId="0" xfId="0" applyFont="1" applyFill="1" applyAlignment="1">
      <alignment horizontal="center" vertical="center" wrapText="1"/>
    </xf>
    <xf numFmtId="177" fontId="7" fillId="3" borderId="2" xfId="0" applyNumberFormat="1" applyFont="1" applyFill="1" applyBorder="1" applyAlignment="1">
      <alignment horizontal="center" vertical="center" wrapText="1"/>
    </xf>
    <xf numFmtId="0" fontId="7" fillId="0" borderId="0" xfId="0" applyFont="1" applyFill="1" applyAlignment="1">
      <alignment horizontal="center" vertical="center" wrapText="1"/>
    </xf>
    <xf numFmtId="177"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0" xfId="0" applyFont="1" applyFill="1" applyAlignment="1">
      <alignment horizontal="left" vertical="center" wrapText="1"/>
    </xf>
    <xf numFmtId="0" fontId="3" fillId="0" borderId="0" xfId="0" applyFont="1" applyFill="1" applyAlignment="1">
      <alignment horizontal="left" vertical="center" wrapText="1"/>
    </xf>
    <xf numFmtId="43" fontId="2" fillId="0" borderId="0" xfId="0" applyNumberFormat="1" applyFont="1" applyFill="1" applyAlignment="1">
      <alignment horizontal="center" vertical="center" wrapText="1"/>
    </xf>
    <xf numFmtId="0" fontId="9" fillId="0" borderId="0" xfId="0" applyFont="1" applyFill="1" applyAlignment="1">
      <alignment horizontal="left" vertical="center" wrapText="1"/>
    </xf>
    <xf numFmtId="179" fontId="16" fillId="0" borderId="0" xfId="4" applyNumberFormat="1" applyFont="1" applyAlignment="1">
      <alignment horizontal="center"/>
    </xf>
    <xf numFmtId="179" fontId="15" fillId="0" borderId="0" xfId="4" applyNumberFormat="1" applyFont="1"/>
    <xf numFmtId="179" fontId="17" fillId="0" borderId="0" xfId="4" quotePrefix="1" applyNumberFormat="1" applyFont="1" applyAlignment="1">
      <alignment horizontal="left"/>
    </xf>
    <xf numFmtId="179" fontId="18" fillId="0" borderId="0" xfId="4" applyNumberFormat="1" applyFont="1"/>
    <xf numFmtId="179" fontId="13" fillId="2" borderId="2" xfId="4" applyNumberFormat="1" applyFont="1" applyFill="1" applyBorder="1" applyAlignment="1">
      <alignment horizontal="center" vertical="center"/>
    </xf>
    <xf numFmtId="179" fontId="18" fillId="0" borderId="0" xfId="4" applyNumberFormat="1" applyFont="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179" fontId="15" fillId="0" borderId="0" xfId="4" applyNumberFormat="1" applyFont="1" applyBorder="1"/>
    <xf numFmtId="0" fontId="7" fillId="4" borderId="2" xfId="0" applyFont="1" applyFill="1" applyBorder="1" applyAlignment="1">
      <alignment horizontal="center"/>
    </xf>
    <xf numFmtId="179" fontId="15" fillId="0" borderId="2" xfId="4" applyNumberFormat="1" applyFont="1" applyFill="1" applyBorder="1"/>
    <xf numFmtId="179" fontId="15" fillId="0" borderId="0" xfId="4" applyNumberFormat="1" applyFont="1" applyFill="1" applyAlignment="1">
      <alignment horizontal="center"/>
    </xf>
    <xf numFmtId="179" fontId="15" fillId="0" borderId="0" xfId="4" applyNumberFormat="1" applyFont="1" applyAlignment="1">
      <alignment horizontal="center"/>
    </xf>
    <xf numFmtId="179" fontId="15" fillId="3" borderId="2" xfId="4" applyNumberFormat="1" applyFont="1" applyFill="1" applyBorder="1" applyAlignment="1">
      <alignment horizontal="center"/>
    </xf>
    <xf numFmtId="179" fontId="15" fillId="5" borderId="2" xfId="4" applyNumberFormat="1" applyFont="1" applyFill="1" applyBorder="1" applyAlignment="1">
      <alignment horizontal="center"/>
    </xf>
    <xf numFmtId="179" fontId="15" fillId="0" borderId="4" xfId="4" applyNumberFormat="1" applyFont="1" applyFill="1" applyBorder="1" applyAlignment="1">
      <alignment horizontal="center"/>
    </xf>
    <xf numFmtId="179" fontId="19" fillId="0" borderId="0" xfId="4" applyNumberFormat="1" applyFont="1" applyAlignment="1">
      <alignment horizontal="center"/>
    </xf>
    <xf numFmtId="0" fontId="7" fillId="5" borderId="0" xfId="0" applyFont="1" applyFill="1" applyBorder="1" applyAlignment="1">
      <alignment horizontal="center"/>
    </xf>
    <xf numFmtId="179" fontId="13" fillId="2" borderId="1" xfId="4" applyNumberFormat="1" applyFont="1" applyFill="1" applyBorder="1" applyAlignment="1">
      <alignment horizontal="center" vertical="center"/>
    </xf>
    <xf numFmtId="184" fontId="15" fillId="2" borderId="2" xfId="4" applyNumberFormat="1" applyFont="1" applyFill="1" applyBorder="1" applyAlignment="1">
      <alignment horizontal="center"/>
    </xf>
    <xf numFmtId="179" fontId="19" fillId="6" borderId="1" xfId="4" applyNumberFormat="1" applyFont="1" applyFill="1" applyBorder="1" applyAlignment="1">
      <alignment horizontal="left"/>
    </xf>
    <xf numFmtId="179" fontId="7" fillId="6" borderId="0" xfId="4" applyNumberFormat="1" applyFont="1" applyFill="1" applyBorder="1" applyAlignment="1">
      <alignment horizontal="center"/>
    </xf>
    <xf numFmtId="179" fontId="7" fillId="5" borderId="5" xfId="4" applyNumberFormat="1" applyFont="1" applyFill="1" applyBorder="1" applyAlignment="1">
      <alignment horizontal="center"/>
    </xf>
    <xf numFmtId="179" fontId="7" fillId="5" borderId="2" xfId="4" applyNumberFormat="1" applyFont="1" applyFill="1" applyBorder="1" applyAlignment="1">
      <alignment horizontal="center"/>
    </xf>
    <xf numFmtId="179" fontId="7" fillId="5" borderId="6" xfId="4" applyNumberFormat="1" applyFont="1" applyFill="1" applyBorder="1" applyAlignment="1">
      <alignment horizontal="center"/>
    </xf>
    <xf numFmtId="179" fontId="15" fillId="0" borderId="7" xfId="4" applyNumberFormat="1" applyFont="1" applyFill="1" applyBorder="1" applyAlignment="1">
      <alignment horizontal="center"/>
    </xf>
    <xf numFmtId="179" fontId="19" fillId="6" borderId="6" xfId="4" applyNumberFormat="1" applyFont="1" applyFill="1" applyBorder="1" applyAlignment="1">
      <alignment horizontal="left"/>
    </xf>
    <xf numFmtId="179" fontId="7" fillId="6" borderId="7" xfId="4" applyNumberFormat="1" applyFont="1" applyFill="1" applyBorder="1" applyAlignment="1">
      <alignment horizontal="center"/>
    </xf>
    <xf numFmtId="179" fontId="19" fillId="6" borderId="2" xfId="4" applyNumberFormat="1" applyFont="1" applyFill="1" applyBorder="1" applyAlignment="1">
      <alignment horizontal="left"/>
    </xf>
    <xf numFmtId="0" fontId="20" fillId="6" borderId="2" xfId="0" quotePrefix="1" applyFont="1" applyFill="1" applyBorder="1" applyAlignment="1">
      <alignment horizontal="left"/>
    </xf>
    <xf numFmtId="0" fontId="15" fillId="0" borderId="7" xfId="0" applyFont="1" applyBorder="1" applyAlignment="1">
      <alignment horizontal="center"/>
    </xf>
    <xf numFmtId="179" fontId="7" fillId="0" borderId="7" xfId="4" applyNumberFormat="1" applyFont="1" applyBorder="1" applyAlignment="1">
      <alignment horizontal="center"/>
    </xf>
    <xf numFmtId="177" fontId="7" fillId="0" borderId="0" xfId="0" applyNumberFormat="1" applyFont="1" applyFill="1" applyBorder="1" applyAlignment="1">
      <alignment horizontal="center" vertical="center" wrapText="1"/>
    </xf>
    <xf numFmtId="177" fontId="2" fillId="3" borderId="0" xfId="0" applyNumberFormat="1" applyFont="1" applyFill="1" applyAlignment="1">
      <alignment horizontal="center" vertical="center" wrapText="1"/>
    </xf>
    <xf numFmtId="177" fontId="7" fillId="0" borderId="0" xfId="0" applyNumberFormat="1" applyFont="1" applyFill="1"/>
    <xf numFmtId="177" fontId="7" fillId="0" borderId="0" xfId="0" applyNumberFormat="1" applyFont="1" applyFill="1" applyAlignment="1">
      <alignment horizontal="center" vertical="center" wrapText="1"/>
    </xf>
    <xf numFmtId="179" fontId="7" fillId="0" borderId="0" xfId="4" applyNumberFormat="1" applyFont="1" applyAlignment="1">
      <alignment horizontal="left"/>
    </xf>
    <xf numFmtId="179" fontId="15" fillId="0" borderId="2" xfId="4" applyNumberFormat="1" applyFont="1" applyBorder="1"/>
    <xf numFmtId="179" fontId="15" fillId="6" borderId="2" xfId="4" applyNumberFormat="1" applyFont="1" applyFill="1" applyBorder="1" applyAlignment="1">
      <alignment horizontal="left"/>
    </xf>
    <xf numFmtId="179" fontId="7" fillId="0" borderId="2" xfId="4" applyNumberFormat="1" applyFont="1" applyBorder="1"/>
    <xf numFmtId="184" fontId="15" fillId="0" borderId="2" xfId="4" applyNumberFormat="1" applyFont="1" applyFill="1" applyBorder="1" applyAlignment="1">
      <alignment horizontal="center"/>
    </xf>
    <xf numFmtId="179" fontId="7" fillId="6" borderId="2" xfId="4" applyNumberFormat="1" applyFont="1" applyFill="1" applyBorder="1" applyAlignment="1">
      <alignment horizontal="center"/>
    </xf>
    <xf numFmtId="184" fontId="7" fillId="0" borderId="0" xfId="4" applyNumberFormat="1" applyFont="1" applyBorder="1" applyAlignment="1">
      <alignment horizontal="center" vertical="center"/>
    </xf>
    <xf numFmtId="184" fontId="15" fillId="0" borderId="0" xfId="4" applyNumberFormat="1" applyFont="1" applyBorder="1" applyAlignment="1">
      <alignment horizontal="center"/>
    </xf>
    <xf numFmtId="188" fontId="15" fillId="2" borderId="2" xfId="1" applyNumberFormat="1" applyFont="1" applyFill="1" applyBorder="1" applyAlignment="1">
      <alignment horizontal="center"/>
    </xf>
    <xf numFmtId="188" fontId="15" fillId="2" borderId="2" xfId="1" applyNumberFormat="1" applyFont="1" applyFill="1" applyBorder="1" applyAlignment="1">
      <alignment horizontal="center" vertical="center" wrapText="1"/>
    </xf>
    <xf numFmtId="179" fontId="15" fillId="0" borderId="0" xfId="4" applyNumberFormat="1" applyFont="1" applyAlignment="1">
      <alignment horizontal="center" vertical="center" wrapText="1"/>
    </xf>
    <xf numFmtId="184" fontId="15" fillId="4" borderId="2" xfId="4" applyNumberFormat="1" applyFont="1" applyFill="1" applyBorder="1" applyAlignment="1">
      <alignment horizontal="center" vertical="center"/>
    </xf>
    <xf numFmtId="177" fontId="15" fillId="4" borderId="2" xfId="4" applyNumberFormat="1" applyFont="1" applyFill="1" applyBorder="1" applyAlignment="1">
      <alignment horizontal="center" vertical="center"/>
    </xf>
    <xf numFmtId="179" fontId="15" fillId="4" borderId="2" xfId="4" applyNumberFormat="1" applyFont="1" applyFill="1" applyBorder="1"/>
    <xf numFmtId="177" fontId="15" fillId="4" borderId="5" xfId="4" applyNumberFormat="1" applyFont="1" applyFill="1" applyBorder="1" applyAlignment="1">
      <alignment horizontal="center" vertical="center"/>
    </xf>
    <xf numFmtId="179" fontId="13" fillId="3" borderId="8" xfId="4" applyNumberFormat="1" applyFont="1" applyFill="1" applyBorder="1" applyAlignment="1">
      <alignment horizontal="center"/>
    </xf>
    <xf numFmtId="179" fontId="7" fillId="3" borderId="2" xfId="4" applyNumberFormat="1" applyFont="1" applyFill="1" applyBorder="1" applyAlignment="1">
      <alignment horizontal="center"/>
    </xf>
    <xf numFmtId="184" fontId="15" fillId="4" borderId="2" xfId="4" applyNumberFormat="1" applyFont="1" applyFill="1" applyBorder="1" applyAlignment="1">
      <alignment horizontal="center"/>
    </xf>
    <xf numFmtId="184" fontId="15" fillId="4" borderId="5" xfId="4" applyNumberFormat="1" applyFont="1" applyFill="1" applyBorder="1" applyAlignment="1">
      <alignment horizontal="center" vertical="center"/>
    </xf>
    <xf numFmtId="184" fontId="15" fillId="0" borderId="5" xfId="4" applyNumberFormat="1" applyFont="1" applyFill="1" applyBorder="1" applyAlignment="1">
      <alignment horizontal="center" vertical="center"/>
    </xf>
    <xf numFmtId="179" fontId="15" fillId="0" borderId="0" xfId="4" applyNumberFormat="1" applyFont="1" applyFill="1"/>
    <xf numFmtId="0" fontId="7" fillId="0" borderId="0" xfId="2" applyFont="1" applyFill="1"/>
    <xf numFmtId="0" fontId="7" fillId="0" borderId="0" xfId="2" applyFont="1" applyFill="1" applyAlignment="1">
      <alignment horizontal="center"/>
    </xf>
    <xf numFmtId="0" fontId="15" fillId="0" borderId="0" xfId="2" applyFont="1" applyFill="1" applyAlignment="1">
      <alignment horizontal="center"/>
    </xf>
    <xf numFmtId="0" fontId="7" fillId="0" borderId="0" xfId="2" applyFont="1" applyFill="1" applyAlignment="1">
      <alignment horizontal="center" wrapText="1"/>
    </xf>
    <xf numFmtId="0" fontId="18" fillId="0" borderId="7" xfId="2" applyFont="1" applyFill="1" applyBorder="1" applyAlignment="1">
      <alignment horizontal="left"/>
    </xf>
    <xf numFmtId="0" fontId="18" fillId="0" borderId="4" xfId="2" applyFont="1" applyFill="1" applyBorder="1" applyAlignment="1">
      <alignment horizontal="left"/>
    </xf>
    <xf numFmtId="0" fontId="7" fillId="0" borderId="0" xfId="2" applyFont="1" applyFill="1" applyBorder="1"/>
    <xf numFmtId="0" fontId="15" fillId="0" borderId="9" xfId="2" applyFont="1" applyFill="1" applyBorder="1"/>
    <xf numFmtId="0" fontId="13" fillId="0" borderId="0" xfId="2" applyFont="1" applyFill="1" applyBorder="1" applyAlignment="1">
      <alignment horizontal="center" vertical="center" wrapText="1"/>
    </xf>
    <xf numFmtId="0" fontId="13" fillId="0" borderId="0" xfId="2" applyFont="1" applyFill="1" applyAlignment="1">
      <alignment horizontal="center" vertical="center" wrapText="1"/>
    </xf>
    <xf numFmtId="0" fontId="7" fillId="0" borderId="0" xfId="2" applyFont="1" applyFill="1" applyBorder="1" applyAlignment="1">
      <alignment horizontal="center" vertical="center"/>
    </xf>
    <xf numFmtId="0" fontId="7" fillId="0" borderId="0" xfId="2" applyFont="1" applyFill="1" applyAlignment="1">
      <alignment horizontal="center" vertical="center"/>
    </xf>
    <xf numFmtId="0" fontId="15" fillId="0" borderId="2" xfId="2" applyFont="1" applyFill="1" applyBorder="1" applyAlignment="1">
      <alignment horizontal="left"/>
    </xf>
    <xf numFmtId="0" fontId="7" fillId="0" borderId="2" xfId="2" applyFont="1" applyFill="1" applyBorder="1" applyAlignment="1">
      <alignment horizontal="center" wrapText="1"/>
    </xf>
    <xf numFmtId="179" fontId="7" fillId="0" borderId="2" xfId="4" applyNumberFormat="1" applyFont="1" applyFill="1" applyBorder="1" applyAlignment="1">
      <alignment horizontal="center"/>
    </xf>
    <xf numFmtId="179" fontId="7" fillId="0" borderId="2" xfId="2" applyNumberFormat="1" applyFont="1" applyFill="1" applyBorder="1" applyAlignment="1">
      <alignment horizontal="center" wrapText="1"/>
    </xf>
    <xf numFmtId="9" fontId="7" fillId="0" borderId="2" xfId="2" applyNumberFormat="1" applyFont="1" applyFill="1" applyBorder="1" applyAlignment="1">
      <alignment horizontal="center" wrapText="1"/>
    </xf>
    <xf numFmtId="0" fontId="7" fillId="0" borderId="2" xfId="2" applyFont="1" applyFill="1" applyBorder="1" applyAlignment="1">
      <alignment horizontal="center"/>
    </xf>
    <xf numFmtId="179" fontId="7" fillId="0" borderId="2" xfId="2" applyNumberFormat="1" applyFont="1" applyFill="1" applyBorder="1" applyAlignment="1">
      <alignment horizontal="center"/>
    </xf>
    <xf numFmtId="0" fontId="19" fillId="0" borderId="2" xfId="2" applyFont="1" applyFill="1" applyBorder="1" applyAlignment="1">
      <alignment horizontal="center"/>
    </xf>
    <xf numFmtId="10" fontId="15" fillId="0" borderId="2" xfId="2" applyNumberFormat="1" applyFont="1" applyFill="1" applyBorder="1" applyAlignment="1">
      <alignment horizontal="center"/>
    </xf>
    <xf numFmtId="1" fontId="7" fillId="0" borderId="2" xfId="2" applyNumberFormat="1" applyFont="1" applyFill="1" applyBorder="1" applyAlignment="1">
      <alignment horizontal="right"/>
    </xf>
    <xf numFmtId="0" fontId="20" fillId="0" borderId="2" xfId="2" applyFont="1" applyFill="1" applyBorder="1" applyAlignment="1">
      <alignment horizontal="left"/>
    </xf>
    <xf numFmtId="179" fontId="7" fillId="0" borderId="2" xfId="4" applyNumberFormat="1" applyFont="1" applyFill="1" applyBorder="1" applyAlignment="1">
      <alignment horizontal="right"/>
    </xf>
    <xf numFmtId="0" fontId="18" fillId="0" borderId="2" xfId="2" applyFont="1" applyFill="1" applyBorder="1" applyAlignment="1">
      <alignment horizontal="left"/>
    </xf>
    <xf numFmtId="0" fontId="15" fillId="0" borderId="9" xfId="2" applyFont="1" applyFill="1" applyBorder="1" applyAlignment="1">
      <alignment horizontal="center"/>
    </xf>
    <xf numFmtId="0" fontId="7" fillId="0" borderId="9" xfId="2" applyFont="1" applyFill="1" applyBorder="1" applyAlignment="1">
      <alignment horizontal="center" wrapText="1"/>
    </xf>
    <xf numFmtId="0" fontId="7" fillId="0" borderId="9" xfId="2" applyFont="1" applyFill="1" applyBorder="1" applyAlignment="1">
      <alignment horizontal="center"/>
    </xf>
    <xf numFmtId="0" fontId="15" fillId="0" borderId="1" xfId="2" applyFont="1" applyFill="1" applyBorder="1" applyAlignment="1">
      <alignment horizontal="left"/>
    </xf>
    <xf numFmtId="0" fontId="22" fillId="0" borderId="0" xfId="2" applyFont="1" applyFill="1" applyAlignment="1">
      <alignment horizontal="left"/>
    </xf>
    <xf numFmtId="0" fontId="15" fillId="0" borderId="0" xfId="2" applyFont="1" applyFill="1" applyAlignment="1">
      <alignment horizontal="left"/>
    </xf>
    <xf numFmtId="0" fontId="15" fillId="0" borderId="0" xfId="2" applyFont="1" applyFill="1" applyAlignment="1">
      <alignment horizontal="left" wrapText="1"/>
    </xf>
    <xf numFmtId="179" fontId="7" fillId="0" borderId="0" xfId="4" quotePrefix="1" applyNumberFormat="1" applyFont="1" applyAlignment="1">
      <alignment horizontal="left"/>
    </xf>
    <xf numFmtId="179" fontId="13" fillId="4" borderId="5" xfId="4" applyNumberFormat="1" applyFont="1" applyFill="1" applyBorder="1" applyAlignment="1">
      <alignment horizontal="center" vertical="center"/>
    </xf>
    <xf numFmtId="179" fontId="13" fillId="4" borderId="2" xfId="4" applyNumberFormat="1" applyFont="1" applyFill="1" applyBorder="1" applyAlignment="1">
      <alignment horizontal="center"/>
    </xf>
    <xf numFmtId="179" fontId="7" fillId="5" borderId="0" xfId="4" applyNumberFormat="1" applyFont="1" applyFill="1" applyBorder="1" applyAlignment="1">
      <alignment horizontal="left"/>
    </xf>
    <xf numFmtId="177" fontId="15" fillId="0" borderId="5" xfId="4" applyNumberFormat="1" applyFont="1" applyFill="1" applyBorder="1" applyAlignment="1">
      <alignment horizontal="center" vertical="center"/>
    </xf>
    <xf numFmtId="177" fontId="15" fillId="0" borderId="5" xfId="4" applyNumberFormat="1" applyFont="1" applyFill="1" applyBorder="1" applyAlignment="1">
      <alignment horizontal="center"/>
    </xf>
    <xf numFmtId="0" fontId="7" fillId="0" borderId="3" xfId="0" applyFont="1" applyFill="1" applyBorder="1" applyAlignment="1">
      <alignment horizontal="center"/>
    </xf>
    <xf numFmtId="186" fontId="15" fillId="0" borderId="2" xfId="4" applyNumberFormat="1" applyFont="1" applyFill="1" applyBorder="1" applyAlignment="1">
      <alignment horizontal="center"/>
    </xf>
    <xf numFmtId="179" fontId="13" fillId="0" borderId="2" xfId="4" applyNumberFormat="1" applyFont="1" applyFill="1" applyBorder="1" applyAlignment="1">
      <alignment horizontal="center"/>
    </xf>
    <xf numFmtId="179" fontId="7" fillId="0" borderId="2" xfId="4" applyNumberFormat="1" applyFont="1" applyFill="1" applyBorder="1"/>
    <xf numFmtId="179" fontId="15" fillId="0" borderId="2" xfId="4" applyNumberFormat="1" applyFont="1" applyFill="1" applyBorder="1" applyAlignment="1">
      <alignment horizontal="center"/>
    </xf>
    <xf numFmtId="188" fontId="15" fillId="5" borderId="0" xfId="1" applyNumberFormat="1" applyFont="1" applyFill="1" applyProtection="1"/>
    <xf numFmtId="0" fontId="15" fillId="5" borderId="0" xfId="0" applyFont="1" applyFill="1" applyProtection="1"/>
    <xf numFmtId="184" fontId="15" fillId="3" borderId="2" xfId="4" applyNumberFormat="1" applyFont="1" applyFill="1" applyBorder="1" applyAlignment="1">
      <alignment horizontal="center"/>
    </xf>
    <xf numFmtId="188" fontId="15" fillId="3" borderId="2" xfId="1" applyNumberFormat="1" applyFont="1" applyFill="1" applyBorder="1" applyAlignment="1">
      <alignment horizontal="center"/>
    </xf>
    <xf numFmtId="188" fontId="15" fillId="3" borderId="2" xfId="1" applyNumberFormat="1" applyFont="1" applyFill="1" applyBorder="1" applyAlignment="1">
      <alignment horizontal="center" vertical="center" wrapText="1"/>
    </xf>
    <xf numFmtId="179" fontId="7" fillId="0" borderId="5" xfId="4" applyNumberFormat="1" applyFont="1" applyFill="1" applyBorder="1" applyAlignment="1">
      <alignment horizontal="center"/>
    </xf>
    <xf numFmtId="0" fontId="15" fillId="5" borderId="0" xfId="0" applyFont="1" applyFill="1"/>
    <xf numFmtId="0" fontId="16" fillId="5" borderId="0" xfId="0" quotePrefix="1" applyFont="1" applyFill="1" applyAlignment="1">
      <alignment horizontal="left"/>
    </xf>
    <xf numFmtId="0" fontId="15" fillId="5" borderId="0" xfId="0" quotePrefix="1" applyFont="1" applyFill="1" applyAlignment="1">
      <alignment horizontal="left"/>
    </xf>
    <xf numFmtId="0" fontId="15" fillId="5" borderId="0" xfId="0" applyFont="1" applyFill="1" applyAlignment="1">
      <alignment horizontal="center"/>
    </xf>
    <xf numFmtId="0" fontId="7" fillId="5" borderId="2" xfId="0" applyFont="1" applyFill="1" applyBorder="1" applyAlignment="1">
      <alignment horizontal="center"/>
    </xf>
    <xf numFmtId="0" fontId="7" fillId="6" borderId="2" xfId="0" applyFont="1" applyFill="1" applyBorder="1" applyAlignment="1">
      <alignment horizontal="center"/>
    </xf>
    <xf numFmtId="0" fontId="37" fillId="5" borderId="2" xfId="0" applyFont="1" applyFill="1" applyBorder="1" applyAlignment="1" applyProtection="1">
      <alignment horizontal="center"/>
    </xf>
    <xf numFmtId="0" fontId="7" fillId="6" borderId="2" xfId="0" applyFont="1" applyFill="1" applyBorder="1" applyAlignment="1" applyProtection="1">
      <alignment horizontal="center"/>
    </xf>
    <xf numFmtId="184" fontId="15" fillId="6" borderId="2" xfId="0" applyNumberFormat="1" applyFont="1" applyFill="1" applyBorder="1" applyAlignment="1">
      <alignment horizontal="center"/>
    </xf>
    <xf numFmtId="184" fontId="15" fillId="5" borderId="2" xfId="0" applyNumberFormat="1" applyFont="1" applyFill="1" applyBorder="1" applyAlignment="1">
      <alignment horizontal="center"/>
    </xf>
    <xf numFmtId="0" fontId="15" fillId="5" borderId="2" xfId="0" applyFont="1" applyFill="1" applyBorder="1" applyAlignment="1">
      <alignment horizontal="center"/>
    </xf>
    <xf numFmtId="0" fontId="37" fillId="5" borderId="2" xfId="0" applyFont="1" applyFill="1" applyBorder="1" applyAlignment="1">
      <alignment horizontal="center"/>
    </xf>
    <xf numFmtId="0" fontId="7" fillId="3" borderId="2" xfId="0" applyFont="1" applyFill="1" applyBorder="1" applyAlignment="1" applyProtection="1">
      <alignment horizontal="center"/>
    </xf>
    <xf numFmtId="1" fontId="7" fillId="6" borderId="2" xfId="0" applyNumberFormat="1" applyFont="1" applyFill="1" applyBorder="1" applyAlignment="1" applyProtection="1">
      <alignment horizontal="center"/>
    </xf>
    <xf numFmtId="0" fontId="7" fillId="5" borderId="2" xfId="0" applyFont="1" applyFill="1" applyBorder="1" applyAlignment="1" applyProtection="1">
      <alignment horizontal="center"/>
    </xf>
    <xf numFmtId="0" fontId="7" fillId="5" borderId="2" xfId="2" applyFont="1" applyFill="1" applyBorder="1" applyAlignment="1">
      <alignment horizontal="center"/>
    </xf>
    <xf numFmtId="0" fontId="15" fillId="5" borderId="2" xfId="2" applyFont="1" applyFill="1" applyBorder="1" applyAlignment="1">
      <alignment horizontal="center"/>
    </xf>
    <xf numFmtId="0" fontId="39" fillId="5" borderId="2" xfId="2" applyFont="1" applyFill="1" applyBorder="1" applyAlignment="1">
      <alignment horizontal="center"/>
    </xf>
    <xf numFmtId="0" fontId="13" fillId="5" borderId="2" xfId="2" applyFont="1" applyFill="1" applyBorder="1" applyAlignment="1">
      <alignment horizontal="center"/>
    </xf>
    <xf numFmtId="0" fontId="15" fillId="6" borderId="2" xfId="0" applyFont="1" applyFill="1" applyBorder="1" applyAlignment="1">
      <alignment horizontal="center"/>
    </xf>
    <xf numFmtId="1" fontId="15" fillId="6" borderId="2" xfId="0" applyNumberFormat="1" applyFont="1" applyFill="1" applyBorder="1" applyAlignment="1">
      <alignment horizontal="center"/>
    </xf>
    <xf numFmtId="1" fontId="15" fillId="3" borderId="2" xfId="0" applyNumberFormat="1" applyFont="1" applyFill="1" applyBorder="1" applyAlignment="1">
      <alignment horizontal="center"/>
    </xf>
    <xf numFmtId="177" fontId="7" fillId="3" borderId="2" xfId="0" applyNumberFormat="1" applyFont="1" applyFill="1" applyBorder="1"/>
    <xf numFmtId="177" fontId="7" fillId="0" borderId="2" xfId="0" applyNumberFormat="1" applyFont="1" applyFill="1" applyBorder="1" applyAlignment="1">
      <alignment horizontal="center" vertical="center" wrapText="1"/>
    </xf>
    <xf numFmtId="177" fontId="7" fillId="7" borderId="2" xfId="0" applyNumberFormat="1" applyFont="1" applyFill="1" applyBorder="1" applyAlignment="1">
      <alignment horizontal="center" vertical="center" wrapText="1"/>
    </xf>
    <xf numFmtId="177" fontId="13" fillId="0" borderId="2" xfId="0" applyNumberFormat="1" applyFont="1" applyFill="1" applyBorder="1" applyAlignment="1">
      <alignment horizontal="center" vertical="center" wrapText="1"/>
    </xf>
    <xf numFmtId="177" fontId="7" fillId="3" borderId="2" xfId="0" applyNumberFormat="1" applyFont="1" applyFill="1" applyBorder="1" applyAlignment="1" applyProtection="1">
      <alignment horizontal="center" vertical="center" wrapText="1"/>
      <protection locked="0"/>
    </xf>
    <xf numFmtId="177" fontId="7" fillId="3" borderId="2" xfId="0" applyNumberFormat="1" applyFont="1" applyFill="1" applyBorder="1" applyAlignment="1">
      <alignment horizontal="center"/>
    </xf>
    <xf numFmtId="177" fontId="7" fillId="0" borderId="0" xfId="0" applyNumberFormat="1" applyFont="1" applyFill="1" applyAlignment="1">
      <alignment horizontal="center"/>
    </xf>
    <xf numFmtId="177" fontId="7" fillId="0" borderId="2" xfId="0" applyNumberFormat="1" applyFont="1" applyFill="1" applyBorder="1" applyAlignment="1">
      <alignment horizontal="center"/>
    </xf>
    <xf numFmtId="184" fontId="15" fillId="0" borderId="2" xfId="0" applyNumberFormat="1" applyFont="1" applyFill="1" applyBorder="1" applyAlignment="1">
      <alignment horizontal="center"/>
    </xf>
    <xf numFmtId="0" fontId="7" fillId="5" borderId="0" xfId="0" quotePrefix="1" applyFont="1" applyFill="1" applyAlignment="1">
      <alignment horizontal="left"/>
    </xf>
    <xf numFmtId="0" fontId="7" fillId="5" borderId="0" xfId="0" quotePrefix="1" applyFont="1" applyFill="1"/>
    <xf numFmtId="0" fontId="2" fillId="3"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43" fontId="2" fillId="3" borderId="10"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3" fillId="2" borderId="7" xfId="0" applyFont="1" applyFill="1" applyBorder="1" applyAlignment="1">
      <alignment horizontal="left" vertical="center" wrapText="1"/>
    </xf>
    <xf numFmtId="177" fontId="2" fillId="2" borderId="12" xfId="0" applyNumberFormat="1" applyFont="1" applyFill="1" applyBorder="1" applyAlignment="1">
      <alignment horizontal="center" vertical="center" wrapText="1"/>
    </xf>
    <xf numFmtId="177" fontId="2" fillId="2" borderId="4" xfId="0" applyNumberFormat="1" applyFont="1" applyFill="1" applyBorder="1" applyAlignment="1">
      <alignment horizontal="center" vertical="center" wrapText="1"/>
    </xf>
    <xf numFmtId="177" fontId="2" fillId="2" borderId="2" xfId="0" applyNumberFormat="1" applyFont="1" applyFill="1" applyBorder="1" applyAlignment="1">
      <alignment horizontal="center" vertical="center" wrapText="1"/>
    </xf>
    <xf numFmtId="177" fontId="2" fillId="2" borderId="1" xfId="0" applyNumberFormat="1" applyFont="1" applyFill="1" applyBorder="1" applyAlignment="1">
      <alignment horizontal="center" vertical="center" wrapText="1"/>
    </xf>
    <xf numFmtId="177" fontId="2" fillId="0" borderId="0" xfId="0" applyNumberFormat="1" applyFont="1" applyFill="1" applyAlignment="1">
      <alignment horizontal="center" vertical="center" wrapText="1"/>
    </xf>
    <xf numFmtId="177" fontId="7" fillId="5" borderId="0" xfId="0" quotePrefix="1" applyNumberFormat="1" applyFont="1" applyFill="1" applyAlignment="1">
      <alignment horizontal="left"/>
    </xf>
    <xf numFmtId="177" fontId="7" fillId="5" borderId="0" xfId="0" applyNumberFormat="1" applyFont="1" applyFill="1" applyAlignment="1">
      <alignment horizontal="center"/>
    </xf>
    <xf numFmtId="177" fontId="7" fillId="5" borderId="0" xfId="0" quotePrefix="1" applyNumberFormat="1" applyFont="1" applyFill="1"/>
    <xf numFmtId="177" fontId="7" fillId="5" borderId="0" xfId="0" applyNumberFormat="1" applyFont="1" applyFill="1"/>
    <xf numFmtId="177" fontId="13" fillId="3" borderId="2" xfId="0" applyNumberFormat="1" applyFont="1" applyFill="1" applyBorder="1" applyAlignment="1">
      <alignment horizontal="left" vertical="center" wrapText="1"/>
    </xf>
    <xf numFmtId="179" fontId="13" fillId="3" borderId="2" xfId="4" applyNumberFormat="1" applyFont="1" applyFill="1" applyBorder="1" applyAlignment="1">
      <alignment horizontal="left"/>
    </xf>
    <xf numFmtId="177" fontId="13" fillId="5" borderId="0" xfId="0" applyNumberFormat="1" applyFont="1" applyFill="1" applyAlignment="1">
      <alignment horizontal="center"/>
    </xf>
    <xf numFmtId="177" fontId="2" fillId="0" borderId="2" xfId="0" applyNumberFormat="1" applyFont="1" applyFill="1" applyBorder="1" applyAlignment="1">
      <alignment horizontal="center" vertical="center" wrapText="1"/>
    </xf>
    <xf numFmtId="177" fontId="2" fillId="0" borderId="2" xfId="0" applyNumberFormat="1" applyFont="1" applyFill="1" applyBorder="1" applyAlignment="1">
      <alignment horizontal="center"/>
    </xf>
    <xf numFmtId="177" fontId="3" fillId="0" borderId="0" xfId="0" applyNumberFormat="1" applyFont="1" applyFill="1" applyAlignment="1">
      <alignment vertical="center" wrapText="1"/>
    </xf>
    <xf numFmtId="177" fontId="3" fillId="0" borderId="0" xfId="0" applyNumberFormat="1" applyFont="1" applyFill="1" applyAlignment="1">
      <alignment horizontal="center" vertical="center" wrapText="1"/>
    </xf>
    <xf numFmtId="177" fontId="2" fillId="3" borderId="2" xfId="0" applyNumberFormat="1" applyFont="1" applyFill="1" applyBorder="1" applyAlignment="1" applyProtection="1">
      <alignment horizontal="center" vertical="center" wrapText="1"/>
    </xf>
    <xf numFmtId="177" fontId="2" fillId="3" borderId="9" xfId="0" applyNumberFormat="1" applyFont="1" applyFill="1" applyBorder="1" applyAlignment="1">
      <alignment horizontal="center" vertical="center" wrapText="1"/>
    </xf>
    <xf numFmtId="177" fontId="14" fillId="6" borderId="2" xfId="0" applyNumberFormat="1" applyFont="1" applyFill="1" applyBorder="1" applyAlignment="1">
      <alignment horizontal="center" vertical="center" wrapText="1"/>
    </xf>
    <xf numFmtId="177" fontId="8" fillId="6" borderId="2" xfId="0" applyNumberFormat="1" applyFont="1" applyFill="1" applyBorder="1" applyAlignment="1">
      <alignment horizontal="center" vertical="center" wrapText="1"/>
    </xf>
    <xf numFmtId="177" fontId="2" fillId="6" borderId="2" xfId="0" applyNumberFormat="1" applyFont="1" applyFill="1" applyBorder="1" applyAlignment="1">
      <alignment horizontal="center" vertical="center" wrapText="1"/>
    </xf>
    <xf numFmtId="177" fontId="3" fillId="8" borderId="9" xfId="0" applyNumberFormat="1" applyFont="1" applyFill="1" applyBorder="1" applyAlignment="1">
      <alignment horizontal="center" vertical="center" wrapText="1"/>
    </xf>
    <xf numFmtId="177" fontId="2" fillId="8" borderId="1" xfId="0" applyNumberFormat="1" applyFont="1" applyFill="1" applyBorder="1" applyAlignment="1">
      <alignment horizontal="center" vertical="center" wrapText="1"/>
    </xf>
    <xf numFmtId="177" fontId="3" fillId="8" borderId="2" xfId="0" applyNumberFormat="1" applyFont="1" applyFill="1" applyBorder="1" applyAlignment="1">
      <alignment horizontal="center" vertical="center" wrapText="1"/>
    </xf>
    <xf numFmtId="177" fontId="2" fillId="8" borderId="2" xfId="0" applyNumberFormat="1" applyFont="1" applyFill="1" applyBorder="1" applyAlignment="1">
      <alignment horizontal="center" vertical="center" wrapText="1"/>
    </xf>
    <xf numFmtId="177" fontId="7" fillId="3" borderId="0" xfId="0" applyNumberFormat="1" applyFont="1" applyFill="1" applyAlignment="1">
      <alignment horizontal="center" vertical="center" wrapText="1"/>
    </xf>
    <xf numFmtId="177" fontId="2" fillId="6" borderId="13" xfId="0" applyNumberFormat="1" applyFont="1" applyFill="1" applyBorder="1" applyAlignment="1">
      <alignment horizontal="center" vertical="center" wrapText="1"/>
    </xf>
    <xf numFmtId="177" fontId="3" fillId="0" borderId="2" xfId="0" applyNumberFormat="1" applyFont="1" applyFill="1" applyBorder="1" applyAlignment="1" applyProtection="1">
      <alignment horizontal="center" vertical="center" wrapText="1"/>
      <protection locked="0"/>
    </xf>
    <xf numFmtId="177" fontId="7" fillId="0" borderId="2" xfId="0" applyNumberFormat="1" applyFont="1" applyFill="1" applyBorder="1" applyAlignment="1" applyProtection="1">
      <alignment horizontal="center" vertical="center" wrapText="1"/>
      <protection locked="0"/>
    </xf>
    <xf numFmtId="177" fontId="3" fillId="8" borderId="2" xfId="0" applyNumberFormat="1" applyFont="1" applyFill="1" applyBorder="1" applyAlignment="1">
      <alignment horizontal="left" vertical="center" wrapText="1"/>
    </xf>
    <xf numFmtId="177" fontId="3" fillId="0" borderId="2" xfId="0" applyNumberFormat="1" applyFont="1" applyFill="1" applyBorder="1" applyAlignment="1">
      <alignment horizontal="center" vertical="center" wrapText="1"/>
    </xf>
    <xf numFmtId="177" fontId="2" fillId="8" borderId="2" xfId="0" applyNumberFormat="1" applyFont="1" applyFill="1" applyBorder="1" applyAlignment="1" applyProtection="1">
      <alignment horizontal="center" vertical="center" wrapText="1"/>
      <protection locked="0"/>
    </xf>
    <xf numFmtId="177" fontId="3" fillId="8" borderId="2" xfId="0" applyNumberFormat="1" applyFont="1" applyFill="1" applyBorder="1" applyAlignment="1" applyProtection="1">
      <alignment horizontal="left" vertical="center" wrapText="1"/>
      <protection locked="0"/>
    </xf>
    <xf numFmtId="177" fontId="7" fillId="8" borderId="2" xfId="0" applyNumberFormat="1" applyFont="1" applyFill="1" applyBorder="1" applyAlignment="1" applyProtection="1">
      <alignment horizontal="center" vertical="center" wrapText="1"/>
      <protection locked="0"/>
    </xf>
    <xf numFmtId="177" fontId="2" fillId="8" borderId="2" xfId="0" applyNumberFormat="1" applyFont="1" applyFill="1" applyBorder="1" applyAlignment="1" applyProtection="1">
      <alignment horizontal="left" vertical="center" wrapText="1"/>
      <protection locked="0"/>
    </xf>
    <xf numFmtId="177" fontId="3" fillId="0" borderId="2" xfId="0" applyNumberFormat="1" applyFont="1" applyFill="1" applyBorder="1" applyAlignment="1" applyProtection="1">
      <alignment horizontal="left" vertical="center" wrapText="1"/>
      <protection locked="0"/>
    </xf>
    <xf numFmtId="177" fontId="2" fillId="0" borderId="2" xfId="0" applyNumberFormat="1" applyFont="1" applyFill="1" applyBorder="1" applyAlignment="1" applyProtection="1">
      <alignment horizontal="left" vertical="center" wrapText="1"/>
      <protection locked="0"/>
    </xf>
    <xf numFmtId="177" fontId="8" fillId="3" borderId="2" xfId="0" applyNumberFormat="1" applyFont="1" applyFill="1" applyBorder="1" applyAlignment="1" applyProtection="1">
      <alignment horizontal="center" vertical="center" wrapText="1"/>
    </xf>
    <xf numFmtId="177" fontId="3" fillId="0" borderId="0" xfId="0" applyNumberFormat="1" applyFont="1" applyFill="1" applyAlignment="1">
      <alignment horizontal="left" vertical="center" wrapText="1"/>
    </xf>
    <xf numFmtId="177" fontId="13" fillId="0" borderId="14" xfId="0" applyNumberFormat="1" applyFont="1" applyBorder="1" applyAlignment="1" applyProtection="1">
      <alignment horizontal="center" vertical="center" wrapText="1"/>
      <protection locked="0"/>
    </xf>
    <xf numFmtId="177" fontId="13" fillId="0" borderId="15" xfId="0" applyNumberFormat="1" applyFont="1" applyBorder="1" applyAlignment="1" applyProtection="1">
      <alignment horizontal="left" vertical="center"/>
      <protection locked="0"/>
    </xf>
    <xf numFmtId="177" fontId="13" fillId="0" borderId="7" xfId="0" applyNumberFormat="1" applyFont="1" applyBorder="1" applyAlignment="1" applyProtection="1">
      <alignment horizontal="center" vertical="center" wrapText="1"/>
      <protection locked="0"/>
    </xf>
    <xf numFmtId="177" fontId="7" fillId="0" borderId="16" xfId="0" applyNumberFormat="1" applyFont="1" applyBorder="1" applyAlignment="1" applyProtection="1">
      <alignment horizontal="center" vertical="center"/>
      <protection locked="0"/>
    </xf>
    <xf numFmtId="177" fontId="44" fillId="0" borderId="17" xfId="0" applyNumberFormat="1" applyFont="1" applyBorder="1" applyAlignment="1" applyProtection="1">
      <alignment horizontal="center" vertical="center" wrapText="1"/>
      <protection locked="0"/>
    </xf>
    <xf numFmtId="177" fontId="45" fillId="0" borderId="18" xfId="0" applyNumberFormat="1" applyFont="1" applyBorder="1" applyAlignment="1" applyProtection="1">
      <alignment horizontal="center" vertical="center"/>
      <protection locked="0"/>
    </xf>
    <xf numFmtId="177" fontId="7" fillId="0" borderId="2" xfId="0" applyNumberFormat="1" applyFont="1" applyBorder="1" applyAlignment="1" applyProtection="1">
      <alignment horizontal="center" vertical="center" wrapText="1"/>
      <protection locked="0"/>
    </xf>
    <xf numFmtId="177" fontId="7" fillId="0" borderId="19" xfId="0" applyNumberFormat="1" applyFont="1" applyBorder="1" applyAlignment="1" applyProtection="1">
      <alignment horizontal="center" vertical="center" wrapText="1"/>
      <protection locked="0"/>
    </xf>
    <xf numFmtId="177" fontId="7" fillId="0" borderId="7" xfId="0" applyNumberFormat="1" applyFont="1" applyBorder="1" applyAlignment="1" applyProtection="1">
      <alignment horizontal="center" vertical="center" wrapText="1"/>
      <protection locked="0"/>
    </xf>
    <xf numFmtId="177" fontId="7" fillId="0" borderId="11" xfId="0" applyNumberFormat="1" applyFont="1" applyBorder="1" applyAlignment="1" applyProtection="1">
      <alignment horizontal="center" vertical="center" wrapText="1"/>
      <protection locked="0"/>
    </xf>
    <xf numFmtId="177" fontId="13" fillId="3" borderId="20" xfId="0" applyNumberFormat="1" applyFont="1" applyFill="1" applyBorder="1" applyAlignment="1" applyProtection="1">
      <alignment horizontal="center" vertical="center" wrapText="1"/>
      <protection locked="0"/>
    </xf>
    <xf numFmtId="177" fontId="13" fillId="3" borderId="11" xfId="0" applyNumberFormat="1" applyFont="1" applyFill="1" applyBorder="1" applyAlignment="1" applyProtection="1">
      <alignment horizontal="center" vertical="center" wrapText="1"/>
      <protection locked="0"/>
    </xf>
    <xf numFmtId="177" fontId="2" fillId="0" borderId="0" xfId="0" applyNumberFormat="1" applyFont="1" applyFill="1" applyAlignment="1">
      <alignment horizontal="left" vertical="center" wrapText="1"/>
    </xf>
    <xf numFmtId="177" fontId="2" fillId="2" borderId="21" xfId="0" applyNumberFormat="1" applyFont="1" applyFill="1" applyBorder="1" applyAlignment="1">
      <alignment horizontal="center" vertical="center" wrapText="1"/>
    </xf>
    <xf numFmtId="177" fontId="2" fillId="2" borderId="11" xfId="0" applyNumberFormat="1" applyFont="1" applyFill="1" applyBorder="1" applyAlignment="1">
      <alignment horizontal="center" vertical="center" wrapText="1"/>
    </xf>
    <xf numFmtId="177" fontId="3" fillId="2" borderId="9" xfId="0" applyNumberFormat="1" applyFont="1" applyFill="1" applyBorder="1" applyAlignment="1">
      <alignment horizontal="left" vertical="center" wrapText="1"/>
    </xf>
    <xf numFmtId="177" fontId="13" fillId="2" borderId="3" xfId="0" applyNumberFormat="1" applyFont="1" applyFill="1" applyBorder="1" applyAlignment="1">
      <alignment horizontal="left" vertical="center" wrapText="1"/>
    </xf>
    <xf numFmtId="177" fontId="2" fillId="2" borderId="22" xfId="0" applyNumberFormat="1" applyFont="1" applyFill="1" applyBorder="1" applyAlignment="1">
      <alignment horizontal="center" vertical="center" wrapText="1"/>
    </xf>
    <xf numFmtId="177" fontId="2" fillId="2" borderId="8" xfId="0" applyNumberFormat="1" applyFont="1" applyFill="1" applyBorder="1" applyAlignment="1">
      <alignment horizontal="center" vertical="center" wrapText="1"/>
    </xf>
    <xf numFmtId="177" fontId="7" fillId="0" borderId="3" xfId="0" applyNumberFormat="1" applyFont="1" applyFill="1" applyBorder="1" applyAlignment="1">
      <alignment horizontal="center"/>
    </xf>
    <xf numFmtId="177" fontId="2" fillId="7" borderId="2" xfId="0" applyNumberFormat="1" applyFont="1" applyFill="1" applyBorder="1" applyAlignment="1">
      <alignment horizontal="center" vertical="center" wrapText="1"/>
    </xf>
    <xf numFmtId="177" fontId="2" fillId="0" borderId="2" xfId="0" applyNumberFormat="1" applyFont="1" applyFill="1" applyBorder="1" applyAlignment="1" applyProtection="1">
      <alignment horizontal="center" vertical="center" wrapText="1"/>
    </xf>
    <xf numFmtId="177" fontId="7" fillId="3" borderId="2" xfId="0" applyNumberFormat="1" applyFont="1" applyFill="1" applyBorder="1" applyAlignment="1">
      <alignment horizontal="center" vertical="center"/>
    </xf>
    <xf numFmtId="177" fontId="7" fillId="3" borderId="2" xfId="0" applyNumberFormat="1" applyFont="1" applyFill="1" applyBorder="1" applyAlignment="1" applyProtection="1">
      <alignment horizontal="center" vertical="center" wrapText="1"/>
    </xf>
    <xf numFmtId="177" fontId="7" fillId="0" borderId="11" xfId="3" applyNumberFormat="1" applyFont="1" applyBorder="1" applyAlignment="1" applyProtection="1">
      <alignment horizontal="center" vertical="center"/>
    </xf>
    <xf numFmtId="1" fontId="15" fillId="0" borderId="2" xfId="2" applyNumberFormat="1" applyFont="1" applyFill="1" applyBorder="1" applyAlignment="1">
      <alignment horizontal="right"/>
    </xf>
    <xf numFmtId="177" fontId="13" fillId="5" borderId="0" xfId="0" quotePrefix="1" applyNumberFormat="1" applyFont="1" applyFill="1" applyAlignment="1">
      <alignment horizontal="left"/>
    </xf>
    <xf numFmtId="177" fontId="13" fillId="5" borderId="0" xfId="0" applyNumberFormat="1" applyFont="1" applyFill="1" applyAlignment="1">
      <alignment horizontal="left"/>
    </xf>
    <xf numFmtId="179" fontId="13" fillId="4" borderId="2" xfId="4" applyNumberFormat="1" applyFont="1" applyFill="1" applyBorder="1" applyAlignment="1">
      <alignment horizontal="center" wrapText="1"/>
    </xf>
    <xf numFmtId="177" fontId="13" fillId="3" borderId="2" xfId="0" applyNumberFormat="1" applyFont="1" applyFill="1" applyBorder="1" applyAlignment="1"/>
    <xf numFmtId="177" fontId="7" fillId="0" borderId="0" xfId="0" applyNumberFormat="1" applyFont="1" applyFill="1" applyAlignment="1"/>
    <xf numFmtId="0" fontId="48" fillId="0" borderId="23" xfId="0" applyFont="1" applyBorder="1" applyAlignment="1">
      <alignment horizontal="right" vertical="center"/>
    </xf>
    <xf numFmtId="0" fontId="49" fillId="0" borderId="0" xfId="0" applyFont="1" applyBorder="1" applyAlignment="1">
      <alignment horizontal="center"/>
    </xf>
    <xf numFmtId="184" fontId="49" fillId="0" borderId="0" xfId="0" applyNumberFormat="1" applyFont="1" applyBorder="1"/>
    <xf numFmtId="0" fontId="15" fillId="0" borderId="0" xfId="0" applyFont="1" applyBorder="1"/>
    <xf numFmtId="0" fontId="15" fillId="0" borderId="0" xfId="0" applyFont="1" applyFill="1" applyBorder="1" applyAlignment="1">
      <alignment horizontal="center"/>
    </xf>
    <xf numFmtId="0" fontId="7" fillId="0" borderId="0" xfId="0" applyFont="1" applyFill="1" applyBorder="1"/>
    <xf numFmtId="0" fontId="7" fillId="0" borderId="0" xfId="0" applyFont="1"/>
    <xf numFmtId="0" fontId="49" fillId="0" borderId="23" xfId="0" applyFont="1" applyBorder="1" applyAlignment="1">
      <alignment horizontal="center"/>
    </xf>
    <xf numFmtId="184" fontId="49" fillId="0" borderId="23" xfId="0" applyNumberFormat="1" applyFont="1" applyBorder="1"/>
    <xf numFmtId="184" fontId="49" fillId="0" borderId="23" xfId="0" applyNumberFormat="1" applyFont="1" applyBorder="1" applyAlignment="1">
      <alignment horizontal="center"/>
    </xf>
    <xf numFmtId="0" fontId="15" fillId="0" borderId="23" xfId="0" applyFont="1" applyBorder="1"/>
    <xf numFmtId="0" fontId="7" fillId="0" borderId="0" xfId="0" applyFont="1" applyFill="1"/>
    <xf numFmtId="0" fontId="13" fillId="6" borderId="2" xfId="0" applyFont="1" applyFill="1" applyBorder="1" applyAlignment="1">
      <alignment horizontal="center" vertical="center"/>
    </xf>
    <xf numFmtId="0" fontId="13" fillId="6" borderId="2" xfId="0" applyFont="1" applyFill="1" applyBorder="1" applyAlignment="1">
      <alignment vertical="center" wrapText="1"/>
    </xf>
    <xf numFmtId="0" fontId="13" fillId="0" borderId="24" xfId="0" applyFont="1" applyBorder="1" applyAlignment="1">
      <alignment horizontal="right"/>
    </xf>
    <xf numFmtId="0" fontId="7" fillId="0" borderId="5" xfId="0" applyFont="1" applyBorder="1"/>
    <xf numFmtId="0" fontId="13" fillId="6" borderId="24" xfId="0" applyFont="1" applyFill="1" applyBorder="1" applyAlignment="1">
      <alignment horizontal="center"/>
    </xf>
    <xf numFmtId="0" fontId="13" fillId="6" borderId="5" xfId="0" applyFont="1" applyFill="1" applyBorder="1"/>
    <xf numFmtId="0" fontId="13" fillId="5" borderId="21" xfId="0" applyFont="1" applyFill="1" applyBorder="1" applyAlignment="1">
      <alignment horizontal="right"/>
    </xf>
    <xf numFmtId="0" fontId="13" fillId="0" borderId="21" xfId="0" applyFont="1" applyFill="1" applyBorder="1" applyAlignment="1">
      <alignment horizontal="right"/>
    </xf>
    <xf numFmtId="0" fontId="7" fillId="0" borderId="2" xfId="0" applyFont="1" applyFill="1" applyBorder="1"/>
    <xf numFmtId="0" fontId="13" fillId="0" borderId="2" xfId="0" applyFont="1" applyFill="1" applyBorder="1"/>
    <xf numFmtId="182" fontId="7" fillId="0" borderId="0" xfId="0" applyNumberFormat="1" applyFont="1"/>
    <xf numFmtId="0" fontId="7" fillId="0" borderId="0" xfId="0" applyFont="1" applyBorder="1"/>
    <xf numFmtId="184" fontId="7" fillId="0" borderId="0" xfId="0" applyNumberFormat="1" applyFont="1"/>
    <xf numFmtId="0" fontId="50" fillId="0" borderId="0" xfId="0" applyFont="1"/>
    <xf numFmtId="184" fontId="51" fillId="0" borderId="0" xfId="0" applyNumberFormat="1" applyFont="1" applyBorder="1" applyAlignment="1">
      <alignment horizontal="center"/>
    </xf>
    <xf numFmtId="179" fontId="7" fillId="5" borderId="5" xfId="4" applyNumberFormat="1" applyFont="1" applyFill="1" applyBorder="1" applyAlignment="1">
      <alignment horizontal="left"/>
    </xf>
    <xf numFmtId="179" fontId="7" fillId="5" borderId="2" xfId="4" applyNumberFormat="1" applyFont="1" applyFill="1" applyBorder="1" applyAlignment="1">
      <alignment horizontal="left"/>
    </xf>
    <xf numFmtId="179" fontId="15" fillId="5" borderId="2" xfId="4" applyNumberFormat="1" applyFont="1" applyFill="1" applyBorder="1" applyAlignment="1">
      <alignment horizontal="left"/>
    </xf>
    <xf numFmtId="177" fontId="7" fillId="6" borderId="2" xfId="0" applyNumberFormat="1" applyFont="1" applyFill="1" applyBorder="1" applyAlignment="1">
      <alignment horizontal="center" vertical="center" wrapText="1"/>
    </xf>
    <xf numFmtId="177" fontId="7" fillId="0" borderId="5" xfId="0" applyNumberFormat="1" applyFont="1" applyBorder="1" applyAlignment="1">
      <alignment horizontal="center"/>
    </xf>
    <xf numFmtId="177" fontId="7" fillId="6" borderId="2" xfId="4" applyNumberFormat="1" applyFont="1" applyFill="1" applyBorder="1" applyAlignment="1">
      <alignment horizontal="center"/>
    </xf>
    <xf numFmtId="177" fontId="7" fillId="0" borderId="2" xfId="4" applyNumberFormat="1" applyFont="1" applyFill="1" applyBorder="1" applyAlignment="1">
      <alignment horizontal="center"/>
    </xf>
    <xf numFmtId="0" fontId="7" fillId="0" borderId="2" xfId="0" applyFont="1" applyBorder="1"/>
    <xf numFmtId="179" fontId="15" fillId="3" borderId="2" xfId="4" applyNumberFormat="1" applyFont="1" applyFill="1" applyBorder="1"/>
    <xf numFmtId="179" fontId="7" fillId="6" borderId="2" xfId="4" applyNumberFormat="1" applyFont="1" applyFill="1" applyBorder="1" applyAlignment="1">
      <alignment horizontal="left"/>
    </xf>
    <xf numFmtId="179" fontId="7" fillId="6" borderId="2" xfId="4" quotePrefix="1" applyNumberFormat="1" applyFont="1" applyFill="1" applyBorder="1" applyAlignment="1">
      <alignment horizontal="left" vertical="center" wrapText="1"/>
    </xf>
    <xf numFmtId="179" fontId="7" fillId="0" borderId="2" xfId="4" applyNumberFormat="1" applyFont="1" applyBorder="1" applyAlignment="1">
      <alignment horizontal="left"/>
    </xf>
    <xf numFmtId="188" fontId="15" fillId="3" borderId="2" xfId="4" applyNumberFormat="1" applyFont="1" applyFill="1" applyBorder="1" applyAlignment="1">
      <alignment horizontal="center"/>
    </xf>
    <xf numFmtId="0" fontId="15" fillId="0" borderId="0" xfId="0" applyFont="1" applyAlignment="1">
      <alignment horizontal="center"/>
    </xf>
    <xf numFmtId="0" fontId="15" fillId="5" borderId="0" xfId="0" applyFont="1" applyFill="1" applyAlignment="1">
      <alignment horizontal="left"/>
    </xf>
    <xf numFmtId="0" fontId="7" fillId="5" borderId="0" xfId="0" applyFont="1" applyFill="1" applyAlignment="1">
      <alignment horizontal="center"/>
    </xf>
    <xf numFmtId="0" fontId="7" fillId="2" borderId="3" xfId="0" applyFont="1" applyFill="1" applyBorder="1" applyAlignment="1">
      <alignment horizontal="center"/>
    </xf>
    <xf numFmtId="0" fontId="7" fillId="2" borderId="9" xfId="0" applyFont="1" applyFill="1" applyBorder="1" applyAlignment="1">
      <alignment horizontal="center"/>
    </xf>
    <xf numFmtId="0" fontId="7" fillId="2" borderId="6" xfId="0" applyFont="1" applyFill="1" applyBorder="1" applyAlignment="1">
      <alignment horizontal="center"/>
    </xf>
    <xf numFmtId="9" fontId="7" fillId="2" borderId="6" xfId="0" applyNumberFormat="1" applyFont="1" applyFill="1" applyBorder="1" applyAlignment="1">
      <alignment horizontal="center"/>
    </xf>
    <xf numFmtId="9" fontId="7" fillId="2" borderId="5" xfId="0" applyNumberFormat="1" applyFont="1" applyFill="1" applyBorder="1" applyAlignment="1">
      <alignment horizontal="center"/>
    </xf>
    <xf numFmtId="0" fontId="23" fillId="6" borderId="2" xfId="0" applyFont="1" applyFill="1" applyBorder="1" applyAlignment="1">
      <alignment horizontal="center"/>
    </xf>
    <xf numFmtId="180" fontId="15" fillId="2" borderId="5" xfId="0" applyNumberFormat="1" applyFont="1" applyFill="1" applyBorder="1" applyAlignment="1">
      <alignment horizontal="center"/>
    </xf>
    <xf numFmtId="180" fontId="15" fillId="3" borderId="5" xfId="0" applyNumberFormat="1" applyFont="1" applyFill="1" applyBorder="1" applyAlignment="1">
      <alignment horizontal="center"/>
    </xf>
    <xf numFmtId="0" fontId="15" fillId="6" borderId="2" xfId="0" applyFont="1" applyFill="1" applyBorder="1" applyAlignment="1">
      <alignment horizontal="left"/>
    </xf>
    <xf numFmtId="184" fontId="7" fillId="2" borderId="2" xfId="0" applyNumberFormat="1" applyFont="1" applyFill="1" applyBorder="1" applyAlignment="1">
      <alignment horizontal="center"/>
    </xf>
    <xf numFmtId="184" fontId="7" fillId="3" borderId="2" xfId="0" applyNumberFormat="1" applyFont="1" applyFill="1" applyBorder="1" applyAlignment="1">
      <alignment horizontal="center"/>
    </xf>
    <xf numFmtId="0" fontId="15" fillId="6" borderId="2" xfId="0" quotePrefix="1" applyFont="1" applyFill="1" applyBorder="1" applyAlignment="1">
      <alignment horizontal="left"/>
    </xf>
    <xf numFmtId="10" fontId="7" fillId="2" borderId="2" xfId="0" applyNumberFormat="1" applyFont="1" applyFill="1" applyBorder="1" applyAlignment="1">
      <alignment horizontal="center"/>
    </xf>
    <xf numFmtId="10" fontId="7" fillId="3" borderId="2" xfId="0" applyNumberFormat="1" applyFont="1" applyFill="1" applyBorder="1" applyAlignment="1">
      <alignment horizontal="center"/>
    </xf>
    <xf numFmtId="10" fontId="15" fillId="2" borderId="2" xfId="0" applyNumberFormat="1" applyFont="1" applyFill="1" applyBorder="1" applyAlignment="1">
      <alignment horizontal="center"/>
    </xf>
    <xf numFmtId="10" fontId="15" fillId="3" borderId="2" xfId="0" applyNumberFormat="1" applyFont="1" applyFill="1" applyBorder="1" applyAlignment="1">
      <alignment horizontal="center"/>
    </xf>
    <xf numFmtId="0" fontId="13" fillId="6" borderId="2" xfId="0" applyFont="1" applyFill="1" applyBorder="1" applyAlignment="1">
      <alignment horizontal="left"/>
    </xf>
    <xf numFmtId="178" fontId="7" fillId="2" borderId="2" xfId="0" applyNumberFormat="1" applyFont="1" applyFill="1" applyBorder="1" applyAlignment="1">
      <alignment horizontal="center"/>
    </xf>
    <xf numFmtId="178" fontId="15" fillId="3" borderId="2" xfId="0" applyNumberFormat="1" applyFont="1" applyFill="1" applyBorder="1" applyAlignment="1">
      <alignment horizontal="center"/>
    </xf>
    <xf numFmtId="0" fontId="7" fillId="6" borderId="2" xfId="0" quotePrefix="1" applyFont="1" applyFill="1" applyBorder="1" applyAlignment="1">
      <alignment horizontal="left"/>
    </xf>
    <xf numFmtId="0" fontId="15" fillId="9" borderId="2" xfId="0" quotePrefix="1" applyFont="1" applyFill="1" applyBorder="1" applyAlignment="1">
      <alignment horizontal="left"/>
    </xf>
    <xf numFmtId="178" fontId="7" fillId="5" borderId="0" xfId="4" applyNumberFormat="1" applyFont="1" applyFill="1" applyBorder="1" applyAlignment="1"/>
    <xf numFmtId="179" fontId="15" fillId="5" borderId="0" xfId="4" applyNumberFormat="1" applyFont="1" applyFill="1" applyBorder="1" applyAlignment="1">
      <alignment horizontal="center"/>
    </xf>
    <xf numFmtId="187" fontId="13" fillId="0" borderId="0" xfId="0" applyNumberFormat="1" applyFont="1" applyFill="1" applyBorder="1" applyAlignment="1">
      <alignment horizontal="center"/>
    </xf>
    <xf numFmtId="180" fontId="15" fillId="0" borderId="2" xfId="4" applyNumberFormat="1" applyFont="1" applyFill="1" applyBorder="1" applyAlignment="1">
      <alignment horizontal="center"/>
    </xf>
    <xf numFmtId="179" fontId="22" fillId="0" borderId="2" xfId="4" applyNumberFormat="1" applyFont="1" applyFill="1" applyBorder="1" applyAlignment="1">
      <alignment horizontal="center"/>
    </xf>
    <xf numFmtId="179" fontId="7" fillId="6" borderId="25" xfId="4" applyNumberFormat="1" applyFont="1" applyFill="1" applyBorder="1" applyAlignment="1">
      <alignment horizontal="center"/>
    </xf>
    <xf numFmtId="179" fontId="7" fillId="6" borderId="4" xfId="4" applyNumberFormat="1" applyFont="1" applyFill="1" applyBorder="1" applyAlignment="1">
      <alignment horizontal="center"/>
    </xf>
    <xf numFmtId="0" fontId="15" fillId="0" borderId="4" xfId="0" applyFont="1" applyBorder="1" applyAlignment="1">
      <alignment horizontal="center"/>
    </xf>
    <xf numFmtId="179" fontId="7" fillId="0" borderId="4" xfId="4" applyNumberFormat="1" applyFont="1" applyBorder="1" applyAlignment="1">
      <alignment horizontal="center"/>
    </xf>
    <xf numFmtId="0" fontId="7" fillId="2" borderId="2" xfId="0" applyFont="1" applyFill="1" applyBorder="1" applyAlignment="1">
      <alignment horizontal="center"/>
    </xf>
    <xf numFmtId="179" fontId="13" fillId="2" borderId="2" xfId="4" applyNumberFormat="1" applyFont="1" applyFill="1" applyBorder="1" applyAlignment="1">
      <alignment horizontal="center"/>
    </xf>
    <xf numFmtId="179" fontId="15" fillId="2" borderId="2" xfId="4" applyNumberFormat="1" applyFont="1" applyFill="1" applyBorder="1" applyAlignment="1">
      <alignment horizontal="center"/>
    </xf>
    <xf numFmtId="179" fontId="17" fillId="0" borderId="0" xfId="4" quotePrefix="1" applyNumberFormat="1" applyFont="1" applyFill="1" applyAlignment="1">
      <alignment horizontal="center"/>
    </xf>
    <xf numFmtId="179" fontId="15" fillId="6" borderId="2" xfId="4" applyNumberFormat="1" applyFont="1" applyFill="1" applyBorder="1" applyAlignment="1">
      <alignment horizontal="center"/>
    </xf>
    <xf numFmtId="179" fontId="15" fillId="6" borderId="26" xfId="4" applyNumberFormat="1" applyFont="1" applyFill="1" applyBorder="1" applyAlignment="1">
      <alignment horizontal="center"/>
    </xf>
    <xf numFmtId="179" fontId="15" fillId="0" borderId="5" xfId="4" applyNumberFormat="1" applyFont="1" applyFill="1" applyBorder="1" applyAlignment="1">
      <alignment horizontal="center"/>
    </xf>
    <xf numFmtId="179" fontId="15" fillId="6" borderId="7" xfId="4" applyNumberFormat="1" applyFont="1" applyFill="1" applyBorder="1" applyAlignment="1">
      <alignment horizontal="center"/>
    </xf>
    <xf numFmtId="177" fontId="15" fillId="0" borderId="13" xfId="4" applyNumberFormat="1" applyFont="1" applyFill="1" applyBorder="1" applyAlignment="1">
      <alignment horizontal="center"/>
    </xf>
    <xf numFmtId="179" fontId="15" fillId="0" borderId="9" xfId="4" applyNumberFormat="1" applyFont="1" applyFill="1" applyBorder="1" applyAlignment="1">
      <alignment horizontal="center"/>
    </xf>
    <xf numFmtId="179" fontId="15" fillId="2" borderId="9" xfId="4" applyNumberFormat="1" applyFont="1" applyFill="1" applyBorder="1" applyAlignment="1">
      <alignment horizontal="center"/>
    </xf>
    <xf numFmtId="179" fontId="15" fillId="0" borderId="1" xfId="4" applyNumberFormat="1" applyFont="1" applyFill="1" applyBorder="1" applyAlignment="1">
      <alignment horizontal="center"/>
    </xf>
    <xf numFmtId="10" fontId="15" fillId="0" borderId="2" xfId="1" applyNumberFormat="1" applyFont="1" applyFill="1" applyBorder="1" applyAlignment="1">
      <alignment horizontal="center"/>
    </xf>
    <xf numFmtId="0" fontId="15" fillId="0" borderId="1" xfId="0" applyFont="1" applyBorder="1" applyAlignment="1">
      <alignment horizontal="center"/>
    </xf>
    <xf numFmtId="0" fontId="15" fillId="0" borderId="2" xfId="1" applyNumberFormat="1" applyFont="1" applyFill="1" applyBorder="1" applyAlignment="1">
      <alignment horizontal="center"/>
    </xf>
    <xf numFmtId="0" fontId="7" fillId="0" borderId="0" xfId="0" applyFont="1" applyFill="1" applyBorder="1" applyAlignment="1">
      <alignment horizontal="center" vertical="center"/>
    </xf>
    <xf numFmtId="0" fontId="7" fillId="0" borderId="0" xfId="0" applyFont="1" applyFill="1" applyAlignment="1">
      <alignment horizontal="center" vertical="center"/>
    </xf>
    <xf numFmtId="9" fontId="15" fillId="7" borderId="2" xfId="1" applyFont="1" applyFill="1" applyBorder="1" applyAlignment="1">
      <alignment horizontal="center"/>
    </xf>
    <xf numFmtId="177" fontId="2" fillId="0" borderId="9"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left" vertical="center" wrapText="1"/>
    </xf>
    <xf numFmtId="177" fontId="2" fillId="0" borderId="27" xfId="0" applyNumberFormat="1" applyFont="1" applyFill="1" applyBorder="1" applyAlignment="1">
      <alignment horizontal="center" vertical="center" wrapText="1"/>
    </xf>
    <xf numFmtId="177" fontId="2" fillId="0" borderId="24" xfId="0" applyNumberFormat="1" applyFont="1" applyFill="1" applyBorder="1" applyAlignment="1">
      <alignment horizontal="center" vertical="center" wrapText="1"/>
    </xf>
    <xf numFmtId="177" fontId="2" fillId="0" borderId="5" xfId="0" applyNumberFormat="1" applyFont="1" applyFill="1" applyBorder="1" applyAlignment="1">
      <alignment horizontal="center" vertical="center" wrapText="1"/>
    </xf>
    <xf numFmtId="177" fontId="2" fillId="0" borderId="28" xfId="0" applyNumberFormat="1" applyFont="1" applyFill="1" applyBorder="1" applyAlignment="1">
      <alignment horizontal="center" vertical="center" wrapText="1"/>
    </xf>
    <xf numFmtId="177" fontId="2" fillId="0" borderId="7" xfId="0" applyNumberFormat="1" applyFont="1" applyFill="1" applyBorder="1" applyAlignment="1">
      <alignment horizontal="center" vertical="center" wrapText="1"/>
    </xf>
    <xf numFmtId="177" fontId="2" fillId="0" borderId="21" xfId="0" applyNumberFormat="1" applyFont="1" applyFill="1" applyBorder="1" applyAlignment="1">
      <alignment horizontal="center" vertical="center" wrapText="1"/>
    </xf>
    <xf numFmtId="177" fontId="2" fillId="0" borderId="11" xfId="0" applyNumberFormat="1" applyFont="1" applyFill="1" applyBorder="1" applyAlignment="1">
      <alignment horizontal="center" vertical="center" wrapText="1"/>
    </xf>
    <xf numFmtId="0" fontId="40" fillId="0" borderId="2" xfId="0" applyFont="1" applyFill="1" applyBorder="1" applyAlignment="1">
      <alignment horizontal="left" vertical="center" wrapText="1"/>
    </xf>
    <xf numFmtId="0" fontId="13" fillId="0" borderId="1" xfId="0" applyFont="1" applyFill="1" applyBorder="1" applyAlignment="1">
      <alignment horizontal="left" vertical="center" wrapText="1"/>
    </xf>
    <xf numFmtId="177" fontId="7" fillId="0" borderId="27" xfId="0" applyNumberFormat="1" applyFont="1" applyFill="1" applyBorder="1" applyAlignment="1">
      <alignment horizontal="center" vertical="center" wrapText="1"/>
    </xf>
    <xf numFmtId="0" fontId="5" fillId="0" borderId="7" xfId="0" applyFont="1" applyFill="1" applyBorder="1" applyAlignment="1">
      <alignment horizontal="left" vertical="center"/>
    </xf>
    <xf numFmtId="0" fontId="5" fillId="0" borderId="2" xfId="0" applyFont="1" applyFill="1" applyBorder="1" applyAlignment="1">
      <alignment horizontal="left" vertical="center" wrapText="1"/>
    </xf>
    <xf numFmtId="0" fontId="40" fillId="0" borderId="2" xfId="0" applyFont="1" applyFill="1" applyBorder="1" applyAlignment="1" applyProtection="1">
      <alignment horizontal="left" vertical="center" wrapText="1"/>
      <protection locked="0"/>
    </xf>
    <xf numFmtId="0" fontId="13" fillId="0" borderId="1" xfId="0" applyFont="1" applyFill="1" applyBorder="1" applyAlignment="1" applyProtection="1">
      <alignment horizontal="left" vertical="center" wrapText="1"/>
      <protection locked="0"/>
    </xf>
    <xf numFmtId="177" fontId="2" fillId="0" borderId="22" xfId="0" applyNumberFormat="1" applyFont="1" applyFill="1" applyBorder="1" applyAlignment="1">
      <alignment horizontal="center" vertical="center" wrapText="1"/>
    </xf>
    <xf numFmtId="177" fontId="2" fillId="0" borderId="29" xfId="0" applyNumberFormat="1" applyFont="1" applyFill="1" applyBorder="1" applyAlignment="1">
      <alignment horizontal="center" vertical="center" wrapText="1"/>
    </xf>
    <xf numFmtId="177" fontId="2" fillId="0" borderId="30" xfId="0" applyNumberFormat="1" applyFont="1" applyFill="1" applyBorder="1" applyAlignment="1">
      <alignment horizontal="center" vertical="center" wrapText="1"/>
    </xf>
    <xf numFmtId="177" fontId="2" fillId="0" borderId="8" xfId="0" applyNumberFormat="1" applyFont="1" applyFill="1" applyBorder="1" applyAlignment="1">
      <alignment horizontal="center" vertical="center" wrapText="1"/>
    </xf>
    <xf numFmtId="179" fontId="15" fillId="7" borderId="0" xfId="4" applyNumberFormat="1" applyFont="1" applyFill="1" applyBorder="1" applyAlignment="1">
      <alignment horizontal="center"/>
    </xf>
    <xf numFmtId="0" fontId="15" fillId="10" borderId="0" xfId="0" applyFont="1" applyFill="1"/>
    <xf numFmtId="0" fontId="7" fillId="6" borderId="2" xfId="0" applyFont="1" applyFill="1" applyBorder="1" applyAlignment="1" applyProtection="1">
      <alignment vertical="center"/>
    </xf>
    <xf numFmtId="0" fontId="7" fillId="5" borderId="0" xfId="0" applyFont="1" applyFill="1"/>
    <xf numFmtId="0" fontId="15" fillId="5" borderId="0" xfId="0" quotePrefix="1" applyFont="1" applyFill="1"/>
    <xf numFmtId="188" fontId="7" fillId="5" borderId="2" xfId="1" applyNumberFormat="1" applyFont="1" applyFill="1" applyBorder="1" applyAlignment="1" applyProtection="1">
      <alignment horizontal="center"/>
    </xf>
    <xf numFmtId="0" fontId="15" fillId="5" borderId="0" xfId="0" applyFont="1" applyFill="1" applyAlignment="1" applyProtection="1">
      <alignment horizontal="center"/>
    </xf>
    <xf numFmtId="188" fontId="15" fillId="5" borderId="2" xfId="1" applyNumberFormat="1" applyFont="1" applyFill="1" applyBorder="1" applyAlignment="1" applyProtection="1">
      <alignment horizontal="center"/>
    </xf>
    <xf numFmtId="9" fontId="15" fillId="5" borderId="0" xfId="0" applyNumberFormat="1" applyFont="1" applyFill="1" applyProtection="1"/>
    <xf numFmtId="0" fontId="15" fillId="5" borderId="2" xfId="0" applyFont="1" applyFill="1" applyBorder="1" applyProtection="1"/>
    <xf numFmtId="184" fontId="15" fillId="5" borderId="2" xfId="1" applyNumberFormat="1" applyFont="1" applyFill="1" applyBorder="1" applyAlignment="1" applyProtection="1">
      <alignment horizontal="center"/>
    </xf>
    <xf numFmtId="0" fontId="15" fillId="5" borderId="2" xfId="0" quotePrefix="1" applyFont="1" applyFill="1" applyBorder="1" applyAlignment="1" applyProtection="1">
      <alignment horizontal="left"/>
    </xf>
    <xf numFmtId="0" fontId="20" fillId="5" borderId="0" xfId="0" applyFont="1" applyFill="1" applyProtection="1"/>
    <xf numFmtId="188" fontId="15" fillId="5" borderId="0" xfId="1" quotePrefix="1" applyNumberFormat="1" applyFont="1" applyFill="1" applyAlignment="1" applyProtection="1">
      <alignment horizontal="left"/>
    </xf>
    <xf numFmtId="188" fontId="15" fillId="5" borderId="0" xfId="1" applyNumberFormat="1" applyFont="1" applyFill="1" applyAlignment="1" applyProtection="1">
      <alignment horizontal="left"/>
    </xf>
    <xf numFmtId="0" fontId="15" fillId="5" borderId="0" xfId="0" quotePrefix="1" applyFont="1" applyFill="1" applyBorder="1" applyAlignment="1" applyProtection="1">
      <alignment horizontal="left"/>
    </xf>
    <xf numFmtId="188" fontId="36" fillId="5" borderId="0" xfId="1" applyNumberFormat="1" applyFont="1" applyFill="1" applyProtection="1"/>
    <xf numFmtId="0" fontId="34" fillId="3" borderId="2" xfId="0" applyFont="1" applyFill="1" applyBorder="1" applyProtection="1"/>
    <xf numFmtId="188" fontId="15" fillId="3" borderId="2" xfId="1" applyNumberFormat="1" applyFont="1" applyFill="1" applyBorder="1" applyAlignment="1" applyProtection="1">
      <alignment horizontal="center"/>
    </xf>
    <xf numFmtId="177" fontId="3" fillId="2" borderId="2" xfId="0" applyNumberFormat="1" applyFont="1" applyFill="1" applyBorder="1" applyAlignment="1">
      <alignment horizontal="left" vertical="center" wrapText="1"/>
    </xf>
    <xf numFmtId="177" fontId="8" fillId="2" borderId="1" xfId="0" applyNumberFormat="1" applyFont="1" applyFill="1" applyBorder="1" applyAlignment="1">
      <alignment horizontal="left" vertical="center" wrapText="1"/>
    </xf>
    <xf numFmtId="177" fontId="2" fillId="2" borderId="31" xfId="0" applyNumberFormat="1" applyFont="1" applyFill="1" applyBorder="1" applyAlignment="1">
      <alignment horizontal="center" vertical="center" wrapText="1"/>
    </xf>
    <xf numFmtId="177" fontId="2" fillId="2" borderId="32" xfId="0" applyNumberFormat="1" applyFont="1" applyFill="1" applyBorder="1" applyAlignment="1">
      <alignment horizontal="center" vertical="center" wrapText="1"/>
    </xf>
    <xf numFmtId="177" fontId="2" fillId="2" borderId="33" xfId="0" applyNumberFormat="1" applyFont="1" applyFill="1" applyBorder="1" applyAlignment="1">
      <alignment horizontal="center" vertical="center" wrapText="1"/>
    </xf>
    <xf numFmtId="177" fontId="2" fillId="2" borderId="34" xfId="0" applyNumberFormat="1" applyFont="1" applyFill="1" applyBorder="1" applyAlignment="1">
      <alignment horizontal="center" vertical="center" wrapText="1"/>
    </xf>
    <xf numFmtId="177" fontId="2" fillId="2" borderId="17" xfId="0" applyNumberFormat="1" applyFont="1" applyFill="1" applyBorder="1" applyAlignment="1">
      <alignment horizontal="center" vertical="center" wrapText="1"/>
    </xf>
    <xf numFmtId="188" fontId="7" fillId="5" borderId="8" xfId="1" applyNumberFormat="1" applyFont="1" applyFill="1" applyBorder="1" applyAlignment="1" applyProtection="1"/>
    <xf numFmtId="0" fontId="7" fillId="0" borderId="2" xfId="0" applyFont="1" applyFill="1" applyBorder="1" applyAlignment="1">
      <alignment horizontal="center" vertical="center" wrapText="1"/>
    </xf>
    <xf numFmtId="180" fontId="7" fillId="0" borderId="2" xfId="0" applyNumberFormat="1" applyFont="1" applyFill="1" applyBorder="1" applyAlignment="1">
      <alignment horizontal="center" vertical="center" wrapText="1"/>
    </xf>
    <xf numFmtId="0" fontId="7" fillId="7" borderId="2" xfId="0" applyFont="1" applyFill="1" applyBorder="1" applyAlignment="1" applyProtection="1">
      <alignment horizontal="center" vertical="center"/>
      <protection locked="0"/>
    </xf>
    <xf numFmtId="0" fontId="7" fillId="6" borderId="2" xfId="0" applyFont="1" applyFill="1" applyBorder="1" applyProtection="1"/>
    <xf numFmtId="10" fontId="7" fillId="0" borderId="2" xfId="0" applyNumberFormat="1" applyFont="1" applyFill="1" applyBorder="1" applyAlignment="1" applyProtection="1">
      <alignment horizontal="center" vertical="center"/>
    </xf>
    <xf numFmtId="0" fontId="7" fillId="6" borderId="2" xfId="0" applyFont="1" applyFill="1" applyBorder="1" applyAlignment="1" applyProtection="1">
      <alignment vertical="center" wrapText="1"/>
    </xf>
    <xf numFmtId="10" fontId="7" fillId="0" borderId="1" xfId="0" applyNumberFormat="1" applyFont="1" applyFill="1" applyBorder="1" applyAlignment="1" applyProtection="1">
      <alignment horizontal="center" vertical="center" wrapText="1"/>
    </xf>
    <xf numFmtId="184" fontId="7" fillId="0" borderId="2" xfId="0" applyNumberFormat="1" applyFont="1" applyFill="1" applyBorder="1" applyAlignment="1" applyProtection="1">
      <alignment horizontal="center" vertical="center" wrapText="1"/>
    </xf>
    <xf numFmtId="180" fontId="7" fillId="0" borderId="2" xfId="0" applyNumberFormat="1" applyFont="1" applyFill="1" applyBorder="1" applyAlignment="1" applyProtection="1">
      <alignment horizontal="center" vertical="center"/>
    </xf>
    <xf numFmtId="10" fontId="7" fillId="0" borderId="2" xfId="0" applyNumberFormat="1" applyFont="1" applyFill="1" applyBorder="1" applyAlignment="1" applyProtection="1">
      <alignment horizontal="center" vertical="center" wrapText="1"/>
    </xf>
    <xf numFmtId="0" fontId="7" fillId="6" borderId="2" xfId="0" applyFont="1" applyFill="1" applyBorder="1" applyAlignment="1" applyProtection="1">
      <alignment horizontal="center" vertical="center"/>
    </xf>
    <xf numFmtId="0" fontId="7" fillId="6" borderId="2" xfId="0" applyFont="1" applyFill="1" applyBorder="1" applyAlignment="1" applyProtection="1">
      <alignment horizontal="center" vertical="center" wrapText="1"/>
    </xf>
    <xf numFmtId="0" fontId="7" fillId="6" borderId="11" xfId="0" applyFont="1" applyFill="1" applyBorder="1" applyAlignment="1" applyProtection="1">
      <alignment horizontal="center" vertical="center"/>
    </xf>
    <xf numFmtId="0" fontId="7" fillId="6" borderId="21" xfId="0" applyFont="1" applyFill="1" applyBorder="1" applyAlignment="1" applyProtection="1">
      <alignment horizontal="center" vertical="center"/>
    </xf>
    <xf numFmtId="10" fontId="7" fillId="7" borderId="2" xfId="0" applyNumberFormat="1" applyFont="1" applyFill="1" applyBorder="1" applyAlignment="1" applyProtection="1">
      <alignment horizontal="center" vertical="center"/>
      <protection locked="0"/>
    </xf>
    <xf numFmtId="0" fontId="7" fillId="0" borderId="11" xfId="0" applyFont="1" applyFill="1" applyBorder="1" applyProtection="1">
      <protection locked="0"/>
    </xf>
    <xf numFmtId="10" fontId="7" fillId="7" borderId="2" xfId="0" applyNumberFormat="1" applyFont="1" applyFill="1" applyBorder="1" applyAlignment="1" applyProtection="1">
      <alignment horizontal="center" vertical="center"/>
    </xf>
    <xf numFmtId="0" fontId="7" fillId="6" borderId="2" xfId="0" applyFont="1" applyFill="1" applyBorder="1" applyAlignment="1">
      <alignment horizontal="center" vertical="center" wrapText="1"/>
    </xf>
    <xf numFmtId="179" fontId="15" fillId="5" borderId="0" xfId="4" applyNumberFormat="1" applyFont="1" applyFill="1" applyAlignment="1">
      <alignment horizontal="center"/>
    </xf>
    <xf numFmtId="0" fontId="7" fillId="5" borderId="0" xfId="0" applyFont="1" applyFill="1" applyBorder="1" applyAlignment="1" applyProtection="1">
      <alignment vertical="center"/>
    </xf>
    <xf numFmtId="178" fontId="7" fillId="5" borderId="0" xfId="0" applyNumberFormat="1" applyFont="1" applyFill="1" applyBorder="1" applyAlignment="1" applyProtection="1">
      <alignment horizontal="center" vertical="center"/>
    </xf>
    <xf numFmtId="0" fontId="0" fillId="5" borderId="0" xfId="0" applyFill="1"/>
    <xf numFmtId="0" fontId="7" fillId="5" borderId="0" xfId="0" quotePrefix="1" applyFont="1" applyFill="1" applyBorder="1" applyAlignment="1" applyProtection="1">
      <alignment vertical="center"/>
    </xf>
    <xf numFmtId="0" fontId="54" fillId="5" borderId="0" xfId="0" applyFont="1" applyFill="1"/>
    <xf numFmtId="184" fontId="38" fillId="0" borderId="2" xfId="0" applyNumberFormat="1" applyFont="1" applyFill="1" applyBorder="1" applyAlignment="1">
      <alignment horizontal="center"/>
    </xf>
    <xf numFmtId="0" fontId="23" fillId="3" borderId="2" xfId="0" applyFont="1" applyFill="1" applyBorder="1" applyAlignment="1">
      <alignment horizontal="center"/>
    </xf>
    <xf numFmtId="0" fontId="15" fillId="3" borderId="2" xfId="0" applyFont="1" applyFill="1" applyBorder="1" applyAlignment="1">
      <alignment horizontal="center"/>
    </xf>
    <xf numFmtId="184" fontId="15" fillId="3" borderId="2" xfId="0" applyNumberFormat="1" applyFont="1" applyFill="1" applyBorder="1" applyAlignment="1">
      <alignment horizontal="center"/>
    </xf>
    <xf numFmtId="0" fontId="7" fillId="3" borderId="2" xfId="2" applyFont="1" applyFill="1" applyBorder="1" applyAlignment="1">
      <alignment horizontal="center"/>
    </xf>
    <xf numFmtId="0" fontId="15" fillId="3" borderId="2" xfId="2" applyFont="1" applyFill="1" applyBorder="1" applyAlignment="1">
      <alignment horizontal="center"/>
    </xf>
    <xf numFmtId="179" fontId="15" fillId="7" borderId="2" xfId="4" applyNumberFormat="1" applyFont="1" applyFill="1" applyBorder="1" applyAlignment="1">
      <alignment horizontal="center"/>
    </xf>
    <xf numFmtId="179" fontId="7" fillId="5" borderId="0" xfId="4" applyNumberFormat="1" applyFont="1" applyFill="1" applyBorder="1" applyAlignment="1">
      <alignment horizontal="center"/>
    </xf>
    <xf numFmtId="179" fontId="15" fillId="5" borderId="0" xfId="4" applyNumberFormat="1" applyFont="1" applyFill="1"/>
    <xf numFmtId="177" fontId="14" fillId="0" borderId="2" xfId="0" applyNumberFormat="1" applyFont="1" applyFill="1" applyBorder="1" applyAlignment="1" applyProtection="1">
      <alignment horizontal="center" vertical="center" wrapText="1"/>
      <protection locked="0"/>
    </xf>
    <xf numFmtId="177" fontId="8" fillId="0" borderId="2" xfId="0" applyNumberFormat="1" applyFont="1" applyFill="1" applyBorder="1" applyAlignment="1" applyProtection="1">
      <alignment horizontal="center" vertical="center" wrapText="1"/>
      <protection locked="0"/>
    </xf>
    <xf numFmtId="177" fontId="8" fillId="3" borderId="2" xfId="0" applyNumberFormat="1" applyFont="1" applyFill="1" applyBorder="1" applyAlignment="1">
      <alignment horizontal="center" vertical="center" wrapText="1"/>
    </xf>
    <xf numFmtId="0" fontId="35" fillId="7" borderId="0" xfId="0" quotePrefix="1" applyFont="1" applyFill="1" applyAlignment="1" applyProtection="1">
      <alignment horizontal="left"/>
    </xf>
    <xf numFmtId="0" fontId="35" fillId="7" borderId="0" xfId="0" applyFont="1" applyFill="1" applyAlignment="1" applyProtection="1">
      <alignment horizontal="left"/>
    </xf>
    <xf numFmtId="0" fontId="13" fillId="4" borderId="35" xfId="0" applyFont="1" applyFill="1" applyBorder="1" applyAlignment="1">
      <alignment horizontal="center" vertical="center"/>
    </xf>
    <xf numFmtId="0" fontId="13" fillId="4" borderId="36" xfId="0" applyFont="1" applyFill="1" applyBorder="1" applyAlignment="1">
      <alignment horizontal="center" vertical="center" wrapText="1"/>
    </xf>
    <xf numFmtId="0" fontId="13" fillId="4" borderId="35" xfId="0" applyFont="1" applyFill="1" applyBorder="1" applyAlignment="1">
      <alignment horizontal="center" vertical="center" wrapText="1"/>
    </xf>
    <xf numFmtId="194" fontId="7" fillId="0" borderId="2" xfId="0" applyNumberFormat="1" applyFont="1" applyFill="1" applyBorder="1" applyProtection="1"/>
    <xf numFmtId="184" fontId="16" fillId="0" borderId="0" xfId="4" applyNumberFormat="1" applyFont="1" applyAlignment="1">
      <alignment horizontal="center"/>
    </xf>
    <xf numFmtId="184" fontId="15" fillId="0" borderId="0" xfId="4" applyNumberFormat="1" applyFont="1" applyFill="1" applyAlignment="1">
      <alignment horizontal="center"/>
    </xf>
    <xf numFmtId="184" fontId="15" fillId="0" borderId="0" xfId="4" applyNumberFormat="1" applyFont="1" applyAlignment="1">
      <alignment horizontal="center"/>
    </xf>
    <xf numFmtId="184" fontId="17" fillId="0" borderId="0" xfId="4" quotePrefix="1" applyNumberFormat="1" applyFont="1" applyAlignment="1">
      <alignment horizontal="center"/>
    </xf>
    <xf numFmtId="184" fontId="18" fillId="0" borderId="0" xfId="4" applyNumberFormat="1" applyFont="1" applyAlignment="1">
      <alignment horizontal="center"/>
    </xf>
    <xf numFmtId="184" fontId="18" fillId="0" borderId="0" xfId="4" applyNumberFormat="1" applyFont="1" applyFill="1" applyAlignment="1">
      <alignment horizontal="center"/>
    </xf>
    <xf numFmtId="184" fontId="13" fillId="3" borderId="2" xfId="4" applyNumberFormat="1" applyFont="1" applyFill="1" applyBorder="1" applyAlignment="1">
      <alignment horizontal="center" vertical="center"/>
    </xf>
    <xf numFmtId="184" fontId="19" fillId="5" borderId="1" xfId="4" applyNumberFormat="1" applyFont="1" applyFill="1" applyBorder="1" applyAlignment="1">
      <alignment horizontal="center"/>
    </xf>
    <xf numFmtId="184" fontId="15" fillId="0" borderId="8" xfId="4" applyNumberFormat="1" applyFont="1" applyBorder="1" applyAlignment="1">
      <alignment horizontal="center"/>
    </xf>
    <xf numFmtId="184" fontId="15" fillId="7" borderId="2" xfId="0" applyNumberFormat="1" applyFont="1" applyFill="1" applyBorder="1" applyAlignment="1">
      <alignment horizontal="center"/>
    </xf>
    <xf numFmtId="184" fontId="7" fillId="3" borderId="3" xfId="0" applyNumberFormat="1" applyFont="1" applyFill="1" applyBorder="1" applyAlignment="1">
      <alignment horizontal="center"/>
    </xf>
    <xf numFmtId="184" fontId="13" fillId="3" borderId="3" xfId="4" applyNumberFormat="1" applyFont="1" applyFill="1" applyBorder="1" applyAlignment="1">
      <alignment horizontal="center"/>
    </xf>
    <xf numFmtId="184" fontId="18" fillId="3" borderId="2" xfId="4" applyNumberFormat="1" applyFont="1" applyFill="1" applyBorder="1" applyAlignment="1">
      <alignment horizontal="center"/>
    </xf>
    <xf numFmtId="184" fontId="19" fillId="5" borderId="3" xfId="4" applyNumberFormat="1" applyFont="1" applyFill="1" applyBorder="1" applyAlignment="1">
      <alignment horizontal="center"/>
    </xf>
    <xf numFmtId="184" fontId="15" fillId="5" borderId="26" xfId="4" applyNumberFormat="1" applyFont="1" applyFill="1" applyBorder="1" applyAlignment="1">
      <alignment horizontal="center"/>
    </xf>
    <xf numFmtId="184" fontId="15" fillId="3" borderId="5" xfId="4" applyNumberFormat="1" applyFont="1" applyFill="1" applyBorder="1" applyAlignment="1">
      <alignment horizontal="center"/>
    </xf>
    <xf numFmtId="184" fontId="18" fillId="3" borderId="5" xfId="4" applyNumberFormat="1" applyFont="1" applyFill="1" applyBorder="1" applyAlignment="1">
      <alignment horizontal="center"/>
    </xf>
    <xf numFmtId="184" fontId="15" fillId="7" borderId="4" xfId="4" applyNumberFormat="1" applyFont="1" applyFill="1" applyBorder="1" applyAlignment="1">
      <alignment horizontal="center"/>
    </xf>
    <xf numFmtId="184" fontId="15" fillId="3" borderId="4" xfId="4" applyNumberFormat="1" applyFont="1" applyFill="1" applyBorder="1" applyAlignment="1">
      <alignment horizontal="center"/>
    </xf>
    <xf numFmtId="184" fontId="15" fillId="7" borderId="37" xfId="4" applyNumberFormat="1" applyFont="1" applyFill="1" applyBorder="1" applyAlignment="1">
      <alignment horizontal="center"/>
    </xf>
    <xf numFmtId="184" fontId="15" fillId="7" borderId="38" xfId="4" applyNumberFormat="1" applyFont="1" applyFill="1" applyBorder="1" applyAlignment="1">
      <alignment horizontal="center"/>
    </xf>
    <xf numFmtId="184" fontId="15" fillId="7" borderId="2" xfId="4" applyNumberFormat="1" applyFont="1" applyFill="1" applyBorder="1" applyAlignment="1">
      <alignment horizontal="center"/>
    </xf>
    <xf numFmtId="184" fontId="13" fillId="3" borderId="2" xfId="0" applyNumberFormat="1" applyFont="1" applyFill="1" applyBorder="1" applyAlignment="1">
      <alignment horizontal="center"/>
    </xf>
    <xf numFmtId="184" fontId="19" fillId="5" borderId="6" xfId="4" applyNumberFormat="1" applyFont="1" applyFill="1" applyBorder="1" applyAlignment="1">
      <alignment horizontal="center"/>
    </xf>
    <xf numFmtId="184" fontId="15" fillId="0" borderId="4" xfId="4" applyNumberFormat="1" applyFont="1" applyFill="1" applyBorder="1" applyAlignment="1">
      <alignment horizontal="center"/>
    </xf>
    <xf numFmtId="184" fontId="13" fillId="3" borderId="1" xfId="4" applyNumberFormat="1" applyFont="1" applyFill="1" applyBorder="1" applyAlignment="1">
      <alignment horizontal="center"/>
    </xf>
    <xf numFmtId="184" fontId="18" fillId="3" borderId="4" xfId="4" applyNumberFormat="1" applyFont="1" applyFill="1" applyBorder="1" applyAlignment="1">
      <alignment horizontal="center"/>
    </xf>
    <xf numFmtId="184" fontId="13" fillId="3" borderId="2" xfId="4" applyNumberFormat="1" applyFont="1" applyFill="1" applyBorder="1" applyAlignment="1">
      <alignment horizontal="center"/>
    </xf>
    <xf numFmtId="184" fontId="15" fillId="5" borderId="0" xfId="4" applyNumberFormat="1" applyFont="1" applyFill="1" applyAlignment="1">
      <alignment horizontal="center"/>
    </xf>
    <xf numFmtId="10" fontId="15" fillId="7" borderId="2" xfId="2" applyNumberFormat="1" applyFont="1" applyFill="1" applyBorder="1" applyAlignment="1">
      <alignment horizontal="center"/>
    </xf>
    <xf numFmtId="10" fontId="15" fillId="2" borderId="5" xfId="0" applyNumberFormat="1" applyFont="1" applyFill="1" applyBorder="1" applyAlignment="1">
      <alignment horizontal="center"/>
    </xf>
    <xf numFmtId="182" fontId="15" fillId="5" borderId="2" xfId="1" applyNumberFormat="1" applyFont="1" applyFill="1" applyBorder="1" applyAlignment="1" applyProtection="1">
      <alignment horizontal="center"/>
    </xf>
    <xf numFmtId="9" fontId="2" fillId="0" borderId="2" xfId="0" applyNumberFormat="1" applyFont="1" applyFill="1" applyBorder="1" applyAlignment="1">
      <alignment horizontal="center" vertical="center" wrapText="1"/>
    </xf>
    <xf numFmtId="0" fontId="15" fillId="5" borderId="2" xfId="0" applyFont="1" applyFill="1" applyBorder="1" applyAlignment="1" applyProtection="1">
      <alignment horizontal="left"/>
    </xf>
    <xf numFmtId="195" fontId="13" fillId="7" borderId="2" xfId="0" applyNumberFormat="1" applyFont="1" applyFill="1" applyBorder="1" applyAlignment="1">
      <alignment horizontal="center"/>
    </xf>
    <xf numFmtId="179" fontId="15" fillId="0" borderId="2" xfId="1" applyNumberFormat="1" applyFont="1" applyFill="1" applyBorder="1" applyAlignment="1">
      <alignment horizontal="center"/>
    </xf>
    <xf numFmtId="0" fontId="7" fillId="5" borderId="0" xfId="0" applyFont="1" applyFill="1" applyAlignment="1">
      <alignment horizontal="left"/>
    </xf>
    <xf numFmtId="177" fontId="13" fillId="3" borderId="1" xfId="0" applyNumberFormat="1" applyFont="1" applyFill="1" applyBorder="1" applyAlignment="1" applyProtection="1">
      <alignment horizontal="center" vertical="center" wrapText="1"/>
      <protection locked="0"/>
    </xf>
    <xf numFmtId="0" fontId="7" fillId="0" borderId="2" xfId="0" applyFont="1" applyBorder="1" applyAlignment="1">
      <alignment horizontal="center" vertical="center"/>
    </xf>
    <xf numFmtId="0" fontId="7" fillId="0" borderId="1" xfId="0" applyFont="1" applyBorder="1" applyAlignment="1">
      <alignment vertical="center"/>
    </xf>
    <xf numFmtId="177" fontId="2" fillId="0" borderId="2" xfId="0" applyNumberFormat="1" applyFont="1" applyFill="1" applyBorder="1" applyAlignment="1">
      <alignment horizontal="left" vertical="center" wrapText="1"/>
    </xf>
    <xf numFmtId="184" fontId="15" fillId="7" borderId="0" xfId="4" applyNumberFormat="1" applyFont="1" applyFill="1" applyAlignment="1">
      <alignment horizontal="center"/>
    </xf>
    <xf numFmtId="177" fontId="7" fillId="0" borderId="0" xfId="0" applyNumberFormat="1" applyFont="1"/>
    <xf numFmtId="0" fontId="15" fillId="2" borderId="2" xfId="0" applyFont="1" applyFill="1" applyBorder="1" applyAlignment="1">
      <alignment horizontal="center"/>
    </xf>
    <xf numFmtId="0" fontId="15" fillId="4" borderId="4" xfId="0" applyFont="1" applyFill="1" applyBorder="1" applyAlignment="1">
      <alignment horizontal="center" vertical="center"/>
    </xf>
    <xf numFmtId="0" fontId="7" fillId="3" borderId="2" xfId="0" applyFont="1" applyFill="1" applyBorder="1" applyAlignment="1">
      <alignment horizontal="center" vertical="center" wrapText="1"/>
    </xf>
    <xf numFmtId="0" fontId="0" fillId="0" borderId="0" xfId="0" applyFill="1"/>
    <xf numFmtId="177" fontId="7" fillId="0" borderId="2" xfId="0" applyNumberFormat="1" applyFont="1" applyFill="1" applyBorder="1" applyAlignment="1">
      <alignment horizontal="center" vertical="center"/>
    </xf>
    <xf numFmtId="0" fontId="7" fillId="0" borderId="39" xfId="0" applyFont="1" applyBorder="1" applyAlignment="1">
      <alignment horizontal="center" vertical="top" wrapText="1"/>
    </xf>
    <xf numFmtId="0" fontId="7" fillId="0" borderId="39" xfId="0" applyFont="1" applyBorder="1" applyAlignment="1">
      <alignment horizontal="justify" vertical="top" wrapText="1"/>
    </xf>
    <xf numFmtId="180" fontId="7" fillId="0" borderId="39" xfId="0" applyNumberFormat="1" applyFont="1" applyBorder="1" applyAlignment="1">
      <alignment horizontal="center" vertical="top" wrapText="1"/>
    </xf>
    <xf numFmtId="0" fontId="58" fillId="0" borderId="2" xfId="0" applyFont="1" applyFill="1" applyBorder="1" applyAlignment="1">
      <alignment horizontal="center" vertical="center" wrapText="1"/>
    </xf>
    <xf numFmtId="3" fontId="58" fillId="0" borderId="2" xfId="0" applyNumberFormat="1" applyFont="1" applyFill="1" applyBorder="1" applyAlignment="1">
      <alignment horizontal="center" vertical="center" wrapText="1"/>
    </xf>
    <xf numFmtId="0" fontId="59" fillId="0" borderId="2" xfId="0" applyFont="1" applyFill="1" applyBorder="1" applyAlignment="1">
      <alignment horizontal="center" vertical="center" wrapText="1"/>
    </xf>
    <xf numFmtId="180" fontId="7" fillId="0" borderId="2" xfId="0" applyNumberFormat="1" applyFont="1" applyBorder="1" applyAlignment="1">
      <alignment horizontal="center" vertical="center"/>
    </xf>
    <xf numFmtId="180" fontId="7" fillId="0" borderId="0" xfId="0" applyNumberFormat="1" applyFont="1"/>
    <xf numFmtId="193" fontId="18" fillId="0" borderId="2" xfId="1" applyNumberFormat="1" applyFont="1" applyFill="1" applyBorder="1" applyAlignment="1" applyProtection="1">
      <alignment horizontal="center"/>
    </xf>
    <xf numFmtId="180" fontId="7" fillId="0" borderId="2" xfId="0" applyNumberFormat="1" applyFont="1" applyBorder="1" applyAlignment="1">
      <alignment horizontal="center"/>
    </xf>
    <xf numFmtId="180" fontId="13" fillId="6" borderId="21" xfId="0" applyNumberFormat="1" applyFont="1" applyFill="1" applyBorder="1" applyAlignment="1">
      <alignment horizontal="center"/>
    </xf>
    <xf numFmtId="180" fontId="13" fillId="6" borderId="2" xfId="0" applyNumberFormat="1" applyFont="1" applyFill="1" applyBorder="1"/>
    <xf numFmtId="180" fontId="7" fillId="6" borderId="2" xfId="0" applyNumberFormat="1" applyFont="1" applyFill="1" applyBorder="1" applyAlignment="1">
      <alignment horizontal="center" vertical="center" wrapText="1"/>
    </xf>
    <xf numFmtId="180" fontId="7" fillId="6" borderId="2" xfId="4" applyNumberFormat="1" applyFont="1" applyFill="1" applyBorder="1" applyAlignment="1">
      <alignment horizontal="center"/>
    </xf>
    <xf numFmtId="180" fontId="7" fillId="0" borderId="0" xfId="0" applyNumberFormat="1" applyFont="1" applyFill="1" applyBorder="1"/>
    <xf numFmtId="180" fontId="7" fillId="0" borderId="0" xfId="0" applyNumberFormat="1" applyFont="1" applyFill="1"/>
    <xf numFmtId="180" fontId="7" fillId="0" borderId="21" xfId="0" applyNumberFormat="1" applyFont="1" applyFill="1" applyBorder="1"/>
    <xf numFmtId="180" fontId="7" fillId="0" borderId="2" xfId="0" applyNumberFormat="1" applyFont="1" applyFill="1" applyBorder="1"/>
    <xf numFmtId="180" fontId="7" fillId="7" borderId="2" xfId="0" applyNumberFormat="1" applyFont="1" applyFill="1" applyBorder="1" applyAlignment="1">
      <alignment horizontal="center" vertical="center" wrapText="1"/>
    </xf>
    <xf numFmtId="180" fontId="7" fillId="7" borderId="2" xfId="0" applyNumberFormat="1" applyFont="1" applyFill="1" applyBorder="1" applyAlignment="1">
      <alignment horizontal="center"/>
    </xf>
    <xf numFmtId="180" fontId="7" fillId="7" borderId="2" xfId="0" applyNumberFormat="1" applyFont="1" applyFill="1" applyBorder="1"/>
    <xf numFmtId="180" fontId="13" fillId="0" borderId="21" xfId="0" applyNumberFormat="1" applyFont="1" applyFill="1" applyBorder="1" applyAlignment="1">
      <alignment horizontal="center"/>
    </xf>
    <xf numFmtId="180" fontId="13" fillId="0" borderId="2" xfId="0" applyNumberFormat="1" applyFont="1" applyFill="1" applyBorder="1"/>
    <xf numFmtId="180" fontId="13" fillId="0" borderId="32" xfId="0" applyNumberFormat="1" applyFont="1" applyFill="1" applyBorder="1" applyAlignment="1">
      <alignment horizontal="center"/>
    </xf>
    <xf numFmtId="180" fontId="13" fillId="0" borderId="33" xfId="0" applyNumberFormat="1" applyFont="1" applyFill="1" applyBorder="1"/>
    <xf numFmtId="180" fontId="7" fillId="0" borderId="33" xfId="0" applyNumberFormat="1" applyFont="1" applyFill="1" applyBorder="1" applyAlignment="1">
      <alignment horizontal="center"/>
    </xf>
    <xf numFmtId="180" fontId="7" fillId="0" borderId="33" xfId="0" applyNumberFormat="1" applyFont="1" applyBorder="1" applyAlignment="1">
      <alignment horizontal="center"/>
    </xf>
    <xf numFmtId="180" fontId="7" fillId="0" borderId="2" xfId="4" applyNumberFormat="1" applyFont="1" applyFill="1" applyBorder="1" applyAlignment="1">
      <alignment horizontal="center"/>
    </xf>
    <xf numFmtId="0" fontId="7" fillId="0" borderId="2" xfId="0" applyFont="1" applyFill="1" applyBorder="1" applyAlignment="1">
      <alignment horizontal="right"/>
    </xf>
    <xf numFmtId="180" fontId="13" fillId="0" borderId="2" xfId="4" applyNumberFormat="1" applyFont="1" applyFill="1" applyBorder="1" applyAlignment="1">
      <alignment horizontal="center"/>
    </xf>
    <xf numFmtId="177" fontId="7" fillId="0" borderId="2" xfId="0" applyNumberFormat="1" applyFont="1" applyBorder="1"/>
    <xf numFmtId="0" fontId="58" fillId="3" borderId="2" xfId="0" applyFont="1" applyFill="1" applyBorder="1" applyAlignment="1">
      <alignment horizontal="center" vertical="center" wrapText="1"/>
    </xf>
    <xf numFmtId="3" fontId="58" fillId="3" borderId="2" xfId="0" applyNumberFormat="1" applyFont="1" applyFill="1" applyBorder="1" applyAlignment="1">
      <alignment horizontal="center" vertical="center" wrapText="1"/>
    </xf>
    <xf numFmtId="0" fontId="58" fillId="3" borderId="2" xfId="0" applyFont="1" applyFill="1" applyBorder="1" applyAlignment="1">
      <alignment horizontal="center" vertical="center"/>
    </xf>
    <xf numFmtId="0" fontId="58" fillId="2" borderId="2"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39" xfId="0" applyFont="1" applyBorder="1"/>
    <xf numFmtId="10" fontId="7" fillId="0" borderId="2" xfId="0" applyNumberFormat="1" applyFont="1" applyBorder="1" applyAlignment="1">
      <alignment horizontal="center" vertical="center"/>
    </xf>
    <xf numFmtId="0" fontId="9" fillId="5" borderId="0" xfId="0" applyFont="1" applyFill="1"/>
    <xf numFmtId="0" fontId="9" fillId="5" borderId="0" xfId="0" applyFont="1" applyFill="1" applyAlignment="1">
      <alignment horizontal="right"/>
    </xf>
    <xf numFmtId="0" fontId="9" fillId="0" borderId="0" xfId="0" applyFont="1"/>
    <xf numFmtId="0" fontId="9" fillId="5" borderId="0" xfId="0" applyFont="1" applyFill="1" applyBorder="1"/>
    <xf numFmtId="0" fontId="9" fillId="5" borderId="0" xfId="0" applyFont="1" applyFill="1" applyBorder="1" applyAlignment="1">
      <alignment horizontal="right"/>
    </xf>
    <xf numFmtId="0" fontId="9" fillId="5" borderId="40" xfId="2" applyFont="1" applyFill="1" applyBorder="1" applyAlignment="1">
      <alignment horizontal="left"/>
    </xf>
    <xf numFmtId="0" fontId="9" fillId="5" borderId="40" xfId="0" applyFont="1" applyFill="1" applyBorder="1" applyAlignment="1">
      <alignment horizontal="center"/>
    </xf>
    <xf numFmtId="179" fontId="9" fillId="5" borderId="40" xfId="2" applyNumberFormat="1" applyFont="1" applyFill="1" applyBorder="1" applyAlignment="1">
      <alignment horizontal="left" wrapText="1"/>
    </xf>
    <xf numFmtId="0" fontId="9" fillId="5" borderId="7" xfId="0" applyFont="1" applyFill="1" applyBorder="1" applyAlignment="1">
      <alignment horizontal="right"/>
    </xf>
    <xf numFmtId="0" fontId="9" fillId="5" borderId="7" xfId="0" applyFont="1" applyFill="1" applyBorder="1"/>
    <xf numFmtId="0" fontId="9" fillId="5" borderId="0" xfId="0" applyFont="1" applyFill="1" applyBorder="1" applyAlignment="1">
      <alignment horizontal="center" vertical="center"/>
    </xf>
    <xf numFmtId="177" fontId="9" fillId="5" borderId="0" xfId="0" applyNumberFormat="1" applyFont="1" applyFill="1" applyBorder="1" applyAlignment="1">
      <alignment horizontal="center" vertical="center"/>
    </xf>
    <xf numFmtId="0" fontId="9" fillId="0" borderId="0" xfId="0" applyFont="1" applyAlignment="1">
      <alignment horizontal="right"/>
    </xf>
    <xf numFmtId="177" fontId="9" fillId="5" borderId="14" xfId="0" applyNumberFormat="1" applyFont="1" applyFill="1" applyBorder="1" applyAlignment="1">
      <alignment horizontal="center" vertical="center" wrapText="1"/>
    </xf>
    <xf numFmtId="0" fontId="9" fillId="5" borderId="14" xfId="0" applyFont="1" applyFill="1" applyBorder="1" applyAlignment="1">
      <alignment horizontal="right"/>
    </xf>
    <xf numFmtId="0" fontId="9" fillId="5" borderId="14" xfId="0" applyFont="1" applyFill="1" applyBorder="1" applyAlignment="1">
      <alignment horizontal="center" vertical="center"/>
    </xf>
    <xf numFmtId="0" fontId="9" fillId="5" borderId="14" xfId="0" applyFont="1" applyFill="1" applyBorder="1"/>
    <xf numFmtId="0" fontId="6" fillId="5" borderId="0" xfId="2" applyFont="1" applyFill="1" applyBorder="1" applyAlignment="1">
      <alignment horizontal="left"/>
    </xf>
    <xf numFmtId="180" fontId="9" fillId="5" borderId="7" xfId="0" applyNumberFormat="1" applyFont="1" applyFill="1" applyBorder="1" applyAlignment="1">
      <alignment horizontal="center" vertical="center" wrapText="1"/>
    </xf>
    <xf numFmtId="0" fontId="9" fillId="5" borderId="7" xfId="0" applyFont="1" applyFill="1" applyBorder="1" applyAlignment="1">
      <alignment horizontal="left"/>
    </xf>
    <xf numFmtId="0" fontId="9" fillId="5" borderId="14" xfId="0" applyFont="1" applyFill="1" applyBorder="1" applyAlignment="1">
      <alignment horizontal="left"/>
    </xf>
    <xf numFmtId="0" fontId="9" fillId="5" borderId="17" xfId="0" applyFont="1" applyFill="1" applyBorder="1" applyAlignment="1">
      <alignment horizontal="left"/>
    </xf>
    <xf numFmtId="0" fontId="9" fillId="5" borderId="17" xfId="0" applyFont="1" applyFill="1" applyBorder="1"/>
    <xf numFmtId="180" fontId="9" fillId="5" borderId="14" xfId="0" applyNumberFormat="1" applyFont="1" applyFill="1" applyBorder="1" applyAlignment="1">
      <alignment horizontal="center" vertical="center" wrapText="1"/>
    </xf>
    <xf numFmtId="180" fontId="9" fillId="5" borderId="14" xfId="0" applyNumberFormat="1" applyFont="1" applyFill="1" applyBorder="1" applyAlignment="1" applyProtection="1">
      <alignment horizontal="center" vertical="center" wrapText="1"/>
      <protection locked="0"/>
    </xf>
    <xf numFmtId="177" fontId="9" fillId="5" borderId="14" xfId="0" applyNumberFormat="1" applyFont="1" applyFill="1" applyBorder="1" applyAlignment="1">
      <alignment horizontal="left" vertical="center" wrapText="1"/>
    </xf>
    <xf numFmtId="0" fontId="9" fillId="5" borderId="41" xfId="2" applyFont="1" applyFill="1" applyBorder="1" applyAlignment="1">
      <alignment horizontal="left"/>
    </xf>
    <xf numFmtId="0" fontId="9" fillId="5" borderId="41" xfId="0" applyFont="1" applyFill="1" applyBorder="1" applyAlignment="1">
      <alignment horizontal="center"/>
    </xf>
    <xf numFmtId="0" fontId="9" fillId="5" borderId="42" xfId="2" applyFont="1" applyFill="1" applyBorder="1" applyAlignment="1">
      <alignment horizontal="left"/>
    </xf>
    <xf numFmtId="0" fontId="9" fillId="5" borderId="42" xfId="0" applyFont="1" applyFill="1" applyBorder="1" applyAlignment="1">
      <alignment horizontal="center"/>
    </xf>
    <xf numFmtId="0" fontId="9" fillId="5" borderId="42" xfId="2" applyFont="1" applyFill="1" applyBorder="1" applyAlignment="1">
      <alignment horizontal="left" wrapText="1"/>
    </xf>
    <xf numFmtId="0" fontId="6" fillId="5" borderId="23" xfId="2" applyFont="1" applyFill="1" applyBorder="1" applyAlignment="1">
      <alignment horizontal="center"/>
    </xf>
    <xf numFmtId="0" fontId="9" fillId="5" borderId="17" xfId="0" applyFont="1" applyFill="1" applyBorder="1" applyAlignment="1">
      <alignment horizontal="right"/>
    </xf>
    <xf numFmtId="0" fontId="6" fillId="5" borderId="0" xfId="0" applyFont="1" applyFill="1" applyBorder="1"/>
    <xf numFmtId="0" fontId="9" fillId="5" borderId="43" xfId="0" applyFont="1" applyFill="1" applyBorder="1"/>
    <xf numFmtId="0" fontId="9" fillId="5" borderId="44" xfId="0" applyFont="1" applyFill="1" applyBorder="1"/>
    <xf numFmtId="0" fontId="9" fillId="5" borderId="44" xfId="0" applyFont="1" applyFill="1" applyBorder="1" applyAlignment="1">
      <alignment horizontal="right"/>
    </xf>
    <xf numFmtId="0" fontId="9" fillId="5" borderId="45" xfId="0" applyFont="1" applyFill="1" applyBorder="1"/>
    <xf numFmtId="0" fontId="9" fillId="5" borderId="46" xfId="0" applyFont="1" applyFill="1" applyBorder="1"/>
    <xf numFmtId="0" fontId="9" fillId="5" borderId="47" xfId="0" applyFont="1" applyFill="1" applyBorder="1"/>
    <xf numFmtId="0" fontId="9" fillId="0" borderId="0" xfId="0" applyFont="1" applyBorder="1"/>
    <xf numFmtId="0" fontId="9" fillId="5" borderId="48" xfId="0" applyFont="1" applyFill="1" applyBorder="1"/>
    <xf numFmtId="0" fontId="9" fillId="5" borderId="49" xfId="0" applyFont="1" applyFill="1" applyBorder="1"/>
    <xf numFmtId="0" fontId="9" fillId="5" borderId="49" xfId="0" applyFont="1" applyFill="1" applyBorder="1" applyAlignment="1">
      <alignment horizontal="right"/>
    </xf>
    <xf numFmtId="0" fontId="9" fillId="5" borderId="50" xfId="0" applyFont="1" applyFill="1" applyBorder="1"/>
    <xf numFmtId="0" fontId="9" fillId="5" borderId="51" xfId="0" applyFont="1" applyFill="1" applyBorder="1" applyAlignment="1">
      <alignment horizontal="left"/>
    </xf>
    <xf numFmtId="178" fontId="9" fillId="5" borderId="41" xfId="0" applyNumberFormat="1" applyFont="1" applyFill="1" applyBorder="1" applyAlignment="1">
      <alignment horizontal="left"/>
    </xf>
    <xf numFmtId="0" fontId="6" fillId="5" borderId="23" xfId="2" applyFont="1" applyFill="1" applyBorder="1" applyAlignment="1">
      <alignment horizontal="left"/>
    </xf>
    <xf numFmtId="0" fontId="9" fillId="5" borderId="0" xfId="0" applyFont="1" applyFill="1" applyAlignment="1">
      <alignment horizontal="left"/>
    </xf>
    <xf numFmtId="0" fontId="9" fillId="5" borderId="44" xfId="0" applyFont="1" applyFill="1" applyBorder="1" applyAlignment="1">
      <alignment horizontal="left"/>
    </xf>
    <xf numFmtId="0" fontId="9" fillId="5" borderId="0" xfId="0" applyFont="1" applyFill="1" applyBorder="1" applyAlignment="1">
      <alignment horizontal="left"/>
    </xf>
    <xf numFmtId="180" fontId="9" fillId="5" borderId="14" xfId="0" applyNumberFormat="1" applyFont="1" applyFill="1" applyBorder="1" applyAlignment="1">
      <alignment horizontal="left"/>
    </xf>
    <xf numFmtId="178" fontId="9" fillId="5" borderId="7" xfId="0" applyNumberFormat="1" applyFont="1" applyFill="1" applyBorder="1" applyAlignment="1">
      <alignment horizontal="left"/>
    </xf>
    <xf numFmtId="180" fontId="9" fillId="5" borderId="7" xfId="0" applyNumberFormat="1" applyFont="1" applyFill="1" applyBorder="1" applyAlignment="1">
      <alignment horizontal="left"/>
    </xf>
    <xf numFmtId="180" fontId="9" fillId="5" borderId="17" xfId="0" applyNumberFormat="1" applyFont="1" applyFill="1" applyBorder="1" applyAlignment="1">
      <alignment horizontal="left"/>
    </xf>
    <xf numFmtId="10" fontId="9" fillId="5" borderId="41" xfId="0" applyNumberFormat="1" applyFont="1" applyFill="1" applyBorder="1" applyAlignment="1">
      <alignment horizontal="left"/>
    </xf>
    <xf numFmtId="10" fontId="9" fillId="5" borderId="40" xfId="0" applyNumberFormat="1" applyFont="1" applyFill="1" applyBorder="1" applyAlignment="1">
      <alignment horizontal="left"/>
    </xf>
    <xf numFmtId="10" fontId="9" fillId="5" borderId="42" xfId="0" applyNumberFormat="1" applyFont="1" applyFill="1" applyBorder="1" applyAlignment="1">
      <alignment horizontal="left"/>
    </xf>
    <xf numFmtId="0" fontId="9" fillId="5" borderId="14" xfId="0" applyFont="1" applyFill="1" applyBorder="1" applyAlignment="1">
      <alignment horizontal="left" vertical="center"/>
    </xf>
    <xf numFmtId="9" fontId="9" fillId="5" borderId="0" xfId="0" applyNumberFormat="1" applyFont="1" applyFill="1" applyBorder="1" applyAlignment="1">
      <alignment horizontal="left" vertical="center"/>
    </xf>
    <xf numFmtId="0" fontId="9" fillId="0" borderId="0" xfId="0" applyFont="1" applyAlignment="1">
      <alignment horizontal="left"/>
    </xf>
    <xf numFmtId="180" fontId="9" fillId="5" borderId="7" xfId="0" applyNumberFormat="1" applyFont="1" applyFill="1" applyBorder="1" applyAlignment="1">
      <alignment horizontal="left" vertical="center" wrapText="1"/>
    </xf>
    <xf numFmtId="0" fontId="9" fillId="5" borderId="49" xfId="0" applyFont="1" applyFill="1" applyBorder="1" applyAlignment="1">
      <alignment horizontal="left"/>
    </xf>
    <xf numFmtId="0" fontId="9" fillId="5" borderId="8" xfId="0" applyFont="1" applyFill="1" applyBorder="1" applyAlignment="1">
      <alignment horizontal="left"/>
    </xf>
    <xf numFmtId="10" fontId="9" fillId="5" borderId="0" xfId="0" applyNumberFormat="1" applyFont="1" applyFill="1" applyBorder="1" applyAlignment="1">
      <alignment horizontal="left"/>
    </xf>
    <xf numFmtId="180" fontId="9" fillId="5" borderId="8" xfId="0" applyNumberFormat="1" applyFont="1" applyFill="1" applyBorder="1" applyAlignment="1">
      <alignment horizontal="left"/>
    </xf>
    <xf numFmtId="180" fontId="9" fillId="5" borderId="14" xfId="0" applyNumberFormat="1" applyFont="1" applyFill="1" applyBorder="1" applyAlignment="1">
      <alignment horizontal="left" vertical="center" wrapText="1"/>
    </xf>
    <xf numFmtId="180" fontId="6" fillId="5" borderId="7" xfId="0" applyNumberFormat="1" applyFont="1" applyFill="1" applyBorder="1" applyAlignment="1">
      <alignment horizontal="left" vertical="center" wrapText="1"/>
    </xf>
    <xf numFmtId="180" fontId="6" fillId="5" borderId="7" xfId="0" applyNumberFormat="1" applyFont="1" applyFill="1" applyBorder="1" applyAlignment="1">
      <alignment horizontal="center" vertical="center" wrapText="1"/>
    </xf>
    <xf numFmtId="180" fontId="6" fillId="5" borderId="17" xfId="0" applyNumberFormat="1" applyFont="1" applyFill="1" applyBorder="1" applyAlignment="1">
      <alignment horizontal="left" vertical="center" wrapText="1"/>
    </xf>
    <xf numFmtId="180" fontId="6" fillId="5" borderId="17" xfId="0" applyNumberFormat="1" applyFont="1" applyFill="1" applyBorder="1" applyAlignment="1">
      <alignment horizontal="center" vertical="center" wrapText="1"/>
    </xf>
    <xf numFmtId="180" fontId="9" fillId="5" borderId="8" xfId="0" applyNumberFormat="1" applyFont="1" applyFill="1" applyBorder="1" applyAlignment="1">
      <alignment horizontal="center" vertical="center" wrapText="1"/>
    </xf>
    <xf numFmtId="0" fontId="57" fillId="5" borderId="0" xfId="0" applyFont="1" applyFill="1"/>
    <xf numFmtId="0" fontId="9" fillId="11" borderId="0" xfId="0" applyFont="1" applyFill="1"/>
    <xf numFmtId="0" fontId="9" fillId="11" borderId="0" xfId="0" applyFont="1" applyFill="1" applyAlignment="1">
      <alignment horizontal="right"/>
    </xf>
    <xf numFmtId="0" fontId="9" fillId="11" borderId="0" xfId="0" applyFont="1" applyFill="1" applyAlignment="1">
      <alignment horizontal="left"/>
    </xf>
    <xf numFmtId="0" fontId="62" fillId="11" borderId="0" xfId="0" applyFont="1" applyFill="1"/>
    <xf numFmtId="180" fontId="9" fillId="5" borderId="26" xfId="0" applyNumberFormat="1" applyFont="1" applyFill="1" applyBorder="1" applyAlignment="1">
      <alignment horizontal="left"/>
    </xf>
    <xf numFmtId="180" fontId="6" fillId="3" borderId="10" xfId="0" applyNumberFormat="1" applyFont="1" applyFill="1" applyBorder="1" applyAlignment="1">
      <alignment horizontal="center" vertical="center" wrapText="1"/>
    </xf>
    <xf numFmtId="180" fontId="6" fillId="3" borderId="52" xfId="0" applyNumberFormat="1" applyFont="1" applyFill="1" applyBorder="1" applyAlignment="1">
      <alignment horizontal="center" vertical="center" wrapText="1"/>
    </xf>
    <xf numFmtId="0" fontId="9" fillId="5" borderId="7" xfId="0" quotePrefix="1" applyFont="1" applyFill="1" applyBorder="1" applyAlignment="1">
      <alignment horizontal="left"/>
    </xf>
    <xf numFmtId="0" fontId="9" fillId="5" borderId="0" xfId="0" applyFont="1" applyFill="1" applyBorder="1" applyAlignment="1" applyProtection="1">
      <alignment horizontal="center"/>
    </xf>
    <xf numFmtId="0" fontId="63" fillId="3" borderId="14" xfId="0" applyFont="1" applyFill="1" applyBorder="1" applyProtection="1"/>
    <xf numFmtId="188" fontId="61" fillId="3" borderId="14" xfId="1" applyNumberFormat="1" applyFont="1" applyFill="1" applyBorder="1" applyAlignment="1" applyProtection="1">
      <alignment horizontal="center"/>
    </xf>
    <xf numFmtId="0" fontId="9" fillId="3" borderId="14" xfId="0" applyFont="1" applyFill="1" applyBorder="1" applyAlignment="1" applyProtection="1">
      <alignment horizontal="left"/>
    </xf>
    <xf numFmtId="0" fontId="9" fillId="5" borderId="7" xfId="0" applyFont="1" applyFill="1" applyBorder="1" applyAlignment="1" applyProtection="1">
      <alignment horizontal="left"/>
    </xf>
    <xf numFmtId="0" fontId="9" fillId="5" borderId="7" xfId="0" quotePrefix="1" applyFont="1" applyFill="1" applyBorder="1" applyAlignment="1" applyProtection="1">
      <alignment horizontal="left"/>
    </xf>
    <xf numFmtId="0" fontId="9" fillId="5" borderId="17" xfId="0" applyFont="1" applyFill="1" applyBorder="1" applyAlignment="1" applyProtection="1">
      <alignment horizontal="left"/>
    </xf>
    <xf numFmtId="0" fontId="9" fillId="5" borderId="8" xfId="0" applyFont="1" applyFill="1" applyBorder="1" applyAlignment="1" applyProtection="1">
      <alignment horizontal="left"/>
    </xf>
    <xf numFmtId="188" fontId="61" fillId="5" borderId="7" xfId="1" applyNumberFormat="1" applyFont="1" applyFill="1" applyBorder="1" applyAlignment="1" applyProtection="1">
      <alignment horizontal="right"/>
    </xf>
    <xf numFmtId="188" fontId="61" fillId="3" borderId="14" xfId="1" applyNumberFormat="1" applyFont="1" applyFill="1" applyBorder="1" applyAlignment="1" applyProtection="1">
      <alignment horizontal="right"/>
    </xf>
    <xf numFmtId="184" fontId="61" fillId="5" borderId="7" xfId="1" applyNumberFormat="1" applyFont="1" applyFill="1" applyBorder="1" applyAlignment="1" applyProtection="1">
      <alignment horizontal="right"/>
    </xf>
    <xf numFmtId="180" fontId="61" fillId="5" borderId="7" xfId="1" applyNumberFormat="1" applyFont="1" applyFill="1" applyBorder="1" applyAlignment="1" applyProtection="1">
      <alignment horizontal="right"/>
    </xf>
    <xf numFmtId="188" fontId="61" fillId="5" borderId="8" xfId="1" applyNumberFormat="1" applyFont="1" applyFill="1" applyBorder="1" applyAlignment="1" applyProtection="1">
      <alignment horizontal="right"/>
    </xf>
    <xf numFmtId="0" fontId="9" fillId="5" borderId="7" xfId="0" applyFont="1" applyFill="1" applyBorder="1" applyProtection="1"/>
    <xf numFmtId="0" fontId="9" fillId="5" borderId="8" xfId="0" applyFont="1" applyFill="1" applyBorder="1" applyProtection="1"/>
    <xf numFmtId="0" fontId="9" fillId="5" borderId="26" xfId="0" applyFont="1" applyFill="1" applyBorder="1"/>
    <xf numFmtId="0" fontId="9" fillId="5" borderId="26" xfId="0" applyFont="1" applyFill="1" applyBorder="1" applyAlignment="1">
      <alignment horizontal="right"/>
    </xf>
    <xf numFmtId="177" fontId="6" fillId="5" borderId="0" xfId="0" applyNumberFormat="1" applyFont="1" applyFill="1" applyBorder="1" applyAlignment="1">
      <alignment horizontal="left" vertical="center"/>
    </xf>
    <xf numFmtId="177" fontId="9" fillId="5" borderId="7" xfId="0" applyNumberFormat="1" applyFont="1" applyFill="1" applyBorder="1" applyAlignment="1">
      <alignment horizontal="left" vertical="center" wrapText="1"/>
    </xf>
    <xf numFmtId="177" fontId="9" fillId="5" borderId="7" xfId="0" applyNumberFormat="1" applyFont="1" applyFill="1" applyBorder="1" applyAlignment="1">
      <alignment horizontal="center" vertical="center" wrapText="1"/>
    </xf>
    <xf numFmtId="177" fontId="9" fillId="5" borderId="7" xfId="0" applyNumberFormat="1" applyFont="1" applyFill="1" applyBorder="1" applyAlignment="1">
      <alignment horizontal="left" vertical="center"/>
    </xf>
    <xf numFmtId="10" fontId="9" fillId="5" borderId="7" xfId="0" applyNumberFormat="1" applyFont="1" applyFill="1" applyBorder="1" applyAlignment="1">
      <alignment horizontal="center" vertical="center"/>
    </xf>
    <xf numFmtId="177" fontId="9" fillId="5" borderId="7" xfId="0" applyNumberFormat="1" applyFont="1" applyFill="1" applyBorder="1" applyAlignment="1">
      <alignment horizontal="center" vertical="center"/>
    </xf>
    <xf numFmtId="9" fontId="9" fillId="5" borderId="7" xfId="0" applyNumberFormat="1" applyFont="1" applyFill="1" applyBorder="1" applyAlignment="1">
      <alignment horizontal="center" vertical="center"/>
    </xf>
    <xf numFmtId="177" fontId="6" fillId="5" borderId="17" xfId="0" applyNumberFormat="1" applyFont="1" applyFill="1" applyBorder="1" applyAlignment="1">
      <alignment horizontal="left" vertical="center"/>
    </xf>
    <xf numFmtId="177" fontId="6" fillId="5" borderId="17" xfId="0" applyNumberFormat="1" applyFont="1" applyFill="1" applyBorder="1" applyAlignment="1">
      <alignment horizontal="center" vertical="center"/>
    </xf>
    <xf numFmtId="9" fontId="6" fillId="5" borderId="17" xfId="0" applyNumberFormat="1" applyFont="1" applyFill="1" applyBorder="1" applyAlignment="1">
      <alignment horizontal="center" vertical="center"/>
    </xf>
    <xf numFmtId="180" fontId="9" fillId="5" borderId="0" xfId="0" applyNumberFormat="1" applyFont="1" applyFill="1" applyBorder="1" applyAlignment="1">
      <alignment horizontal="right"/>
    </xf>
    <xf numFmtId="183" fontId="9" fillId="5" borderId="14" xfId="0" applyNumberFormat="1" applyFont="1" applyFill="1" applyBorder="1"/>
    <xf numFmtId="183" fontId="9" fillId="5" borderId="7" xfId="0" applyNumberFormat="1" applyFont="1" applyFill="1" applyBorder="1"/>
    <xf numFmtId="183" fontId="9" fillId="5" borderId="17" xfId="0" applyNumberFormat="1" applyFont="1" applyFill="1" applyBorder="1"/>
    <xf numFmtId="180" fontId="9" fillId="5" borderId="7" xfId="0" applyNumberFormat="1" applyFont="1" applyFill="1" applyBorder="1" applyAlignment="1">
      <alignment horizontal="center"/>
    </xf>
    <xf numFmtId="180" fontId="9" fillId="5" borderId="17" xfId="0" applyNumberFormat="1" applyFont="1" applyFill="1" applyBorder="1" applyAlignment="1">
      <alignment horizontal="center"/>
    </xf>
    <xf numFmtId="0" fontId="64" fillId="5" borderId="7" xfId="0" applyFont="1" applyFill="1" applyBorder="1"/>
    <xf numFmtId="0" fontId="9" fillId="3" borderId="14" xfId="0" applyFont="1" applyFill="1" applyBorder="1"/>
    <xf numFmtId="0" fontId="9" fillId="5" borderId="8" xfId="0" applyFont="1" applyFill="1" applyBorder="1"/>
    <xf numFmtId="180" fontId="61" fillId="5" borderId="17" xfId="1" applyNumberFormat="1" applyFont="1" applyFill="1" applyBorder="1" applyAlignment="1" applyProtection="1">
      <alignment horizontal="right"/>
    </xf>
    <xf numFmtId="180" fontId="65" fillId="7" borderId="53" xfId="0" applyNumberFormat="1" applyFont="1" applyFill="1" applyBorder="1" applyAlignment="1">
      <alignment horizontal="center"/>
    </xf>
    <xf numFmtId="0" fontId="66" fillId="5" borderId="14" xfId="0" applyFont="1" applyFill="1" applyBorder="1" applyAlignment="1">
      <alignment horizontal="left"/>
    </xf>
    <xf numFmtId="0" fontId="67" fillId="5" borderId="14" xfId="0" applyFont="1" applyFill="1" applyBorder="1" applyAlignment="1">
      <alignment horizontal="left"/>
    </xf>
    <xf numFmtId="0" fontId="7" fillId="5" borderId="4" xfId="0" applyFont="1" applyFill="1" applyBorder="1" applyAlignment="1" applyProtection="1">
      <alignment horizontal="center"/>
    </xf>
    <xf numFmtId="0" fontId="7" fillId="5" borderId="7" xfId="0" applyFont="1" applyFill="1" applyBorder="1" applyAlignment="1" applyProtection="1">
      <alignment horizontal="center"/>
    </xf>
    <xf numFmtId="0" fontId="7" fillId="5" borderId="1" xfId="0" applyFont="1" applyFill="1" applyBorder="1" applyAlignment="1" applyProtection="1">
      <alignment horizontal="center"/>
    </xf>
    <xf numFmtId="178" fontId="15" fillId="5" borderId="2" xfId="4" applyNumberFormat="1" applyFont="1" applyFill="1" applyBorder="1" applyAlignment="1">
      <alignment horizontal="center"/>
    </xf>
    <xf numFmtId="0" fontId="9" fillId="5" borderId="0" xfId="0" applyFont="1" applyFill="1" applyBorder="1" applyAlignment="1" applyProtection="1">
      <alignment horizontal="left"/>
    </xf>
    <xf numFmtId="180" fontId="61" fillId="5" borderId="0" xfId="1" applyNumberFormat="1" applyFont="1" applyFill="1" applyBorder="1" applyAlignment="1" applyProtection="1">
      <alignment horizontal="right"/>
    </xf>
    <xf numFmtId="188" fontId="9" fillId="5" borderId="0" xfId="0" applyNumberFormat="1" applyFont="1" applyFill="1" applyBorder="1"/>
    <xf numFmtId="0" fontId="7" fillId="5" borderId="26" xfId="0" applyFont="1" applyFill="1" applyBorder="1" applyAlignment="1">
      <alignment horizontal="right"/>
    </xf>
    <xf numFmtId="0" fontId="7" fillId="5" borderId="26" xfId="0" applyFont="1" applyFill="1" applyBorder="1" applyAlignment="1"/>
    <xf numFmtId="0" fontId="10" fillId="5" borderId="0" xfId="0" applyFont="1" applyFill="1" applyAlignment="1">
      <alignment horizontal="center"/>
    </xf>
    <xf numFmtId="10" fontId="15" fillId="5" borderId="2" xfId="0" applyNumberFormat="1" applyFont="1" applyFill="1" applyBorder="1" applyAlignment="1">
      <alignment horizontal="center"/>
    </xf>
    <xf numFmtId="179" fontId="15" fillId="5" borderId="1" xfId="4" applyNumberFormat="1" applyFont="1" applyFill="1" applyBorder="1" applyAlignment="1"/>
    <xf numFmtId="178" fontId="15" fillId="5" borderId="1" xfId="4" applyNumberFormat="1" applyFont="1" applyFill="1" applyBorder="1" applyAlignment="1"/>
    <xf numFmtId="10" fontId="15" fillId="5" borderId="2" xfId="1" applyNumberFormat="1" applyFont="1" applyFill="1" applyBorder="1" applyAlignment="1">
      <alignment horizontal="center"/>
    </xf>
    <xf numFmtId="178" fontId="7" fillId="5" borderId="1" xfId="4" applyNumberFormat="1" applyFont="1" applyFill="1" applyBorder="1" applyAlignment="1"/>
    <xf numFmtId="182" fontId="15" fillId="5" borderId="2" xfId="4" applyNumberFormat="1" applyFont="1" applyFill="1" applyBorder="1" applyAlignment="1">
      <alignment horizontal="center"/>
    </xf>
    <xf numFmtId="0" fontId="7" fillId="5" borderId="2" xfId="0" applyFont="1" applyFill="1" applyBorder="1" applyAlignment="1">
      <alignment horizontal="center" vertical="center" wrapText="1"/>
    </xf>
    <xf numFmtId="180" fontId="7" fillId="5" borderId="2" xfId="0" applyNumberFormat="1" applyFont="1" applyFill="1" applyBorder="1" applyAlignment="1">
      <alignment horizontal="center" vertical="center" wrapText="1"/>
    </xf>
    <xf numFmtId="0" fontId="7" fillId="5" borderId="2" xfId="0" applyNumberFormat="1" applyFont="1" applyFill="1" applyBorder="1" applyAlignment="1">
      <alignment horizontal="center" vertical="center" wrapText="1"/>
    </xf>
    <xf numFmtId="180" fontId="15" fillId="5" borderId="2" xfId="0" applyNumberFormat="1" applyFont="1" applyFill="1" applyBorder="1" applyAlignment="1">
      <alignment horizontal="center" vertical="center" wrapText="1"/>
    </xf>
    <xf numFmtId="9" fontId="15" fillId="5" borderId="2" xfId="0" applyNumberFormat="1" applyFont="1" applyFill="1" applyBorder="1" applyAlignment="1">
      <alignment horizontal="center" vertical="center" wrapText="1"/>
    </xf>
    <xf numFmtId="182" fontId="7" fillId="5" borderId="2" xfId="0" applyNumberFormat="1" applyFont="1" applyFill="1" applyBorder="1" applyAlignment="1">
      <alignment horizontal="center"/>
    </xf>
    <xf numFmtId="0" fontId="13" fillId="5" borderId="2" xfId="0" applyFont="1" applyFill="1" applyBorder="1" applyAlignment="1">
      <alignment horizontal="center" vertical="center" wrapText="1"/>
    </xf>
    <xf numFmtId="180" fontId="18" fillId="5" borderId="2" xfId="0" applyNumberFormat="1" applyFont="1" applyFill="1" applyBorder="1" applyAlignment="1">
      <alignment horizontal="center" vertical="center" wrapText="1"/>
    </xf>
    <xf numFmtId="0" fontId="7" fillId="5" borderId="1" xfId="0" applyFont="1" applyFill="1" applyBorder="1" applyAlignment="1">
      <alignment vertical="center"/>
    </xf>
    <xf numFmtId="0" fontId="7" fillId="5" borderId="1" xfId="0" applyFont="1" applyFill="1" applyBorder="1" applyAlignment="1">
      <alignment horizontal="center" vertical="center"/>
    </xf>
    <xf numFmtId="10" fontId="15" fillId="5" borderId="2" xfId="0" applyNumberFormat="1" applyFont="1" applyFill="1" applyBorder="1" applyAlignment="1">
      <alignment horizontal="center" vertical="center" wrapText="1"/>
    </xf>
    <xf numFmtId="0" fontId="7" fillId="5" borderId="2" xfId="0" applyNumberFormat="1" applyFont="1" applyFill="1" applyBorder="1" applyAlignment="1">
      <alignment horizontal="center"/>
    </xf>
    <xf numFmtId="0" fontId="7" fillId="5" borderId="2" xfId="0" applyNumberFormat="1" applyFont="1" applyFill="1" applyBorder="1" applyAlignment="1">
      <alignment horizontal="center" vertical="center" wrapText="1" shrinkToFit="1"/>
    </xf>
    <xf numFmtId="182" fontId="15" fillId="5" borderId="2" xfId="4" applyNumberFormat="1" applyFont="1" applyFill="1" applyBorder="1" applyAlignment="1">
      <alignment horizontal="center" vertical="center" wrapText="1"/>
    </xf>
    <xf numFmtId="182" fontId="15" fillId="5" borderId="2" xfId="0" applyNumberFormat="1" applyFont="1" applyFill="1" applyBorder="1" applyAlignment="1">
      <alignment horizontal="center" vertical="center" wrapText="1"/>
    </xf>
    <xf numFmtId="182" fontId="15" fillId="5" borderId="2" xfId="0" applyNumberFormat="1" applyFont="1" applyFill="1" applyBorder="1" applyAlignment="1">
      <alignment horizontal="center"/>
    </xf>
    <xf numFmtId="0" fontId="4" fillId="5" borderId="0" xfId="0" applyFont="1" applyFill="1" applyAlignment="1">
      <alignment horizontal="center"/>
    </xf>
    <xf numFmtId="182" fontId="40" fillId="5" borderId="2" xfId="0" applyNumberFormat="1" applyFont="1" applyFill="1" applyBorder="1" applyAlignment="1">
      <alignment horizontal="center"/>
    </xf>
    <xf numFmtId="0" fontId="7" fillId="5" borderId="0" xfId="0" applyNumberFormat="1" applyFont="1" applyFill="1" applyBorder="1" applyAlignment="1">
      <alignment horizontal="center" vertical="center" wrapText="1"/>
    </xf>
    <xf numFmtId="0" fontId="13" fillId="5" borderId="0" xfId="0" applyFont="1" applyFill="1" applyBorder="1" applyAlignment="1">
      <alignment horizontal="center" vertical="center" wrapText="1"/>
    </xf>
    <xf numFmtId="0" fontId="40" fillId="5" borderId="0" xfId="0" applyFont="1" applyFill="1" applyBorder="1" applyAlignment="1">
      <alignment horizontal="center"/>
    </xf>
    <xf numFmtId="188" fontId="6" fillId="7" borderId="53" xfId="0" applyNumberFormat="1" applyFont="1" applyFill="1" applyBorder="1"/>
    <xf numFmtId="0" fontId="7" fillId="5" borderId="0" xfId="0" applyFont="1" applyFill="1" applyBorder="1" applyAlignment="1" applyProtection="1">
      <alignment horizontal="left" vertical="center"/>
    </xf>
    <xf numFmtId="10" fontId="18" fillId="5" borderId="0" xfId="1" applyNumberFormat="1" applyFont="1" applyFill="1" applyBorder="1" applyAlignment="1" applyProtection="1">
      <alignment horizontal="center"/>
    </xf>
    <xf numFmtId="0" fontId="13" fillId="5" borderId="2" xfId="0" applyFont="1" applyFill="1" applyBorder="1" applyAlignment="1" applyProtection="1">
      <alignment horizontal="left"/>
    </xf>
    <xf numFmtId="179" fontId="7" fillId="4" borderId="2" xfId="4" applyNumberFormat="1" applyFont="1" applyFill="1" applyBorder="1" applyAlignment="1">
      <alignment horizontal="center"/>
    </xf>
    <xf numFmtId="188" fontId="15" fillId="4" borderId="2" xfId="4" applyNumberFormat="1" applyFont="1" applyFill="1" applyBorder="1" applyAlignment="1">
      <alignment horizontal="center"/>
    </xf>
    <xf numFmtId="179" fontId="7" fillId="6" borderId="2" xfId="4" quotePrefix="1" applyNumberFormat="1" applyFont="1" applyFill="1" applyBorder="1" applyAlignment="1">
      <alignment horizontal="center" vertical="center" wrapText="1"/>
    </xf>
    <xf numFmtId="0" fontId="18" fillId="5" borderId="2" xfId="0" applyFont="1" applyFill="1" applyBorder="1" applyAlignment="1" applyProtection="1">
      <alignment horizontal="left"/>
    </xf>
    <xf numFmtId="188" fontId="61" fillId="5" borderId="17" xfId="1" applyNumberFormat="1" applyFont="1" applyFill="1" applyBorder="1" applyAlignment="1" applyProtection="1">
      <alignment horizontal="right"/>
    </xf>
    <xf numFmtId="188" fontId="9" fillId="5" borderId="26" xfId="0" applyNumberFormat="1" applyFont="1" applyFill="1" applyBorder="1" applyAlignment="1">
      <alignment horizontal="left"/>
    </xf>
    <xf numFmtId="188" fontId="6" fillId="5" borderId="14" xfId="0" applyNumberFormat="1" applyFont="1" applyFill="1" applyBorder="1"/>
    <xf numFmtId="188" fontId="6" fillId="5" borderId="7" xfId="0" applyNumberFormat="1" applyFont="1" applyFill="1" applyBorder="1"/>
    <xf numFmtId="0" fontId="9" fillId="5" borderId="26" xfId="0" applyFont="1" applyFill="1" applyBorder="1" applyAlignment="1">
      <alignment horizontal="left"/>
    </xf>
    <xf numFmtId="179" fontId="19" fillId="6" borderId="0" xfId="4" applyNumberFormat="1" applyFont="1" applyFill="1" applyBorder="1" applyAlignment="1">
      <alignment horizontal="left"/>
    </xf>
    <xf numFmtId="0" fontId="15" fillId="0" borderId="0" xfId="1" applyNumberFormat="1" applyFont="1" applyFill="1" applyBorder="1" applyAlignment="1">
      <alignment horizontal="center"/>
    </xf>
    <xf numFmtId="179" fontId="7" fillId="0" borderId="0" xfId="4" applyNumberFormat="1" applyFont="1" applyBorder="1" applyAlignment="1">
      <alignment horizontal="center"/>
    </xf>
    <xf numFmtId="180" fontId="7" fillId="0" borderId="2" xfId="0" applyNumberFormat="1" applyFont="1" applyFill="1" applyBorder="1" applyAlignment="1">
      <alignment horizontal="center"/>
    </xf>
    <xf numFmtId="180" fontId="7" fillId="7" borderId="0" xfId="0" applyNumberFormat="1" applyFont="1" applyFill="1"/>
    <xf numFmtId="180" fontId="9" fillId="7" borderId="53" xfId="0" applyNumberFormat="1" applyFont="1" applyFill="1" applyBorder="1" applyAlignment="1">
      <alignment horizontal="left"/>
    </xf>
    <xf numFmtId="180" fontId="9" fillId="5" borderId="0" xfId="0" applyNumberFormat="1" applyFont="1" applyFill="1" applyBorder="1" applyAlignment="1">
      <alignment horizontal="left"/>
    </xf>
    <xf numFmtId="188" fontId="9" fillId="7" borderId="53" xfId="0" applyNumberFormat="1" applyFont="1" applyFill="1" applyBorder="1" applyAlignment="1">
      <alignment horizontal="left"/>
    </xf>
    <xf numFmtId="188" fontId="61" fillId="5" borderId="0" xfId="1" applyNumberFormat="1" applyFont="1" applyFill="1" applyBorder="1" applyAlignment="1" applyProtection="1">
      <alignment horizontal="right"/>
    </xf>
    <xf numFmtId="0" fontId="15" fillId="5" borderId="0" xfId="0" applyFont="1" applyFill="1" applyBorder="1" applyAlignment="1" applyProtection="1">
      <alignment horizontal="left"/>
    </xf>
    <xf numFmtId="188" fontId="15" fillId="5" borderId="0" xfId="1" applyNumberFormat="1" applyFont="1" applyFill="1" applyBorder="1" applyAlignment="1" applyProtection="1">
      <alignment horizontal="center"/>
    </xf>
    <xf numFmtId="0" fontId="7" fillId="5" borderId="0" xfId="0" applyFont="1" applyFill="1" applyBorder="1" applyAlignment="1" applyProtection="1">
      <alignment horizontal="center"/>
    </xf>
    <xf numFmtId="183" fontId="9" fillId="5" borderId="0" xfId="0" applyNumberFormat="1" applyFont="1" applyFill="1" applyBorder="1"/>
    <xf numFmtId="180" fontId="9" fillId="5" borderId="0" xfId="0" applyNumberFormat="1" applyFont="1" applyFill="1" applyBorder="1" applyAlignment="1">
      <alignment horizontal="center"/>
    </xf>
    <xf numFmtId="0" fontId="9" fillId="5" borderId="0" xfId="0" applyFont="1" applyFill="1" applyBorder="1" applyProtection="1"/>
    <xf numFmtId="184" fontId="61" fillId="5" borderId="0" xfId="1" applyNumberFormat="1" applyFont="1" applyFill="1" applyBorder="1" applyAlignment="1" applyProtection="1">
      <alignment horizontal="right"/>
    </xf>
    <xf numFmtId="0" fontId="9" fillId="5" borderId="0" xfId="0" quotePrefix="1" applyFont="1" applyFill="1" applyBorder="1" applyAlignment="1" applyProtection="1">
      <alignment horizontal="left"/>
    </xf>
    <xf numFmtId="0" fontId="57" fillId="5" borderId="0" xfId="0" applyFont="1" applyFill="1" applyBorder="1"/>
    <xf numFmtId="0" fontId="63" fillId="5" borderId="0" xfId="0" applyFont="1" applyFill="1" applyBorder="1" applyProtection="1"/>
    <xf numFmtId="188" fontId="61" fillId="5" borderId="0" xfId="1" applyNumberFormat="1" applyFont="1" applyFill="1" applyBorder="1" applyAlignment="1" applyProtection="1">
      <alignment horizontal="center"/>
    </xf>
    <xf numFmtId="193" fontId="18" fillId="8" borderId="2" xfId="1" applyNumberFormat="1" applyFont="1" applyFill="1" applyBorder="1" applyAlignment="1" applyProtection="1">
      <alignment horizontal="center" vertical="center"/>
    </xf>
    <xf numFmtId="0" fontId="9" fillId="7" borderId="17" xfId="0" applyFont="1" applyFill="1" applyBorder="1" applyAlignment="1">
      <alignment horizontal="left"/>
    </xf>
    <xf numFmtId="0" fontId="9" fillId="5" borderId="17" xfId="0" applyFont="1" applyFill="1" applyBorder="1" applyAlignment="1"/>
    <xf numFmtId="0" fontId="9" fillId="5" borderId="14" xfId="0" applyFont="1" applyFill="1" applyBorder="1" applyAlignment="1"/>
    <xf numFmtId="0" fontId="9" fillId="5" borderId="7" xfId="0" applyFont="1" applyFill="1" applyBorder="1" applyAlignment="1"/>
    <xf numFmtId="180" fontId="15" fillId="7" borderId="2" xfId="0" applyNumberFormat="1" applyFont="1" applyFill="1" applyBorder="1" applyAlignment="1">
      <alignment horizontal="center" vertical="center" wrapText="1"/>
    </xf>
    <xf numFmtId="182" fontId="15" fillId="7" borderId="2" xfId="0" applyNumberFormat="1" applyFont="1" applyFill="1" applyBorder="1" applyAlignment="1">
      <alignment horizontal="center" vertical="center" wrapText="1"/>
    </xf>
    <xf numFmtId="0" fontId="15" fillId="4" borderId="35" xfId="0" applyFont="1" applyFill="1" applyBorder="1" applyAlignment="1">
      <alignment horizontal="center" vertical="center"/>
    </xf>
    <xf numFmtId="0" fontId="15" fillId="4" borderId="54" xfId="0" applyFont="1" applyFill="1" applyBorder="1" applyAlignment="1">
      <alignment horizontal="center" vertical="center"/>
    </xf>
    <xf numFmtId="184" fontId="7" fillId="0" borderId="0" xfId="4" applyNumberFormat="1" applyFont="1" applyFill="1" applyBorder="1" applyAlignment="1">
      <alignment horizontal="center" vertical="center"/>
    </xf>
    <xf numFmtId="184" fontId="7" fillId="0" borderId="0" xfId="0" applyNumberFormat="1" applyFont="1" applyFill="1" applyBorder="1" applyAlignment="1">
      <alignment horizontal="center" vertical="center"/>
    </xf>
    <xf numFmtId="0" fontId="0" fillId="0" borderId="0" xfId="0" applyFill="1" applyBorder="1"/>
    <xf numFmtId="177" fontId="7" fillId="0" borderId="0" xfId="0" applyNumberFormat="1" applyFont="1" applyFill="1" applyBorder="1" applyAlignment="1">
      <alignment horizontal="center" vertical="center"/>
    </xf>
    <xf numFmtId="177" fontId="7" fillId="0" borderId="0" xfId="0" applyNumberFormat="1" applyFont="1" applyBorder="1" applyAlignment="1">
      <alignment horizontal="center" vertical="center"/>
    </xf>
    <xf numFmtId="0" fontId="0" fillId="0" borderId="0" xfId="0" applyBorder="1"/>
    <xf numFmtId="177" fontId="7" fillId="0" borderId="0" xfId="4" applyNumberFormat="1" applyFont="1" applyFill="1" applyBorder="1" applyAlignment="1">
      <alignment horizontal="center" vertical="center"/>
    </xf>
    <xf numFmtId="177" fontId="7" fillId="5" borderId="14" xfId="0" applyNumberFormat="1" applyFont="1" applyFill="1" applyBorder="1" applyAlignment="1">
      <alignment horizontal="center" vertical="center" wrapText="1"/>
    </xf>
    <xf numFmtId="177" fontId="7" fillId="5" borderId="14" xfId="0" applyNumberFormat="1" applyFont="1" applyFill="1" applyBorder="1" applyAlignment="1">
      <alignment horizontal="center" vertical="center"/>
    </xf>
    <xf numFmtId="177" fontId="7" fillId="5" borderId="0" xfId="0" applyNumberFormat="1" applyFont="1" applyFill="1" applyBorder="1" applyAlignment="1">
      <alignment horizontal="center" vertical="center" wrapText="1"/>
    </xf>
    <xf numFmtId="177" fontId="7" fillId="5" borderId="0" xfId="0" applyNumberFormat="1" applyFont="1" applyFill="1" applyBorder="1" applyAlignment="1">
      <alignment horizontal="center" vertical="center"/>
    </xf>
    <xf numFmtId="177" fontId="13" fillId="5" borderId="23" xfId="0" applyNumberFormat="1" applyFont="1" applyFill="1" applyBorder="1" applyAlignment="1">
      <alignment horizontal="center" vertical="center"/>
    </xf>
    <xf numFmtId="10" fontId="9" fillId="5" borderId="26" xfId="0" applyNumberFormat="1" applyFont="1" applyFill="1" applyBorder="1" applyAlignment="1">
      <alignment horizontal="left"/>
    </xf>
    <xf numFmtId="10" fontId="9" fillId="5" borderId="7" xfId="0" applyNumberFormat="1" applyFont="1" applyFill="1" applyBorder="1" applyAlignment="1">
      <alignment horizontal="left"/>
    </xf>
    <xf numFmtId="10" fontId="9" fillId="5" borderId="17" xfId="0" applyNumberFormat="1" applyFont="1" applyFill="1" applyBorder="1" applyAlignment="1">
      <alignment horizontal="left"/>
    </xf>
    <xf numFmtId="188" fontId="9" fillId="5" borderId="8" xfId="0" applyNumberFormat="1" applyFont="1" applyFill="1" applyBorder="1" applyAlignment="1">
      <alignment horizontal="left"/>
    </xf>
    <xf numFmtId="177" fontId="9" fillId="7" borderId="7" xfId="0" applyNumberFormat="1" applyFont="1" applyFill="1" applyBorder="1" applyAlignment="1">
      <alignment horizontal="left" vertical="center"/>
    </xf>
    <xf numFmtId="177" fontId="6" fillId="7" borderId="17" xfId="0" applyNumberFormat="1" applyFont="1" applyFill="1" applyBorder="1" applyAlignment="1">
      <alignment horizontal="left" vertical="center"/>
    </xf>
    <xf numFmtId="10" fontId="9" fillId="7" borderId="7" xfId="0" applyNumberFormat="1" applyFont="1" applyFill="1" applyBorder="1" applyAlignment="1">
      <alignment horizontal="center" vertical="center"/>
    </xf>
    <xf numFmtId="9" fontId="9" fillId="7" borderId="7" xfId="0" applyNumberFormat="1" applyFont="1" applyFill="1" applyBorder="1" applyAlignment="1">
      <alignment horizontal="center" vertical="center"/>
    </xf>
    <xf numFmtId="177" fontId="9" fillId="5" borderId="26" xfId="0" applyNumberFormat="1" applyFont="1" applyFill="1" applyBorder="1" applyAlignment="1">
      <alignment horizontal="left" vertical="center" wrapText="1"/>
    </xf>
    <xf numFmtId="177" fontId="9" fillId="5" borderId="26" xfId="0" applyNumberFormat="1" applyFont="1" applyFill="1" applyBorder="1" applyAlignment="1">
      <alignment horizontal="center" vertical="center" wrapText="1"/>
    </xf>
    <xf numFmtId="0" fontId="9" fillId="5" borderId="26" xfId="0" applyFont="1" applyFill="1" applyBorder="1" applyAlignment="1">
      <alignment horizontal="center" vertical="center"/>
    </xf>
    <xf numFmtId="0" fontId="9" fillId="7" borderId="26" xfId="0" applyFont="1" applyFill="1" applyBorder="1" applyAlignment="1">
      <alignment horizontal="left" vertical="center"/>
    </xf>
    <xf numFmtId="0" fontId="9" fillId="7" borderId="26" xfId="0" applyFont="1" applyFill="1" applyBorder="1" applyAlignment="1">
      <alignment horizontal="center" vertical="center"/>
    </xf>
    <xf numFmtId="188" fontId="9" fillId="7" borderId="8" xfId="0" applyNumberFormat="1" applyFont="1" applyFill="1" applyBorder="1" applyAlignment="1">
      <alignment horizontal="left"/>
    </xf>
    <xf numFmtId="177" fontId="7" fillId="0" borderId="0" xfId="0" applyNumberFormat="1" applyFont="1" applyBorder="1"/>
    <xf numFmtId="0" fontId="7" fillId="0" borderId="0" xfId="0" applyFont="1" applyBorder="1" applyAlignment="1">
      <alignment horizontal="center"/>
    </xf>
    <xf numFmtId="180" fontId="7" fillId="0" borderId="0" xfId="0" applyNumberFormat="1" applyFont="1" applyBorder="1" applyAlignment="1">
      <alignment horizontal="center"/>
    </xf>
    <xf numFmtId="180" fontId="7" fillId="0" borderId="0" xfId="0" applyNumberFormat="1" applyFont="1" applyBorder="1"/>
    <xf numFmtId="10" fontId="7" fillId="0" borderId="0" xfId="0" applyNumberFormat="1" applyFont="1" applyBorder="1"/>
    <xf numFmtId="179" fontId="19" fillId="5" borderId="0" xfId="4" applyNumberFormat="1" applyFont="1" applyFill="1" applyBorder="1" applyAlignment="1">
      <alignment horizontal="left"/>
    </xf>
    <xf numFmtId="0" fontId="15" fillId="5" borderId="0" xfId="1" applyNumberFormat="1" applyFont="1" applyFill="1" applyBorder="1" applyAlignment="1">
      <alignment horizontal="center"/>
    </xf>
    <xf numFmtId="186" fontId="9" fillId="7" borderId="26" xfId="0" applyNumberFormat="1" applyFont="1" applyFill="1" applyBorder="1" applyAlignment="1">
      <alignment horizontal="center"/>
    </xf>
    <xf numFmtId="186" fontId="9" fillId="7" borderId="7" xfId="0" applyNumberFormat="1" applyFont="1" applyFill="1" applyBorder="1" applyAlignment="1">
      <alignment horizontal="center"/>
    </xf>
    <xf numFmtId="184" fontId="15" fillId="12" borderId="2" xfId="0" applyNumberFormat="1" applyFont="1" applyFill="1" applyBorder="1" applyAlignment="1">
      <alignment horizontal="center"/>
    </xf>
    <xf numFmtId="0" fontId="16" fillId="5" borderId="0" xfId="0" applyFont="1" applyFill="1" applyAlignment="1">
      <alignment horizontal="center"/>
    </xf>
    <xf numFmtId="0" fontId="7" fillId="3" borderId="1" xfId="0" applyFont="1" applyFill="1" applyBorder="1" applyAlignment="1">
      <alignment horizontal="center"/>
    </xf>
    <xf numFmtId="0" fontId="15" fillId="3" borderId="7" xfId="0" applyFont="1" applyFill="1" applyBorder="1" applyAlignment="1">
      <alignment horizontal="center"/>
    </xf>
    <xf numFmtId="0" fontId="15" fillId="3" borderId="4" xfId="0" applyFont="1" applyFill="1" applyBorder="1" applyAlignment="1">
      <alignment horizontal="center"/>
    </xf>
    <xf numFmtId="0" fontId="7" fillId="5" borderId="1" xfId="0" applyFont="1" applyFill="1" applyBorder="1" applyAlignment="1" applyProtection="1">
      <alignment horizontal="center"/>
    </xf>
    <xf numFmtId="0" fontId="7" fillId="5" borderId="4" xfId="0" applyFont="1" applyFill="1" applyBorder="1" applyAlignment="1" applyProtection="1">
      <alignment horizontal="center"/>
    </xf>
    <xf numFmtId="0" fontId="7" fillId="5" borderId="7" xfId="0" applyFont="1" applyFill="1" applyBorder="1" applyAlignment="1" applyProtection="1">
      <alignment horizontal="center"/>
    </xf>
    <xf numFmtId="0" fontId="7" fillId="3" borderId="1" xfId="0" applyFont="1" applyFill="1" applyBorder="1" applyAlignment="1" applyProtection="1">
      <alignment horizontal="center"/>
    </xf>
    <xf numFmtId="0" fontId="7" fillId="3" borderId="4" xfId="0" applyFont="1" applyFill="1" applyBorder="1" applyAlignment="1" applyProtection="1">
      <alignment horizontal="center"/>
    </xf>
    <xf numFmtId="0" fontId="7" fillId="3" borderId="7" xfId="0" applyFont="1" applyFill="1" applyBorder="1" applyAlignment="1" applyProtection="1">
      <alignment horizontal="center"/>
    </xf>
    <xf numFmtId="0" fontId="7" fillId="5" borderId="2" xfId="0" applyFont="1" applyFill="1" applyBorder="1" applyAlignment="1" applyProtection="1">
      <alignment horizontal="center"/>
    </xf>
    <xf numFmtId="0" fontId="7" fillId="5" borderId="1" xfId="0" quotePrefix="1" applyFont="1" applyFill="1" applyBorder="1" applyAlignment="1" applyProtection="1">
      <alignment horizontal="center"/>
    </xf>
    <xf numFmtId="0" fontId="7" fillId="5" borderId="4" xfId="0" quotePrefix="1" applyFont="1" applyFill="1" applyBorder="1" applyAlignment="1" applyProtection="1">
      <alignment horizontal="center"/>
    </xf>
    <xf numFmtId="188" fontId="16" fillId="5" borderId="7" xfId="1" applyNumberFormat="1" applyFont="1" applyFill="1" applyBorder="1" applyAlignment="1" applyProtection="1">
      <alignment horizontal="center"/>
    </xf>
    <xf numFmtId="188" fontId="16" fillId="5" borderId="8" xfId="1" applyNumberFormat="1" applyFont="1" applyFill="1" applyBorder="1" applyAlignment="1" applyProtection="1">
      <alignment horizontal="center"/>
    </xf>
    <xf numFmtId="188" fontId="57" fillId="7" borderId="1" xfId="1" applyNumberFormat="1" applyFont="1" applyFill="1" applyBorder="1" applyAlignment="1" applyProtection="1">
      <alignment horizontal="center" vertical="center"/>
    </xf>
    <xf numFmtId="188" fontId="33" fillId="7" borderId="7" xfId="1" applyNumberFormat="1" applyFont="1" applyFill="1" applyBorder="1" applyAlignment="1" applyProtection="1">
      <alignment horizontal="center" vertical="center"/>
    </xf>
    <xf numFmtId="188" fontId="33" fillId="7" borderId="4" xfId="1" applyNumberFormat="1" applyFont="1" applyFill="1" applyBorder="1" applyAlignment="1" applyProtection="1">
      <alignment horizontal="center" vertical="center"/>
    </xf>
    <xf numFmtId="192" fontId="7" fillId="0" borderId="2" xfId="0" applyNumberFormat="1" applyFont="1" applyFill="1" applyBorder="1" applyAlignment="1" applyProtection="1">
      <alignment horizontal="center"/>
    </xf>
    <xf numFmtId="0" fontId="7" fillId="5" borderId="2" xfId="0" applyFont="1" applyFill="1" applyBorder="1" applyAlignment="1">
      <alignment horizontal="center" vertical="center" wrapText="1"/>
    </xf>
    <xf numFmtId="178" fontId="7" fillId="5" borderId="2" xfId="0" applyNumberFormat="1" applyFont="1" applyFill="1" applyBorder="1" applyAlignment="1">
      <alignment horizontal="center" vertical="center"/>
    </xf>
    <xf numFmtId="0" fontId="12" fillId="5" borderId="26" xfId="0" applyFont="1" applyFill="1" applyBorder="1" applyAlignment="1">
      <alignment horizontal="center"/>
    </xf>
    <xf numFmtId="0" fontId="7" fillId="5" borderId="2" xfId="0" applyNumberFormat="1" applyFont="1" applyFill="1" applyBorder="1" applyAlignment="1">
      <alignment horizontal="center" vertical="center" wrapText="1"/>
    </xf>
    <xf numFmtId="0" fontId="15" fillId="5" borderId="7" xfId="0" applyFont="1" applyFill="1" applyBorder="1" applyAlignment="1">
      <alignment horizontal="center"/>
    </xf>
    <xf numFmtId="0" fontId="15" fillId="5" borderId="8" xfId="0" applyFont="1" applyFill="1" applyBorder="1" applyAlignment="1">
      <alignment horizontal="center"/>
    </xf>
    <xf numFmtId="178" fontId="7" fillId="5" borderId="1" xfId="4" applyNumberFormat="1" applyFont="1" applyFill="1" applyBorder="1" applyAlignment="1">
      <alignment horizontal="center"/>
    </xf>
    <xf numFmtId="178" fontId="7" fillId="5" borderId="4" xfId="4" applyNumberFormat="1" applyFont="1" applyFill="1" applyBorder="1" applyAlignment="1">
      <alignment horizontal="center"/>
    </xf>
    <xf numFmtId="178" fontId="7" fillId="5" borderId="2" xfId="4" applyNumberFormat="1" applyFont="1" applyFill="1" applyBorder="1" applyAlignment="1">
      <alignment horizontal="center"/>
    </xf>
    <xf numFmtId="178" fontId="15" fillId="5" borderId="2" xfId="4" applyNumberFormat="1" applyFont="1" applyFill="1" applyBorder="1" applyAlignment="1">
      <alignment horizontal="center"/>
    </xf>
    <xf numFmtId="0" fontId="15" fillId="5" borderId="2" xfId="0" applyFont="1" applyFill="1" applyBorder="1" applyAlignment="1">
      <alignment horizontal="center" vertical="center" wrapText="1"/>
    </xf>
    <xf numFmtId="178" fontId="7" fillId="5" borderId="2" xfId="4" applyNumberFormat="1" applyFont="1" applyFill="1" applyBorder="1" applyAlignment="1">
      <alignment horizontal="center" vertical="center" wrapText="1"/>
    </xf>
    <xf numFmtId="178" fontId="15" fillId="5" borderId="2" xfId="4" applyNumberFormat="1" applyFont="1" applyFill="1" applyBorder="1" applyAlignment="1">
      <alignment horizontal="center" vertical="center" wrapText="1"/>
    </xf>
    <xf numFmtId="0" fontId="7" fillId="5" borderId="0" xfId="0" applyFont="1" applyFill="1" applyAlignment="1">
      <alignment vertical="center" wrapText="1"/>
    </xf>
    <xf numFmtId="0" fontId="7" fillId="6" borderId="21" xfId="0" applyFont="1" applyFill="1" applyBorder="1" applyProtection="1"/>
    <xf numFmtId="0" fontId="7" fillId="6" borderId="2" xfId="0" applyFont="1" applyFill="1" applyBorder="1" applyProtection="1"/>
    <xf numFmtId="180" fontId="7" fillId="0" borderId="2" xfId="0" applyNumberFormat="1" applyFont="1" applyFill="1" applyBorder="1" applyAlignment="1" applyProtection="1">
      <alignment horizontal="center" vertical="center"/>
    </xf>
    <xf numFmtId="180" fontId="7" fillId="0" borderId="11" xfId="0" applyNumberFormat="1" applyFont="1" applyFill="1" applyBorder="1" applyAlignment="1" applyProtection="1">
      <alignment horizontal="center" vertical="center"/>
    </xf>
    <xf numFmtId="0" fontId="7" fillId="6" borderId="21" xfId="0" applyFont="1" applyFill="1" applyBorder="1" applyAlignment="1" applyProtection="1">
      <alignment horizontal="center" vertical="center" wrapText="1"/>
    </xf>
    <xf numFmtId="0" fontId="7" fillId="6" borderId="21" xfId="0" applyFont="1" applyFill="1" applyBorder="1" applyAlignment="1" applyProtection="1">
      <alignment horizontal="center" vertical="center"/>
    </xf>
    <xf numFmtId="0" fontId="7" fillId="6" borderId="21" xfId="0" applyFont="1" applyFill="1" applyBorder="1" applyAlignment="1" applyProtection="1">
      <alignment vertical="center"/>
    </xf>
    <xf numFmtId="0" fontId="7" fillId="6" borderId="2" xfId="0" applyFont="1" applyFill="1" applyBorder="1" applyAlignment="1" applyProtection="1">
      <alignment vertical="center"/>
    </xf>
    <xf numFmtId="177" fontId="7" fillId="0" borderId="2" xfId="0" applyNumberFormat="1" applyFont="1" applyFill="1" applyBorder="1" applyAlignment="1" applyProtection="1">
      <alignment horizontal="center" vertical="center"/>
    </xf>
    <xf numFmtId="177" fontId="7" fillId="0" borderId="11" xfId="0" applyNumberFormat="1" applyFont="1" applyFill="1" applyBorder="1" applyAlignment="1" applyProtection="1">
      <alignment horizontal="center" vertical="center"/>
    </xf>
    <xf numFmtId="0" fontId="7" fillId="0" borderId="21" xfId="0" applyFont="1" applyFill="1" applyBorder="1" applyAlignment="1" applyProtection="1">
      <alignment vertical="center"/>
    </xf>
    <xf numFmtId="0" fontId="7" fillId="0" borderId="2" xfId="0" applyFont="1" applyFill="1" applyBorder="1" applyAlignment="1" applyProtection="1">
      <alignment vertical="center"/>
    </xf>
    <xf numFmtId="177" fontId="7" fillId="0" borderId="1" xfId="0" applyNumberFormat="1" applyFont="1" applyFill="1" applyBorder="1" applyAlignment="1" applyProtection="1">
      <alignment horizontal="center" vertical="center"/>
    </xf>
    <xf numFmtId="177" fontId="7" fillId="0" borderId="7" xfId="0" applyNumberFormat="1" applyFont="1" applyFill="1" applyBorder="1" applyAlignment="1" applyProtection="1">
      <alignment horizontal="center" vertical="center"/>
    </xf>
    <xf numFmtId="177" fontId="7" fillId="0" borderId="16" xfId="0" applyNumberFormat="1" applyFont="1" applyFill="1" applyBorder="1" applyAlignment="1" applyProtection="1">
      <alignment horizontal="center" vertical="center"/>
    </xf>
    <xf numFmtId="177" fontId="7" fillId="0" borderId="1" xfId="0" applyNumberFormat="1" applyFont="1" applyFill="1" applyBorder="1" applyAlignment="1" applyProtection="1">
      <alignment horizontal="center" vertical="center"/>
      <protection locked="0"/>
    </xf>
    <xf numFmtId="177" fontId="7" fillId="0" borderId="7" xfId="0" applyNumberFormat="1" applyFont="1" applyFill="1" applyBorder="1" applyAlignment="1" applyProtection="1">
      <alignment horizontal="center" vertical="center"/>
      <protection locked="0"/>
    </xf>
    <xf numFmtId="177" fontId="7" fillId="0" borderId="16" xfId="0" applyNumberFormat="1" applyFont="1" applyFill="1" applyBorder="1" applyAlignment="1" applyProtection="1">
      <alignment horizontal="center" vertical="center"/>
      <protection locked="0"/>
    </xf>
    <xf numFmtId="0" fontId="7" fillId="0" borderId="24" xfId="0" applyFont="1" applyFill="1" applyBorder="1" applyAlignment="1" applyProtection="1">
      <alignment vertical="center"/>
    </xf>
    <xf numFmtId="0" fontId="7" fillId="0" borderId="5" xfId="0" applyFont="1" applyFill="1" applyBorder="1" applyAlignment="1" applyProtection="1">
      <alignment vertical="center"/>
    </xf>
    <xf numFmtId="180" fontId="7" fillId="0" borderId="1" xfId="0" applyNumberFormat="1" applyFont="1" applyFill="1" applyBorder="1" applyAlignment="1" applyProtection="1">
      <alignment horizontal="center" vertical="center"/>
    </xf>
    <xf numFmtId="180" fontId="7" fillId="0" borderId="7" xfId="0" applyNumberFormat="1" applyFont="1" applyFill="1" applyBorder="1" applyAlignment="1" applyProtection="1">
      <alignment horizontal="center" vertical="center"/>
    </xf>
    <xf numFmtId="180" fontId="7" fillId="0" borderId="16" xfId="0" applyNumberFormat="1" applyFont="1" applyFill="1" applyBorder="1" applyAlignment="1" applyProtection="1">
      <alignment horizontal="center" vertical="center"/>
    </xf>
    <xf numFmtId="0" fontId="7" fillId="0" borderId="55" xfId="0" applyFont="1" applyFill="1" applyBorder="1" applyAlignment="1" applyProtection="1">
      <alignment vertical="center"/>
    </xf>
    <xf numFmtId="0" fontId="7" fillId="0" borderId="59" xfId="0" applyFont="1" applyFill="1" applyBorder="1" applyAlignment="1" applyProtection="1">
      <alignment vertical="center"/>
    </xf>
    <xf numFmtId="177" fontId="7" fillId="0" borderId="60" xfId="0" applyNumberFormat="1" applyFont="1" applyFill="1" applyBorder="1" applyAlignment="1" applyProtection="1">
      <alignment horizontal="center" vertical="center"/>
    </xf>
    <xf numFmtId="177" fontId="7" fillId="0" borderId="23" xfId="0" applyNumberFormat="1" applyFont="1" applyFill="1" applyBorder="1" applyAlignment="1" applyProtection="1">
      <alignment horizontal="center" vertical="center"/>
    </xf>
    <xf numFmtId="177" fontId="7" fillId="0" borderId="61" xfId="0" applyNumberFormat="1" applyFont="1" applyFill="1" applyBorder="1" applyAlignment="1" applyProtection="1">
      <alignment horizontal="center" vertical="center"/>
    </xf>
    <xf numFmtId="182" fontId="7" fillId="0" borderId="1" xfId="0" applyNumberFormat="1" applyFont="1" applyFill="1" applyBorder="1" applyAlignment="1" applyProtection="1">
      <alignment horizontal="center" vertical="center"/>
    </xf>
    <xf numFmtId="182" fontId="7" fillId="0" borderId="4" xfId="0" applyNumberFormat="1" applyFont="1" applyFill="1" applyBorder="1" applyAlignment="1" applyProtection="1">
      <alignment horizontal="center" vertical="center"/>
    </xf>
    <xf numFmtId="0" fontId="55" fillId="0" borderId="58" xfId="0" applyFont="1" applyFill="1" applyBorder="1" applyAlignment="1" applyProtection="1">
      <alignment horizontal="center" vertical="center"/>
    </xf>
    <xf numFmtId="0" fontId="56" fillId="0" borderId="56" xfId="0" applyFont="1" applyFill="1" applyBorder="1" applyAlignment="1" applyProtection="1">
      <alignment horizontal="center" vertical="center"/>
    </xf>
    <xf numFmtId="0" fontId="56" fillId="0" borderId="57" xfId="0" applyFont="1" applyFill="1" applyBorder="1" applyAlignment="1" applyProtection="1">
      <alignment horizontal="center" vertical="center"/>
    </xf>
    <xf numFmtId="0" fontId="7" fillId="6" borderId="27" xfId="0" applyFont="1" applyFill="1" applyBorder="1" applyAlignment="1" applyProtection="1">
      <alignment horizontal="left" vertical="center"/>
    </xf>
    <xf numFmtId="0" fontId="7" fillId="6" borderId="4" xfId="0" applyFont="1" applyFill="1" applyBorder="1" applyAlignment="1" applyProtection="1">
      <alignment horizontal="left" vertical="center"/>
    </xf>
    <xf numFmtId="0" fontId="7" fillId="10" borderId="2" xfId="0" applyFont="1" applyFill="1" applyBorder="1" applyAlignment="1" applyProtection="1">
      <alignment horizontal="center" vertical="center"/>
      <protection locked="0"/>
    </xf>
    <xf numFmtId="0" fontId="7" fillId="7" borderId="2" xfId="0" applyFont="1" applyFill="1" applyBorder="1" applyAlignment="1" applyProtection="1">
      <alignment horizontal="center" vertical="center"/>
      <protection locked="0"/>
    </xf>
    <xf numFmtId="0" fontId="2" fillId="3" borderId="9"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43" fontId="2" fillId="3" borderId="62" xfId="0" applyNumberFormat="1" applyFont="1" applyFill="1" applyBorder="1" applyAlignment="1">
      <alignment horizontal="center" vertical="center" wrapText="1"/>
    </xf>
    <xf numFmtId="43" fontId="2" fillId="3" borderId="35" xfId="0" applyNumberFormat="1" applyFont="1" applyFill="1" applyBorder="1" applyAlignment="1">
      <alignment horizontal="center" vertical="center" wrapText="1"/>
    </xf>
    <xf numFmtId="43" fontId="2" fillId="3" borderId="63" xfId="0" applyNumberFormat="1" applyFont="1" applyFill="1" applyBorder="1" applyAlignment="1">
      <alignment horizontal="center" vertical="center" wrapText="1"/>
    </xf>
    <xf numFmtId="43" fontId="2" fillId="3" borderId="64" xfId="0" applyNumberFormat="1" applyFont="1" applyFill="1" applyBorder="1" applyAlignment="1">
      <alignment horizontal="center" vertical="center" wrapText="1"/>
    </xf>
    <xf numFmtId="177" fontId="2" fillId="6" borderId="1" xfId="0" applyNumberFormat="1" applyFont="1" applyFill="1" applyBorder="1" applyAlignment="1">
      <alignment horizontal="center" vertical="center" wrapText="1"/>
    </xf>
    <xf numFmtId="177" fontId="2" fillId="6" borderId="7" xfId="0" applyNumberFormat="1" applyFont="1" applyFill="1" applyBorder="1" applyAlignment="1">
      <alignment horizontal="center" vertical="center" wrapText="1"/>
    </xf>
    <xf numFmtId="177" fontId="2" fillId="6" borderId="4" xfId="0" applyNumberFormat="1" applyFont="1" applyFill="1" applyBorder="1" applyAlignment="1">
      <alignment horizontal="center" vertical="center" wrapText="1"/>
    </xf>
    <xf numFmtId="177" fontId="3" fillId="0" borderId="9" xfId="0" applyNumberFormat="1" applyFont="1" applyFill="1" applyBorder="1" applyAlignment="1">
      <alignment horizontal="center" vertical="center" wrapText="1"/>
    </xf>
    <xf numFmtId="177" fontId="3" fillId="0" borderId="13" xfId="0" applyNumberFormat="1" applyFont="1" applyFill="1" applyBorder="1" applyAlignment="1">
      <alignment horizontal="center" vertical="center" wrapText="1"/>
    </xf>
    <xf numFmtId="177" fontId="7" fillId="0" borderId="9" xfId="0" applyNumberFormat="1" applyFont="1" applyFill="1" applyBorder="1" applyAlignment="1" applyProtection="1">
      <alignment horizontal="center" vertical="center" wrapText="1"/>
      <protection locked="0"/>
    </xf>
    <xf numFmtId="177" fontId="7" fillId="0" borderId="13" xfId="0" applyNumberFormat="1" applyFont="1" applyFill="1" applyBorder="1" applyAlignment="1" applyProtection="1">
      <alignment horizontal="center" vertical="center" wrapText="1"/>
      <protection locked="0"/>
    </xf>
    <xf numFmtId="177" fontId="2" fillId="0" borderId="9" xfId="0" applyNumberFormat="1" applyFont="1" applyFill="1" applyBorder="1" applyAlignment="1">
      <alignment horizontal="center" vertical="center" wrapText="1"/>
    </xf>
    <xf numFmtId="177" fontId="2" fillId="0" borderId="13" xfId="0" applyNumberFormat="1" applyFont="1" applyFill="1" applyBorder="1" applyAlignment="1">
      <alignment horizontal="center" vertical="center" wrapText="1"/>
    </xf>
    <xf numFmtId="177" fontId="2" fillId="6" borderId="9" xfId="0" applyNumberFormat="1" applyFont="1" applyFill="1" applyBorder="1" applyAlignment="1">
      <alignment horizontal="center" vertical="center" wrapText="1"/>
    </xf>
    <xf numFmtId="177" fontId="2" fillId="6" borderId="13" xfId="0" applyNumberFormat="1" applyFont="1" applyFill="1" applyBorder="1" applyAlignment="1">
      <alignment horizontal="center" vertical="center" wrapText="1"/>
    </xf>
    <xf numFmtId="177" fontId="7" fillId="0" borderId="9" xfId="0" applyNumberFormat="1" applyFont="1" applyFill="1" applyBorder="1" applyAlignment="1">
      <alignment horizontal="center" vertical="center"/>
    </xf>
    <xf numFmtId="177" fontId="7" fillId="0" borderId="13" xfId="0" applyNumberFormat="1" applyFont="1" applyFill="1" applyBorder="1" applyAlignment="1">
      <alignment horizontal="center" vertical="center"/>
    </xf>
    <xf numFmtId="177" fontId="11" fillId="0" borderId="1" xfId="4" applyNumberFormat="1" applyFont="1" applyFill="1" applyBorder="1" applyAlignment="1">
      <alignment horizontal="center"/>
    </xf>
    <xf numFmtId="177" fontId="11" fillId="0" borderId="7" xfId="4" applyNumberFormat="1" applyFont="1" applyFill="1" applyBorder="1" applyAlignment="1">
      <alignment horizontal="center"/>
    </xf>
    <xf numFmtId="177" fontId="11" fillId="0" borderId="4" xfId="4" applyNumberFormat="1" applyFont="1" applyFill="1" applyBorder="1" applyAlignment="1">
      <alignment horizontal="center"/>
    </xf>
    <xf numFmtId="177" fontId="2" fillId="0" borderId="1" xfId="4" applyNumberFormat="1" applyFont="1" applyFill="1" applyBorder="1" applyAlignment="1">
      <alignment horizontal="center"/>
    </xf>
    <xf numFmtId="177" fontId="2" fillId="0" borderId="4" xfId="4" applyNumberFormat="1" applyFont="1" applyFill="1" applyBorder="1" applyAlignment="1">
      <alignment horizontal="center"/>
    </xf>
    <xf numFmtId="177" fontId="2" fillId="3" borderId="1" xfId="0" applyNumberFormat="1" applyFont="1" applyFill="1" applyBorder="1" applyAlignment="1">
      <alignment horizontal="center" vertical="center" wrapText="1"/>
    </xf>
    <xf numFmtId="177" fontId="2" fillId="3" borderId="7" xfId="0" applyNumberFormat="1" applyFont="1" applyFill="1" applyBorder="1" applyAlignment="1">
      <alignment horizontal="center" vertical="center" wrapText="1"/>
    </xf>
    <xf numFmtId="177" fontId="2" fillId="3" borderId="4" xfId="0" applyNumberFormat="1" applyFont="1" applyFill="1" applyBorder="1" applyAlignment="1">
      <alignment horizontal="center" vertical="center" wrapText="1"/>
    </xf>
    <xf numFmtId="177" fontId="2" fillId="6" borderId="5" xfId="0" applyNumberFormat="1" applyFont="1" applyFill="1" applyBorder="1" applyAlignment="1">
      <alignment horizontal="center" vertical="center" wrapText="1"/>
    </xf>
    <xf numFmtId="177" fontId="3" fillId="0" borderId="5" xfId="0" applyNumberFormat="1" applyFont="1" applyFill="1" applyBorder="1" applyAlignment="1">
      <alignment horizontal="center" vertical="center" wrapText="1"/>
    </xf>
    <xf numFmtId="177" fontId="2" fillId="0" borderId="9" xfId="0" applyNumberFormat="1" applyFont="1" applyFill="1" applyBorder="1" applyAlignment="1" applyProtection="1">
      <alignment horizontal="left" vertical="center" wrapText="1"/>
      <protection locked="0"/>
    </xf>
    <xf numFmtId="177" fontId="2" fillId="0" borderId="13" xfId="0" applyNumberFormat="1" applyFont="1" applyFill="1" applyBorder="1" applyAlignment="1" applyProtection="1">
      <alignment horizontal="left" vertical="center" wrapText="1"/>
      <protection locked="0"/>
    </xf>
    <xf numFmtId="177" fontId="2" fillId="0" borderId="5" xfId="0" applyNumberFormat="1" applyFont="1" applyFill="1" applyBorder="1" applyAlignment="1" applyProtection="1">
      <alignment horizontal="left" vertical="center" wrapText="1"/>
      <protection locked="0"/>
    </xf>
    <xf numFmtId="177" fontId="2" fillId="0" borderId="9" xfId="0" applyNumberFormat="1" applyFont="1" applyFill="1" applyBorder="1" applyAlignment="1" applyProtection="1">
      <alignment horizontal="center" vertical="center" wrapText="1"/>
      <protection locked="0"/>
    </xf>
    <xf numFmtId="177" fontId="2" fillId="0" borderId="13" xfId="0" applyNumberFormat="1" applyFont="1" applyFill="1" applyBorder="1" applyAlignment="1" applyProtection="1">
      <alignment horizontal="center" vertical="center" wrapText="1"/>
      <protection locked="0"/>
    </xf>
    <xf numFmtId="177" fontId="2" fillId="0" borderId="5" xfId="0" applyNumberFormat="1" applyFont="1" applyFill="1" applyBorder="1" applyAlignment="1" applyProtection="1">
      <alignment horizontal="center" vertical="center" wrapText="1"/>
      <protection locked="0"/>
    </xf>
    <xf numFmtId="177" fontId="2" fillId="3" borderId="2" xfId="0" applyNumberFormat="1" applyFont="1" applyFill="1" applyBorder="1" applyAlignment="1">
      <alignment horizontal="center" vertical="center" wrapText="1"/>
    </xf>
    <xf numFmtId="177" fontId="2" fillId="3" borderId="9" xfId="0" applyNumberFormat="1" applyFont="1" applyFill="1" applyBorder="1" applyAlignment="1">
      <alignment horizontal="center" vertical="center" wrapText="1"/>
    </xf>
    <xf numFmtId="177" fontId="2" fillId="3" borderId="13" xfId="0" applyNumberFormat="1" applyFont="1" applyFill="1" applyBorder="1" applyAlignment="1">
      <alignment horizontal="center" vertical="center" wrapText="1"/>
    </xf>
    <xf numFmtId="177" fontId="2" fillId="0" borderId="1" xfId="0" applyNumberFormat="1" applyFont="1" applyFill="1" applyBorder="1" applyAlignment="1" applyProtection="1">
      <alignment horizontal="center" vertical="center" wrapText="1"/>
      <protection locked="0"/>
    </xf>
    <xf numFmtId="177" fontId="2" fillId="0" borderId="7" xfId="0" applyNumberFormat="1" applyFont="1" applyFill="1" applyBorder="1" applyAlignment="1" applyProtection="1">
      <alignment horizontal="center" vertical="center" wrapText="1"/>
      <protection locked="0"/>
    </xf>
    <xf numFmtId="177" fontId="2" fillId="0" borderId="4" xfId="0" applyNumberFormat="1" applyFont="1" applyFill="1" applyBorder="1" applyAlignment="1" applyProtection="1">
      <alignment horizontal="center" vertical="center" wrapText="1"/>
      <protection locked="0"/>
    </xf>
    <xf numFmtId="177" fontId="13" fillId="0" borderId="79" xfId="0" applyNumberFormat="1" applyFont="1" applyBorder="1" applyAlignment="1" applyProtection="1">
      <alignment horizontal="left" vertical="center" wrapText="1"/>
      <protection locked="0"/>
    </xf>
    <xf numFmtId="177" fontId="13" fillId="0" borderId="74" xfId="0" applyNumberFormat="1" applyFont="1" applyBorder="1" applyAlignment="1" applyProtection="1">
      <alignment horizontal="left" vertical="center" wrapText="1"/>
      <protection locked="0"/>
    </xf>
    <xf numFmtId="177" fontId="13" fillId="0" borderId="27" xfId="0" applyNumberFormat="1" applyFont="1" applyBorder="1" applyAlignment="1" applyProtection="1">
      <alignment horizontal="center" vertical="center" wrapText="1"/>
      <protection locked="0"/>
    </xf>
    <xf numFmtId="177" fontId="13" fillId="0" borderId="7" xfId="0" applyNumberFormat="1" applyFont="1" applyBorder="1" applyAlignment="1" applyProtection="1">
      <alignment horizontal="center" vertical="center" wrapText="1"/>
      <protection locked="0"/>
    </xf>
    <xf numFmtId="177" fontId="13" fillId="0" borderId="70" xfId="0" applyNumberFormat="1" applyFont="1" applyBorder="1" applyAlignment="1" applyProtection="1">
      <alignment horizontal="center" vertical="center" wrapText="1"/>
      <protection locked="0"/>
    </xf>
    <xf numFmtId="177" fontId="13" fillId="0" borderId="14" xfId="0" applyNumberFormat="1" applyFont="1" applyBorder="1" applyAlignment="1" applyProtection="1">
      <alignment horizontal="center" vertical="center" wrapText="1"/>
      <protection locked="0"/>
    </xf>
    <xf numFmtId="177" fontId="13" fillId="0" borderId="15" xfId="0" applyNumberFormat="1" applyFont="1" applyBorder="1" applyAlignment="1" applyProtection="1">
      <alignment horizontal="center" vertical="center" wrapText="1"/>
      <protection locked="0"/>
    </xf>
    <xf numFmtId="177" fontId="13" fillId="0" borderId="23" xfId="0" applyNumberFormat="1" applyFont="1" applyBorder="1" applyAlignment="1" applyProtection="1">
      <alignment horizontal="center" vertical="center" wrapText="1"/>
      <protection locked="0"/>
    </xf>
    <xf numFmtId="177" fontId="13" fillId="0" borderId="76" xfId="0" applyNumberFormat="1" applyFont="1" applyBorder="1" applyAlignment="1" applyProtection="1">
      <alignment horizontal="center" vertical="center" wrapText="1"/>
      <protection locked="0"/>
    </xf>
    <xf numFmtId="177" fontId="13" fillId="0" borderId="77" xfId="0" applyNumberFormat="1" applyFont="1" applyBorder="1" applyAlignment="1" applyProtection="1">
      <alignment horizontal="center" vertical="center" wrapText="1"/>
      <protection locked="0"/>
    </xf>
    <xf numFmtId="177" fontId="13" fillId="0" borderId="72" xfId="0" applyNumberFormat="1" applyFont="1" applyBorder="1" applyAlignment="1" applyProtection="1">
      <alignment horizontal="left" vertical="center" wrapText="1"/>
      <protection locked="0"/>
    </xf>
    <xf numFmtId="177" fontId="13" fillId="0" borderId="73" xfId="0" applyNumberFormat="1" applyFont="1" applyBorder="1" applyAlignment="1" applyProtection="1">
      <alignment horizontal="left" vertical="center" wrapText="1"/>
      <protection locked="0"/>
    </xf>
    <xf numFmtId="177" fontId="13" fillId="0" borderId="73" xfId="0" applyNumberFormat="1" applyFont="1" applyBorder="1" applyAlignment="1" applyProtection="1">
      <alignment horizontal="center" vertical="center" wrapText="1"/>
      <protection locked="0"/>
    </xf>
    <xf numFmtId="177" fontId="13" fillId="0" borderId="78" xfId="0" applyNumberFormat="1" applyFont="1" applyBorder="1" applyAlignment="1" applyProtection="1">
      <alignment horizontal="center" vertical="center" wrapText="1"/>
      <protection locked="0"/>
    </xf>
    <xf numFmtId="177" fontId="13" fillId="3" borderId="31" xfId="0" applyNumberFormat="1" applyFont="1" applyFill="1" applyBorder="1" applyAlignment="1" applyProtection="1">
      <alignment horizontal="center" vertical="center" wrapText="1"/>
      <protection locked="0"/>
    </xf>
    <xf numFmtId="177" fontId="13" fillId="3" borderId="17" xfId="0" applyNumberFormat="1" applyFont="1" applyFill="1" applyBorder="1" applyAlignment="1" applyProtection="1">
      <alignment horizontal="center" vertical="center" wrapText="1"/>
      <protection locked="0"/>
    </xf>
    <xf numFmtId="177" fontId="13" fillId="3" borderId="71" xfId="0" applyNumberFormat="1" applyFont="1" applyFill="1" applyBorder="1" applyAlignment="1" applyProtection="1">
      <alignment horizontal="center" vertical="center" wrapText="1"/>
      <protection locked="0"/>
    </xf>
    <xf numFmtId="177" fontId="44" fillId="3" borderId="65" xfId="0" applyNumberFormat="1" applyFont="1" applyFill="1" applyBorder="1" applyAlignment="1" applyProtection="1">
      <alignment horizontal="center" vertical="center" wrapText="1"/>
      <protection locked="0"/>
    </xf>
    <xf numFmtId="177" fontId="44" fillId="3" borderId="17" xfId="0" applyNumberFormat="1" applyFont="1" applyFill="1" applyBorder="1" applyAlignment="1" applyProtection="1">
      <alignment horizontal="center" vertical="center" wrapText="1"/>
      <protection locked="0"/>
    </xf>
    <xf numFmtId="177" fontId="44" fillId="3" borderId="71" xfId="0" applyNumberFormat="1" applyFont="1" applyFill="1" applyBorder="1" applyAlignment="1" applyProtection="1">
      <alignment horizontal="center" vertical="center" wrapText="1"/>
      <protection locked="0"/>
    </xf>
    <xf numFmtId="177" fontId="13" fillId="0" borderId="74" xfId="0" applyNumberFormat="1" applyFont="1" applyBorder="1" applyAlignment="1" applyProtection="1">
      <alignment horizontal="center" vertical="center" wrapText="1"/>
      <protection locked="0"/>
    </xf>
    <xf numFmtId="177" fontId="13" fillId="0" borderId="35" xfId="0" applyNumberFormat="1" applyFont="1" applyBorder="1" applyAlignment="1" applyProtection="1">
      <alignment horizontal="center" vertical="center" wrapText="1"/>
      <protection locked="0"/>
    </xf>
    <xf numFmtId="177" fontId="13" fillId="0" borderId="75" xfId="0" applyNumberFormat="1" applyFont="1" applyBorder="1" applyAlignment="1" applyProtection="1">
      <alignment horizontal="center" vertical="center" wrapText="1"/>
      <protection locked="0"/>
    </xf>
    <xf numFmtId="177" fontId="13" fillId="3" borderId="67" xfId="0" applyNumberFormat="1" applyFont="1" applyFill="1" applyBorder="1" applyAlignment="1" applyProtection="1">
      <alignment horizontal="center" vertical="center" wrapText="1"/>
      <protection locked="0"/>
    </xf>
    <xf numFmtId="177" fontId="13" fillId="3" borderId="26" xfId="0" applyNumberFormat="1" applyFont="1" applyFill="1" applyBorder="1" applyAlignment="1" applyProtection="1">
      <alignment horizontal="center" vertical="center" wrapText="1"/>
      <protection locked="0"/>
    </xf>
    <xf numFmtId="177" fontId="13" fillId="3" borderId="68" xfId="0" applyNumberFormat="1" applyFont="1" applyFill="1" applyBorder="1" applyAlignment="1" applyProtection="1">
      <alignment horizontal="center" vertical="center" wrapText="1"/>
      <protection locked="0"/>
    </xf>
    <xf numFmtId="177" fontId="13" fillId="3" borderId="65" xfId="0" applyNumberFormat="1" applyFont="1" applyFill="1" applyBorder="1" applyAlignment="1" applyProtection="1">
      <alignment horizontal="center" vertical="center" wrapText="1"/>
      <protection locked="0"/>
    </xf>
    <xf numFmtId="177" fontId="13" fillId="3" borderId="18" xfId="0" applyNumberFormat="1" applyFont="1" applyFill="1" applyBorder="1" applyAlignment="1" applyProtection="1">
      <alignment horizontal="center" vertical="center" wrapText="1"/>
      <protection locked="0"/>
    </xf>
    <xf numFmtId="177" fontId="2" fillId="0" borderId="1" xfId="4" applyNumberFormat="1" applyFont="1" applyFill="1" applyBorder="1" applyAlignment="1">
      <alignment horizontal="center" vertical="center" wrapText="1"/>
    </xf>
    <xf numFmtId="177" fontId="2" fillId="0" borderId="4" xfId="4" applyNumberFormat="1" applyFont="1" applyFill="1" applyBorder="1" applyAlignment="1">
      <alignment horizontal="center" vertical="center" wrapText="1"/>
    </xf>
    <xf numFmtId="177" fontId="13" fillId="0" borderId="58" xfId="0" applyNumberFormat="1" applyFont="1" applyBorder="1" applyAlignment="1" applyProtection="1">
      <alignment horizontal="center" vertical="center" wrapText="1"/>
      <protection locked="0"/>
    </xf>
    <xf numFmtId="177" fontId="13" fillId="0" borderId="56" xfId="0" applyNumberFormat="1" applyFont="1" applyBorder="1" applyAlignment="1" applyProtection="1">
      <alignment horizontal="center" vertical="center" wrapText="1"/>
      <protection locked="0"/>
    </xf>
    <xf numFmtId="177" fontId="13" fillId="0" borderId="66" xfId="0" applyNumberFormat="1" applyFont="1" applyBorder="1" applyAlignment="1" applyProtection="1">
      <alignment horizontal="center" vertical="center" wrapText="1"/>
      <protection locked="0"/>
    </xf>
    <xf numFmtId="177" fontId="13" fillId="0" borderId="67" xfId="0" applyNumberFormat="1" applyFont="1" applyBorder="1" applyAlignment="1" applyProtection="1">
      <alignment horizontal="center" vertical="center" wrapText="1"/>
      <protection locked="0"/>
    </xf>
    <xf numFmtId="177" fontId="13" fillId="0" borderId="26" xfId="0" applyNumberFormat="1" applyFont="1" applyBorder="1" applyAlignment="1" applyProtection="1">
      <alignment horizontal="center" vertical="center" wrapText="1"/>
      <protection locked="0"/>
    </xf>
    <xf numFmtId="177" fontId="13" fillId="0" borderId="68" xfId="0" applyNumberFormat="1" applyFont="1" applyBorder="1" applyAlignment="1" applyProtection="1">
      <alignment horizontal="center" vertical="center" wrapText="1"/>
      <protection locked="0"/>
    </xf>
    <xf numFmtId="177" fontId="13" fillId="0" borderId="69" xfId="0" applyNumberFormat="1" applyFont="1" applyBorder="1" applyAlignment="1" applyProtection="1">
      <alignment horizontal="center" vertical="center" wrapText="1"/>
      <protection locked="0"/>
    </xf>
    <xf numFmtId="177" fontId="13" fillId="0" borderId="20" xfId="0" applyNumberFormat="1" applyFont="1" applyBorder="1" applyAlignment="1" applyProtection="1">
      <alignment horizontal="center" vertical="center" wrapText="1"/>
      <protection locked="0"/>
    </xf>
    <xf numFmtId="177" fontId="13" fillId="0" borderId="27" xfId="0" applyNumberFormat="1" applyFont="1" applyBorder="1" applyAlignment="1" applyProtection="1">
      <alignment horizontal="left" vertical="center" wrapText="1"/>
      <protection locked="0"/>
    </xf>
    <xf numFmtId="177" fontId="13" fillId="0" borderId="7" xfId="0" applyNumberFormat="1" applyFont="1" applyBorder="1" applyAlignment="1" applyProtection="1">
      <alignment horizontal="left" vertical="center" wrapText="1"/>
      <protection locked="0"/>
    </xf>
    <xf numFmtId="177" fontId="13" fillId="0" borderId="70" xfId="0" applyNumberFormat="1" applyFont="1" applyBorder="1" applyAlignment="1" applyProtection="1">
      <alignment horizontal="left" vertical="center" wrapText="1"/>
      <protection locked="0"/>
    </xf>
    <xf numFmtId="184" fontId="15" fillId="0" borderId="8" xfId="4" applyNumberFormat="1" applyFont="1" applyBorder="1" applyAlignment="1">
      <alignment horizontal="center"/>
    </xf>
    <xf numFmtId="184" fontId="15" fillId="5" borderId="26" xfId="4" applyNumberFormat="1" applyFont="1" applyFill="1" applyBorder="1" applyAlignment="1">
      <alignment horizontal="center"/>
    </xf>
    <xf numFmtId="184" fontId="16" fillId="0" borderId="0" xfId="4" applyNumberFormat="1" applyFont="1" applyAlignment="1">
      <alignment horizontal="center"/>
    </xf>
    <xf numFmtId="184" fontId="19" fillId="0" borderId="7" xfId="4" applyNumberFormat="1" applyFont="1" applyBorder="1" applyAlignment="1">
      <alignment horizontal="left"/>
    </xf>
    <xf numFmtId="184" fontId="20" fillId="0" borderId="7" xfId="4" applyNumberFormat="1" applyFont="1" applyBorder="1" applyAlignment="1">
      <alignment horizontal="left"/>
    </xf>
    <xf numFmtId="184" fontId="15" fillId="5" borderId="7" xfId="4" applyNumberFormat="1" applyFont="1" applyFill="1" applyBorder="1" applyAlignment="1">
      <alignment horizontal="center"/>
    </xf>
    <xf numFmtId="0" fontId="7" fillId="0" borderId="0" xfId="0" applyFont="1" applyBorder="1" applyAlignment="1">
      <alignment horizontal="center"/>
    </xf>
    <xf numFmtId="180" fontId="7" fillId="0" borderId="0" xfId="0" applyNumberFormat="1" applyFont="1" applyBorder="1" applyAlignment="1">
      <alignment horizontal="center"/>
    </xf>
    <xf numFmtId="179" fontId="26" fillId="0" borderId="0" xfId="4" applyNumberFormat="1" applyFont="1" applyAlignment="1">
      <alignment horizontal="center"/>
    </xf>
    <xf numFmtId="179" fontId="13" fillId="3" borderId="9" xfId="4" applyNumberFormat="1" applyFont="1" applyFill="1" applyBorder="1" applyAlignment="1">
      <alignment horizontal="center" vertical="center"/>
    </xf>
    <xf numFmtId="179" fontId="13" fillId="3" borderId="5" xfId="4" applyNumberFormat="1" applyFont="1" applyFill="1" applyBorder="1" applyAlignment="1">
      <alignment horizontal="center" vertical="center"/>
    </xf>
    <xf numFmtId="179" fontId="13" fillId="3" borderId="1" xfId="4" applyNumberFormat="1" applyFont="1" applyFill="1" applyBorder="1" applyAlignment="1">
      <alignment horizontal="center"/>
    </xf>
    <xf numFmtId="179" fontId="13" fillId="3" borderId="7" xfId="4" applyNumberFormat="1" applyFont="1" applyFill="1" applyBorder="1" applyAlignment="1">
      <alignment horizontal="center"/>
    </xf>
    <xf numFmtId="0" fontId="15" fillId="10" borderId="1" xfId="2" applyFont="1" applyFill="1" applyBorder="1" applyAlignment="1">
      <alignment horizontal="center"/>
    </xf>
    <xf numFmtId="0" fontId="15" fillId="10" borderId="7" xfId="2" applyFont="1" applyFill="1" applyBorder="1" applyAlignment="1">
      <alignment horizontal="center"/>
    </xf>
    <xf numFmtId="0" fontId="15" fillId="10" borderId="4" xfId="2" applyFont="1" applyFill="1" applyBorder="1" applyAlignment="1">
      <alignment horizontal="center"/>
    </xf>
    <xf numFmtId="0" fontId="16" fillId="0" borderId="0" xfId="2" applyFont="1" applyFill="1" applyAlignment="1">
      <alignment horizontal="center"/>
    </xf>
    <xf numFmtId="9" fontId="15" fillId="7" borderId="1" xfId="2" applyNumberFormat="1" applyFont="1" applyFill="1" applyBorder="1" applyAlignment="1">
      <alignment horizontal="center"/>
    </xf>
    <xf numFmtId="9" fontId="15" fillId="7" borderId="7" xfId="2" applyNumberFormat="1" applyFont="1" applyFill="1" applyBorder="1" applyAlignment="1">
      <alignment horizontal="center"/>
    </xf>
    <xf numFmtId="9" fontId="15" fillId="7" borderId="4" xfId="2" applyNumberFormat="1" applyFont="1" applyFill="1" applyBorder="1" applyAlignment="1">
      <alignment horizontal="center"/>
    </xf>
    <xf numFmtId="0" fontId="13" fillId="0" borderId="9" xfId="2" applyFont="1" applyFill="1" applyBorder="1" applyAlignment="1">
      <alignment horizontal="left" vertical="center" wrapText="1"/>
    </xf>
    <xf numFmtId="0" fontId="13" fillId="0" borderId="5" xfId="2" applyFont="1" applyFill="1" applyBorder="1" applyAlignment="1">
      <alignment horizontal="left" vertical="center" wrapText="1"/>
    </xf>
    <xf numFmtId="0" fontId="13" fillId="0" borderId="9" xfId="2" applyFont="1" applyFill="1" applyBorder="1" applyAlignment="1">
      <alignment horizontal="center" vertical="center" wrapText="1"/>
    </xf>
    <xf numFmtId="0" fontId="18" fillId="0" borderId="5" xfId="2" applyFont="1" applyFill="1" applyBorder="1" applyAlignment="1">
      <alignment horizontal="center" vertical="center" wrapText="1"/>
    </xf>
    <xf numFmtId="0" fontId="13" fillId="0" borderId="2" xfId="2" applyFont="1" applyFill="1" applyBorder="1" applyAlignment="1">
      <alignment horizontal="center" vertical="center" wrapText="1"/>
    </xf>
    <xf numFmtId="0" fontId="13" fillId="0" borderId="2" xfId="0" applyFont="1" applyFill="1" applyBorder="1" applyAlignment="1">
      <alignment horizontal="center" vertical="center"/>
    </xf>
    <xf numFmtId="0" fontId="18" fillId="0" borderId="2" xfId="0" applyFont="1" applyFill="1" applyBorder="1" applyAlignment="1">
      <alignment horizontal="center" vertical="center"/>
    </xf>
    <xf numFmtId="0" fontId="13" fillId="0" borderId="5" xfId="2" applyFont="1" applyFill="1" applyBorder="1" applyAlignment="1">
      <alignment horizontal="center" vertical="center" wrapText="1"/>
    </xf>
    <xf numFmtId="0" fontId="7" fillId="0" borderId="39" xfId="0" applyFont="1" applyBorder="1" applyAlignment="1">
      <alignment horizontal="center"/>
    </xf>
    <xf numFmtId="0" fontId="7" fillId="0" borderId="39" xfId="0" applyFont="1" applyBorder="1" applyAlignment="1">
      <alignment horizontal="center" vertical="top" wrapText="1"/>
    </xf>
    <xf numFmtId="0" fontId="7" fillId="0" borderId="80" xfId="0" applyFont="1" applyBorder="1" applyAlignment="1">
      <alignment horizontal="center" vertical="center" wrapText="1"/>
    </xf>
    <xf numFmtId="0" fontId="7" fillId="0" borderId="81" xfId="0" applyFont="1" applyBorder="1" applyAlignment="1">
      <alignment horizontal="center" vertical="center" wrapText="1"/>
    </xf>
    <xf numFmtId="0" fontId="7" fillId="0" borderId="82" xfId="0" applyFont="1" applyBorder="1" applyAlignment="1">
      <alignment horizontal="center" vertical="center" wrapText="1"/>
    </xf>
    <xf numFmtId="180" fontId="7" fillId="0" borderId="39" xfId="0" applyNumberFormat="1" applyFont="1" applyBorder="1" applyAlignment="1">
      <alignment horizontal="center" vertical="top" wrapText="1"/>
    </xf>
    <xf numFmtId="188" fontId="7" fillId="0" borderId="39" xfId="0" applyNumberFormat="1" applyFont="1" applyBorder="1" applyAlignment="1">
      <alignment horizontal="center" vertical="top" wrapText="1"/>
    </xf>
  </cellXfs>
  <cellStyles count="5">
    <cellStyle name="百分比" xfId="1" builtinId="5"/>
    <cellStyle name="常规" xfId="0" builtinId="0"/>
    <cellStyle name="常规_房地产税种" xfId="2"/>
    <cellStyle name="超链接" xfId="3" builtinId="8"/>
    <cellStyle name="千位分隔" xfId="4"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8.1865284974093261E-2"/>
          <c:y val="9.1819699499165269E-2"/>
          <c:w val="0.89119170984455953"/>
          <c:h val="0.86978297161936557"/>
        </c:manualLayout>
      </c:layout>
      <c:barChart>
        <c:barDir val="col"/>
        <c:grouping val="clustered"/>
        <c:ser>
          <c:idx val="0"/>
          <c:order val="0"/>
          <c:tx>
            <c:strRef>
              <c:f>项目现金流量图!$B$2</c:f>
              <c:strCache>
                <c:ptCount val="1"/>
                <c:pt idx="0">
                  <c:v>现金流入</c:v>
                </c:pt>
              </c:strCache>
            </c:strRef>
          </c:tx>
          <c:spPr>
            <a:solidFill>
              <a:srgbClr val="9999FF"/>
            </a:solidFill>
            <a:ln w="12700">
              <a:solidFill>
                <a:srgbClr val="000000"/>
              </a:solidFill>
              <a:prstDash val="solid"/>
            </a:ln>
          </c:spPr>
          <c:cat>
            <c:strRef>
              <c:f>项目现金流量图!$C$1:$V$1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项目现金流量图!$C$2:$V$2</c:f>
              <c:numCache>
                <c:formatCode>General</c:formatCode>
                <c:ptCount val="20"/>
                <c:pt idx="0">
                  <c:v>0</c:v>
                </c:pt>
                <c:pt idx="1">
                  <c:v>0</c:v>
                </c:pt>
                <c:pt idx="2">
                  <c:v>0</c:v>
                </c:pt>
                <c:pt idx="3">
                  <c:v>0</c:v>
                </c:pt>
                <c:pt idx="4">
                  <c:v>31100</c:v>
                </c:pt>
                <c:pt idx="5">
                  <c:v>26435</c:v>
                </c:pt>
                <c:pt idx="6">
                  <c:v>17105</c:v>
                </c:pt>
                <c:pt idx="7">
                  <c:v>29136.755789473689</c:v>
                </c:pt>
                <c:pt idx="8">
                  <c:v>23372.026698947368</c:v>
                </c:pt>
                <c:pt idx="9">
                  <c:v>15459.892938947371</c:v>
                </c:pt>
                <c:pt idx="10">
                  <c:v>30308.716063759413</c:v>
                </c:pt>
                <c:pt idx="11">
                  <c:v>23373.152472721813</c:v>
                </c:pt>
                <c:pt idx="12">
                  <c:v>16003.734987204818</c:v>
                </c:pt>
                <c:pt idx="13">
                  <c:v>2969.7652553575954</c:v>
                </c:pt>
                <c:pt idx="14">
                  <c:v>0</c:v>
                </c:pt>
                <c:pt idx="15">
                  <c:v>0</c:v>
                </c:pt>
                <c:pt idx="16">
                  <c:v>0</c:v>
                </c:pt>
                <c:pt idx="17">
                  <c:v>0</c:v>
                </c:pt>
                <c:pt idx="18">
                  <c:v>0</c:v>
                </c:pt>
                <c:pt idx="19">
                  <c:v>0</c:v>
                </c:pt>
              </c:numCache>
            </c:numRef>
          </c:val>
        </c:ser>
        <c:ser>
          <c:idx val="1"/>
          <c:order val="1"/>
          <c:tx>
            <c:strRef>
              <c:f>项目现金流量图!$B$3</c:f>
              <c:strCache>
                <c:ptCount val="1"/>
                <c:pt idx="0">
                  <c:v>现金流出</c:v>
                </c:pt>
              </c:strCache>
            </c:strRef>
          </c:tx>
          <c:spPr>
            <a:solidFill>
              <a:srgbClr val="993366"/>
            </a:solidFill>
            <a:ln w="12700">
              <a:solidFill>
                <a:srgbClr val="000000"/>
              </a:solidFill>
              <a:prstDash val="solid"/>
            </a:ln>
          </c:spPr>
          <c:cat>
            <c:strRef>
              <c:f>项目现金流量图!$C$1:$V$1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项目现金流量图!$C$3:$V$3</c:f>
              <c:numCache>
                <c:formatCode>General</c:formatCode>
                <c:ptCount val="20"/>
                <c:pt idx="0">
                  <c:v>23000</c:v>
                </c:pt>
                <c:pt idx="1">
                  <c:v>6489.3973413949498</c:v>
                </c:pt>
                <c:pt idx="2">
                  <c:v>17994.90386901336</c:v>
                </c:pt>
                <c:pt idx="3">
                  <c:v>7994.9038690133648</c:v>
                </c:pt>
                <c:pt idx="4">
                  <c:v>14551.623843368194</c:v>
                </c:pt>
                <c:pt idx="5">
                  <c:v>9753.9350719496888</c:v>
                </c:pt>
                <c:pt idx="6">
                  <c:v>18447.249712288783</c:v>
                </c:pt>
                <c:pt idx="7">
                  <c:v>15406.471456448211</c:v>
                </c:pt>
                <c:pt idx="8">
                  <c:v>17007.519546236479</c:v>
                </c:pt>
                <c:pt idx="9">
                  <c:v>7398.2685468548407</c:v>
                </c:pt>
                <c:pt idx="10">
                  <c:v>17012.318404239821</c:v>
                </c:pt>
                <c:pt idx="11">
                  <c:v>4640.6362091889223</c:v>
                </c:pt>
                <c:pt idx="12">
                  <c:v>2199.9234843053155</c:v>
                </c:pt>
                <c:pt idx="13">
                  <c:v>1098.553041964225</c:v>
                </c:pt>
                <c:pt idx="14">
                  <c:v>847.60787788650828</c:v>
                </c:pt>
                <c:pt idx="15">
                  <c:v>1015.3936724110836</c:v>
                </c:pt>
                <c:pt idx="16">
                  <c:v>0</c:v>
                </c:pt>
                <c:pt idx="17">
                  <c:v>0</c:v>
                </c:pt>
                <c:pt idx="18">
                  <c:v>0</c:v>
                </c:pt>
                <c:pt idx="19">
                  <c:v>0</c:v>
                </c:pt>
              </c:numCache>
            </c:numRef>
          </c:val>
        </c:ser>
        <c:axId val="84587648"/>
        <c:axId val="84589184"/>
      </c:barChart>
      <c:lineChart>
        <c:grouping val="standard"/>
        <c:ser>
          <c:idx val="2"/>
          <c:order val="2"/>
          <c:tx>
            <c:strRef>
              <c:f>项目现金流量图!$B$4</c:f>
              <c:strCache>
                <c:ptCount val="1"/>
                <c:pt idx="0">
                  <c:v>累计净流量</c:v>
                </c:pt>
              </c:strCache>
            </c:strRef>
          </c:tx>
          <c:spPr>
            <a:ln w="12700">
              <a:solidFill>
                <a:srgbClr val="FFCC00"/>
              </a:solidFill>
              <a:prstDash val="solid"/>
            </a:ln>
          </c:spPr>
          <c:marker>
            <c:symbol val="triangle"/>
            <c:size val="5"/>
            <c:spPr>
              <a:solidFill>
                <a:srgbClr val="FFCC00"/>
              </a:solidFill>
              <a:ln>
                <a:solidFill>
                  <a:srgbClr val="FFCC00"/>
                </a:solidFill>
                <a:prstDash val="solid"/>
              </a:ln>
            </c:spPr>
          </c:marker>
          <c:dLbls>
            <c:numFmt formatCode="0_ " sourceLinked="0"/>
            <c:spPr>
              <a:noFill/>
              <a:ln w="25400">
                <a:noFill/>
              </a:ln>
            </c:spPr>
            <c:txPr>
              <a:bodyPr/>
              <a:lstStyle/>
              <a:p>
                <a:pPr>
                  <a:defRPr sz="1000" b="0" i="0" u="none" strike="noStrike" baseline="0">
                    <a:solidFill>
                      <a:srgbClr val="000000"/>
                    </a:solidFill>
                    <a:latin typeface="宋体"/>
                    <a:ea typeface="宋体"/>
                    <a:cs typeface="宋体"/>
                  </a:defRPr>
                </a:pPr>
                <a:endParaRPr lang="zh-CN"/>
              </a:p>
            </c:txPr>
            <c:showVal val="1"/>
          </c:dLbls>
          <c:cat>
            <c:strRef>
              <c:f>项目现金流量图!$C$1:$V$1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项目现金流量图!$C$4:$V$4</c:f>
              <c:numCache>
                <c:formatCode>General</c:formatCode>
                <c:ptCount val="20"/>
                <c:pt idx="0">
                  <c:v>-23000</c:v>
                </c:pt>
                <c:pt idx="1">
                  <c:v>-29489.39734139495</c:v>
                </c:pt>
                <c:pt idx="2">
                  <c:v>-47484.30121040831</c:v>
                </c:pt>
                <c:pt idx="3">
                  <c:v>-55479.205079421678</c:v>
                </c:pt>
                <c:pt idx="4">
                  <c:v>-38930.828922789871</c:v>
                </c:pt>
                <c:pt idx="5">
                  <c:v>-22249.763994739558</c:v>
                </c:pt>
                <c:pt idx="6">
                  <c:v>-23592.013707028342</c:v>
                </c:pt>
                <c:pt idx="7">
                  <c:v>-9861.7293740028636</c:v>
                </c:pt>
                <c:pt idx="8">
                  <c:v>-3497.2222212919751</c:v>
                </c:pt>
                <c:pt idx="9">
                  <c:v>4564.4021708005548</c:v>
                </c:pt>
                <c:pt idx="10">
                  <c:v>17860.799830320146</c:v>
                </c:pt>
                <c:pt idx="11">
                  <c:v>36593.316093853035</c:v>
                </c:pt>
                <c:pt idx="12">
                  <c:v>50397.127596752536</c:v>
                </c:pt>
                <c:pt idx="13">
                  <c:v>52268.33981014591</c:v>
                </c:pt>
                <c:pt idx="14">
                  <c:v>51420.731932259405</c:v>
                </c:pt>
                <c:pt idx="15">
                  <c:v>50405.338259848322</c:v>
                </c:pt>
                <c:pt idx="16">
                  <c:v>50405.338259848322</c:v>
                </c:pt>
                <c:pt idx="17">
                  <c:v>50405.338259848322</c:v>
                </c:pt>
                <c:pt idx="18">
                  <c:v>50405.338259848322</c:v>
                </c:pt>
                <c:pt idx="19">
                  <c:v>50405.338259848322</c:v>
                </c:pt>
              </c:numCache>
            </c:numRef>
          </c:val>
        </c:ser>
        <c:marker val="1"/>
        <c:axId val="84587648"/>
        <c:axId val="84589184"/>
      </c:lineChart>
      <c:catAx>
        <c:axId val="84587648"/>
        <c:scaling>
          <c:orientation val="minMax"/>
        </c:scaling>
        <c:axPos val="b"/>
        <c:numFmt formatCode="0_ " sourceLinked="0"/>
        <c:majorTickMark val="in"/>
        <c:tickLblPos val="nextTo"/>
        <c:spPr>
          <a:ln w="3175">
            <a:solidFill>
              <a:srgbClr val="000000"/>
            </a:solidFill>
            <a:prstDash val="solid"/>
          </a:ln>
        </c:spPr>
        <c:txPr>
          <a:bodyPr rot="-2700000" vert="horz"/>
          <a:lstStyle/>
          <a:p>
            <a:pPr>
              <a:defRPr sz="1000" b="0" i="0" u="none" strike="noStrike" baseline="0">
                <a:solidFill>
                  <a:srgbClr val="000000"/>
                </a:solidFill>
                <a:latin typeface="宋体"/>
                <a:ea typeface="宋体"/>
                <a:cs typeface="宋体"/>
              </a:defRPr>
            </a:pPr>
            <a:endParaRPr lang="zh-CN"/>
          </a:p>
        </c:txPr>
        <c:crossAx val="84589184"/>
        <c:crosses val="autoZero"/>
        <c:auto val="1"/>
        <c:lblAlgn val="ctr"/>
        <c:lblOffset val="100"/>
        <c:tickLblSkip val="1"/>
        <c:tickMarkSkip val="1"/>
      </c:catAx>
      <c:valAx>
        <c:axId val="84589184"/>
        <c:scaling>
          <c:orientation val="minMax"/>
        </c:scaling>
        <c:axPos val="l"/>
        <c:numFmt formatCode="General" sourceLinked="1"/>
        <c:majorTickMark val="in"/>
        <c:tickLblPos val="nextTo"/>
        <c:spPr>
          <a:ln w="3175">
            <a:solidFill>
              <a:srgbClr val="000000"/>
            </a:solidFill>
            <a:prstDash val="solid"/>
          </a:ln>
        </c:spPr>
        <c:txPr>
          <a:bodyPr rot="0" vert="horz"/>
          <a:lstStyle/>
          <a:p>
            <a:pPr>
              <a:defRPr sz="1000" b="0" i="0" u="none" strike="noStrike" baseline="0">
                <a:solidFill>
                  <a:srgbClr val="000000"/>
                </a:solidFill>
                <a:latin typeface="宋体"/>
                <a:ea typeface="宋体"/>
                <a:cs typeface="宋体"/>
              </a:defRPr>
            </a:pPr>
            <a:endParaRPr lang="zh-CN"/>
          </a:p>
        </c:txPr>
        <c:crossAx val="84587648"/>
        <c:crosses val="autoZero"/>
        <c:crossBetween val="between"/>
      </c:valAx>
      <c:spPr>
        <a:noFill/>
        <a:ln w="25400">
          <a:noFill/>
        </a:ln>
      </c:spPr>
    </c:plotArea>
    <c:legend>
      <c:legendPos val="t"/>
      <c:layout>
        <c:manualLayout>
          <c:xMode val="edge"/>
          <c:yMode val="edge"/>
          <c:x val="0.26217616580310882"/>
          <c:y val="8.3472454090150246E-3"/>
          <c:w val="0.50051813471502593"/>
          <c:h val="6.0100166944908183E-2"/>
        </c:manualLayout>
      </c:layout>
      <c:spPr>
        <a:solidFill>
          <a:srgbClr val="FFFFFF"/>
        </a:solidFill>
        <a:ln w="25400">
          <a:noFill/>
        </a:ln>
      </c:spPr>
      <c:txPr>
        <a:bodyPr/>
        <a:lstStyle/>
        <a:p>
          <a:pPr>
            <a:defRPr sz="920" b="0" i="0" u="none" strike="noStrike" baseline="0">
              <a:solidFill>
                <a:srgbClr val="000000"/>
              </a:solidFill>
              <a:latin typeface="宋体"/>
              <a:ea typeface="宋体"/>
              <a:cs typeface="宋体"/>
            </a:defRPr>
          </a:pPr>
          <a:endParaRPr lang="zh-CN"/>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7.0987725641924709E-2"/>
          <c:y val="7.9124709209131033E-2"/>
          <c:w val="0.90020666574904529"/>
          <c:h val="0.88047282800799009"/>
        </c:manualLayout>
      </c:layout>
      <c:barChart>
        <c:barDir val="col"/>
        <c:grouping val="clustered"/>
        <c:ser>
          <c:idx val="0"/>
          <c:order val="0"/>
          <c:tx>
            <c:strRef>
              <c:f>资金组织流量图!$A$2</c:f>
              <c:strCache>
                <c:ptCount val="1"/>
                <c:pt idx="0">
                  <c:v>自有资金</c:v>
                </c:pt>
              </c:strCache>
            </c:strRef>
          </c:tx>
          <c:spPr>
            <a:solidFill>
              <a:srgbClr val="9999FF"/>
            </a:solidFill>
            <a:ln w="12700">
              <a:solidFill>
                <a:srgbClr val="000000"/>
              </a:solidFill>
              <a:prstDash val="solid"/>
            </a:ln>
          </c:spPr>
          <c:cat>
            <c:strRef>
              <c:f>资金组织流量图!$B$1:$U$1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资金组织流量图!$B$2:$U$2</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1"/>
          <c:order val="1"/>
          <c:tx>
            <c:strRef>
              <c:f>资金组织流量图!$A$3</c:f>
              <c:strCache>
                <c:ptCount val="1"/>
                <c:pt idx="0">
                  <c:v>策略联盟</c:v>
                </c:pt>
              </c:strCache>
            </c:strRef>
          </c:tx>
          <c:spPr>
            <a:solidFill>
              <a:srgbClr val="993366"/>
            </a:solidFill>
            <a:ln w="12700">
              <a:solidFill>
                <a:srgbClr val="000000"/>
              </a:solidFill>
              <a:prstDash val="solid"/>
            </a:ln>
          </c:spPr>
          <c:cat>
            <c:strRef>
              <c:f>资金组织流量图!$B$1:$U$1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资金组织流量图!$B$3:$U$3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2"/>
          <c:order val="2"/>
          <c:tx>
            <c:strRef>
              <c:f>资金组织流量图!$A$4</c:f>
              <c:strCache>
                <c:ptCount val="1"/>
                <c:pt idx="0">
                  <c:v>夹层融资</c:v>
                </c:pt>
              </c:strCache>
            </c:strRef>
          </c:tx>
          <c:spPr>
            <a:solidFill>
              <a:srgbClr val="FFFFCC"/>
            </a:solidFill>
            <a:ln w="12700">
              <a:solidFill>
                <a:srgbClr val="000000"/>
              </a:solidFill>
              <a:prstDash val="solid"/>
            </a:ln>
          </c:spPr>
          <c:cat>
            <c:strRef>
              <c:f>资金组织流量图!$B$1:$U$1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资金组织流量图!$B$4:$U$4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ser>
          <c:idx val="3"/>
          <c:order val="3"/>
          <c:tx>
            <c:strRef>
              <c:f>资金组织流量图!$A$5</c:f>
              <c:strCache>
                <c:ptCount val="1"/>
                <c:pt idx="0">
                  <c:v>银行贷款</c:v>
                </c:pt>
              </c:strCache>
            </c:strRef>
          </c:tx>
          <c:spPr>
            <a:solidFill>
              <a:srgbClr val="CCFFFF"/>
            </a:solidFill>
            <a:ln w="12700">
              <a:solidFill>
                <a:srgbClr val="000000"/>
              </a:solidFill>
              <a:prstDash val="solid"/>
            </a:ln>
          </c:spPr>
          <c:cat>
            <c:strRef>
              <c:f>资金组织流量图!$B$1:$U$1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资金组织流量图!$B$5:$U$5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axId val="85109376"/>
        <c:axId val="85119360"/>
      </c:barChart>
      <c:lineChart>
        <c:grouping val="standard"/>
        <c:ser>
          <c:idx val="4"/>
          <c:order val="4"/>
          <c:tx>
            <c:strRef>
              <c:f>资金组织流量图!$A$6</c:f>
              <c:strCache>
                <c:ptCount val="1"/>
                <c:pt idx="0">
                  <c:v>累计盈余资金</c:v>
                </c:pt>
              </c:strCache>
            </c:strRef>
          </c:tx>
          <c:spPr>
            <a:ln w="12700">
              <a:solidFill>
                <a:srgbClr val="800080"/>
              </a:solidFill>
              <a:prstDash val="solid"/>
            </a:ln>
          </c:spPr>
          <c:marker>
            <c:symbol val="star"/>
            <c:size val="5"/>
            <c:spPr>
              <a:noFill/>
              <a:ln>
                <a:solidFill>
                  <a:srgbClr val="800080"/>
                </a:solidFill>
                <a:prstDash val="solid"/>
              </a:ln>
            </c:spPr>
          </c:marker>
          <c:dLbls>
            <c:numFmt formatCode="0_ " sourceLinked="0"/>
            <c:spPr>
              <a:noFill/>
              <a:ln w="25400">
                <a:noFill/>
              </a:ln>
            </c:spPr>
            <c:txPr>
              <a:bodyPr/>
              <a:lstStyle/>
              <a:p>
                <a:pPr>
                  <a:defRPr sz="1000" b="0" i="0" u="none" strike="noStrike" baseline="0">
                    <a:solidFill>
                      <a:srgbClr val="000000"/>
                    </a:solidFill>
                    <a:latin typeface="宋体"/>
                    <a:ea typeface="宋体"/>
                    <a:cs typeface="宋体"/>
                  </a:defRPr>
                </a:pPr>
                <a:endParaRPr lang="zh-CN"/>
              </a:p>
            </c:txPr>
            <c:showVal val="1"/>
          </c:dLbls>
          <c:cat>
            <c:strRef>
              <c:f>资金组织流量图!$B$1:$U$1</c:f>
              <c:strCache>
                <c:ptCount val="20"/>
                <c:pt idx="0">
                  <c:v>第1年1季度</c:v>
                </c:pt>
                <c:pt idx="1">
                  <c:v>第1年2季度</c:v>
                </c:pt>
                <c:pt idx="2">
                  <c:v>第1年3季度</c:v>
                </c:pt>
                <c:pt idx="3">
                  <c:v>第1年4季度</c:v>
                </c:pt>
                <c:pt idx="4">
                  <c:v>第2年1季度</c:v>
                </c:pt>
                <c:pt idx="5">
                  <c:v>第2年2季度</c:v>
                </c:pt>
                <c:pt idx="6">
                  <c:v>第2年3季度</c:v>
                </c:pt>
                <c:pt idx="7">
                  <c:v>第2年4季度</c:v>
                </c:pt>
                <c:pt idx="8">
                  <c:v>第3年1季度</c:v>
                </c:pt>
                <c:pt idx="9">
                  <c:v>第3年2季度</c:v>
                </c:pt>
                <c:pt idx="10">
                  <c:v>第3年3季度</c:v>
                </c:pt>
                <c:pt idx="11">
                  <c:v>第3年4季度</c:v>
                </c:pt>
                <c:pt idx="12">
                  <c:v>第4年1季度</c:v>
                </c:pt>
                <c:pt idx="13">
                  <c:v>第4年2季度</c:v>
                </c:pt>
                <c:pt idx="14">
                  <c:v>第4年3季度</c:v>
                </c:pt>
                <c:pt idx="15">
                  <c:v>第4年4季度</c:v>
                </c:pt>
                <c:pt idx="16">
                  <c:v>第5年1季度</c:v>
                </c:pt>
                <c:pt idx="17">
                  <c:v>第5年2季度</c:v>
                </c:pt>
                <c:pt idx="18">
                  <c:v>第5年3季度</c:v>
                </c:pt>
                <c:pt idx="19">
                  <c:v>第5年4季度</c:v>
                </c:pt>
              </c:strCache>
            </c:strRef>
          </c:cat>
          <c:val>
            <c:numRef>
              <c:f>资金组织流量图!$B$6:$U$6</c:f>
              <c:numCache>
                <c:formatCode>General</c:formatCode>
                <c:ptCount val="20"/>
                <c:pt idx="0">
                  <c:v>-23000</c:v>
                </c:pt>
                <c:pt idx="1">
                  <c:v>-29489.39734139495</c:v>
                </c:pt>
                <c:pt idx="2">
                  <c:v>-47484.30121040831</c:v>
                </c:pt>
                <c:pt idx="3">
                  <c:v>-55479.205079421678</c:v>
                </c:pt>
                <c:pt idx="4">
                  <c:v>-38930.828922789871</c:v>
                </c:pt>
                <c:pt idx="5">
                  <c:v>-22249.763994739558</c:v>
                </c:pt>
                <c:pt idx="6">
                  <c:v>-23592.013707028342</c:v>
                </c:pt>
                <c:pt idx="7">
                  <c:v>-9861.7293740028636</c:v>
                </c:pt>
                <c:pt idx="8">
                  <c:v>-3497.2222212919751</c:v>
                </c:pt>
                <c:pt idx="9">
                  <c:v>4564.4021708005548</c:v>
                </c:pt>
                <c:pt idx="10">
                  <c:v>17860.799830320146</c:v>
                </c:pt>
                <c:pt idx="11">
                  <c:v>36593.316093853035</c:v>
                </c:pt>
                <c:pt idx="12">
                  <c:v>50397.127596752536</c:v>
                </c:pt>
                <c:pt idx="13">
                  <c:v>52268.33981014591</c:v>
                </c:pt>
                <c:pt idx="14">
                  <c:v>51420.731932259405</c:v>
                </c:pt>
                <c:pt idx="15">
                  <c:v>50405.338259848322</c:v>
                </c:pt>
                <c:pt idx="16">
                  <c:v>50405.338259848322</c:v>
                </c:pt>
                <c:pt idx="17">
                  <c:v>50405.338259848322</c:v>
                </c:pt>
                <c:pt idx="18">
                  <c:v>50405.338259848322</c:v>
                </c:pt>
                <c:pt idx="19">
                  <c:v>50405.338259848322</c:v>
                </c:pt>
              </c:numCache>
            </c:numRef>
          </c:val>
        </c:ser>
        <c:marker val="1"/>
        <c:axId val="85109376"/>
        <c:axId val="85119360"/>
      </c:lineChart>
      <c:catAx>
        <c:axId val="85109376"/>
        <c:scaling>
          <c:orientation val="minMax"/>
        </c:scaling>
        <c:axPos val="b"/>
        <c:numFmt formatCode="0_ " sourceLinked="0"/>
        <c:majorTickMark val="in"/>
        <c:tickLblPos val="nextTo"/>
        <c:spPr>
          <a:ln w="3175">
            <a:solidFill>
              <a:srgbClr val="000000"/>
            </a:solidFill>
            <a:prstDash val="solid"/>
          </a:ln>
        </c:spPr>
        <c:txPr>
          <a:bodyPr rot="-2700000" vert="horz"/>
          <a:lstStyle/>
          <a:p>
            <a:pPr>
              <a:defRPr sz="1000" b="0" i="0" u="none" strike="noStrike" baseline="0">
                <a:solidFill>
                  <a:srgbClr val="000000"/>
                </a:solidFill>
                <a:latin typeface="宋体"/>
                <a:ea typeface="宋体"/>
                <a:cs typeface="宋体"/>
              </a:defRPr>
            </a:pPr>
            <a:endParaRPr lang="zh-CN"/>
          </a:p>
        </c:txPr>
        <c:crossAx val="85119360"/>
        <c:crosses val="autoZero"/>
        <c:auto val="1"/>
        <c:lblAlgn val="ctr"/>
        <c:lblOffset val="100"/>
        <c:tickLblSkip val="1"/>
        <c:tickMarkSkip val="1"/>
      </c:catAx>
      <c:valAx>
        <c:axId val="85119360"/>
        <c:scaling>
          <c:orientation val="minMax"/>
        </c:scaling>
        <c:axPos val="l"/>
        <c:numFmt formatCode="General" sourceLinked="1"/>
        <c:majorTickMark val="in"/>
        <c:tickLblPos val="nextTo"/>
        <c:spPr>
          <a:ln w="3175">
            <a:solidFill>
              <a:srgbClr val="000000"/>
            </a:solidFill>
            <a:prstDash val="solid"/>
          </a:ln>
        </c:spPr>
        <c:txPr>
          <a:bodyPr rot="0" vert="horz"/>
          <a:lstStyle/>
          <a:p>
            <a:pPr>
              <a:defRPr sz="1000" b="0" i="0" u="none" strike="noStrike" baseline="0">
                <a:solidFill>
                  <a:srgbClr val="000000"/>
                </a:solidFill>
                <a:latin typeface="宋体"/>
                <a:ea typeface="宋体"/>
                <a:cs typeface="宋体"/>
              </a:defRPr>
            </a:pPr>
            <a:endParaRPr lang="zh-CN"/>
          </a:p>
        </c:txPr>
        <c:crossAx val="85109376"/>
        <c:crosses val="autoZero"/>
        <c:crossBetween val="between"/>
      </c:valAx>
      <c:spPr>
        <a:noFill/>
        <a:ln w="25400">
          <a:noFill/>
        </a:ln>
      </c:spPr>
    </c:plotArea>
    <c:legend>
      <c:legendPos val="r"/>
      <c:layout>
        <c:manualLayout>
          <c:xMode val="edge"/>
          <c:yMode val="edge"/>
          <c:x val="0.15946518078983088"/>
          <c:y val="2.0202053415097287E-2"/>
          <c:w val="0.73148221639722422"/>
          <c:h val="4.3771115732710787E-2"/>
        </c:manualLayout>
      </c:layout>
      <c:spPr>
        <a:solidFill>
          <a:srgbClr val="FFFFFF"/>
        </a:solidFill>
        <a:ln w="25400">
          <a:noFill/>
        </a:ln>
      </c:spPr>
      <c:txPr>
        <a:bodyPr/>
        <a:lstStyle/>
        <a:p>
          <a:pPr>
            <a:defRPr sz="920" b="0" i="0" u="none" strike="noStrike" baseline="0">
              <a:solidFill>
                <a:srgbClr val="000000"/>
              </a:solidFill>
              <a:latin typeface="宋体"/>
              <a:ea typeface="宋体"/>
              <a:cs typeface="宋体"/>
            </a:defRPr>
          </a:pPr>
          <a:endParaRPr lang="zh-CN"/>
        </a:p>
      </c:txPr>
    </c:legend>
    <c:plotVisOnly val="1"/>
    <c:dispBlanksAs val="gap"/>
  </c:chart>
  <c:spPr>
    <a:solidFill>
      <a:srgbClr val="FFFFFF"/>
    </a:solidFill>
    <a:ln w="9525">
      <a:noFill/>
    </a:ln>
  </c:spPr>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31</xdr:row>
      <xdr:rowOff>428625</xdr:rowOff>
    </xdr:from>
    <xdr:to>
      <xdr:col>5</xdr:col>
      <xdr:colOff>0</xdr:colOff>
      <xdr:row>31</xdr:row>
      <xdr:rowOff>428625</xdr:rowOff>
    </xdr:to>
    <xdr:sp macro="" textlink="">
      <xdr:nvSpPr>
        <xdr:cNvPr id="3074" name="Line 2"/>
        <xdr:cNvSpPr>
          <a:spLocks noChangeShapeType="1"/>
        </xdr:cNvSpPr>
      </xdr:nvSpPr>
      <xdr:spPr bwMode="auto">
        <a:xfrm>
          <a:off x="5600700" y="6962775"/>
          <a:ext cx="0"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95250</xdr:colOff>
      <xdr:row>31</xdr:row>
      <xdr:rowOff>95250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180975</xdr:colOff>
      <xdr:row>37</xdr:row>
      <xdr:rowOff>19050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37096;&#38376;&#27969;&#31243;\&#22235;&#24211;050105\&#39033;&#30446;&#21487;&#30740;&#32463;&#27982;&#27979;&#31639;-&#32463;&#27982;&#37096;&#20998;&#26041;&#26696;&#65288;&#26041;&#26696;&#20108;&#25105;&#26041;&#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说明"/>
      <sheetName val="填表指引"/>
      <sheetName val="勾稽关系"/>
      <sheetName val="经济指标"/>
      <sheetName val="地价及规划"/>
      <sheetName val="开发节奏"/>
      <sheetName val="成本情况"/>
      <sheetName val="开发销售计划"/>
      <sheetName val="税费说明"/>
      <sheetName val="敏感分析"/>
      <sheetName val="现金流量"/>
      <sheetName val="工程付款节奏"/>
      <sheetName val="土地增值税"/>
      <sheetName val="成本预测表"/>
      <sheetName val="销售计划安排"/>
      <sheetName val="经济效益分析表"/>
      <sheetName val="利润体现表"/>
      <sheetName val="利润测算"/>
      <sheetName val="万科指标"/>
      <sheetName val="1期财务指标"/>
      <sheetName val="资金"/>
    </sheetNames>
    <sheetDataSet>
      <sheetData sheetId="0"/>
      <sheetData sheetId="1"/>
      <sheetData sheetId="2"/>
      <sheetData sheetId="3"/>
      <sheetData sheetId="4"/>
      <sheetData sheetId="5"/>
      <sheetData sheetId="6"/>
      <sheetData sheetId="7">
        <row r="57">
          <cell r="K57">
            <v>3376.0068359544061</v>
          </cell>
          <cell r="L57">
            <v>3368.9064265811708</v>
          </cell>
          <cell r="O57">
            <v>3296.8295936632512</v>
          </cell>
        </row>
      </sheetData>
      <sheetData sheetId="8"/>
      <sheetData sheetId="9">
        <row r="20">
          <cell r="B20">
            <v>0.33</v>
          </cell>
        </row>
      </sheetData>
      <sheetData sheetId="10"/>
      <sheetData sheetId="11">
        <row r="22">
          <cell r="K22">
            <v>11631.369658266713</v>
          </cell>
          <cell r="L22">
            <v>15283.559845987296</v>
          </cell>
          <cell r="M22">
            <v>17786.318172176765</v>
          </cell>
        </row>
      </sheetData>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20"/>
  <sheetViews>
    <sheetView workbookViewId="0">
      <selection activeCell="K27" sqref="K27"/>
    </sheetView>
  </sheetViews>
  <sheetFormatPr defaultRowHeight="12.75"/>
  <cols>
    <col min="1" max="1" width="4.625" style="122" customWidth="1"/>
    <col min="2" max="2" width="9" style="122"/>
    <col min="3" max="3" width="6" style="122" customWidth="1"/>
    <col min="4" max="4" width="9" style="122"/>
    <col min="5" max="5" width="3.5" style="122" customWidth="1"/>
    <col min="6" max="6" width="9" style="122"/>
    <col min="7" max="7" width="8.125" style="122" customWidth="1"/>
    <col min="8" max="8" width="9" style="122"/>
    <col min="9" max="9" width="3.5" style="122" customWidth="1"/>
    <col min="10" max="10" width="9" style="122"/>
    <col min="11" max="11" width="3.25" style="122" customWidth="1"/>
    <col min="12" max="12" width="9" style="122"/>
    <col min="13" max="13" width="8.75" style="122" customWidth="1"/>
    <col min="14" max="16384" width="9" style="122"/>
  </cols>
  <sheetData>
    <row r="1" spans="1:14" ht="22.5">
      <c r="D1" s="123" t="s">
        <v>699</v>
      </c>
    </row>
    <row r="3" spans="1:14">
      <c r="A3" s="124" t="s">
        <v>700</v>
      </c>
      <c r="L3" s="295"/>
      <c r="M3" s="296"/>
    </row>
    <row r="4" spans="1:14">
      <c r="A4" s="153" t="s">
        <v>701</v>
      </c>
      <c r="L4" s="295"/>
      <c r="M4" s="296"/>
    </row>
    <row r="5" spans="1:14">
      <c r="A5" s="153" t="s">
        <v>702</v>
      </c>
      <c r="L5" s="295"/>
      <c r="M5" s="296"/>
    </row>
    <row r="6" spans="1:14">
      <c r="A6" s="153" t="s">
        <v>703</v>
      </c>
      <c r="L6" s="295"/>
      <c r="M6" s="296"/>
    </row>
    <row r="7" spans="1:14">
      <c r="A7" s="153" t="s">
        <v>704</v>
      </c>
      <c r="L7" s="295"/>
      <c r="M7" s="296"/>
    </row>
    <row r="8" spans="1:14">
      <c r="A8" s="448" t="s">
        <v>432</v>
      </c>
      <c r="L8" s="295"/>
      <c r="M8" s="296"/>
    </row>
    <row r="9" spans="1:14">
      <c r="A9" s="153" t="s">
        <v>705</v>
      </c>
      <c r="L9" s="295"/>
      <c r="M9" s="296"/>
    </row>
    <row r="10" spans="1:14">
      <c r="A10" s="153" t="s">
        <v>706</v>
      </c>
      <c r="L10" s="295"/>
      <c r="M10" s="296"/>
    </row>
    <row r="11" spans="1:14">
      <c r="A11" s="153" t="s">
        <v>707</v>
      </c>
      <c r="L11" s="295"/>
      <c r="M11" s="296"/>
      <c r="N11" s="154"/>
    </row>
    <row r="12" spans="1:14">
      <c r="A12" s="153" t="s">
        <v>708</v>
      </c>
      <c r="D12" s="343"/>
      <c r="F12" s="346" t="s">
        <v>709</v>
      </c>
      <c r="H12" s="344"/>
      <c r="J12" s="346" t="s">
        <v>710</v>
      </c>
      <c r="L12" s="295"/>
      <c r="M12" s="296"/>
    </row>
    <row r="13" spans="1:14">
      <c r="A13" s="153" t="s">
        <v>711</v>
      </c>
    </row>
    <row r="14" spans="1:14">
      <c r="A14" s="153" t="s">
        <v>712</v>
      </c>
    </row>
    <row r="15" spans="1:14">
      <c r="A15" s="153" t="s">
        <v>713</v>
      </c>
    </row>
    <row r="16" spans="1:14">
      <c r="A16" s="122" t="s">
        <v>714</v>
      </c>
    </row>
    <row r="17" spans="1:1">
      <c r="A17" s="347" t="s">
        <v>715</v>
      </c>
    </row>
    <row r="18" spans="1:1">
      <c r="A18" s="122" t="s">
        <v>716</v>
      </c>
    </row>
    <row r="19" spans="1:1">
      <c r="A19" s="122" t="s">
        <v>682</v>
      </c>
    </row>
    <row r="20" spans="1:1" ht="13.5" customHeight="1">
      <c r="A20" s="122" t="s">
        <v>683</v>
      </c>
    </row>
  </sheetData>
  <phoneticPr fontId="2" type="noConversion"/>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X249"/>
  <sheetViews>
    <sheetView workbookViewId="0">
      <pane xSplit="2" ySplit="4" topLeftCell="F5" activePane="bottomRight" state="frozen"/>
      <selection pane="topRight" activeCell="C1" sqref="C1"/>
      <selection pane="bottomLeft" activeCell="A5" sqref="A5"/>
      <selection pane="bottomRight" activeCell="B27" sqref="B27"/>
    </sheetView>
  </sheetViews>
  <sheetFormatPr defaultRowHeight="12.75"/>
  <cols>
    <col min="1" max="1" width="20.75" style="17" customWidth="1"/>
    <col min="2" max="2" width="10.125" style="27" customWidth="1"/>
    <col min="3" max="22" width="10.125" style="28" customWidth="1"/>
    <col min="23" max="23" width="9.625" style="17" customWidth="1"/>
    <col min="24" max="16384" width="9" style="17"/>
  </cols>
  <sheetData>
    <row r="1" spans="1:23" ht="20.25" customHeight="1">
      <c r="A1" s="446">
        <v>15</v>
      </c>
      <c r="B1" s="297"/>
      <c r="C1" s="16"/>
      <c r="D1" s="16"/>
      <c r="E1" s="16"/>
      <c r="F1" s="16" t="s">
        <v>602</v>
      </c>
      <c r="G1" s="16"/>
      <c r="H1" s="16"/>
      <c r="I1" s="16"/>
      <c r="J1" s="16"/>
      <c r="K1" s="16"/>
      <c r="L1" s="16"/>
      <c r="M1" s="16"/>
      <c r="N1" s="16"/>
      <c r="O1" s="16"/>
      <c r="P1" s="16"/>
      <c r="Q1" s="16"/>
      <c r="R1" s="16"/>
      <c r="S1" s="16"/>
      <c r="T1" s="16"/>
      <c r="U1" s="16"/>
      <c r="V1" s="16"/>
      <c r="W1" s="32"/>
    </row>
    <row r="2" spans="1:23" s="19" customFormat="1" ht="12.75" customHeight="1">
      <c r="A2" s="18" t="s">
        <v>46</v>
      </c>
      <c r="B2" s="307"/>
      <c r="C2" s="21"/>
      <c r="D2" s="21"/>
      <c r="E2" s="21"/>
      <c r="F2" s="21"/>
      <c r="G2" s="21"/>
      <c r="H2" s="33" t="s">
        <v>62</v>
      </c>
      <c r="I2" s="21"/>
      <c r="J2" s="21"/>
      <c r="K2" s="33" t="s">
        <v>61</v>
      </c>
      <c r="L2" s="21"/>
      <c r="M2" s="21"/>
      <c r="N2" s="21"/>
      <c r="O2" s="21"/>
      <c r="P2" s="21"/>
      <c r="Q2" s="21"/>
      <c r="R2" s="21"/>
      <c r="S2" s="21"/>
      <c r="T2" s="21"/>
      <c r="U2" s="21"/>
      <c r="V2" s="21"/>
    </row>
    <row r="3" spans="1:23" s="21" customFormat="1">
      <c r="A3" s="34" t="s">
        <v>47</v>
      </c>
      <c r="B3" s="20" t="s">
        <v>40</v>
      </c>
      <c r="C3" s="304" t="str">
        <f>开发和销售计划!B3</f>
        <v>第1年1季度</v>
      </c>
      <c r="D3" s="304" t="str">
        <f>开发和销售计划!C3</f>
        <v>第1年2季度</v>
      </c>
      <c r="E3" s="304" t="str">
        <f>开发和销售计划!D3</f>
        <v>第1年3季度</v>
      </c>
      <c r="F3" s="304" t="str">
        <f>开发和销售计划!E3</f>
        <v>第1年4季度</v>
      </c>
      <c r="G3" s="304" t="str">
        <f>开发和销售计划!F3</f>
        <v>第2年1季度</v>
      </c>
      <c r="H3" s="304" t="str">
        <f>开发和销售计划!G3</f>
        <v>第2年2季度</v>
      </c>
      <c r="I3" s="304" t="str">
        <f>开发和销售计划!H3</f>
        <v>第2年3季度</v>
      </c>
      <c r="J3" s="304" t="str">
        <f>开发和销售计划!I3</f>
        <v>第2年4季度</v>
      </c>
      <c r="K3" s="304" t="str">
        <f>开发和销售计划!J3</f>
        <v>第3年1季度</v>
      </c>
      <c r="L3" s="304" t="str">
        <f>开发和销售计划!K3</f>
        <v>第3年2季度</v>
      </c>
      <c r="M3" s="304" t="str">
        <f>开发和销售计划!L3</f>
        <v>第3年3季度</v>
      </c>
      <c r="N3" s="304" t="str">
        <f>开发和销售计划!M3</f>
        <v>第3年4季度</v>
      </c>
      <c r="O3" s="304" t="str">
        <f>开发和销售计划!N3</f>
        <v>第4年1季度</v>
      </c>
      <c r="P3" s="304" t="str">
        <f>开发和销售计划!O3</f>
        <v>第4年2季度</v>
      </c>
      <c r="Q3" s="304" t="str">
        <f>开发和销售计划!P3</f>
        <v>第4年3季度</v>
      </c>
      <c r="R3" s="304" t="str">
        <f>开发和销售计划!Q3</f>
        <v>第4年4季度</v>
      </c>
      <c r="S3" s="304" t="str">
        <f>开发和销售计划!R3</f>
        <v>第5年1季度</v>
      </c>
      <c r="T3" s="304" t="str">
        <f>开发和销售计划!S3</f>
        <v>第5年2季度</v>
      </c>
      <c r="U3" s="304" t="str">
        <f>开发和销售计划!T3</f>
        <v>第5年3季度</v>
      </c>
      <c r="V3" s="304" t="str">
        <f>开发和销售计划!U3</f>
        <v>第5年4季度</v>
      </c>
    </row>
    <row r="4" spans="1:23">
      <c r="A4" s="36" t="s">
        <v>63</v>
      </c>
      <c r="B4" s="115"/>
      <c r="C4" s="308"/>
      <c r="D4" s="308"/>
      <c r="E4" s="308"/>
      <c r="F4" s="308"/>
      <c r="G4" s="308"/>
      <c r="H4" s="309"/>
      <c r="I4" s="309"/>
      <c r="J4" s="309"/>
      <c r="K4" s="309"/>
      <c r="L4" s="37"/>
      <c r="M4" s="37"/>
      <c r="N4" s="37"/>
      <c r="O4" s="37"/>
      <c r="P4" s="37"/>
      <c r="Q4" s="37"/>
      <c r="R4" s="37"/>
      <c r="S4" s="37"/>
      <c r="T4" s="37"/>
      <c r="U4" s="37"/>
      <c r="V4" s="300"/>
    </row>
    <row r="5" spans="1:23" s="72" customFormat="1" ht="15.75" customHeight="1">
      <c r="A5" s="121" t="s">
        <v>64</v>
      </c>
      <c r="B5" s="115">
        <f>SUM(C5:V5)</f>
        <v>335665.88300751883</v>
      </c>
      <c r="C5" s="310">
        <f>开发和销售计划!B26</f>
        <v>0</v>
      </c>
      <c r="D5" s="310">
        <f>开发和销售计划!C26</f>
        <v>0</v>
      </c>
      <c r="E5" s="310">
        <f>开发和销售计划!D26</f>
        <v>0</v>
      </c>
      <c r="F5" s="310">
        <f>开发和销售计划!E26</f>
        <v>0</v>
      </c>
      <c r="G5" s="310">
        <f>开发和销售计划!F26</f>
        <v>60000</v>
      </c>
      <c r="H5" s="310">
        <f>开发和销售计划!G26</f>
        <v>36000</v>
      </c>
      <c r="I5" s="310">
        <f>开发和销售计划!H26</f>
        <v>24000</v>
      </c>
      <c r="J5" s="310">
        <f>开发和销售计划!I26</f>
        <v>56097.407894736847</v>
      </c>
      <c r="K5" s="310">
        <f>开发和销售计划!J26</f>
        <v>33658.44473684211</v>
      </c>
      <c r="L5" s="310">
        <f>开发和销售计划!K26</f>
        <v>22438.963157894737</v>
      </c>
      <c r="M5" s="310">
        <f>开发和销售计划!L26</f>
        <v>51735.533609022561</v>
      </c>
      <c r="N5" s="310">
        <f>开发和销售计划!M26</f>
        <v>31041.320165413537</v>
      </c>
      <c r="O5" s="310">
        <f>开发和销售计划!N26</f>
        <v>20694.213443609027</v>
      </c>
      <c r="P5" s="310">
        <f>开发和销售计划!O26</f>
        <v>0</v>
      </c>
      <c r="Q5" s="310">
        <f>开发和销售计划!P26</f>
        <v>0</v>
      </c>
      <c r="R5" s="310">
        <f>开发和销售计划!Q26</f>
        <v>0</v>
      </c>
      <c r="S5" s="310">
        <f>开发和销售计划!R26</f>
        <v>0</v>
      </c>
      <c r="T5" s="310">
        <f>开发和销售计划!S26</f>
        <v>0</v>
      </c>
      <c r="U5" s="310">
        <f>开发和销售计划!T26</f>
        <v>0</v>
      </c>
      <c r="V5" s="310">
        <f>开发和销售计划!U26</f>
        <v>0</v>
      </c>
    </row>
    <row r="6" spans="1:23" s="72" customFormat="1">
      <c r="A6" s="87" t="s">
        <v>65</v>
      </c>
      <c r="B6" s="115">
        <f>SUM(C6:V6)</f>
        <v>215264.04420641201</v>
      </c>
      <c r="C6" s="115">
        <f>开发和销售计划!B49</f>
        <v>0</v>
      </c>
      <c r="D6" s="115">
        <f>开发和销售计划!C49</f>
        <v>0</v>
      </c>
      <c r="E6" s="115">
        <f>开发和销售计划!D49</f>
        <v>0</v>
      </c>
      <c r="F6" s="115">
        <f>开发和销售计划!E49</f>
        <v>0</v>
      </c>
      <c r="G6" s="115">
        <f>开发和销售计划!F49</f>
        <v>38875</v>
      </c>
      <c r="H6" s="115">
        <f>开发和销售计划!G49</f>
        <v>23325</v>
      </c>
      <c r="I6" s="115">
        <f>开发和销售计划!H49</f>
        <v>15550</v>
      </c>
      <c r="J6" s="115">
        <f>开发和销售计划!I49</f>
        <v>32533.44473684211</v>
      </c>
      <c r="K6" s="115">
        <f>开发和销售计划!J49</f>
        <v>21081.672189473684</v>
      </c>
      <c r="L6" s="115">
        <f>开发和销售计划!K49</f>
        <v>14054.44812631579</v>
      </c>
      <c r="M6" s="115">
        <f>开发和销售计划!L49</f>
        <v>34372.283048120313</v>
      </c>
      <c r="N6" s="115">
        <f>开发和销售计划!M49</f>
        <v>20623.369828872186</v>
      </c>
      <c r="O6" s="115">
        <f>开发和销售计划!N49</f>
        <v>14848.826276787975</v>
      </c>
      <c r="P6" s="115">
        <f>开发和销售计划!O49</f>
        <v>0</v>
      </c>
      <c r="Q6" s="115">
        <f>开发和销售计划!P49</f>
        <v>0</v>
      </c>
      <c r="R6" s="115">
        <f>开发和销售计划!Q49</f>
        <v>0</v>
      </c>
      <c r="S6" s="115">
        <f>开发和销售计划!R49</f>
        <v>0</v>
      </c>
      <c r="T6" s="115">
        <f>开发和销售计划!S49</f>
        <v>0</v>
      </c>
      <c r="U6" s="115">
        <f>开发和销售计划!T49</f>
        <v>0</v>
      </c>
      <c r="V6" s="115">
        <f>开发和销售计划!U49</f>
        <v>0</v>
      </c>
    </row>
    <row r="7" spans="1:23" s="72" customFormat="1">
      <c r="A7" s="87" t="s">
        <v>66</v>
      </c>
      <c r="B7" s="115">
        <f>SUM(C7:V7)</f>
        <v>215264.04420641204</v>
      </c>
      <c r="C7" s="115">
        <f>C6*80%</f>
        <v>0</v>
      </c>
      <c r="D7" s="115">
        <f>D6*80%+C6*20%</f>
        <v>0</v>
      </c>
      <c r="E7" s="115">
        <f t="shared" ref="E7:U7" si="0">E6*80%+D6*20%</f>
        <v>0</v>
      </c>
      <c r="F7" s="115">
        <f t="shared" si="0"/>
        <v>0</v>
      </c>
      <c r="G7" s="115">
        <f t="shared" si="0"/>
        <v>31100</v>
      </c>
      <c r="H7" s="115">
        <f t="shared" si="0"/>
        <v>26435</v>
      </c>
      <c r="I7" s="115">
        <f t="shared" si="0"/>
        <v>17105</v>
      </c>
      <c r="J7" s="115">
        <f t="shared" si="0"/>
        <v>29136.755789473689</v>
      </c>
      <c r="K7" s="115">
        <f t="shared" si="0"/>
        <v>23372.026698947368</v>
      </c>
      <c r="L7" s="115">
        <f t="shared" si="0"/>
        <v>15459.892938947371</v>
      </c>
      <c r="M7" s="115">
        <f t="shared" si="0"/>
        <v>30308.716063759413</v>
      </c>
      <c r="N7" s="115">
        <f t="shared" si="0"/>
        <v>23373.152472721813</v>
      </c>
      <c r="O7" s="115">
        <f t="shared" ref="O7:T7" si="1">O6*80%+N6*20%</f>
        <v>16003.734987204818</v>
      </c>
      <c r="P7" s="115">
        <f t="shared" si="1"/>
        <v>2969.7652553575954</v>
      </c>
      <c r="Q7" s="115">
        <f t="shared" si="1"/>
        <v>0</v>
      </c>
      <c r="R7" s="115">
        <f t="shared" si="1"/>
        <v>0</v>
      </c>
      <c r="S7" s="115">
        <f t="shared" si="1"/>
        <v>0</v>
      </c>
      <c r="T7" s="115">
        <f t="shared" si="1"/>
        <v>0</v>
      </c>
      <c r="U7" s="115">
        <f t="shared" si="0"/>
        <v>0</v>
      </c>
      <c r="V7" s="115">
        <f>V6+U6*20%</f>
        <v>0</v>
      </c>
    </row>
    <row r="8" spans="1:23">
      <c r="A8" s="305" t="s">
        <v>67</v>
      </c>
      <c r="B8" s="306">
        <f>SUM(C8:V8)</f>
        <v>215264.04420641204</v>
      </c>
      <c r="C8" s="306">
        <f t="shared" ref="C8:V8" si="2">SUM(C7:C7)</f>
        <v>0</v>
      </c>
      <c r="D8" s="306">
        <f t="shared" si="2"/>
        <v>0</v>
      </c>
      <c r="E8" s="306">
        <f t="shared" si="2"/>
        <v>0</v>
      </c>
      <c r="F8" s="306">
        <f t="shared" si="2"/>
        <v>0</v>
      </c>
      <c r="G8" s="306">
        <f t="shared" si="2"/>
        <v>31100</v>
      </c>
      <c r="H8" s="306">
        <f t="shared" si="2"/>
        <v>26435</v>
      </c>
      <c r="I8" s="306">
        <f t="shared" si="2"/>
        <v>17105</v>
      </c>
      <c r="J8" s="306">
        <f t="shared" si="2"/>
        <v>29136.755789473689</v>
      </c>
      <c r="K8" s="306">
        <f t="shared" si="2"/>
        <v>23372.026698947368</v>
      </c>
      <c r="L8" s="306">
        <f t="shared" si="2"/>
        <v>15459.892938947371</v>
      </c>
      <c r="M8" s="306">
        <f t="shared" si="2"/>
        <v>30308.716063759413</v>
      </c>
      <c r="N8" s="306">
        <f t="shared" si="2"/>
        <v>23373.152472721813</v>
      </c>
      <c r="O8" s="306">
        <f t="shared" si="2"/>
        <v>16003.734987204818</v>
      </c>
      <c r="P8" s="306">
        <f t="shared" si="2"/>
        <v>2969.7652553575954</v>
      </c>
      <c r="Q8" s="306">
        <f t="shared" si="2"/>
        <v>0</v>
      </c>
      <c r="R8" s="306">
        <f t="shared" si="2"/>
        <v>0</v>
      </c>
      <c r="S8" s="306">
        <f t="shared" si="2"/>
        <v>0</v>
      </c>
      <c r="T8" s="306">
        <f t="shared" si="2"/>
        <v>0</v>
      </c>
      <c r="U8" s="306">
        <f t="shared" si="2"/>
        <v>0</v>
      </c>
      <c r="V8" s="306">
        <f t="shared" si="2"/>
        <v>0</v>
      </c>
    </row>
    <row r="9" spans="1:23" s="28" customFormat="1">
      <c r="A9" s="40" t="s">
        <v>68</v>
      </c>
      <c r="B9" s="298">
        <f>NPV(经济指标!E15/4,D8:V8)+C8</f>
        <v>177907.61256646016</v>
      </c>
      <c r="C9" s="41"/>
      <c r="D9" s="41"/>
      <c r="E9" s="41"/>
      <c r="F9" s="41"/>
      <c r="G9" s="41"/>
      <c r="H9" s="41"/>
      <c r="I9" s="41"/>
      <c r="J9" s="41"/>
      <c r="K9" s="41"/>
      <c r="L9" s="41"/>
      <c r="M9" s="41"/>
      <c r="N9" s="41"/>
      <c r="O9" s="41"/>
      <c r="P9" s="41"/>
      <c r="Q9" s="41"/>
      <c r="R9" s="41"/>
      <c r="S9" s="41"/>
      <c r="T9" s="41"/>
      <c r="U9" s="41"/>
      <c r="V9" s="31"/>
    </row>
    <row r="10" spans="1:23">
      <c r="A10" s="42" t="s">
        <v>69</v>
      </c>
      <c r="B10" s="299"/>
      <c r="C10" s="311"/>
      <c r="D10" s="311"/>
      <c r="E10" s="311"/>
      <c r="F10" s="311"/>
      <c r="G10" s="311"/>
      <c r="H10" s="311"/>
      <c r="I10" s="311"/>
      <c r="J10" s="311"/>
      <c r="K10" s="311"/>
      <c r="L10" s="43"/>
      <c r="M10" s="43"/>
      <c r="N10" s="43"/>
      <c r="O10" s="43"/>
      <c r="P10" s="43"/>
      <c r="Q10" s="43"/>
      <c r="R10" s="43"/>
      <c r="S10" s="43"/>
      <c r="T10" s="43"/>
      <c r="U10" s="43"/>
      <c r="V10" s="301"/>
    </row>
    <row r="11" spans="1:23">
      <c r="A11" s="38" t="s">
        <v>118</v>
      </c>
      <c r="B11" s="115">
        <f t="shared" ref="B11:B18" si="3">SUM(C11:V11)</f>
        <v>60300</v>
      </c>
      <c r="C11" s="110">
        <f>现金流出表!B4</f>
        <v>23000</v>
      </c>
      <c r="D11" s="110">
        <f>现金流出表!C4</f>
        <v>0</v>
      </c>
      <c r="E11" s="110">
        <f>现金流出表!D4</f>
        <v>10000</v>
      </c>
      <c r="F11" s="110">
        <f>现金流出表!E4</f>
        <v>0</v>
      </c>
      <c r="G11" s="110">
        <f>现金流出表!F4</f>
        <v>0</v>
      </c>
      <c r="H11" s="110">
        <f>现金流出表!G4</f>
        <v>0</v>
      </c>
      <c r="I11" s="110">
        <f>现金流出表!H4</f>
        <v>10000</v>
      </c>
      <c r="J11" s="110">
        <f>现金流出表!I4</f>
        <v>0</v>
      </c>
      <c r="K11" s="110">
        <f>现金流出表!J4</f>
        <v>7300</v>
      </c>
      <c r="L11" s="110">
        <f>现金流出表!K4</f>
        <v>0</v>
      </c>
      <c r="M11" s="110">
        <f>现金流出表!L4</f>
        <v>10000</v>
      </c>
      <c r="N11" s="110">
        <f>现金流出表!M4</f>
        <v>0</v>
      </c>
      <c r="O11" s="110">
        <f>现金流出表!N4</f>
        <v>0</v>
      </c>
      <c r="P11" s="110">
        <f>现金流出表!O4</f>
        <v>0</v>
      </c>
      <c r="Q11" s="110">
        <f>现金流出表!P4</f>
        <v>0</v>
      </c>
      <c r="R11" s="110">
        <f>现金流出表!Q4</f>
        <v>0</v>
      </c>
      <c r="S11" s="110">
        <f>现金流出表!R4</f>
        <v>0</v>
      </c>
      <c r="T11" s="110">
        <f>现金流出表!S4</f>
        <v>0</v>
      </c>
      <c r="U11" s="110">
        <f>现金流出表!T4</f>
        <v>0</v>
      </c>
      <c r="V11" s="110">
        <f>现金流出表!U4</f>
        <v>0</v>
      </c>
    </row>
    <row r="12" spans="1:23">
      <c r="A12" s="38" t="s">
        <v>117</v>
      </c>
      <c r="B12" s="115">
        <f t="shared" si="3"/>
        <v>5765.1801825904367</v>
      </c>
      <c r="C12" s="110">
        <f>现金流出表!B5</f>
        <v>0</v>
      </c>
      <c r="D12" s="110">
        <f>现金流出表!C5</f>
        <v>2068.1414679450127</v>
      </c>
      <c r="E12" s="110">
        <f>现金流出表!D5</f>
        <v>0</v>
      </c>
      <c r="F12" s="110">
        <f>现金流出表!E5</f>
        <v>0</v>
      </c>
      <c r="G12" s="110">
        <f>现金流出表!F5</f>
        <v>1914.4059905094023</v>
      </c>
      <c r="H12" s="110">
        <f>现金流出表!G5</f>
        <v>0</v>
      </c>
      <c r="I12" s="110">
        <f>现金流出表!H5</f>
        <v>0</v>
      </c>
      <c r="J12" s="110">
        <f>现金流出表!I5</f>
        <v>1782.6327241360218</v>
      </c>
      <c r="K12" s="110">
        <f>现金流出表!J5</f>
        <v>0</v>
      </c>
      <c r="L12" s="110">
        <f>现金流出表!K5</f>
        <v>0</v>
      </c>
      <c r="M12" s="110">
        <f>现金流出表!L5</f>
        <v>0</v>
      </c>
      <c r="N12" s="110">
        <f>现金流出表!M5</f>
        <v>0</v>
      </c>
      <c r="O12" s="110">
        <f>现金流出表!N5</f>
        <v>0</v>
      </c>
      <c r="P12" s="110">
        <f>现金流出表!O5</f>
        <v>0</v>
      </c>
      <c r="Q12" s="110">
        <f>现金流出表!P5</f>
        <v>0</v>
      </c>
      <c r="R12" s="110">
        <f>现金流出表!Q5</f>
        <v>0</v>
      </c>
      <c r="S12" s="110">
        <f>现金流出表!R5</f>
        <v>0</v>
      </c>
      <c r="T12" s="110">
        <f>现金流出表!S5</f>
        <v>0</v>
      </c>
      <c r="U12" s="110">
        <f>现金流出表!T5</f>
        <v>0</v>
      </c>
      <c r="V12" s="110">
        <f>现金流出表!U5</f>
        <v>0</v>
      </c>
    </row>
    <row r="13" spans="1:23">
      <c r="A13" s="39" t="s">
        <v>119</v>
      </c>
      <c r="B13" s="115">
        <f t="shared" si="3"/>
        <v>64668.094809022565</v>
      </c>
      <c r="C13" s="110">
        <f>现金流出表!B6</f>
        <v>0</v>
      </c>
      <c r="D13" s="110">
        <f>现金流出表!C6</f>
        <v>3573.6479955634281</v>
      </c>
      <c r="E13" s="110">
        <f>现金流出表!D6</f>
        <v>7147.2959911268563</v>
      </c>
      <c r="F13" s="110">
        <f>现金流出表!E6</f>
        <v>7147.2959911268563</v>
      </c>
      <c r="G13" s="110">
        <f>现金流出表!F6</f>
        <v>9161.6599749722845</v>
      </c>
      <c r="H13" s="110">
        <f>现金流出表!G6</f>
        <v>6672.5696940631788</v>
      </c>
      <c r="I13" s="110">
        <f>现金流出表!H6</f>
        <v>6154.2693344022773</v>
      </c>
      <c r="J13" s="110">
        <f>现金流出表!I6</f>
        <v>9078.4566808858362</v>
      </c>
      <c r="K13" s="110">
        <f>现金流出表!J6</f>
        <v>6884.9754122889153</v>
      </c>
      <c r="L13" s="110">
        <f>现金流出表!K6</f>
        <v>5244.2997156272795</v>
      </c>
      <c r="M13" s="110">
        <f>现金流出表!L6</f>
        <v>3603.6240189656423</v>
      </c>
      <c r="N13" s="110">
        <f>现金流出表!M6</f>
        <v>0</v>
      </c>
      <c r="O13" s="110">
        <f>现金流出表!N6</f>
        <v>0</v>
      </c>
      <c r="P13" s="110">
        <f>现金流出表!O6</f>
        <v>0</v>
      </c>
      <c r="Q13" s="110">
        <f>现金流出表!P6</f>
        <v>0</v>
      </c>
      <c r="R13" s="110">
        <f>现金流出表!Q6</f>
        <v>0</v>
      </c>
      <c r="S13" s="110">
        <f>现金流出表!R6</f>
        <v>0</v>
      </c>
      <c r="T13" s="110">
        <f>现金流出表!S6</f>
        <v>0</v>
      </c>
      <c r="U13" s="110">
        <f>现金流出表!T6</f>
        <v>0</v>
      </c>
      <c r="V13" s="110">
        <f>现金流出表!U6</f>
        <v>0</v>
      </c>
    </row>
    <row r="14" spans="1:23">
      <c r="A14" s="39" t="s">
        <v>121</v>
      </c>
      <c r="B14" s="115">
        <f t="shared" si="3"/>
        <v>1756.1968421052641</v>
      </c>
      <c r="C14" s="110">
        <f>现金流出表!B7</f>
        <v>0</v>
      </c>
      <c r="D14" s="110">
        <f>现金流出表!C7</f>
        <v>117.07978947368423</v>
      </c>
      <c r="E14" s="110">
        <f>现金流出表!D7</f>
        <v>117.07978947368423</v>
      </c>
      <c r="F14" s="110">
        <f>现金流出表!E7</f>
        <v>117.07978947368423</v>
      </c>
      <c r="G14" s="110">
        <f>现金流出表!F7</f>
        <v>117.07978947368423</v>
      </c>
      <c r="H14" s="110">
        <f>现金流出表!G7</f>
        <v>117.07978947368423</v>
      </c>
      <c r="I14" s="110">
        <f>现金流出表!H7</f>
        <v>117.07978947368423</v>
      </c>
      <c r="J14" s="110">
        <f>现金流出表!I7</f>
        <v>117.07978947368423</v>
      </c>
      <c r="K14" s="110">
        <f>现金流出表!J7</f>
        <v>117.07978947368423</v>
      </c>
      <c r="L14" s="110">
        <f>现金流出表!K7</f>
        <v>117.07978947368423</v>
      </c>
      <c r="M14" s="110">
        <f>现金流出表!L7</f>
        <v>117.07978947368423</v>
      </c>
      <c r="N14" s="110">
        <f>现金流出表!M7</f>
        <v>117.07978947368423</v>
      </c>
      <c r="O14" s="110">
        <f>现金流出表!N7</f>
        <v>117.07978947368423</v>
      </c>
      <c r="P14" s="110">
        <f>现金流出表!O7</f>
        <v>117.07978947368423</v>
      </c>
      <c r="Q14" s="110">
        <f>现金流出表!P7</f>
        <v>117.07978947368423</v>
      </c>
      <c r="R14" s="110">
        <f>现金流出表!Q7</f>
        <v>117.07978947368423</v>
      </c>
      <c r="S14" s="110">
        <f>现金流出表!R7</f>
        <v>0</v>
      </c>
      <c r="T14" s="110">
        <f>现金流出表!S7</f>
        <v>0</v>
      </c>
      <c r="U14" s="110">
        <f>现金流出表!T7</f>
        <v>0</v>
      </c>
      <c r="V14" s="110">
        <f>现金流出表!U7</f>
        <v>0</v>
      </c>
    </row>
    <row r="15" spans="1:23">
      <c r="A15" s="30" t="s">
        <v>120</v>
      </c>
      <c r="B15" s="115">
        <f t="shared" si="3"/>
        <v>24304.292066989903</v>
      </c>
      <c r="C15" s="110">
        <f>现金流出表!B8</f>
        <v>0</v>
      </c>
      <c r="D15" s="110">
        <f>现金流出表!C8</f>
        <v>730.5280884128241</v>
      </c>
      <c r="E15" s="110">
        <f>现金流出表!D8</f>
        <v>730.5280884128241</v>
      </c>
      <c r="F15" s="110">
        <f>现金流出表!E8</f>
        <v>730.5280884128241</v>
      </c>
      <c r="G15" s="110">
        <f>现金流出表!F8</f>
        <v>2658.728088412824</v>
      </c>
      <c r="H15" s="110">
        <f>现金流出表!G8</f>
        <v>2369.4980884128245</v>
      </c>
      <c r="I15" s="110">
        <f>现金流出表!H8</f>
        <v>1791.0380884128242</v>
      </c>
      <c r="J15" s="110">
        <f>现金流出表!I8</f>
        <v>2537.006947360193</v>
      </c>
      <c r="K15" s="110">
        <f>现金流出表!J8</f>
        <v>2179.5937437475613</v>
      </c>
      <c r="L15" s="110">
        <f>现金流出表!K8</f>
        <v>1689.0414506275611</v>
      </c>
      <c r="M15" s="110">
        <f>现金流出表!L8</f>
        <v>2609.6684843659082</v>
      </c>
      <c r="N15" s="110">
        <f>现金流出表!M8</f>
        <v>2179.6635417215766</v>
      </c>
      <c r="O15" s="110">
        <f>现金流出表!N8</f>
        <v>1722.7596576195228</v>
      </c>
      <c r="P15" s="110">
        <f>现金流出表!O8</f>
        <v>914.65353424499506</v>
      </c>
      <c r="Q15" s="110">
        <f>现金流出表!P8</f>
        <v>730.5280884128241</v>
      </c>
      <c r="R15" s="110">
        <f>现金流出表!Q8</f>
        <v>730.5280884128241</v>
      </c>
      <c r="S15" s="110">
        <f>现金流出表!R8</f>
        <v>0</v>
      </c>
      <c r="T15" s="110">
        <f>现金流出表!S8</f>
        <v>0</v>
      </c>
      <c r="U15" s="110">
        <f>现金流出表!T8</f>
        <v>0</v>
      </c>
      <c r="V15" s="110">
        <f>现金流出表!U8</f>
        <v>0</v>
      </c>
    </row>
    <row r="16" spans="1:23">
      <c r="A16" s="39" t="s">
        <v>285</v>
      </c>
      <c r="B16" s="115">
        <f t="shared" si="3"/>
        <v>0</v>
      </c>
      <c r="C16" s="312">
        <f>现金流出表!B15</f>
        <v>0</v>
      </c>
      <c r="D16" s="312">
        <f>现金流出表!C15</f>
        <v>0</v>
      </c>
      <c r="E16" s="312">
        <f>现金流出表!D15</f>
        <v>0</v>
      </c>
      <c r="F16" s="312">
        <f>现金流出表!E15</f>
        <v>0</v>
      </c>
      <c r="G16" s="312">
        <f>现金流出表!F15</f>
        <v>0</v>
      </c>
      <c r="H16" s="312">
        <f>现金流出表!G15</f>
        <v>0</v>
      </c>
      <c r="I16" s="312">
        <f>现金流出表!H15</f>
        <v>0</v>
      </c>
      <c r="J16" s="312">
        <f>现金流出表!I15</f>
        <v>0</v>
      </c>
      <c r="K16" s="312">
        <f>现金流出表!J15</f>
        <v>0</v>
      </c>
      <c r="L16" s="312">
        <f>现金流出表!K15</f>
        <v>0</v>
      </c>
      <c r="M16" s="312">
        <f>现金流出表!L15</f>
        <v>0</v>
      </c>
      <c r="N16" s="312">
        <f>现金流出表!M15</f>
        <v>0</v>
      </c>
      <c r="O16" s="312">
        <f>现金流出表!N15</f>
        <v>0</v>
      </c>
      <c r="P16" s="312">
        <f>现金流出表!O15</f>
        <v>0</v>
      </c>
      <c r="Q16" s="312">
        <f>现金流出表!P15</f>
        <v>0</v>
      </c>
      <c r="R16" s="312">
        <f>现金流出表!Q15</f>
        <v>0</v>
      </c>
      <c r="S16" s="312">
        <f>现金流出表!R15</f>
        <v>0</v>
      </c>
      <c r="T16" s="312">
        <f>现金流出表!S15</f>
        <v>0</v>
      </c>
      <c r="U16" s="312">
        <f>现金流出表!T15</f>
        <v>0</v>
      </c>
      <c r="V16" s="312">
        <f>现金流出表!U15</f>
        <v>0</v>
      </c>
    </row>
    <row r="17" spans="1:24">
      <c r="A17" s="30" t="s">
        <v>124</v>
      </c>
      <c r="B17" s="115">
        <f t="shared" si="3"/>
        <v>8064.942045855586</v>
      </c>
      <c r="C17" s="313">
        <f>现金流出表!B16</f>
        <v>0</v>
      </c>
      <c r="D17" s="313">
        <f>现金流出表!C16</f>
        <v>0</v>
      </c>
      <c r="E17" s="313">
        <f>现金流出表!D16</f>
        <v>0</v>
      </c>
      <c r="F17" s="313">
        <f>现金流出表!E16</f>
        <v>0</v>
      </c>
      <c r="G17" s="313">
        <f>现金流出表!F16</f>
        <v>699.75</v>
      </c>
      <c r="H17" s="313">
        <f>现金流出表!G16</f>
        <v>594.78750000000002</v>
      </c>
      <c r="I17" s="313">
        <f>现金流出表!H16</f>
        <v>384.86250000000001</v>
      </c>
      <c r="J17" s="313">
        <f>现金流出表!I16</f>
        <v>1891.2953145924769</v>
      </c>
      <c r="K17" s="313">
        <f>现金流出表!J16</f>
        <v>525.87060072631573</v>
      </c>
      <c r="L17" s="313">
        <f>现金流出表!K16</f>
        <v>347.84759112631576</v>
      </c>
      <c r="M17" s="313">
        <f>现金流出表!L16</f>
        <v>681.94611143458678</v>
      </c>
      <c r="N17" s="313">
        <f>现金流出表!M16</f>
        <v>2343.8928779936614</v>
      </c>
      <c r="O17" s="313">
        <f>现金流出表!N16</f>
        <v>360.08403721210834</v>
      </c>
      <c r="P17" s="313">
        <f>现金流出表!O16</f>
        <v>66.819718245545886</v>
      </c>
      <c r="Q17" s="313">
        <f>现金流出表!P16</f>
        <v>0</v>
      </c>
      <c r="R17" s="313">
        <f>现金流出表!Q16</f>
        <v>167.78579452457532</v>
      </c>
      <c r="S17" s="313">
        <f>现金流出表!R16</f>
        <v>0</v>
      </c>
      <c r="T17" s="313">
        <f>现金流出表!S16</f>
        <v>0</v>
      </c>
      <c r="U17" s="313">
        <f>现金流出表!T16</f>
        <v>0</v>
      </c>
      <c r="V17" s="313">
        <f>现金流出表!U16</f>
        <v>0</v>
      </c>
    </row>
    <row r="18" spans="1:24" ht="14.25">
      <c r="A18" s="305" t="s">
        <v>70</v>
      </c>
      <c r="B18" s="306">
        <f t="shared" si="3"/>
        <v>164858.70594656374</v>
      </c>
      <c r="C18" s="314">
        <f t="shared" ref="C18:V18" si="4">SUM(C11:C17)</f>
        <v>23000</v>
      </c>
      <c r="D18" s="314">
        <f t="shared" si="4"/>
        <v>6489.3973413949498</v>
      </c>
      <c r="E18" s="314">
        <f t="shared" si="4"/>
        <v>17994.90386901336</v>
      </c>
      <c r="F18" s="314">
        <f t="shared" si="4"/>
        <v>7994.9038690133648</v>
      </c>
      <c r="G18" s="314">
        <f t="shared" si="4"/>
        <v>14551.623843368194</v>
      </c>
      <c r="H18" s="314">
        <f t="shared" si="4"/>
        <v>9753.9350719496888</v>
      </c>
      <c r="I18" s="314">
        <f t="shared" si="4"/>
        <v>18447.249712288783</v>
      </c>
      <c r="J18" s="314">
        <f t="shared" si="4"/>
        <v>15406.471456448211</v>
      </c>
      <c r="K18" s="314">
        <f t="shared" si="4"/>
        <v>17007.519546236479</v>
      </c>
      <c r="L18" s="314">
        <f t="shared" si="4"/>
        <v>7398.2685468548407</v>
      </c>
      <c r="M18" s="314">
        <f t="shared" si="4"/>
        <v>17012.318404239821</v>
      </c>
      <c r="N18" s="314">
        <f t="shared" si="4"/>
        <v>4640.6362091889223</v>
      </c>
      <c r="O18" s="314">
        <f t="shared" si="4"/>
        <v>2199.9234843053155</v>
      </c>
      <c r="P18" s="314">
        <f t="shared" si="4"/>
        <v>1098.553041964225</v>
      </c>
      <c r="Q18" s="314">
        <f t="shared" si="4"/>
        <v>847.60787788650828</v>
      </c>
      <c r="R18" s="314">
        <f t="shared" si="4"/>
        <v>1015.3936724110836</v>
      </c>
      <c r="S18" s="314">
        <f t="shared" si="4"/>
        <v>0</v>
      </c>
      <c r="T18" s="314">
        <f t="shared" si="4"/>
        <v>0</v>
      </c>
      <c r="U18" s="314">
        <f t="shared" si="4"/>
        <v>0</v>
      </c>
      <c r="V18" s="314">
        <f t="shared" si="4"/>
        <v>0</v>
      </c>
    </row>
    <row r="19" spans="1:24" s="28" customFormat="1">
      <c r="A19" s="39" t="s">
        <v>71</v>
      </c>
      <c r="B19" s="115">
        <f>NPV(经济指标!E15/4,D18:V18)+C18</f>
        <v>144998.38346014338</v>
      </c>
      <c r="C19" s="315"/>
      <c r="D19" s="41"/>
      <c r="E19" s="41"/>
      <c r="F19" s="41"/>
      <c r="G19" s="41"/>
      <c r="H19" s="41"/>
      <c r="I19" s="41"/>
      <c r="J19" s="41"/>
      <c r="K19" s="41"/>
      <c r="L19" s="41"/>
      <c r="M19" s="41"/>
      <c r="N19" s="41"/>
      <c r="O19" s="41"/>
      <c r="P19" s="41"/>
      <c r="Q19" s="41"/>
      <c r="R19" s="41"/>
      <c r="S19" s="41"/>
      <c r="T19" s="41"/>
      <c r="U19" s="41"/>
      <c r="V19" s="31"/>
    </row>
    <row r="20" spans="1:24">
      <c r="A20" s="44" t="s">
        <v>72</v>
      </c>
      <c r="B20" s="115">
        <f>SUM(C20:V20)</f>
        <v>50405.338259848322</v>
      </c>
      <c r="C20" s="308">
        <f t="shared" ref="C20:V20" si="5">C8-C18</f>
        <v>-23000</v>
      </c>
      <c r="D20" s="308">
        <f t="shared" si="5"/>
        <v>-6489.3973413949498</v>
      </c>
      <c r="E20" s="308">
        <f t="shared" si="5"/>
        <v>-17994.90386901336</v>
      </c>
      <c r="F20" s="308">
        <f t="shared" si="5"/>
        <v>-7994.9038690133648</v>
      </c>
      <c r="G20" s="308">
        <f t="shared" si="5"/>
        <v>16548.376156631806</v>
      </c>
      <c r="H20" s="308">
        <f t="shared" si="5"/>
        <v>16681.064928050313</v>
      </c>
      <c r="I20" s="308">
        <f t="shared" si="5"/>
        <v>-1342.2497122887835</v>
      </c>
      <c r="J20" s="308">
        <f t="shared" si="5"/>
        <v>13730.284333025478</v>
      </c>
      <c r="K20" s="308">
        <f t="shared" si="5"/>
        <v>6364.5071527108885</v>
      </c>
      <c r="L20" s="308">
        <f t="shared" si="5"/>
        <v>8061.6243920925299</v>
      </c>
      <c r="M20" s="308">
        <f t="shared" si="5"/>
        <v>13296.397659519593</v>
      </c>
      <c r="N20" s="308">
        <f t="shared" si="5"/>
        <v>18732.516263532889</v>
      </c>
      <c r="O20" s="308">
        <f t="shared" si="5"/>
        <v>13803.811502899502</v>
      </c>
      <c r="P20" s="308">
        <f t="shared" si="5"/>
        <v>1871.2122133933703</v>
      </c>
      <c r="Q20" s="308">
        <f t="shared" si="5"/>
        <v>-847.60787788650828</v>
      </c>
      <c r="R20" s="308">
        <f t="shared" si="5"/>
        <v>-1015.3936724110836</v>
      </c>
      <c r="S20" s="308">
        <f t="shared" si="5"/>
        <v>0</v>
      </c>
      <c r="T20" s="308">
        <f t="shared" si="5"/>
        <v>0</v>
      </c>
      <c r="U20" s="308">
        <f t="shared" si="5"/>
        <v>0</v>
      </c>
      <c r="V20" s="308">
        <f t="shared" si="5"/>
        <v>0</v>
      </c>
    </row>
    <row r="21" spans="1:24">
      <c r="A21" s="44" t="s">
        <v>288</v>
      </c>
      <c r="B21" s="115">
        <f>V21</f>
        <v>50405.338259848322</v>
      </c>
      <c r="C21" s="308">
        <f>C20</f>
        <v>-23000</v>
      </c>
      <c r="D21" s="308">
        <f>C21+D20</f>
        <v>-29489.39734139495</v>
      </c>
      <c r="E21" s="308">
        <f t="shared" ref="E21:V21" si="6">D21+E20</f>
        <v>-47484.30121040831</v>
      </c>
      <c r="F21" s="308">
        <f t="shared" si="6"/>
        <v>-55479.205079421678</v>
      </c>
      <c r="G21" s="308">
        <f t="shared" si="6"/>
        <v>-38930.828922789871</v>
      </c>
      <c r="H21" s="308">
        <f t="shared" si="6"/>
        <v>-22249.763994739558</v>
      </c>
      <c r="I21" s="308">
        <f t="shared" si="6"/>
        <v>-23592.013707028342</v>
      </c>
      <c r="J21" s="308">
        <f t="shared" si="6"/>
        <v>-9861.7293740028636</v>
      </c>
      <c r="K21" s="308">
        <f t="shared" si="6"/>
        <v>-3497.2222212919751</v>
      </c>
      <c r="L21" s="308">
        <f t="shared" si="6"/>
        <v>4564.4021708005548</v>
      </c>
      <c r="M21" s="308">
        <f t="shared" si="6"/>
        <v>17860.799830320146</v>
      </c>
      <c r="N21" s="308">
        <f t="shared" si="6"/>
        <v>36593.316093853035</v>
      </c>
      <c r="O21" s="308">
        <f t="shared" ref="O21:U21" si="7">N21+O20</f>
        <v>50397.127596752536</v>
      </c>
      <c r="P21" s="308">
        <f t="shared" si="7"/>
        <v>52268.33981014591</v>
      </c>
      <c r="Q21" s="308">
        <f t="shared" si="7"/>
        <v>51420.731932259405</v>
      </c>
      <c r="R21" s="308">
        <f t="shared" si="7"/>
        <v>50405.338259848322</v>
      </c>
      <c r="S21" s="308">
        <f t="shared" si="7"/>
        <v>50405.338259848322</v>
      </c>
      <c r="T21" s="308">
        <f t="shared" si="7"/>
        <v>50405.338259848322</v>
      </c>
      <c r="U21" s="308">
        <f t="shared" si="7"/>
        <v>50405.338259848322</v>
      </c>
      <c r="V21" s="308">
        <f t="shared" si="6"/>
        <v>50405.338259848322</v>
      </c>
    </row>
    <row r="22" spans="1:24" s="72" customFormat="1">
      <c r="A22" s="36" t="s">
        <v>409</v>
      </c>
      <c r="B22" s="115">
        <f>投资估算表!G17+投资估算表!G66+投资估算表!G70</f>
        <v>4704</v>
      </c>
      <c r="C22" s="400"/>
      <c r="D22" s="400"/>
      <c r="E22" s="400"/>
      <c r="F22" s="400"/>
      <c r="G22" s="400"/>
      <c r="H22" s="400"/>
      <c r="I22" s="400"/>
      <c r="J22" s="400"/>
      <c r="K22" s="400"/>
      <c r="L22" s="400"/>
      <c r="M22" s="400"/>
      <c r="N22" s="400"/>
      <c r="O22" s="400"/>
      <c r="P22" s="400"/>
      <c r="Q22" s="400"/>
      <c r="R22" s="400"/>
      <c r="S22" s="400"/>
      <c r="T22" s="400"/>
      <c r="U22" s="400"/>
      <c r="V22" s="400"/>
    </row>
    <row r="23" spans="1:24">
      <c r="A23" s="45" t="s">
        <v>410</v>
      </c>
      <c r="B23" s="316">
        <f>IRR(C20:V20)*4</f>
        <v>0.41011030566490986</v>
      </c>
      <c r="C23" s="317"/>
      <c r="D23" s="46"/>
      <c r="E23" s="46"/>
      <c r="F23" s="46"/>
      <c r="G23" s="46"/>
      <c r="H23" s="46"/>
      <c r="I23" s="46"/>
      <c r="J23" s="46"/>
      <c r="K23" s="46"/>
      <c r="L23" s="46"/>
      <c r="M23" s="46"/>
      <c r="N23" s="46"/>
      <c r="O23" s="46"/>
      <c r="P23" s="46"/>
      <c r="Q23" s="46"/>
      <c r="R23" s="46"/>
      <c r="S23" s="46"/>
      <c r="T23" s="46"/>
      <c r="U23" s="46"/>
      <c r="V23" s="302"/>
    </row>
    <row r="24" spans="1:24">
      <c r="A24" s="36" t="s">
        <v>411</v>
      </c>
      <c r="B24" s="447">
        <f>MIN(C21:V21)</f>
        <v>-55479.205079421678</v>
      </c>
      <c r="C24" s="47"/>
      <c r="D24" s="47"/>
      <c r="E24" s="47"/>
      <c r="F24" s="47"/>
      <c r="G24" s="47"/>
      <c r="H24" s="47"/>
      <c r="I24" s="47"/>
      <c r="J24" s="47"/>
      <c r="K24" s="47"/>
      <c r="L24" s="47"/>
      <c r="M24" s="47"/>
      <c r="N24" s="47"/>
      <c r="O24" s="47"/>
      <c r="P24" s="47"/>
      <c r="Q24" s="47"/>
      <c r="R24" s="47"/>
      <c r="S24" s="47"/>
      <c r="T24" s="47"/>
      <c r="U24" s="47"/>
      <c r="V24" s="303"/>
    </row>
    <row r="25" spans="1:24">
      <c r="A25" s="36" t="s">
        <v>531</v>
      </c>
      <c r="B25" s="447">
        <f>B9-B19</f>
        <v>32909.22910631678</v>
      </c>
      <c r="C25" s="47"/>
      <c r="D25" s="47"/>
      <c r="E25" s="47"/>
      <c r="F25" s="47"/>
      <c r="G25" s="47"/>
      <c r="H25" s="47"/>
      <c r="I25" s="47"/>
      <c r="J25" s="47"/>
      <c r="K25" s="47"/>
      <c r="L25" s="47"/>
      <c r="M25" s="47"/>
      <c r="N25" s="47"/>
      <c r="O25" s="47"/>
      <c r="P25" s="47"/>
      <c r="Q25" s="47"/>
      <c r="R25" s="47"/>
      <c r="S25" s="47"/>
      <c r="T25" s="47"/>
      <c r="U25" s="47"/>
      <c r="V25" s="303"/>
    </row>
    <row r="26" spans="1:24">
      <c r="A26" s="36" t="s">
        <v>532</v>
      </c>
      <c r="B26" s="321" t="str">
        <f>L3</f>
        <v>第3年2季度</v>
      </c>
      <c r="C26" s="47"/>
      <c r="D26" s="47"/>
      <c r="E26" s="47"/>
      <c r="F26" s="47"/>
      <c r="G26" s="47"/>
      <c r="H26" s="47"/>
      <c r="I26" s="47"/>
      <c r="J26" s="47"/>
      <c r="K26" s="47"/>
      <c r="L26" s="47"/>
      <c r="M26" s="47"/>
      <c r="N26" s="47"/>
      <c r="O26" s="47"/>
      <c r="P26" s="47"/>
      <c r="Q26" s="47"/>
      <c r="R26" s="47"/>
      <c r="S26" s="47"/>
      <c r="T26" s="47"/>
      <c r="U26" s="47"/>
      <c r="V26" s="303"/>
    </row>
    <row r="27" spans="1:24">
      <c r="A27" s="36" t="s">
        <v>533</v>
      </c>
      <c r="B27" s="318">
        <f>IF(B11=0,0,(NPV(经济指标!E15/4,D11:V11)+C11)/B11)</f>
        <v>0.9111865108743834</v>
      </c>
      <c r="C27" s="47"/>
      <c r="D27" s="47"/>
      <c r="E27" s="47"/>
      <c r="F27" s="47"/>
      <c r="G27" s="47"/>
      <c r="H27" s="47"/>
      <c r="I27" s="47"/>
      <c r="J27" s="47"/>
      <c r="K27" s="47"/>
      <c r="L27" s="47"/>
      <c r="M27" s="47"/>
      <c r="N27" s="47"/>
      <c r="O27" s="47"/>
      <c r="P27" s="47"/>
      <c r="Q27" s="47"/>
      <c r="R27" s="47"/>
      <c r="S27" s="47"/>
      <c r="T27" s="47"/>
      <c r="U27" s="47"/>
      <c r="V27" s="303"/>
    </row>
    <row r="28" spans="1:24" s="402" customFormat="1">
      <c r="A28" s="401" t="s">
        <v>73</v>
      </c>
      <c r="B28" s="401"/>
      <c r="C28" s="388"/>
      <c r="D28" s="388"/>
      <c r="E28" s="388"/>
      <c r="F28" s="388"/>
      <c r="G28" s="388"/>
      <c r="H28" s="388"/>
      <c r="I28" s="388"/>
      <c r="J28" s="388"/>
      <c r="K28" s="388"/>
      <c r="L28" s="388"/>
      <c r="M28" s="388"/>
      <c r="N28" s="388"/>
      <c r="O28" s="388"/>
      <c r="P28" s="388"/>
      <c r="Q28" s="388"/>
      <c r="R28" s="388"/>
      <c r="S28" s="388"/>
      <c r="T28" s="388"/>
      <c r="U28" s="388"/>
      <c r="V28" s="388"/>
    </row>
    <row r="29" spans="1:24" s="402" customFormat="1" ht="14.25">
      <c r="A29" s="402" t="s">
        <v>426</v>
      </c>
      <c r="B29" s="388"/>
      <c r="C29" s="388"/>
      <c r="D29" s="388"/>
      <c r="E29" s="388"/>
      <c r="F29" s="388"/>
      <c r="G29" s="388"/>
      <c r="H29" s="388"/>
      <c r="I29" s="388"/>
      <c r="J29" s="388"/>
      <c r="K29" s="388"/>
      <c r="L29" s="388"/>
      <c r="M29" s="388"/>
      <c r="N29" s="388"/>
      <c r="O29" s="388"/>
      <c r="P29" s="388"/>
      <c r="Q29" s="388"/>
      <c r="R29" s="388"/>
      <c r="S29" s="388"/>
      <c r="T29" s="388"/>
      <c r="U29" s="388"/>
      <c r="V29" s="388"/>
      <c r="W29" s="388"/>
      <c r="X29" s="388"/>
    </row>
    <row r="30" spans="1:24" s="402" customFormat="1" ht="14.25">
      <c r="A30" s="402" t="s">
        <v>427</v>
      </c>
      <c r="B30" s="388"/>
      <c r="C30" s="388"/>
      <c r="D30" s="388"/>
      <c r="E30" s="388"/>
      <c r="F30" s="388"/>
      <c r="G30" s="388"/>
      <c r="H30" s="388"/>
      <c r="I30" s="388"/>
      <c r="J30" s="388"/>
      <c r="K30" s="388"/>
      <c r="L30" s="388"/>
      <c r="M30" s="388"/>
      <c r="N30" s="388"/>
      <c r="O30" s="388"/>
      <c r="P30" s="388"/>
      <c r="Q30" s="388"/>
      <c r="R30" s="388"/>
      <c r="S30" s="388"/>
      <c r="T30" s="388"/>
      <c r="U30" s="388"/>
      <c r="V30" s="388"/>
      <c r="W30" s="388"/>
      <c r="X30" s="388"/>
    </row>
    <row r="31" spans="1:24" s="402" customFormat="1">
      <c r="A31" s="402" t="s">
        <v>428</v>
      </c>
      <c r="B31" s="388"/>
      <c r="C31" s="388"/>
      <c r="D31" s="388"/>
      <c r="E31" s="388"/>
      <c r="F31" s="388"/>
      <c r="G31" s="388"/>
      <c r="H31" s="388"/>
      <c r="I31" s="388"/>
      <c r="J31" s="388"/>
      <c r="K31" s="388"/>
      <c r="L31" s="388"/>
      <c r="M31" s="388"/>
      <c r="N31" s="388"/>
      <c r="O31" s="388"/>
      <c r="P31" s="388"/>
      <c r="Q31" s="388"/>
      <c r="R31" s="388"/>
      <c r="S31" s="388"/>
      <c r="T31" s="388"/>
      <c r="U31" s="388"/>
      <c r="V31" s="388"/>
      <c r="W31" s="388"/>
      <c r="X31" s="388"/>
    </row>
    <row r="32" spans="1:24" s="402" customFormat="1">
      <c r="A32" s="402" t="s">
        <v>429</v>
      </c>
      <c r="B32" s="388"/>
      <c r="C32" s="388"/>
      <c r="D32" s="388"/>
      <c r="E32" s="388"/>
      <c r="F32" s="388"/>
      <c r="G32" s="388"/>
      <c r="H32" s="388"/>
      <c r="I32" s="388"/>
      <c r="J32" s="388"/>
      <c r="K32" s="388"/>
      <c r="L32" s="388"/>
      <c r="M32" s="388"/>
      <c r="N32" s="388"/>
      <c r="O32" s="388"/>
      <c r="P32" s="388"/>
      <c r="Q32" s="388"/>
      <c r="R32" s="388"/>
      <c r="S32" s="388"/>
      <c r="T32" s="388"/>
      <c r="U32" s="388"/>
      <c r="V32" s="388"/>
      <c r="W32" s="388"/>
      <c r="X32" s="388"/>
    </row>
    <row r="33" spans="1:24" s="402" customFormat="1">
      <c r="A33" s="402" t="s">
        <v>430</v>
      </c>
      <c r="B33" s="388"/>
      <c r="C33" s="388"/>
      <c r="D33" s="388"/>
      <c r="E33" s="388"/>
      <c r="F33" s="388"/>
      <c r="G33" s="388"/>
      <c r="H33" s="388"/>
      <c r="I33" s="388"/>
      <c r="J33" s="388"/>
      <c r="K33" s="388"/>
      <c r="L33" s="388"/>
      <c r="M33" s="388"/>
      <c r="N33" s="388"/>
      <c r="O33" s="388"/>
      <c r="P33" s="388"/>
      <c r="Q33" s="388"/>
      <c r="R33" s="388"/>
      <c r="S33" s="388"/>
      <c r="T33" s="388"/>
      <c r="U33" s="388"/>
      <c r="V33" s="388"/>
      <c r="W33" s="388"/>
      <c r="X33" s="388"/>
    </row>
    <row r="34" spans="1:24" s="402" customFormat="1">
      <c r="A34" s="402" t="s">
        <v>431</v>
      </c>
      <c r="B34" s="388"/>
      <c r="C34" s="388"/>
      <c r="D34" s="388"/>
      <c r="E34" s="388"/>
      <c r="F34" s="388"/>
      <c r="G34" s="388"/>
      <c r="H34" s="388"/>
      <c r="I34" s="388"/>
      <c r="J34" s="388"/>
      <c r="K34" s="388"/>
      <c r="L34" s="388"/>
      <c r="M34" s="388"/>
      <c r="N34" s="388"/>
      <c r="O34" s="388"/>
      <c r="P34" s="388"/>
      <c r="Q34" s="388"/>
      <c r="R34" s="388"/>
      <c r="S34" s="388"/>
      <c r="T34" s="388"/>
      <c r="U34" s="388"/>
      <c r="V34" s="388"/>
      <c r="W34" s="388"/>
      <c r="X34" s="388"/>
    </row>
    <row r="35" spans="1:24" s="402" customFormat="1">
      <c r="A35" s="402" t="s">
        <v>436</v>
      </c>
      <c r="B35" s="388"/>
      <c r="C35" s="388"/>
      <c r="D35" s="388"/>
      <c r="E35" s="388"/>
      <c r="F35" s="388"/>
      <c r="G35" s="388"/>
      <c r="H35" s="388"/>
      <c r="I35" s="388"/>
      <c r="J35" s="388"/>
      <c r="K35" s="388"/>
      <c r="L35" s="388"/>
      <c r="M35" s="388"/>
      <c r="N35" s="388"/>
      <c r="O35" s="388"/>
      <c r="P35" s="388"/>
      <c r="Q35" s="388"/>
      <c r="R35" s="388"/>
      <c r="S35" s="388"/>
      <c r="T35" s="388"/>
      <c r="U35" s="388"/>
      <c r="V35" s="388"/>
      <c r="W35" s="388"/>
      <c r="X35" s="388"/>
    </row>
    <row r="36" spans="1:24" s="402" customFormat="1">
      <c r="B36" s="388"/>
      <c r="C36" s="388"/>
      <c r="D36" s="388"/>
      <c r="E36" s="388"/>
      <c r="F36" s="388"/>
      <c r="G36" s="388"/>
      <c r="H36" s="388"/>
      <c r="I36" s="388"/>
      <c r="J36" s="388"/>
      <c r="K36" s="388"/>
      <c r="L36" s="388"/>
      <c r="M36" s="388"/>
      <c r="N36" s="388"/>
      <c r="O36" s="388"/>
      <c r="P36" s="388"/>
      <c r="Q36" s="388"/>
      <c r="R36" s="388"/>
      <c r="S36" s="388"/>
      <c r="T36" s="388"/>
      <c r="U36" s="388"/>
      <c r="V36" s="388"/>
    </row>
    <row r="37" spans="1:24" s="402" customFormat="1">
      <c r="B37" s="388"/>
      <c r="C37" s="388"/>
      <c r="D37" s="388"/>
      <c r="E37" s="388"/>
      <c r="F37" s="388"/>
      <c r="G37" s="388"/>
      <c r="H37" s="388"/>
      <c r="I37" s="388"/>
      <c r="J37" s="388"/>
      <c r="K37" s="388"/>
      <c r="L37" s="388"/>
      <c r="M37" s="388"/>
      <c r="N37" s="388"/>
      <c r="O37" s="388"/>
      <c r="P37" s="388"/>
      <c r="Q37" s="388"/>
      <c r="R37" s="388"/>
      <c r="S37" s="388"/>
      <c r="T37" s="388"/>
      <c r="U37" s="388"/>
      <c r="V37" s="388"/>
    </row>
    <row r="38" spans="1:24" s="402" customFormat="1">
      <c r="B38" s="388"/>
      <c r="C38" s="388"/>
      <c r="D38" s="388"/>
      <c r="E38" s="388"/>
      <c r="F38" s="388"/>
      <c r="G38" s="388"/>
      <c r="H38" s="388"/>
      <c r="I38" s="388"/>
      <c r="J38" s="388"/>
      <c r="K38" s="388"/>
      <c r="L38" s="388"/>
      <c r="M38" s="388"/>
      <c r="N38" s="388"/>
      <c r="O38" s="388"/>
      <c r="P38" s="388"/>
      <c r="Q38" s="388"/>
      <c r="R38" s="388"/>
      <c r="S38" s="388"/>
      <c r="T38" s="388"/>
      <c r="U38" s="388"/>
      <c r="V38" s="388"/>
    </row>
    <row r="39" spans="1:24" s="402" customFormat="1">
      <c r="B39" s="388"/>
      <c r="C39" s="388"/>
      <c r="D39" s="388"/>
      <c r="E39" s="388"/>
      <c r="F39" s="388"/>
      <c r="G39" s="388"/>
      <c r="H39" s="388"/>
      <c r="I39" s="388"/>
      <c r="J39" s="388"/>
      <c r="K39" s="388"/>
      <c r="L39" s="388"/>
      <c r="M39" s="388"/>
      <c r="N39" s="388"/>
      <c r="O39" s="388"/>
      <c r="P39" s="388"/>
      <c r="Q39" s="388"/>
      <c r="R39" s="388"/>
      <c r="S39" s="388"/>
      <c r="T39" s="388"/>
      <c r="U39" s="388"/>
      <c r="V39" s="388"/>
    </row>
    <row r="40" spans="1:24" s="402" customFormat="1">
      <c r="B40" s="388"/>
      <c r="C40" s="388"/>
      <c r="D40" s="388"/>
      <c r="E40" s="388"/>
      <c r="F40" s="388"/>
      <c r="G40" s="388"/>
      <c r="H40" s="388"/>
      <c r="I40" s="388"/>
      <c r="J40" s="388"/>
      <c r="K40" s="388"/>
      <c r="L40" s="388"/>
      <c r="M40" s="388"/>
      <c r="N40" s="388"/>
      <c r="O40" s="388"/>
      <c r="P40" s="388"/>
      <c r="Q40" s="388"/>
      <c r="R40" s="388"/>
      <c r="S40" s="388"/>
      <c r="T40" s="388"/>
      <c r="U40" s="388"/>
      <c r="V40" s="388"/>
    </row>
    <row r="41" spans="1:24" s="402" customFormat="1">
      <c r="B41" s="388"/>
      <c r="C41" s="388"/>
      <c r="D41" s="388"/>
      <c r="E41" s="388"/>
      <c r="F41" s="388"/>
      <c r="G41" s="388"/>
      <c r="H41" s="388"/>
      <c r="I41" s="388"/>
      <c r="J41" s="388"/>
      <c r="K41" s="388"/>
      <c r="L41" s="388"/>
      <c r="M41" s="388"/>
      <c r="N41" s="388"/>
      <c r="O41" s="388"/>
      <c r="P41" s="388"/>
      <c r="Q41" s="388"/>
      <c r="R41" s="388"/>
      <c r="S41" s="388"/>
      <c r="T41" s="388"/>
      <c r="U41" s="388"/>
      <c r="V41" s="388"/>
    </row>
    <row r="42" spans="1:24" s="402" customFormat="1">
      <c r="B42" s="388"/>
      <c r="C42" s="388"/>
      <c r="D42" s="388"/>
      <c r="E42" s="388"/>
      <c r="F42" s="388"/>
      <c r="G42" s="388"/>
      <c r="H42" s="388"/>
      <c r="I42" s="388"/>
      <c r="J42" s="388"/>
      <c r="K42" s="388"/>
      <c r="L42" s="388"/>
      <c r="M42" s="388"/>
      <c r="N42" s="388"/>
      <c r="O42" s="388"/>
      <c r="P42" s="388"/>
      <c r="Q42" s="388"/>
      <c r="R42" s="388"/>
      <c r="S42" s="388"/>
      <c r="T42" s="388"/>
      <c r="U42" s="388"/>
      <c r="V42" s="388"/>
    </row>
    <row r="43" spans="1:24" s="402" customFormat="1">
      <c r="B43" s="388"/>
      <c r="C43" s="388"/>
      <c r="D43" s="388"/>
      <c r="E43" s="388"/>
      <c r="F43" s="388"/>
      <c r="G43" s="388"/>
      <c r="H43" s="388"/>
      <c r="I43" s="388"/>
      <c r="J43" s="388"/>
      <c r="K43" s="388"/>
      <c r="L43" s="388"/>
      <c r="M43" s="388"/>
      <c r="N43" s="388"/>
      <c r="O43" s="388"/>
      <c r="P43" s="388"/>
      <c r="Q43" s="388"/>
      <c r="R43" s="388"/>
      <c r="S43" s="388"/>
      <c r="T43" s="388"/>
      <c r="U43" s="388"/>
      <c r="V43" s="388"/>
    </row>
    <row r="44" spans="1:24" s="402" customFormat="1">
      <c r="B44" s="388"/>
      <c r="C44" s="388"/>
      <c r="D44" s="388"/>
      <c r="E44" s="388"/>
      <c r="F44" s="388"/>
      <c r="G44" s="388"/>
      <c r="H44" s="388"/>
      <c r="I44" s="388"/>
      <c r="J44" s="388"/>
      <c r="K44" s="388"/>
      <c r="L44" s="388"/>
      <c r="M44" s="388"/>
      <c r="N44" s="388"/>
      <c r="O44" s="388"/>
      <c r="P44" s="388"/>
      <c r="Q44" s="388"/>
      <c r="R44" s="388"/>
      <c r="S44" s="388"/>
      <c r="T44" s="388"/>
      <c r="U44" s="388"/>
      <c r="V44" s="388"/>
    </row>
    <row r="45" spans="1:24" s="402" customFormat="1">
      <c r="B45" s="388"/>
      <c r="C45" s="388"/>
      <c r="D45" s="388"/>
      <c r="E45" s="388"/>
      <c r="F45" s="388"/>
      <c r="G45" s="388"/>
      <c r="H45" s="388"/>
      <c r="I45" s="388"/>
      <c r="J45" s="388"/>
      <c r="K45" s="388"/>
      <c r="L45" s="388"/>
      <c r="M45" s="388"/>
      <c r="N45" s="388"/>
      <c r="O45" s="388"/>
      <c r="P45" s="388"/>
      <c r="Q45" s="388"/>
      <c r="R45" s="388"/>
      <c r="S45" s="388"/>
      <c r="T45" s="388"/>
      <c r="U45" s="388"/>
      <c r="V45" s="388"/>
    </row>
    <row r="46" spans="1:24" s="402" customFormat="1">
      <c r="B46" s="388"/>
      <c r="C46" s="388"/>
      <c r="D46" s="388"/>
      <c r="E46" s="388"/>
      <c r="F46" s="388"/>
      <c r="G46" s="388"/>
      <c r="H46" s="388"/>
      <c r="I46" s="388"/>
      <c r="J46" s="388"/>
      <c r="K46" s="388"/>
      <c r="L46" s="388"/>
      <c r="M46" s="388"/>
      <c r="N46" s="388"/>
      <c r="O46" s="388"/>
      <c r="P46" s="388"/>
      <c r="Q46" s="388"/>
      <c r="R46" s="388"/>
      <c r="S46" s="388"/>
      <c r="T46" s="388"/>
      <c r="U46" s="388"/>
      <c r="V46" s="388"/>
    </row>
    <row r="47" spans="1:24" s="402" customFormat="1">
      <c r="B47" s="388"/>
      <c r="C47" s="388"/>
      <c r="D47" s="388"/>
      <c r="E47" s="388"/>
      <c r="F47" s="388"/>
      <c r="G47" s="388"/>
      <c r="H47" s="388"/>
      <c r="I47" s="388"/>
      <c r="J47" s="388"/>
      <c r="K47" s="388"/>
      <c r="L47" s="388"/>
      <c r="M47" s="388"/>
      <c r="N47" s="388"/>
      <c r="O47" s="388"/>
      <c r="P47" s="388"/>
      <c r="Q47" s="388"/>
      <c r="R47" s="388"/>
      <c r="S47" s="388"/>
      <c r="T47" s="388"/>
      <c r="U47" s="388"/>
      <c r="V47" s="388"/>
    </row>
    <row r="48" spans="1:24" s="402" customFormat="1">
      <c r="B48" s="388"/>
      <c r="C48" s="388"/>
      <c r="D48" s="388"/>
      <c r="E48" s="388"/>
      <c r="F48" s="388"/>
      <c r="G48" s="388"/>
      <c r="H48" s="388"/>
      <c r="I48" s="388"/>
      <c r="J48" s="388"/>
      <c r="K48" s="388"/>
      <c r="L48" s="388"/>
      <c r="M48" s="388"/>
      <c r="N48" s="388"/>
      <c r="O48" s="388"/>
      <c r="P48" s="388"/>
      <c r="Q48" s="388"/>
      <c r="R48" s="388"/>
      <c r="S48" s="388"/>
      <c r="T48" s="388"/>
      <c r="U48" s="388"/>
      <c r="V48" s="388"/>
    </row>
    <row r="49" spans="2:22" s="402" customFormat="1">
      <c r="B49" s="388"/>
      <c r="C49" s="388"/>
      <c r="D49" s="388"/>
      <c r="E49" s="388"/>
      <c r="F49" s="388"/>
      <c r="G49" s="388"/>
      <c r="H49" s="388"/>
      <c r="I49" s="388"/>
      <c r="J49" s="388"/>
      <c r="K49" s="388"/>
      <c r="L49" s="388"/>
      <c r="M49" s="388"/>
      <c r="N49" s="388"/>
      <c r="O49" s="388"/>
      <c r="P49" s="388"/>
      <c r="Q49" s="388"/>
      <c r="R49" s="388"/>
      <c r="S49" s="388"/>
      <c r="T49" s="388"/>
      <c r="U49" s="388"/>
      <c r="V49" s="388"/>
    </row>
    <row r="50" spans="2:22" s="402" customFormat="1">
      <c r="B50" s="388"/>
      <c r="C50" s="388"/>
      <c r="D50" s="388"/>
      <c r="E50" s="388"/>
      <c r="F50" s="388"/>
      <c r="G50" s="388"/>
      <c r="H50" s="388"/>
      <c r="I50" s="388"/>
      <c r="J50" s="388"/>
      <c r="K50" s="388"/>
      <c r="L50" s="388"/>
      <c r="M50" s="388"/>
      <c r="N50" s="388"/>
      <c r="O50" s="388"/>
      <c r="P50" s="388"/>
      <c r="Q50" s="388"/>
      <c r="R50" s="388"/>
      <c r="S50" s="388"/>
      <c r="T50" s="388"/>
      <c r="U50" s="388"/>
      <c r="V50" s="388"/>
    </row>
    <row r="51" spans="2:22" s="402" customFormat="1">
      <c r="B51" s="388"/>
      <c r="C51" s="388"/>
      <c r="D51" s="388"/>
      <c r="E51" s="388"/>
      <c r="F51" s="388"/>
      <c r="G51" s="388"/>
      <c r="H51" s="388"/>
      <c r="I51" s="388"/>
      <c r="J51" s="388"/>
      <c r="K51" s="388"/>
      <c r="L51" s="388"/>
      <c r="M51" s="388"/>
      <c r="N51" s="388"/>
      <c r="O51" s="388"/>
      <c r="P51" s="388"/>
      <c r="Q51" s="388"/>
      <c r="R51" s="388"/>
      <c r="S51" s="388"/>
      <c r="T51" s="388"/>
      <c r="U51" s="388"/>
      <c r="V51" s="388"/>
    </row>
    <row r="52" spans="2:22" s="402" customFormat="1">
      <c r="B52" s="388"/>
      <c r="C52" s="388"/>
      <c r="D52" s="388"/>
      <c r="E52" s="388"/>
      <c r="F52" s="388"/>
      <c r="G52" s="388"/>
      <c r="H52" s="388"/>
      <c r="I52" s="388"/>
      <c r="J52" s="388"/>
      <c r="K52" s="388"/>
      <c r="L52" s="388"/>
      <c r="M52" s="388"/>
      <c r="N52" s="388"/>
      <c r="O52" s="388"/>
      <c r="P52" s="388"/>
      <c r="Q52" s="388"/>
      <c r="R52" s="388"/>
      <c r="S52" s="388"/>
      <c r="T52" s="388"/>
      <c r="U52" s="388"/>
      <c r="V52" s="388"/>
    </row>
    <row r="53" spans="2:22" s="402" customFormat="1">
      <c r="B53" s="388"/>
      <c r="C53" s="388"/>
      <c r="D53" s="388"/>
      <c r="E53" s="388"/>
      <c r="F53" s="388"/>
      <c r="G53" s="388"/>
      <c r="H53" s="388"/>
      <c r="I53" s="388"/>
      <c r="J53" s="388"/>
      <c r="K53" s="388"/>
      <c r="L53" s="388"/>
      <c r="M53" s="388"/>
      <c r="N53" s="388"/>
      <c r="O53" s="388"/>
      <c r="P53" s="388"/>
      <c r="Q53" s="388"/>
      <c r="R53" s="388"/>
      <c r="S53" s="388"/>
      <c r="T53" s="388"/>
      <c r="U53" s="388"/>
      <c r="V53" s="388"/>
    </row>
    <row r="54" spans="2:22" s="402" customFormat="1">
      <c r="B54" s="388"/>
      <c r="C54" s="388"/>
      <c r="D54" s="388"/>
      <c r="E54" s="388"/>
      <c r="F54" s="388"/>
      <c r="G54" s="388"/>
      <c r="H54" s="388"/>
      <c r="I54" s="388"/>
      <c r="J54" s="388"/>
      <c r="K54" s="388"/>
      <c r="L54" s="388"/>
      <c r="M54" s="388"/>
      <c r="N54" s="388"/>
      <c r="O54" s="388"/>
      <c r="P54" s="388"/>
      <c r="Q54" s="388"/>
      <c r="R54" s="388"/>
      <c r="S54" s="388"/>
      <c r="T54" s="388"/>
      <c r="U54" s="388"/>
      <c r="V54" s="388"/>
    </row>
    <row r="55" spans="2:22" s="402" customFormat="1">
      <c r="B55" s="388"/>
      <c r="C55" s="388"/>
      <c r="D55" s="388"/>
      <c r="E55" s="388"/>
      <c r="F55" s="388"/>
      <c r="G55" s="388"/>
      <c r="H55" s="388"/>
      <c r="I55" s="388"/>
      <c r="J55" s="388"/>
      <c r="K55" s="388"/>
      <c r="L55" s="388"/>
      <c r="M55" s="388"/>
      <c r="N55" s="388"/>
      <c r="O55" s="388"/>
      <c r="P55" s="388"/>
      <c r="Q55" s="388"/>
      <c r="R55" s="388"/>
      <c r="S55" s="388"/>
      <c r="T55" s="388"/>
      <c r="U55" s="388"/>
      <c r="V55" s="388"/>
    </row>
    <row r="56" spans="2:22" s="402" customFormat="1">
      <c r="B56" s="388"/>
      <c r="C56" s="388"/>
      <c r="D56" s="388"/>
      <c r="E56" s="388"/>
      <c r="F56" s="388"/>
      <c r="G56" s="388"/>
      <c r="H56" s="388"/>
      <c r="I56" s="388"/>
      <c r="J56" s="388"/>
      <c r="K56" s="388"/>
      <c r="L56" s="388"/>
      <c r="M56" s="388"/>
      <c r="N56" s="388"/>
      <c r="O56" s="388"/>
      <c r="P56" s="388"/>
      <c r="Q56" s="388"/>
      <c r="R56" s="388"/>
      <c r="S56" s="388"/>
      <c r="T56" s="388"/>
      <c r="U56" s="388"/>
      <c r="V56" s="388"/>
    </row>
    <row r="57" spans="2:22" s="402" customFormat="1">
      <c r="B57" s="388"/>
      <c r="C57" s="388"/>
      <c r="D57" s="388"/>
      <c r="E57" s="388"/>
      <c r="F57" s="388"/>
      <c r="G57" s="388"/>
      <c r="H57" s="388"/>
      <c r="I57" s="388"/>
      <c r="J57" s="388"/>
      <c r="K57" s="388"/>
      <c r="L57" s="388"/>
      <c r="M57" s="388"/>
      <c r="N57" s="388"/>
      <c r="O57" s="388"/>
      <c r="P57" s="388"/>
      <c r="Q57" s="388"/>
      <c r="R57" s="388"/>
      <c r="S57" s="388"/>
      <c r="T57" s="388"/>
      <c r="U57" s="388"/>
      <c r="V57" s="388"/>
    </row>
    <row r="58" spans="2:22" s="402" customFormat="1">
      <c r="B58" s="388"/>
      <c r="C58" s="388"/>
      <c r="D58" s="388"/>
      <c r="E58" s="388"/>
      <c r="F58" s="388"/>
      <c r="G58" s="388"/>
      <c r="H58" s="388"/>
      <c r="I58" s="388"/>
      <c r="J58" s="388"/>
      <c r="K58" s="388"/>
      <c r="L58" s="388"/>
      <c r="M58" s="388"/>
      <c r="N58" s="388"/>
      <c r="O58" s="388"/>
      <c r="P58" s="388"/>
      <c r="Q58" s="388"/>
      <c r="R58" s="388"/>
      <c r="S58" s="388"/>
      <c r="T58" s="388"/>
      <c r="U58" s="388"/>
      <c r="V58" s="388"/>
    </row>
    <row r="59" spans="2:22" s="402" customFormat="1">
      <c r="B59" s="388"/>
      <c r="C59" s="388"/>
      <c r="D59" s="388"/>
      <c r="E59" s="388"/>
      <c r="F59" s="388"/>
      <c r="G59" s="388"/>
      <c r="H59" s="388"/>
      <c r="I59" s="388"/>
      <c r="J59" s="388"/>
      <c r="K59" s="388"/>
      <c r="L59" s="388"/>
      <c r="M59" s="388"/>
      <c r="N59" s="388"/>
      <c r="O59" s="388"/>
      <c r="P59" s="388"/>
      <c r="Q59" s="388"/>
      <c r="R59" s="388"/>
      <c r="S59" s="388"/>
      <c r="T59" s="388"/>
      <c r="U59" s="388"/>
      <c r="V59" s="388"/>
    </row>
    <row r="60" spans="2:22" s="402" customFormat="1">
      <c r="B60" s="388"/>
      <c r="C60" s="388"/>
      <c r="D60" s="388"/>
      <c r="E60" s="388"/>
      <c r="F60" s="388"/>
      <c r="G60" s="388"/>
      <c r="H60" s="388"/>
      <c r="I60" s="388"/>
      <c r="J60" s="388"/>
      <c r="K60" s="388"/>
      <c r="L60" s="388"/>
      <c r="M60" s="388"/>
      <c r="N60" s="388"/>
      <c r="O60" s="388"/>
      <c r="P60" s="388"/>
      <c r="Q60" s="388"/>
      <c r="R60" s="388"/>
      <c r="S60" s="388"/>
      <c r="T60" s="388"/>
      <c r="U60" s="388"/>
      <c r="V60" s="388"/>
    </row>
    <row r="61" spans="2:22" s="402" customFormat="1">
      <c r="B61" s="388"/>
      <c r="C61" s="388"/>
      <c r="D61" s="388"/>
      <c r="E61" s="388"/>
      <c r="F61" s="388"/>
      <c r="G61" s="388"/>
      <c r="H61" s="388"/>
      <c r="I61" s="388"/>
      <c r="J61" s="388"/>
      <c r="K61" s="388"/>
      <c r="L61" s="388"/>
      <c r="M61" s="388"/>
      <c r="N61" s="388"/>
      <c r="O61" s="388"/>
      <c r="P61" s="388"/>
      <c r="Q61" s="388"/>
      <c r="R61" s="388"/>
      <c r="S61" s="388"/>
      <c r="T61" s="388"/>
      <c r="U61" s="388"/>
      <c r="V61" s="388"/>
    </row>
    <row r="62" spans="2:22" s="402" customFormat="1">
      <c r="B62" s="388"/>
      <c r="C62" s="388"/>
      <c r="D62" s="388"/>
      <c r="E62" s="388"/>
      <c r="F62" s="388"/>
      <c r="G62" s="388"/>
      <c r="H62" s="388"/>
      <c r="I62" s="388"/>
      <c r="J62" s="388"/>
      <c r="K62" s="388"/>
      <c r="L62" s="388"/>
      <c r="M62" s="388"/>
      <c r="N62" s="388"/>
      <c r="O62" s="388"/>
      <c r="P62" s="388"/>
      <c r="Q62" s="388"/>
      <c r="R62" s="388"/>
      <c r="S62" s="388"/>
      <c r="T62" s="388"/>
      <c r="U62" s="388"/>
      <c r="V62" s="388"/>
    </row>
    <row r="63" spans="2:22" s="402" customFormat="1">
      <c r="B63" s="388"/>
      <c r="C63" s="388"/>
      <c r="D63" s="388"/>
      <c r="E63" s="388"/>
      <c r="F63" s="388"/>
      <c r="G63" s="388"/>
      <c r="H63" s="388"/>
      <c r="I63" s="388"/>
      <c r="J63" s="388"/>
      <c r="K63" s="388"/>
      <c r="L63" s="388"/>
      <c r="M63" s="388"/>
      <c r="N63" s="388"/>
      <c r="O63" s="388"/>
      <c r="P63" s="388"/>
      <c r="Q63" s="388"/>
      <c r="R63" s="388"/>
      <c r="S63" s="388"/>
      <c r="T63" s="388"/>
      <c r="U63" s="388"/>
      <c r="V63" s="388"/>
    </row>
    <row r="64" spans="2:22" s="402" customFormat="1">
      <c r="B64" s="388"/>
      <c r="C64" s="388"/>
      <c r="D64" s="388"/>
      <c r="E64" s="388"/>
      <c r="F64" s="388"/>
      <c r="G64" s="388"/>
      <c r="H64" s="388"/>
      <c r="I64" s="388"/>
      <c r="J64" s="388"/>
      <c r="K64" s="388"/>
      <c r="L64" s="388"/>
      <c r="M64" s="388"/>
      <c r="N64" s="388"/>
      <c r="O64" s="388"/>
      <c r="P64" s="388"/>
      <c r="Q64" s="388"/>
      <c r="R64" s="388"/>
      <c r="S64" s="388"/>
      <c r="T64" s="388"/>
      <c r="U64" s="388"/>
      <c r="V64" s="388"/>
    </row>
    <row r="65" spans="2:22" s="402" customFormat="1">
      <c r="B65" s="388"/>
      <c r="C65" s="388"/>
      <c r="D65" s="388"/>
      <c r="E65" s="388"/>
      <c r="F65" s="388"/>
      <c r="G65" s="388"/>
      <c r="H65" s="388"/>
      <c r="I65" s="388"/>
      <c r="J65" s="388"/>
      <c r="K65" s="388"/>
      <c r="L65" s="388"/>
      <c r="M65" s="388"/>
      <c r="N65" s="388"/>
      <c r="O65" s="388"/>
      <c r="P65" s="388"/>
      <c r="Q65" s="388"/>
      <c r="R65" s="388"/>
      <c r="S65" s="388"/>
      <c r="T65" s="388"/>
      <c r="U65" s="388"/>
      <c r="V65" s="388"/>
    </row>
    <row r="66" spans="2:22" s="402" customFormat="1">
      <c r="B66" s="388"/>
      <c r="C66" s="388"/>
      <c r="D66" s="388"/>
      <c r="E66" s="388"/>
      <c r="F66" s="388"/>
      <c r="G66" s="388"/>
      <c r="H66" s="388"/>
      <c r="I66" s="388"/>
      <c r="J66" s="388"/>
      <c r="K66" s="388"/>
      <c r="L66" s="388"/>
      <c r="M66" s="388"/>
      <c r="N66" s="388"/>
      <c r="O66" s="388"/>
      <c r="P66" s="388"/>
      <c r="Q66" s="388"/>
      <c r="R66" s="388"/>
      <c r="S66" s="388"/>
      <c r="T66" s="388"/>
      <c r="U66" s="388"/>
      <c r="V66" s="388"/>
    </row>
    <row r="67" spans="2:22" s="402" customFormat="1">
      <c r="B67" s="388"/>
      <c r="C67" s="388"/>
      <c r="D67" s="388"/>
      <c r="E67" s="388"/>
      <c r="F67" s="388"/>
      <c r="G67" s="388"/>
      <c r="H67" s="388"/>
      <c r="I67" s="388"/>
      <c r="J67" s="388"/>
      <c r="K67" s="388"/>
      <c r="L67" s="388"/>
      <c r="M67" s="388"/>
      <c r="N67" s="388"/>
      <c r="O67" s="388"/>
      <c r="P67" s="388"/>
      <c r="Q67" s="388"/>
      <c r="R67" s="388"/>
      <c r="S67" s="388"/>
      <c r="T67" s="388"/>
      <c r="U67" s="388"/>
      <c r="V67" s="388"/>
    </row>
    <row r="68" spans="2:22" s="402" customFormat="1">
      <c r="B68" s="388"/>
      <c r="C68" s="388"/>
      <c r="D68" s="388"/>
      <c r="E68" s="388"/>
      <c r="F68" s="388"/>
      <c r="G68" s="388"/>
      <c r="H68" s="388"/>
      <c r="I68" s="388"/>
      <c r="J68" s="388"/>
      <c r="K68" s="388"/>
      <c r="L68" s="388"/>
      <c r="M68" s="388"/>
      <c r="N68" s="388"/>
      <c r="O68" s="388"/>
      <c r="P68" s="388"/>
      <c r="Q68" s="388"/>
      <c r="R68" s="388"/>
      <c r="S68" s="388"/>
      <c r="T68" s="388"/>
      <c r="U68" s="388"/>
      <c r="V68" s="388"/>
    </row>
    <row r="69" spans="2:22" s="402" customFormat="1">
      <c r="B69" s="388"/>
      <c r="C69" s="388"/>
      <c r="D69" s="388"/>
      <c r="E69" s="388"/>
      <c r="F69" s="388"/>
      <c r="G69" s="388"/>
      <c r="H69" s="388"/>
      <c r="I69" s="388"/>
      <c r="J69" s="388"/>
      <c r="K69" s="388"/>
      <c r="L69" s="388"/>
      <c r="M69" s="388"/>
      <c r="N69" s="388"/>
      <c r="O69" s="388"/>
      <c r="P69" s="388"/>
      <c r="Q69" s="388"/>
      <c r="R69" s="388"/>
      <c r="S69" s="388"/>
      <c r="T69" s="388"/>
      <c r="U69" s="388"/>
      <c r="V69" s="388"/>
    </row>
    <row r="70" spans="2:22" s="402" customFormat="1">
      <c r="B70" s="388"/>
      <c r="C70" s="388"/>
      <c r="D70" s="388"/>
      <c r="E70" s="388"/>
      <c r="F70" s="388"/>
      <c r="G70" s="388"/>
      <c r="H70" s="388"/>
      <c r="I70" s="388"/>
      <c r="J70" s="388"/>
      <c r="K70" s="388"/>
      <c r="L70" s="388"/>
      <c r="M70" s="388"/>
      <c r="N70" s="388"/>
      <c r="O70" s="388"/>
      <c r="P70" s="388"/>
      <c r="Q70" s="388"/>
      <c r="R70" s="388"/>
      <c r="S70" s="388"/>
      <c r="T70" s="388"/>
      <c r="U70" s="388"/>
      <c r="V70" s="388"/>
    </row>
    <row r="71" spans="2:22" s="402" customFormat="1">
      <c r="B71" s="388"/>
      <c r="C71" s="388"/>
      <c r="D71" s="388"/>
      <c r="E71" s="388"/>
      <c r="F71" s="388"/>
      <c r="G71" s="388"/>
      <c r="H71" s="388"/>
      <c r="I71" s="388"/>
      <c r="J71" s="388"/>
      <c r="K71" s="388"/>
      <c r="L71" s="388"/>
      <c r="M71" s="388"/>
      <c r="N71" s="388"/>
      <c r="O71" s="388"/>
      <c r="P71" s="388"/>
      <c r="Q71" s="388"/>
      <c r="R71" s="388"/>
      <c r="S71" s="388"/>
      <c r="T71" s="388"/>
      <c r="U71" s="388"/>
      <c r="V71" s="388"/>
    </row>
    <row r="72" spans="2:22" s="402" customFormat="1">
      <c r="B72" s="388"/>
      <c r="C72" s="388"/>
      <c r="D72" s="388"/>
      <c r="E72" s="388"/>
      <c r="F72" s="388"/>
      <c r="G72" s="388"/>
      <c r="H72" s="388"/>
      <c r="I72" s="388"/>
      <c r="J72" s="388"/>
      <c r="K72" s="388"/>
      <c r="L72" s="388"/>
      <c r="M72" s="388"/>
      <c r="N72" s="388"/>
      <c r="O72" s="388"/>
      <c r="P72" s="388"/>
      <c r="Q72" s="388"/>
      <c r="R72" s="388"/>
      <c r="S72" s="388"/>
      <c r="T72" s="388"/>
      <c r="U72" s="388"/>
      <c r="V72" s="388"/>
    </row>
    <row r="73" spans="2:22" s="402" customFormat="1">
      <c r="B73" s="388"/>
      <c r="C73" s="388"/>
      <c r="D73" s="388"/>
      <c r="E73" s="388"/>
      <c r="F73" s="388"/>
      <c r="G73" s="388"/>
      <c r="H73" s="388"/>
      <c r="I73" s="388"/>
      <c r="J73" s="388"/>
      <c r="K73" s="388"/>
      <c r="L73" s="388"/>
      <c r="M73" s="388"/>
      <c r="N73" s="388"/>
      <c r="O73" s="388"/>
      <c r="P73" s="388"/>
      <c r="Q73" s="388"/>
      <c r="R73" s="388"/>
      <c r="S73" s="388"/>
      <c r="T73" s="388"/>
      <c r="U73" s="388"/>
      <c r="V73" s="388"/>
    </row>
    <row r="74" spans="2:22" s="402" customFormat="1">
      <c r="B74" s="388"/>
      <c r="C74" s="388"/>
      <c r="D74" s="388"/>
      <c r="E74" s="388"/>
      <c r="F74" s="388"/>
      <c r="G74" s="388"/>
      <c r="H74" s="388"/>
      <c r="I74" s="388"/>
      <c r="J74" s="388"/>
      <c r="K74" s="388"/>
      <c r="L74" s="388"/>
      <c r="M74" s="388"/>
      <c r="N74" s="388"/>
      <c r="O74" s="388"/>
      <c r="P74" s="388"/>
      <c r="Q74" s="388"/>
      <c r="R74" s="388"/>
      <c r="S74" s="388"/>
      <c r="T74" s="388"/>
      <c r="U74" s="388"/>
      <c r="V74" s="388"/>
    </row>
    <row r="75" spans="2:22" s="402" customFormat="1">
      <c r="B75" s="388"/>
      <c r="C75" s="388"/>
      <c r="D75" s="388"/>
      <c r="E75" s="388"/>
      <c r="F75" s="388"/>
      <c r="G75" s="388"/>
      <c r="H75" s="388"/>
      <c r="I75" s="388"/>
      <c r="J75" s="388"/>
      <c r="K75" s="388"/>
      <c r="L75" s="388"/>
      <c r="M75" s="388"/>
      <c r="N75" s="388"/>
      <c r="O75" s="388"/>
      <c r="P75" s="388"/>
      <c r="Q75" s="388"/>
      <c r="R75" s="388"/>
      <c r="S75" s="388"/>
      <c r="T75" s="388"/>
      <c r="U75" s="388"/>
      <c r="V75" s="388"/>
    </row>
    <row r="76" spans="2:22" s="402" customFormat="1">
      <c r="B76" s="388"/>
      <c r="C76" s="388"/>
      <c r="D76" s="388"/>
      <c r="E76" s="388"/>
      <c r="F76" s="388"/>
      <c r="G76" s="388"/>
      <c r="H76" s="388"/>
      <c r="I76" s="388"/>
      <c r="J76" s="388"/>
      <c r="K76" s="388"/>
      <c r="L76" s="388"/>
      <c r="M76" s="388"/>
      <c r="N76" s="388"/>
      <c r="O76" s="388"/>
      <c r="P76" s="388"/>
      <c r="Q76" s="388"/>
      <c r="R76" s="388"/>
      <c r="S76" s="388"/>
      <c r="T76" s="388"/>
      <c r="U76" s="388"/>
      <c r="V76" s="388"/>
    </row>
    <row r="77" spans="2:22" s="402" customFormat="1">
      <c r="B77" s="388"/>
      <c r="C77" s="388"/>
      <c r="D77" s="388"/>
      <c r="E77" s="388"/>
      <c r="F77" s="388"/>
      <c r="G77" s="388"/>
      <c r="H77" s="388"/>
      <c r="I77" s="388"/>
      <c r="J77" s="388"/>
      <c r="K77" s="388"/>
      <c r="L77" s="388"/>
      <c r="M77" s="388"/>
      <c r="N77" s="388"/>
      <c r="O77" s="388"/>
      <c r="P77" s="388"/>
      <c r="Q77" s="388"/>
      <c r="R77" s="388"/>
      <c r="S77" s="388"/>
      <c r="T77" s="388"/>
      <c r="U77" s="388"/>
      <c r="V77" s="388"/>
    </row>
    <row r="78" spans="2:22" s="402" customFormat="1">
      <c r="B78" s="388"/>
      <c r="C78" s="388"/>
      <c r="D78" s="388"/>
      <c r="E78" s="388"/>
      <c r="F78" s="388"/>
      <c r="G78" s="388"/>
      <c r="H78" s="388"/>
      <c r="I78" s="388"/>
      <c r="J78" s="388"/>
      <c r="K78" s="388"/>
      <c r="L78" s="388"/>
      <c r="M78" s="388"/>
      <c r="N78" s="388"/>
      <c r="O78" s="388"/>
      <c r="P78" s="388"/>
      <c r="Q78" s="388"/>
      <c r="R78" s="388"/>
      <c r="S78" s="388"/>
      <c r="T78" s="388"/>
      <c r="U78" s="388"/>
      <c r="V78" s="388"/>
    </row>
    <row r="79" spans="2:22" s="402" customFormat="1">
      <c r="B79" s="388"/>
      <c r="C79" s="388"/>
      <c r="D79" s="388"/>
      <c r="E79" s="388"/>
      <c r="F79" s="388"/>
      <c r="G79" s="388"/>
      <c r="H79" s="388"/>
      <c r="I79" s="388"/>
      <c r="J79" s="388"/>
      <c r="K79" s="388"/>
      <c r="L79" s="388"/>
      <c r="M79" s="388"/>
      <c r="N79" s="388"/>
      <c r="O79" s="388"/>
      <c r="P79" s="388"/>
      <c r="Q79" s="388"/>
      <c r="R79" s="388"/>
      <c r="S79" s="388"/>
      <c r="T79" s="388"/>
      <c r="U79" s="388"/>
      <c r="V79" s="388"/>
    </row>
    <row r="80" spans="2:22" s="402" customFormat="1">
      <c r="B80" s="388"/>
      <c r="C80" s="388"/>
      <c r="D80" s="388"/>
      <c r="E80" s="388"/>
      <c r="F80" s="388"/>
      <c r="G80" s="388"/>
      <c r="H80" s="388"/>
      <c r="I80" s="388"/>
      <c r="J80" s="388"/>
      <c r="K80" s="388"/>
      <c r="L80" s="388"/>
      <c r="M80" s="388"/>
      <c r="N80" s="388"/>
      <c r="O80" s="388"/>
      <c r="P80" s="388"/>
      <c r="Q80" s="388"/>
      <c r="R80" s="388"/>
      <c r="S80" s="388"/>
      <c r="T80" s="388"/>
      <c r="U80" s="388"/>
      <c r="V80" s="388"/>
    </row>
    <row r="81" spans="2:22" s="402" customFormat="1">
      <c r="B81" s="388"/>
      <c r="C81" s="388"/>
      <c r="D81" s="388"/>
      <c r="E81" s="388"/>
      <c r="F81" s="388"/>
      <c r="G81" s="388"/>
      <c r="H81" s="388"/>
      <c r="I81" s="388"/>
      <c r="J81" s="388"/>
      <c r="K81" s="388"/>
      <c r="L81" s="388"/>
      <c r="M81" s="388"/>
      <c r="N81" s="388"/>
      <c r="O81" s="388"/>
      <c r="P81" s="388"/>
      <c r="Q81" s="388"/>
      <c r="R81" s="388"/>
      <c r="S81" s="388"/>
      <c r="T81" s="388"/>
      <c r="U81" s="388"/>
      <c r="V81" s="388"/>
    </row>
    <row r="82" spans="2:22" s="402" customFormat="1">
      <c r="B82" s="388"/>
      <c r="C82" s="388"/>
      <c r="D82" s="388"/>
      <c r="E82" s="388"/>
      <c r="F82" s="388"/>
      <c r="G82" s="388"/>
      <c r="H82" s="388"/>
      <c r="I82" s="388"/>
      <c r="J82" s="388"/>
      <c r="K82" s="388"/>
      <c r="L82" s="388"/>
      <c r="M82" s="388"/>
      <c r="N82" s="388"/>
      <c r="O82" s="388"/>
      <c r="P82" s="388"/>
      <c r="Q82" s="388"/>
      <c r="R82" s="388"/>
      <c r="S82" s="388"/>
      <c r="T82" s="388"/>
      <c r="U82" s="388"/>
      <c r="V82" s="388"/>
    </row>
    <row r="83" spans="2:22" s="402" customFormat="1">
      <c r="B83" s="388"/>
      <c r="C83" s="388"/>
      <c r="D83" s="388"/>
      <c r="E83" s="388"/>
      <c r="F83" s="388"/>
      <c r="G83" s="388"/>
      <c r="H83" s="388"/>
      <c r="I83" s="388"/>
      <c r="J83" s="388"/>
      <c r="K83" s="388"/>
      <c r="L83" s="388"/>
      <c r="M83" s="388"/>
      <c r="N83" s="388"/>
      <c r="O83" s="388"/>
      <c r="P83" s="388"/>
      <c r="Q83" s="388"/>
      <c r="R83" s="388"/>
      <c r="S83" s="388"/>
      <c r="T83" s="388"/>
      <c r="U83" s="388"/>
      <c r="V83" s="388"/>
    </row>
    <row r="84" spans="2:22" s="402" customFormat="1">
      <c r="B84" s="388"/>
      <c r="C84" s="388"/>
      <c r="D84" s="388"/>
      <c r="E84" s="388"/>
      <c r="F84" s="388"/>
      <c r="G84" s="388"/>
      <c r="H84" s="388"/>
      <c r="I84" s="388"/>
      <c r="J84" s="388"/>
      <c r="K84" s="388"/>
      <c r="L84" s="388"/>
      <c r="M84" s="388"/>
      <c r="N84" s="388"/>
      <c r="O84" s="388"/>
      <c r="P84" s="388"/>
      <c r="Q84" s="388"/>
      <c r="R84" s="388"/>
      <c r="S84" s="388"/>
      <c r="T84" s="388"/>
      <c r="U84" s="388"/>
      <c r="V84" s="388"/>
    </row>
    <row r="85" spans="2:22" s="402" customFormat="1">
      <c r="B85" s="388"/>
      <c r="C85" s="388"/>
      <c r="D85" s="388"/>
      <c r="E85" s="388"/>
      <c r="F85" s="388"/>
      <c r="G85" s="388"/>
      <c r="H85" s="388"/>
      <c r="I85" s="388"/>
      <c r="J85" s="388"/>
      <c r="K85" s="388"/>
      <c r="L85" s="388"/>
      <c r="M85" s="388"/>
      <c r="N85" s="388"/>
      <c r="O85" s="388"/>
      <c r="P85" s="388"/>
      <c r="Q85" s="388"/>
      <c r="R85" s="388"/>
      <c r="S85" s="388"/>
      <c r="T85" s="388"/>
      <c r="U85" s="388"/>
      <c r="V85" s="388"/>
    </row>
    <row r="86" spans="2:22" s="402" customFormat="1">
      <c r="B86" s="388"/>
      <c r="C86" s="388"/>
      <c r="D86" s="388"/>
      <c r="E86" s="388"/>
      <c r="F86" s="388"/>
      <c r="G86" s="388"/>
      <c r="H86" s="388"/>
      <c r="I86" s="388"/>
      <c r="J86" s="388"/>
      <c r="K86" s="388"/>
      <c r="L86" s="388"/>
      <c r="M86" s="388"/>
      <c r="N86" s="388"/>
      <c r="O86" s="388"/>
      <c r="P86" s="388"/>
      <c r="Q86" s="388"/>
      <c r="R86" s="388"/>
      <c r="S86" s="388"/>
      <c r="T86" s="388"/>
      <c r="U86" s="388"/>
      <c r="V86" s="388"/>
    </row>
    <row r="87" spans="2:22" s="402" customFormat="1">
      <c r="B87" s="388"/>
      <c r="C87" s="388"/>
      <c r="D87" s="388"/>
      <c r="E87" s="388"/>
      <c r="F87" s="388"/>
      <c r="G87" s="388"/>
      <c r="H87" s="388"/>
      <c r="I87" s="388"/>
      <c r="J87" s="388"/>
      <c r="K87" s="388"/>
      <c r="L87" s="388"/>
      <c r="M87" s="388"/>
      <c r="N87" s="388"/>
      <c r="O87" s="388"/>
      <c r="P87" s="388"/>
      <c r="Q87" s="388"/>
      <c r="R87" s="388"/>
      <c r="S87" s="388"/>
      <c r="T87" s="388"/>
      <c r="U87" s="388"/>
      <c r="V87" s="388"/>
    </row>
    <row r="88" spans="2:22" s="402" customFormat="1">
      <c r="B88" s="388"/>
      <c r="C88" s="388"/>
      <c r="D88" s="388"/>
      <c r="E88" s="388"/>
      <c r="F88" s="388"/>
      <c r="G88" s="388"/>
      <c r="H88" s="388"/>
      <c r="I88" s="388"/>
      <c r="J88" s="388"/>
      <c r="K88" s="388"/>
      <c r="L88" s="388"/>
      <c r="M88" s="388"/>
      <c r="N88" s="388"/>
      <c r="O88" s="388"/>
      <c r="P88" s="388"/>
      <c r="Q88" s="388"/>
      <c r="R88" s="388"/>
      <c r="S88" s="388"/>
      <c r="T88" s="388"/>
      <c r="U88" s="388"/>
      <c r="V88" s="388"/>
    </row>
    <row r="89" spans="2:22" s="402" customFormat="1">
      <c r="B89" s="388"/>
      <c r="C89" s="388"/>
      <c r="D89" s="388"/>
      <c r="E89" s="388"/>
      <c r="F89" s="388"/>
      <c r="G89" s="388"/>
      <c r="H89" s="388"/>
      <c r="I89" s="388"/>
      <c r="J89" s="388"/>
      <c r="K89" s="388"/>
      <c r="L89" s="388"/>
      <c r="M89" s="388"/>
      <c r="N89" s="388"/>
      <c r="O89" s="388"/>
      <c r="P89" s="388"/>
      <c r="Q89" s="388"/>
      <c r="R89" s="388"/>
      <c r="S89" s="388"/>
      <c r="T89" s="388"/>
      <c r="U89" s="388"/>
      <c r="V89" s="388"/>
    </row>
    <row r="90" spans="2:22" s="402" customFormat="1">
      <c r="B90" s="388"/>
      <c r="C90" s="388"/>
      <c r="D90" s="388"/>
      <c r="E90" s="388"/>
      <c r="F90" s="388"/>
      <c r="G90" s="388"/>
      <c r="H90" s="388"/>
      <c r="I90" s="388"/>
      <c r="J90" s="388"/>
      <c r="K90" s="388"/>
      <c r="L90" s="388"/>
      <c r="M90" s="388"/>
      <c r="N90" s="388"/>
      <c r="O90" s="388"/>
      <c r="P90" s="388"/>
      <c r="Q90" s="388"/>
      <c r="R90" s="388"/>
      <c r="S90" s="388"/>
      <c r="T90" s="388"/>
      <c r="U90" s="388"/>
      <c r="V90" s="388"/>
    </row>
    <row r="91" spans="2:22" s="402" customFormat="1">
      <c r="B91" s="388"/>
      <c r="C91" s="388"/>
      <c r="D91" s="388"/>
      <c r="E91" s="388"/>
      <c r="F91" s="388"/>
      <c r="G91" s="388"/>
      <c r="H91" s="388"/>
      <c r="I91" s="388"/>
      <c r="J91" s="388"/>
      <c r="K91" s="388"/>
      <c r="L91" s="388"/>
      <c r="M91" s="388"/>
      <c r="N91" s="388"/>
      <c r="O91" s="388"/>
      <c r="P91" s="388"/>
      <c r="Q91" s="388"/>
      <c r="R91" s="388"/>
      <c r="S91" s="388"/>
      <c r="T91" s="388"/>
      <c r="U91" s="388"/>
      <c r="V91" s="388"/>
    </row>
    <row r="92" spans="2:22" s="402" customFormat="1">
      <c r="B92" s="388"/>
      <c r="C92" s="388"/>
      <c r="D92" s="388"/>
      <c r="E92" s="388"/>
      <c r="F92" s="388"/>
      <c r="G92" s="388"/>
      <c r="H92" s="388"/>
      <c r="I92" s="388"/>
      <c r="J92" s="388"/>
      <c r="K92" s="388"/>
      <c r="L92" s="388"/>
      <c r="M92" s="388"/>
      <c r="N92" s="388"/>
      <c r="O92" s="388"/>
      <c r="P92" s="388"/>
      <c r="Q92" s="388"/>
      <c r="R92" s="388"/>
      <c r="S92" s="388"/>
      <c r="T92" s="388"/>
      <c r="U92" s="388"/>
      <c r="V92" s="388"/>
    </row>
    <row r="93" spans="2:22" s="402" customFormat="1">
      <c r="B93" s="388"/>
      <c r="C93" s="388"/>
      <c r="D93" s="388"/>
      <c r="E93" s="388"/>
      <c r="F93" s="388"/>
      <c r="G93" s="388"/>
      <c r="H93" s="388"/>
      <c r="I93" s="388"/>
      <c r="J93" s="388"/>
      <c r="K93" s="388"/>
      <c r="L93" s="388"/>
      <c r="M93" s="388"/>
      <c r="N93" s="388"/>
      <c r="O93" s="388"/>
      <c r="P93" s="388"/>
      <c r="Q93" s="388"/>
      <c r="R93" s="388"/>
      <c r="S93" s="388"/>
      <c r="T93" s="388"/>
      <c r="U93" s="388"/>
      <c r="V93" s="388"/>
    </row>
    <row r="94" spans="2:22" s="402" customFormat="1">
      <c r="B94" s="388"/>
      <c r="C94" s="388"/>
      <c r="D94" s="388"/>
      <c r="E94" s="388"/>
      <c r="F94" s="388"/>
      <c r="G94" s="388"/>
      <c r="H94" s="388"/>
      <c r="I94" s="388"/>
      <c r="J94" s="388"/>
      <c r="K94" s="388"/>
      <c r="L94" s="388"/>
      <c r="M94" s="388"/>
      <c r="N94" s="388"/>
      <c r="O94" s="388"/>
      <c r="P94" s="388"/>
      <c r="Q94" s="388"/>
      <c r="R94" s="388"/>
      <c r="S94" s="388"/>
      <c r="T94" s="388"/>
      <c r="U94" s="388"/>
      <c r="V94" s="388"/>
    </row>
    <row r="95" spans="2:22" s="402" customFormat="1">
      <c r="B95" s="388"/>
      <c r="C95" s="388"/>
      <c r="D95" s="388"/>
      <c r="E95" s="388"/>
      <c r="F95" s="388"/>
      <c r="G95" s="388"/>
      <c r="H95" s="388"/>
      <c r="I95" s="388"/>
      <c r="J95" s="388"/>
      <c r="K95" s="388"/>
      <c r="L95" s="388"/>
      <c r="M95" s="388"/>
      <c r="N95" s="388"/>
      <c r="O95" s="388"/>
      <c r="P95" s="388"/>
      <c r="Q95" s="388"/>
      <c r="R95" s="388"/>
      <c r="S95" s="388"/>
      <c r="T95" s="388"/>
      <c r="U95" s="388"/>
      <c r="V95" s="388"/>
    </row>
    <row r="96" spans="2:22" s="402" customFormat="1">
      <c r="B96" s="388"/>
      <c r="C96" s="388"/>
      <c r="D96" s="388"/>
      <c r="E96" s="388"/>
      <c r="F96" s="388"/>
      <c r="G96" s="388"/>
      <c r="H96" s="388"/>
      <c r="I96" s="388"/>
      <c r="J96" s="388"/>
      <c r="K96" s="388"/>
      <c r="L96" s="388"/>
      <c r="M96" s="388"/>
      <c r="N96" s="388"/>
      <c r="O96" s="388"/>
      <c r="P96" s="388"/>
      <c r="Q96" s="388"/>
      <c r="R96" s="388"/>
      <c r="S96" s="388"/>
      <c r="T96" s="388"/>
      <c r="U96" s="388"/>
      <c r="V96" s="388"/>
    </row>
    <row r="97" spans="2:22" s="402" customFormat="1">
      <c r="B97" s="388"/>
      <c r="C97" s="388"/>
      <c r="D97" s="388"/>
      <c r="E97" s="388"/>
      <c r="F97" s="388"/>
      <c r="G97" s="388"/>
      <c r="H97" s="388"/>
      <c r="I97" s="388"/>
      <c r="J97" s="388"/>
      <c r="K97" s="388"/>
      <c r="L97" s="388"/>
      <c r="M97" s="388"/>
      <c r="N97" s="388"/>
      <c r="O97" s="388"/>
      <c r="P97" s="388"/>
      <c r="Q97" s="388"/>
      <c r="R97" s="388"/>
      <c r="S97" s="388"/>
      <c r="T97" s="388"/>
      <c r="U97" s="388"/>
      <c r="V97" s="388"/>
    </row>
    <row r="98" spans="2:22" s="402" customFormat="1">
      <c r="B98" s="388"/>
      <c r="C98" s="388"/>
      <c r="D98" s="388"/>
      <c r="E98" s="388"/>
      <c r="F98" s="388"/>
      <c r="G98" s="388"/>
      <c r="H98" s="388"/>
      <c r="I98" s="388"/>
      <c r="J98" s="388"/>
      <c r="K98" s="388"/>
      <c r="L98" s="388"/>
      <c r="M98" s="388"/>
      <c r="N98" s="388"/>
      <c r="O98" s="388"/>
      <c r="P98" s="388"/>
      <c r="Q98" s="388"/>
      <c r="R98" s="388"/>
      <c r="S98" s="388"/>
      <c r="T98" s="388"/>
      <c r="U98" s="388"/>
      <c r="V98" s="388"/>
    </row>
    <row r="99" spans="2:22" s="402" customFormat="1">
      <c r="B99" s="388"/>
      <c r="C99" s="388"/>
      <c r="D99" s="388"/>
      <c r="E99" s="388"/>
      <c r="F99" s="388"/>
      <c r="G99" s="388"/>
      <c r="H99" s="388"/>
      <c r="I99" s="388"/>
      <c r="J99" s="388"/>
      <c r="K99" s="388"/>
      <c r="L99" s="388"/>
      <c r="M99" s="388"/>
      <c r="N99" s="388"/>
      <c r="O99" s="388"/>
      <c r="P99" s="388"/>
      <c r="Q99" s="388"/>
      <c r="R99" s="388"/>
      <c r="S99" s="388"/>
      <c r="T99" s="388"/>
      <c r="U99" s="388"/>
      <c r="V99" s="388"/>
    </row>
    <row r="100" spans="2:22" s="402" customFormat="1">
      <c r="B100" s="388"/>
      <c r="C100" s="388"/>
      <c r="D100" s="388"/>
      <c r="E100" s="388"/>
      <c r="F100" s="388"/>
      <c r="G100" s="388"/>
      <c r="H100" s="388"/>
      <c r="I100" s="388"/>
      <c r="J100" s="388"/>
      <c r="K100" s="388"/>
      <c r="L100" s="388"/>
      <c r="M100" s="388"/>
      <c r="N100" s="388"/>
      <c r="O100" s="388"/>
      <c r="P100" s="388"/>
      <c r="Q100" s="388"/>
      <c r="R100" s="388"/>
      <c r="S100" s="388"/>
      <c r="T100" s="388"/>
      <c r="U100" s="388"/>
      <c r="V100" s="388"/>
    </row>
    <row r="101" spans="2:22" s="402" customFormat="1">
      <c r="B101" s="388"/>
      <c r="C101" s="388"/>
      <c r="D101" s="388"/>
      <c r="E101" s="388"/>
      <c r="F101" s="388"/>
      <c r="G101" s="388"/>
      <c r="H101" s="388"/>
      <c r="I101" s="388"/>
      <c r="J101" s="388"/>
      <c r="K101" s="388"/>
      <c r="L101" s="388"/>
      <c r="M101" s="388"/>
      <c r="N101" s="388"/>
      <c r="O101" s="388"/>
      <c r="P101" s="388"/>
      <c r="Q101" s="388"/>
      <c r="R101" s="388"/>
      <c r="S101" s="388"/>
      <c r="T101" s="388"/>
      <c r="U101" s="388"/>
      <c r="V101" s="388"/>
    </row>
    <row r="102" spans="2:22" s="402" customFormat="1">
      <c r="B102" s="388"/>
      <c r="C102" s="388"/>
      <c r="D102" s="388"/>
      <c r="E102" s="388"/>
      <c r="F102" s="388"/>
      <c r="G102" s="388"/>
      <c r="H102" s="388"/>
      <c r="I102" s="388"/>
      <c r="J102" s="388"/>
      <c r="K102" s="388"/>
      <c r="L102" s="388"/>
      <c r="M102" s="388"/>
      <c r="N102" s="388"/>
      <c r="O102" s="388"/>
      <c r="P102" s="388"/>
      <c r="Q102" s="388"/>
      <c r="R102" s="388"/>
      <c r="S102" s="388"/>
      <c r="T102" s="388"/>
      <c r="U102" s="388"/>
      <c r="V102" s="388"/>
    </row>
    <row r="103" spans="2:22" s="402" customFormat="1">
      <c r="B103" s="388"/>
      <c r="C103" s="388"/>
      <c r="D103" s="388"/>
      <c r="E103" s="388"/>
      <c r="F103" s="388"/>
      <c r="G103" s="388"/>
      <c r="H103" s="388"/>
      <c r="I103" s="388"/>
      <c r="J103" s="388"/>
      <c r="K103" s="388"/>
      <c r="L103" s="388"/>
      <c r="M103" s="388"/>
      <c r="N103" s="388"/>
      <c r="O103" s="388"/>
      <c r="P103" s="388"/>
      <c r="Q103" s="388"/>
      <c r="R103" s="388"/>
      <c r="S103" s="388"/>
      <c r="T103" s="388"/>
      <c r="U103" s="388"/>
      <c r="V103" s="388"/>
    </row>
    <row r="104" spans="2:22" s="402" customFormat="1">
      <c r="B104" s="388"/>
      <c r="C104" s="388"/>
      <c r="D104" s="388"/>
      <c r="E104" s="388"/>
      <c r="F104" s="388"/>
      <c r="G104" s="388"/>
      <c r="H104" s="388"/>
      <c r="I104" s="388"/>
      <c r="J104" s="388"/>
      <c r="K104" s="388"/>
      <c r="L104" s="388"/>
      <c r="M104" s="388"/>
      <c r="N104" s="388"/>
      <c r="O104" s="388"/>
      <c r="P104" s="388"/>
      <c r="Q104" s="388"/>
      <c r="R104" s="388"/>
      <c r="S104" s="388"/>
      <c r="T104" s="388"/>
      <c r="U104" s="388"/>
      <c r="V104" s="388"/>
    </row>
    <row r="105" spans="2:22" s="402" customFormat="1">
      <c r="B105" s="388"/>
      <c r="C105" s="388"/>
      <c r="D105" s="388"/>
      <c r="E105" s="388"/>
      <c r="F105" s="388"/>
      <c r="G105" s="388"/>
      <c r="H105" s="388"/>
      <c r="I105" s="388"/>
      <c r="J105" s="388"/>
      <c r="K105" s="388"/>
      <c r="L105" s="388"/>
      <c r="M105" s="388"/>
      <c r="N105" s="388"/>
      <c r="O105" s="388"/>
      <c r="P105" s="388"/>
      <c r="Q105" s="388"/>
      <c r="R105" s="388"/>
      <c r="S105" s="388"/>
      <c r="T105" s="388"/>
      <c r="U105" s="388"/>
      <c r="V105" s="388"/>
    </row>
    <row r="106" spans="2:22" s="402" customFormat="1">
      <c r="B106" s="388"/>
      <c r="C106" s="388"/>
      <c r="D106" s="388"/>
      <c r="E106" s="388"/>
      <c r="F106" s="388"/>
      <c r="G106" s="388"/>
      <c r="H106" s="388"/>
      <c r="I106" s="388"/>
      <c r="J106" s="388"/>
      <c r="K106" s="388"/>
      <c r="L106" s="388"/>
      <c r="M106" s="388"/>
      <c r="N106" s="388"/>
      <c r="O106" s="388"/>
      <c r="P106" s="388"/>
      <c r="Q106" s="388"/>
      <c r="R106" s="388"/>
      <c r="S106" s="388"/>
      <c r="T106" s="388"/>
      <c r="U106" s="388"/>
      <c r="V106" s="388"/>
    </row>
    <row r="107" spans="2:22" s="402" customFormat="1">
      <c r="B107" s="388"/>
      <c r="C107" s="388"/>
      <c r="D107" s="388"/>
      <c r="E107" s="388"/>
      <c r="F107" s="388"/>
      <c r="G107" s="388"/>
      <c r="H107" s="388"/>
      <c r="I107" s="388"/>
      <c r="J107" s="388"/>
      <c r="K107" s="388"/>
      <c r="L107" s="388"/>
      <c r="M107" s="388"/>
      <c r="N107" s="388"/>
      <c r="O107" s="388"/>
      <c r="P107" s="388"/>
      <c r="Q107" s="388"/>
      <c r="R107" s="388"/>
      <c r="S107" s="388"/>
      <c r="T107" s="388"/>
      <c r="U107" s="388"/>
      <c r="V107" s="388"/>
    </row>
    <row r="108" spans="2:22" s="402" customFormat="1">
      <c r="B108" s="388"/>
      <c r="C108" s="388"/>
      <c r="D108" s="388"/>
      <c r="E108" s="388"/>
      <c r="F108" s="388"/>
      <c r="G108" s="388"/>
      <c r="H108" s="388"/>
      <c r="I108" s="388"/>
      <c r="J108" s="388"/>
      <c r="K108" s="388"/>
      <c r="L108" s="388"/>
      <c r="M108" s="388"/>
      <c r="N108" s="388"/>
      <c r="O108" s="388"/>
      <c r="P108" s="388"/>
      <c r="Q108" s="388"/>
      <c r="R108" s="388"/>
      <c r="S108" s="388"/>
      <c r="T108" s="388"/>
      <c r="U108" s="388"/>
      <c r="V108" s="388"/>
    </row>
    <row r="109" spans="2:22" s="402" customFormat="1">
      <c r="B109" s="388"/>
      <c r="C109" s="388"/>
      <c r="D109" s="388"/>
      <c r="E109" s="388"/>
      <c r="F109" s="388"/>
      <c r="G109" s="388"/>
      <c r="H109" s="388"/>
      <c r="I109" s="388"/>
      <c r="J109" s="388"/>
      <c r="K109" s="388"/>
      <c r="L109" s="388"/>
      <c r="M109" s="388"/>
      <c r="N109" s="388"/>
      <c r="O109" s="388"/>
      <c r="P109" s="388"/>
      <c r="Q109" s="388"/>
      <c r="R109" s="388"/>
      <c r="S109" s="388"/>
      <c r="T109" s="388"/>
      <c r="U109" s="388"/>
      <c r="V109" s="388"/>
    </row>
    <row r="110" spans="2:22" s="402" customFormat="1">
      <c r="B110" s="388"/>
      <c r="C110" s="388"/>
      <c r="D110" s="388"/>
      <c r="E110" s="388"/>
      <c r="F110" s="388"/>
      <c r="G110" s="388"/>
      <c r="H110" s="388"/>
      <c r="I110" s="388"/>
      <c r="J110" s="388"/>
      <c r="K110" s="388"/>
      <c r="L110" s="388"/>
      <c r="M110" s="388"/>
      <c r="N110" s="388"/>
      <c r="O110" s="388"/>
      <c r="P110" s="388"/>
      <c r="Q110" s="388"/>
      <c r="R110" s="388"/>
      <c r="S110" s="388"/>
      <c r="T110" s="388"/>
      <c r="U110" s="388"/>
      <c r="V110" s="388"/>
    </row>
    <row r="111" spans="2:22" s="402" customFormat="1">
      <c r="B111" s="388"/>
      <c r="C111" s="388"/>
      <c r="D111" s="388"/>
      <c r="E111" s="388"/>
      <c r="F111" s="388"/>
      <c r="G111" s="388"/>
      <c r="H111" s="388"/>
      <c r="I111" s="388"/>
      <c r="J111" s="388"/>
      <c r="K111" s="388"/>
      <c r="L111" s="388"/>
      <c r="M111" s="388"/>
      <c r="N111" s="388"/>
      <c r="O111" s="388"/>
      <c r="P111" s="388"/>
      <c r="Q111" s="388"/>
      <c r="R111" s="388"/>
      <c r="S111" s="388"/>
      <c r="T111" s="388"/>
      <c r="U111" s="388"/>
      <c r="V111" s="388"/>
    </row>
    <row r="112" spans="2:22" s="402" customFormat="1">
      <c r="B112" s="388"/>
      <c r="C112" s="388"/>
      <c r="D112" s="388"/>
      <c r="E112" s="388"/>
      <c r="F112" s="388"/>
      <c r="G112" s="388"/>
      <c r="H112" s="388"/>
      <c r="I112" s="388"/>
      <c r="J112" s="388"/>
      <c r="K112" s="388"/>
      <c r="L112" s="388"/>
      <c r="M112" s="388"/>
      <c r="N112" s="388"/>
      <c r="O112" s="388"/>
      <c r="P112" s="388"/>
      <c r="Q112" s="388"/>
      <c r="R112" s="388"/>
      <c r="S112" s="388"/>
      <c r="T112" s="388"/>
      <c r="U112" s="388"/>
      <c r="V112" s="388"/>
    </row>
    <row r="113" spans="2:22" s="402" customFormat="1">
      <c r="B113" s="388"/>
      <c r="C113" s="388"/>
      <c r="D113" s="388"/>
      <c r="E113" s="388"/>
      <c r="F113" s="388"/>
      <c r="G113" s="388"/>
      <c r="H113" s="388"/>
      <c r="I113" s="388"/>
      <c r="J113" s="388"/>
      <c r="K113" s="388"/>
      <c r="L113" s="388"/>
      <c r="M113" s="388"/>
      <c r="N113" s="388"/>
      <c r="O113" s="388"/>
      <c r="P113" s="388"/>
      <c r="Q113" s="388"/>
      <c r="R113" s="388"/>
      <c r="S113" s="388"/>
      <c r="T113" s="388"/>
      <c r="U113" s="388"/>
      <c r="V113" s="388"/>
    </row>
    <row r="114" spans="2:22" s="402" customFormat="1">
      <c r="B114" s="388"/>
      <c r="C114" s="388"/>
      <c r="D114" s="388"/>
      <c r="E114" s="388"/>
      <c r="F114" s="388"/>
      <c r="G114" s="388"/>
      <c r="H114" s="388"/>
      <c r="I114" s="388"/>
      <c r="J114" s="388"/>
      <c r="K114" s="388"/>
      <c r="L114" s="388"/>
      <c r="M114" s="388"/>
      <c r="N114" s="388"/>
      <c r="O114" s="388"/>
      <c r="P114" s="388"/>
      <c r="Q114" s="388"/>
      <c r="R114" s="388"/>
      <c r="S114" s="388"/>
      <c r="T114" s="388"/>
      <c r="U114" s="388"/>
      <c r="V114" s="388"/>
    </row>
    <row r="115" spans="2:22" s="402" customFormat="1">
      <c r="B115" s="388"/>
      <c r="C115" s="388"/>
      <c r="D115" s="388"/>
      <c r="E115" s="388"/>
      <c r="F115" s="388"/>
      <c r="G115" s="388"/>
      <c r="H115" s="388"/>
      <c r="I115" s="388"/>
      <c r="J115" s="388"/>
      <c r="K115" s="388"/>
      <c r="L115" s="388"/>
      <c r="M115" s="388"/>
      <c r="N115" s="388"/>
      <c r="O115" s="388"/>
      <c r="P115" s="388"/>
      <c r="Q115" s="388"/>
      <c r="R115" s="388"/>
      <c r="S115" s="388"/>
      <c r="T115" s="388"/>
      <c r="U115" s="388"/>
      <c r="V115" s="388"/>
    </row>
    <row r="116" spans="2:22" s="402" customFormat="1">
      <c r="B116" s="388"/>
      <c r="C116" s="388"/>
      <c r="D116" s="388"/>
      <c r="E116" s="388"/>
      <c r="F116" s="388"/>
      <c r="G116" s="388"/>
      <c r="H116" s="388"/>
      <c r="I116" s="388"/>
      <c r="J116" s="388"/>
      <c r="K116" s="388"/>
      <c r="L116" s="388"/>
      <c r="M116" s="388"/>
      <c r="N116" s="388"/>
      <c r="O116" s="388"/>
      <c r="P116" s="388"/>
      <c r="Q116" s="388"/>
      <c r="R116" s="388"/>
      <c r="S116" s="388"/>
      <c r="T116" s="388"/>
      <c r="U116" s="388"/>
      <c r="V116" s="388"/>
    </row>
    <row r="117" spans="2:22" s="402" customFormat="1">
      <c r="B117" s="388"/>
      <c r="C117" s="388"/>
      <c r="D117" s="388"/>
      <c r="E117" s="388"/>
      <c r="F117" s="388"/>
      <c r="G117" s="388"/>
      <c r="H117" s="388"/>
      <c r="I117" s="388"/>
      <c r="J117" s="388"/>
      <c r="K117" s="388"/>
      <c r="L117" s="388"/>
      <c r="M117" s="388"/>
      <c r="N117" s="388"/>
      <c r="O117" s="388"/>
      <c r="P117" s="388"/>
      <c r="Q117" s="388"/>
      <c r="R117" s="388"/>
      <c r="S117" s="388"/>
      <c r="T117" s="388"/>
      <c r="U117" s="388"/>
      <c r="V117" s="388"/>
    </row>
    <row r="118" spans="2:22" s="402" customFormat="1">
      <c r="B118" s="388"/>
      <c r="C118" s="388"/>
      <c r="D118" s="388"/>
      <c r="E118" s="388"/>
      <c r="F118" s="388"/>
      <c r="G118" s="388"/>
      <c r="H118" s="388"/>
      <c r="I118" s="388"/>
      <c r="J118" s="388"/>
      <c r="K118" s="388"/>
      <c r="L118" s="388"/>
      <c r="M118" s="388"/>
      <c r="N118" s="388"/>
      <c r="O118" s="388"/>
      <c r="P118" s="388"/>
      <c r="Q118" s="388"/>
      <c r="R118" s="388"/>
      <c r="S118" s="388"/>
      <c r="T118" s="388"/>
      <c r="U118" s="388"/>
      <c r="V118" s="388"/>
    </row>
    <row r="119" spans="2:22" s="402" customFormat="1">
      <c r="B119" s="388"/>
      <c r="C119" s="388"/>
      <c r="D119" s="388"/>
      <c r="E119" s="388"/>
      <c r="F119" s="388"/>
      <c r="G119" s="388"/>
      <c r="H119" s="388"/>
      <c r="I119" s="388"/>
      <c r="J119" s="388"/>
      <c r="K119" s="388"/>
      <c r="L119" s="388"/>
      <c r="M119" s="388"/>
      <c r="N119" s="388"/>
      <c r="O119" s="388"/>
      <c r="P119" s="388"/>
      <c r="Q119" s="388"/>
      <c r="R119" s="388"/>
      <c r="S119" s="388"/>
      <c r="T119" s="388"/>
      <c r="U119" s="388"/>
      <c r="V119" s="388"/>
    </row>
    <row r="120" spans="2:22" s="402" customFormat="1">
      <c r="B120" s="388"/>
      <c r="C120" s="388"/>
      <c r="D120" s="388"/>
      <c r="E120" s="388"/>
      <c r="F120" s="388"/>
      <c r="G120" s="388"/>
      <c r="H120" s="388"/>
      <c r="I120" s="388"/>
      <c r="J120" s="388"/>
      <c r="K120" s="388"/>
      <c r="L120" s="388"/>
      <c r="M120" s="388"/>
      <c r="N120" s="388"/>
      <c r="O120" s="388"/>
      <c r="P120" s="388"/>
      <c r="Q120" s="388"/>
      <c r="R120" s="388"/>
      <c r="S120" s="388"/>
      <c r="T120" s="388"/>
      <c r="U120" s="388"/>
      <c r="V120" s="388"/>
    </row>
    <row r="121" spans="2:22" s="402" customFormat="1">
      <c r="B121" s="388"/>
      <c r="C121" s="388"/>
      <c r="D121" s="388"/>
      <c r="E121" s="388"/>
      <c r="F121" s="388"/>
      <c r="G121" s="388"/>
      <c r="H121" s="388"/>
      <c r="I121" s="388"/>
      <c r="J121" s="388"/>
      <c r="K121" s="388"/>
      <c r="L121" s="388"/>
      <c r="M121" s="388"/>
      <c r="N121" s="388"/>
      <c r="O121" s="388"/>
      <c r="P121" s="388"/>
      <c r="Q121" s="388"/>
      <c r="R121" s="388"/>
      <c r="S121" s="388"/>
      <c r="T121" s="388"/>
      <c r="U121" s="388"/>
      <c r="V121" s="388"/>
    </row>
    <row r="122" spans="2:22" s="402" customFormat="1">
      <c r="B122" s="388"/>
      <c r="C122" s="388"/>
      <c r="D122" s="388"/>
      <c r="E122" s="388"/>
      <c r="F122" s="388"/>
      <c r="G122" s="388"/>
      <c r="H122" s="388"/>
      <c r="I122" s="388"/>
      <c r="J122" s="388"/>
      <c r="K122" s="388"/>
      <c r="L122" s="388"/>
      <c r="M122" s="388"/>
      <c r="N122" s="388"/>
      <c r="O122" s="388"/>
      <c r="P122" s="388"/>
      <c r="Q122" s="388"/>
      <c r="R122" s="388"/>
      <c r="S122" s="388"/>
      <c r="T122" s="388"/>
      <c r="U122" s="388"/>
      <c r="V122" s="388"/>
    </row>
    <row r="123" spans="2:22" s="402" customFormat="1">
      <c r="B123" s="388"/>
      <c r="C123" s="388"/>
      <c r="D123" s="388"/>
      <c r="E123" s="388"/>
      <c r="F123" s="388"/>
      <c r="G123" s="388"/>
      <c r="H123" s="388"/>
      <c r="I123" s="388"/>
      <c r="J123" s="388"/>
      <c r="K123" s="388"/>
      <c r="L123" s="388"/>
      <c r="M123" s="388"/>
      <c r="N123" s="388"/>
      <c r="O123" s="388"/>
      <c r="P123" s="388"/>
      <c r="Q123" s="388"/>
      <c r="R123" s="388"/>
      <c r="S123" s="388"/>
      <c r="T123" s="388"/>
      <c r="U123" s="388"/>
      <c r="V123" s="388"/>
    </row>
    <row r="124" spans="2:22" s="402" customFormat="1">
      <c r="B124" s="388"/>
      <c r="C124" s="388"/>
      <c r="D124" s="388"/>
      <c r="E124" s="388"/>
      <c r="F124" s="388"/>
      <c r="G124" s="388"/>
      <c r="H124" s="388"/>
      <c r="I124" s="388"/>
      <c r="J124" s="388"/>
      <c r="K124" s="388"/>
      <c r="L124" s="388"/>
      <c r="M124" s="388"/>
      <c r="N124" s="388"/>
      <c r="O124" s="388"/>
      <c r="P124" s="388"/>
      <c r="Q124" s="388"/>
      <c r="R124" s="388"/>
      <c r="S124" s="388"/>
      <c r="T124" s="388"/>
      <c r="U124" s="388"/>
      <c r="V124" s="388"/>
    </row>
    <row r="125" spans="2:22" s="402" customFormat="1">
      <c r="B125" s="388"/>
      <c r="C125" s="388"/>
      <c r="D125" s="388"/>
      <c r="E125" s="388"/>
      <c r="F125" s="388"/>
      <c r="G125" s="388"/>
      <c r="H125" s="388"/>
      <c r="I125" s="388"/>
      <c r="J125" s="388"/>
      <c r="K125" s="388"/>
      <c r="L125" s="388"/>
      <c r="M125" s="388"/>
      <c r="N125" s="388"/>
      <c r="O125" s="388"/>
      <c r="P125" s="388"/>
      <c r="Q125" s="388"/>
      <c r="R125" s="388"/>
      <c r="S125" s="388"/>
      <c r="T125" s="388"/>
      <c r="U125" s="388"/>
      <c r="V125" s="388"/>
    </row>
    <row r="126" spans="2:22" s="402" customFormat="1">
      <c r="B126" s="388"/>
      <c r="C126" s="388"/>
      <c r="D126" s="388"/>
      <c r="E126" s="388"/>
      <c r="F126" s="388"/>
      <c r="G126" s="388"/>
      <c r="H126" s="388"/>
      <c r="I126" s="388"/>
      <c r="J126" s="388"/>
      <c r="K126" s="388"/>
      <c r="L126" s="388"/>
      <c r="M126" s="388"/>
      <c r="N126" s="388"/>
      <c r="O126" s="388"/>
      <c r="P126" s="388"/>
      <c r="Q126" s="388"/>
      <c r="R126" s="388"/>
      <c r="S126" s="388"/>
      <c r="T126" s="388"/>
      <c r="U126" s="388"/>
      <c r="V126" s="388"/>
    </row>
    <row r="127" spans="2:22" s="402" customFormat="1">
      <c r="B127" s="388"/>
      <c r="C127" s="388"/>
      <c r="D127" s="388"/>
      <c r="E127" s="388"/>
      <c r="F127" s="388"/>
      <c r="G127" s="388"/>
      <c r="H127" s="388"/>
      <c r="I127" s="388"/>
      <c r="J127" s="388"/>
      <c r="K127" s="388"/>
      <c r="L127" s="388"/>
      <c r="M127" s="388"/>
      <c r="N127" s="388"/>
      <c r="O127" s="388"/>
      <c r="P127" s="388"/>
      <c r="Q127" s="388"/>
      <c r="R127" s="388"/>
      <c r="S127" s="388"/>
      <c r="T127" s="388"/>
      <c r="U127" s="388"/>
      <c r="V127" s="388"/>
    </row>
    <row r="128" spans="2:22" s="402" customFormat="1">
      <c r="B128" s="388"/>
      <c r="C128" s="388"/>
      <c r="D128" s="388"/>
      <c r="E128" s="388"/>
      <c r="F128" s="388"/>
      <c r="G128" s="388"/>
      <c r="H128" s="388"/>
      <c r="I128" s="388"/>
      <c r="J128" s="388"/>
      <c r="K128" s="388"/>
      <c r="L128" s="388"/>
      <c r="M128" s="388"/>
      <c r="N128" s="388"/>
      <c r="O128" s="388"/>
      <c r="P128" s="388"/>
      <c r="Q128" s="388"/>
      <c r="R128" s="388"/>
      <c r="S128" s="388"/>
      <c r="T128" s="388"/>
      <c r="U128" s="388"/>
      <c r="V128" s="388"/>
    </row>
    <row r="129" spans="2:22" s="402" customFormat="1">
      <c r="B129" s="388"/>
      <c r="C129" s="388"/>
      <c r="D129" s="388"/>
      <c r="E129" s="388"/>
      <c r="F129" s="388"/>
      <c r="G129" s="388"/>
      <c r="H129" s="388"/>
      <c r="I129" s="388"/>
      <c r="J129" s="388"/>
      <c r="K129" s="388"/>
      <c r="L129" s="388"/>
      <c r="M129" s="388"/>
      <c r="N129" s="388"/>
      <c r="O129" s="388"/>
      <c r="P129" s="388"/>
      <c r="Q129" s="388"/>
      <c r="R129" s="388"/>
      <c r="S129" s="388"/>
      <c r="T129" s="388"/>
      <c r="U129" s="388"/>
      <c r="V129" s="388"/>
    </row>
    <row r="130" spans="2:22" s="402" customFormat="1">
      <c r="B130" s="388"/>
      <c r="C130" s="388"/>
      <c r="D130" s="388"/>
      <c r="E130" s="388"/>
      <c r="F130" s="388"/>
      <c r="G130" s="388"/>
      <c r="H130" s="388"/>
      <c r="I130" s="388"/>
      <c r="J130" s="388"/>
      <c r="K130" s="388"/>
      <c r="L130" s="388"/>
      <c r="M130" s="388"/>
      <c r="N130" s="388"/>
      <c r="O130" s="388"/>
      <c r="P130" s="388"/>
      <c r="Q130" s="388"/>
      <c r="R130" s="388"/>
      <c r="S130" s="388"/>
      <c r="T130" s="388"/>
      <c r="U130" s="388"/>
      <c r="V130" s="388"/>
    </row>
    <row r="131" spans="2:22" s="402" customFormat="1">
      <c r="B131" s="388"/>
      <c r="C131" s="388"/>
      <c r="D131" s="388"/>
      <c r="E131" s="388"/>
      <c r="F131" s="388"/>
      <c r="G131" s="388"/>
      <c r="H131" s="388"/>
      <c r="I131" s="388"/>
      <c r="J131" s="388"/>
      <c r="K131" s="388"/>
      <c r="L131" s="388"/>
      <c r="M131" s="388"/>
      <c r="N131" s="388"/>
      <c r="O131" s="388"/>
      <c r="P131" s="388"/>
      <c r="Q131" s="388"/>
      <c r="R131" s="388"/>
      <c r="S131" s="388"/>
      <c r="T131" s="388"/>
      <c r="U131" s="388"/>
      <c r="V131" s="388"/>
    </row>
    <row r="132" spans="2:22" s="402" customFormat="1">
      <c r="B132" s="388"/>
      <c r="C132" s="388"/>
      <c r="D132" s="388"/>
      <c r="E132" s="388"/>
      <c r="F132" s="388"/>
      <c r="G132" s="388"/>
      <c r="H132" s="388"/>
      <c r="I132" s="388"/>
      <c r="J132" s="388"/>
      <c r="K132" s="388"/>
      <c r="L132" s="388"/>
      <c r="M132" s="388"/>
      <c r="N132" s="388"/>
      <c r="O132" s="388"/>
      <c r="P132" s="388"/>
      <c r="Q132" s="388"/>
      <c r="R132" s="388"/>
      <c r="S132" s="388"/>
      <c r="T132" s="388"/>
      <c r="U132" s="388"/>
      <c r="V132" s="388"/>
    </row>
    <row r="133" spans="2:22" s="402" customFormat="1">
      <c r="B133" s="388"/>
      <c r="C133" s="388"/>
      <c r="D133" s="388"/>
      <c r="E133" s="388"/>
      <c r="F133" s="388"/>
      <c r="G133" s="388"/>
      <c r="H133" s="388"/>
      <c r="I133" s="388"/>
      <c r="J133" s="388"/>
      <c r="K133" s="388"/>
      <c r="L133" s="388"/>
      <c r="M133" s="388"/>
      <c r="N133" s="388"/>
      <c r="O133" s="388"/>
      <c r="P133" s="388"/>
      <c r="Q133" s="388"/>
      <c r="R133" s="388"/>
      <c r="S133" s="388"/>
      <c r="T133" s="388"/>
      <c r="U133" s="388"/>
      <c r="V133" s="388"/>
    </row>
    <row r="134" spans="2:22" s="402" customFormat="1">
      <c r="B134" s="388"/>
      <c r="C134" s="388"/>
      <c r="D134" s="388"/>
      <c r="E134" s="388"/>
      <c r="F134" s="388"/>
      <c r="G134" s="388"/>
      <c r="H134" s="388"/>
      <c r="I134" s="388"/>
      <c r="J134" s="388"/>
      <c r="K134" s="388"/>
      <c r="L134" s="388"/>
      <c r="M134" s="388"/>
      <c r="N134" s="388"/>
      <c r="O134" s="388"/>
      <c r="P134" s="388"/>
      <c r="Q134" s="388"/>
      <c r="R134" s="388"/>
      <c r="S134" s="388"/>
      <c r="T134" s="388"/>
      <c r="U134" s="388"/>
      <c r="V134" s="388"/>
    </row>
    <row r="135" spans="2:22" s="402" customFormat="1">
      <c r="B135" s="388"/>
      <c r="C135" s="388"/>
      <c r="D135" s="388"/>
      <c r="E135" s="388"/>
      <c r="F135" s="388"/>
      <c r="G135" s="388"/>
      <c r="H135" s="388"/>
      <c r="I135" s="388"/>
      <c r="J135" s="388"/>
      <c r="K135" s="388"/>
      <c r="L135" s="388"/>
      <c r="M135" s="388"/>
      <c r="N135" s="388"/>
      <c r="O135" s="388"/>
      <c r="P135" s="388"/>
      <c r="Q135" s="388"/>
      <c r="R135" s="388"/>
      <c r="S135" s="388"/>
      <c r="T135" s="388"/>
      <c r="U135" s="388"/>
      <c r="V135" s="388"/>
    </row>
    <row r="136" spans="2:22" s="402" customFormat="1">
      <c r="B136" s="388"/>
      <c r="C136" s="388"/>
      <c r="D136" s="388"/>
      <c r="E136" s="388"/>
      <c r="F136" s="388"/>
      <c r="G136" s="388"/>
      <c r="H136" s="388"/>
      <c r="I136" s="388"/>
      <c r="J136" s="388"/>
      <c r="K136" s="388"/>
      <c r="L136" s="388"/>
      <c r="M136" s="388"/>
      <c r="N136" s="388"/>
      <c r="O136" s="388"/>
      <c r="P136" s="388"/>
      <c r="Q136" s="388"/>
      <c r="R136" s="388"/>
      <c r="S136" s="388"/>
      <c r="T136" s="388"/>
      <c r="U136" s="388"/>
      <c r="V136" s="388"/>
    </row>
    <row r="137" spans="2:22" s="402" customFormat="1">
      <c r="B137" s="388"/>
      <c r="C137" s="388"/>
      <c r="D137" s="388"/>
      <c r="E137" s="388"/>
      <c r="F137" s="388"/>
      <c r="G137" s="388"/>
      <c r="H137" s="388"/>
      <c r="I137" s="388"/>
      <c r="J137" s="388"/>
      <c r="K137" s="388"/>
      <c r="L137" s="388"/>
      <c r="M137" s="388"/>
      <c r="N137" s="388"/>
      <c r="O137" s="388"/>
      <c r="P137" s="388"/>
      <c r="Q137" s="388"/>
      <c r="R137" s="388"/>
      <c r="S137" s="388"/>
      <c r="T137" s="388"/>
      <c r="U137" s="388"/>
      <c r="V137" s="388"/>
    </row>
    <row r="138" spans="2:22" s="402" customFormat="1">
      <c r="B138" s="388"/>
      <c r="C138" s="388"/>
      <c r="D138" s="388"/>
      <c r="E138" s="388"/>
      <c r="F138" s="388"/>
      <c r="G138" s="388"/>
      <c r="H138" s="388"/>
      <c r="I138" s="388"/>
      <c r="J138" s="388"/>
      <c r="K138" s="388"/>
      <c r="L138" s="388"/>
      <c r="M138" s="388"/>
      <c r="N138" s="388"/>
      <c r="O138" s="388"/>
      <c r="P138" s="388"/>
      <c r="Q138" s="388"/>
      <c r="R138" s="388"/>
      <c r="S138" s="388"/>
      <c r="T138" s="388"/>
      <c r="U138" s="388"/>
      <c r="V138" s="388"/>
    </row>
    <row r="139" spans="2:22" s="402" customFormat="1">
      <c r="B139" s="388"/>
      <c r="C139" s="388"/>
      <c r="D139" s="388"/>
      <c r="E139" s="388"/>
      <c r="F139" s="388"/>
      <c r="G139" s="388"/>
      <c r="H139" s="388"/>
      <c r="I139" s="388"/>
      <c r="J139" s="388"/>
      <c r="K139" s="388"/>
      <c r="L139" s="388"/>
      <c r="M139" s="388"/>
      <c r="N139" s="388"/>
      <c r="O139" s="388"/>
      <c r="P139" s="388"/>
      <c r="Q139" s="388"/>
      <c r="R139" s="388"/>
      <c r="S139" s="388"/>
      <c r="T139" s="388"/>
      <c r="U139" s="388"/>
      <c r="V139" s="388"/>
    </row>
    <row r="140" spans="2:22" s="402" customFormat="1">
      <c r="B140" s="388"/>
      <c r="C140" s="388"/>
      <c r="D140" s="388"/>
      <c r="E140" s="388"/>
      <c r="F140" s="388"/>
      <c r="G140" s="388"/>
      <c r="H140" s="388"/>
      <c r="I140" s="388"/>
      <c r="J140" s="388"/>
      <c r="K140" s="388"/>
      <c r="L140" s="388"/>
      <c r="M140" s="388"/>
      <c r="N140" s="388"/>
      <c r="O140" s="388"/>
      <c r="P140" s="388"/>
      <c r="Q140" s="388"/>
      <c r="R140" s="388"/>
      <c r="S140" s="388"/>
      <c r="T140" s="388"/>
      <c r="U140" s="388"/>
      <c r="V140" s="388"/>
    </row>
    <row r="141" spans="2:22" s="402" customFormat="1">
      <c r="B141" s="388"/>
      <c r="C141" s="388"/>
      <c r="D141" s="388"/>
      <c r="E141" s="388"/>
      <c r="F141" s="388"/>
      <c r="G141" s="388"/>
      <c r="H141" s="388"/>
      <c r="I141" s="388"/>
      <c r="J141" s="388"/>
      <c r="K141" s="388"/>
      <c r="L141" s="388"/>
      <c r="M141" s="388"/>
      <c r="N141" s="388"/>
      <c r="O141" s="388"/>
      <c r="P141" s="388"/>
      <c r="Q141" s="388"/>
      <c r="R141" s="388"/>
      <c r="S141" s="388"/>
      <c r="T141" s="388"/>
      <c r="U141" s="388"/>
      <c r="V141" s="388"/>
    </row>
    <row r="142" spans="2:22" s="402" customFormat="1">
      <c r="B142" s="388"/>
      <c r="C142" s="388"/>
      <c r="D142" s="388"/>
      <c r="E142" s="388"/>
      <c r="F142" s="388"/>
      <c r="G142" s="388"/>
      <c r="H142" s="388"/>
      <c r="I142" s="388"/>
      <c r="J142" s="388"/>
      <c r="K142" s="388"/>
      <c r="L142" s="388"/>
      <c r="M142" s="388"/>
      <c r="N142" s="388"/>
      <c r="O142" s="388"/>
      <c r="P142" s="388"/>
      <c r="Q142" s="388"/>
      <c r="R142" s="388"/>
      <c r="S142" s="388"/>
      <c r="T142" s="388"/>
      <c r="U142" s="388"/>
      <c r="V142" s="388"/>
    </row>
    <row r="143" spans="2:22" s="402" customFormat="1">
      <c r="B143" s="388"/>
      <c r="C143" s="388"/>
      <c r="D143" s="388"/>
      <c r="E143" s="388"/>
      <c r="F143" s="388"/>
      <c r="G143" s="388"/>
      <c r="H143" s="388"/>
      <c r="I143" s="388"/>
      <c r="J143" s="388"/>
      <c r="K143" s="388"/>
      <c r="L143" s="388"/>
      <c r="M143" s="388"/>
      <c r="N143" s="388"/>
      <c r="O143" s="388"/>
      <c r="P143" s="388"/>
      <c r="Q143" s="388"/>
      <c r="R143" s="388"/>
      <c r="S143" s="388"/>
      <c r="T143" s="388"/>
      <c r="U143" s="388"/>
      <c r="V143" s="388"/>
    </row>
    <row r="144" spans="2:22" s="402" customFormat="1">
      <c r="B144" s="388"/>
      <c r="C144" s="388"/>
      <c r="D144" s="388"/>
      <c r="E144" s="388"/>
      <c r="F144" s="388"/>
      <c r="G144" s="388"/>
      <c r="H144" s="388"/>
      <c r="I144" s="388"/>
      <c r="J144" s="388"/>
      <c r="K144" s="388"/>
      <c r="L144" s="388"/>
      <c r="M144" s="388"/>
      <c r="N144" s="388"/>
      <c r="O144" s="388"/>
      <c r="P144" s="388"/>
      <c r="Q144" s="388"/>
      <c r="R144" s="388"/>
      <c r="S144" s="388"/>
      <c r="T144" s="388"/>
      <c r="U144" s="388"/>
      <c r="V144" s="388"/>
    </row>
    <row r="145" spans="2:22" s="402" customFormat="1">
      <c r="B145" s="388"/>
      <c r="C145" s="388"/>
      <c r="D145" s="388"/>
      <c r="E145" s="388"/>
      <c r="F145" s="388"/>
      <c r="G145" s="388"/>
      <c r="H145" s="388"/>
      <c r="I145" s="388"/>
      <c r="J145" s="388"/>
      <c r="K145" s="388"/>
      <c r="L145" s="388"/>
      <c r="M145" s="388"/>
      <c r="N145" s="388"/>
      <c r="O145" s="388"/>
      <c r="P145" s="388"/>
      <c r="Q145" s="388"/>
      <c r="R145" s="388"/>
      <c r="S145" s="388"/>
      <c r="T145" s="388"/>
      <c r="U145" s="388"/>
      <c r="V145" s="388"/>
    </row>
    <row r="146" spans="2:22" s="402" customFormat="1">
      <c r="B146" s="388"/>
      <c r="C146" s="388"/>
      <c r="D146" s="388"/>
      <c r="E146" s="388"/>
      <c r="F146" s="388"/>
      <c r="G146" s="388"/>
      <c r="H146" s="388"/>
      <c r="I146" s="388"/>
      <c r="J146" s="388"/>
      <c r="K146" s="388"/>
      <c r="L146" s="388"/>
      <c r="M146" s="388"/>
      <c r="N146" s="388"/>
      <c r="O146" s="388"/>
      <c r="P146" s="388"/>
      <c r="Q146" s="388"/>
      <c r="R146" s="388"/>
      <c r="S146" s="388"/>
      <c r="T146" s="388"/>
      <c r="U146" s="388"/>
      <c r="V146" s="388"/>
    </row>
    <row r="147" spans="2:22" s="402" customFormat="1">
      <c r="B147" s="388"/>
      <c r="C147" s="388"/>
      <c r="D147" s="388"/>
      <c r="E147" s="388"/>
      <c r="F147" s="388"/>
      <c r="G147" s="388"/>
      <c r="H147" s="388"/>
      <c r="I147" s="388"/>
      <c r="J147" s="388"/>
      <c r="K147" s="388"/>
      <c r="L147" s="388"/>
      <c r="M147" s="388"/>
      <c r="N147" s="388"/>
      <c r="O147" s="388"/>
      <c r="P147" s="388"/>
      <c r="Q147" s="388"/>
      <c r="R147" s="388"/>
      <c r="S147" s="388"/>
      <c r="T147" s="388"/>
      <c r="U147" s="388"/>
      <c r="V147" s="388"/>
    </row>
    <row r="148" spans="2:22" s="402" customFormat="1">
      <c r="B148" s="388"/>
      <c r="C148" s="388"/>
      <c r="D148" s="388"/>
      <c r="E148" s="388"/>
      <c r="F148" s="388"/>
      <c r="G148" s="388"/>
      <c r="H148" s="388"/>
      <c r="I148" s="388"/>
      <c r="J148" s="388"/>
      <c r="K148" s="388"/>
      <c r="L148" s="388"/>
      <c r="M148" s="388"/>
      <c r="N148" s="388"/>
      <c r="O148" s="388"/>
      <c r="P148" s="388"/>
      <c r="Q148" s="388"/>
      <c r="R148" s="388"/>
      <c r="S148" s="388"/>
      <c r="T148" s="388"/>
      <c r="U148" s="388"/>
      <c r="V148" s="388"/>
    </row>
    <row r="149" spans="2:22" s="402" customFormat="1">
      <c r="B149" s="388"/>
      <c r="C149" s="388"/>
      <c r="D149" s="388"/>
      <c r="E149" s="388"/>
      <c r="F149" s="388"/>
      <c r="G149" s="388"/>
      <c r="H149" s="388"/>
      <c r="I149" s="388"/>
      <c r="J149" s="388"/>
      <c r="K149" s="388"/>
      <c r="L149" s="388"/>
      <c r="M149" s="388"/>
      <c r="N149" s="388"/>
      <c r="O149" s="388"/>
      <c r="P149" s="388"/>
      <c r="Q149" s="388"/>
      <c r="R149" s="388"/>
      <c r="S149" s="388"/>
      <c r="T149" s="388"/>
      <c r="U149" s="388"/>
      <c r="V149" s="388"/>
    </row>
    <row r="150" spans="2:22" s="402" customFormat="1">
      <c r="B150" s="388"/>
      <c r="C150" s="388"/>
      <c r="D150" s="388"/>
      <c r="E150" s="388"/>
      <c r="F150" s="388"/>
      <c r="G150" s="388"/>
      <c r="H150" s="388"/>
      <c r="I150" s="388"/>
      <c r="J150" s="388"/>
      <c r="K150" s="388"/>
      <c r="L150" s="388"/>
      <c r="M150" s="388"/>
      <c r="N150" s="388"/>
      <c r="O150" s="388"/>
      <c r="P150" s="388"/>
      <c r="Q150" s="388"/>
      <c r="R150" s="388"/>
      <c r="S150" s="388"/>
      <c r="T150" s="388"/>
      <c r="U150" s="388"/>
      <c r="V150" s="388"/>
    </row>
    <row r="151" spans="2:22" s="402" customFormat="1">
      <c r="B151" s="388"/>
      <c r="C151" s="388"/>
      <c r="D151" s="388"/>
      <c r="E151" s="388"/>
      <c r="F151" s="388"/>
      <c r="G151" s="388"/>
      <c r="H151" s="388"/>
      <c r="I151" s="388"/>
      <c r="J151" s="388"/>
      <c r="K151" s="388"/>
      <c r="L151" s="388"/>
      <c r="M151" s="388"/>
      <c r="N151" s="388"/>
      <c r="O151" s="388"/>
      <c r="P151" s="388"/>
      <c r="Q151" s="388"/>
      <c r="R151" s="388"/>
      <c r="S151" s="388"/>
      <c r="T151" s="388"/>
      <c r="U151" s="388"/>
      <c r="V151" s="388"/>
    </row>
    <row r="152" spans="2:22" s="402" customFormat="1">
      <c r="B152" s="388"/>
      <c r="C152" s="388"/>
      <c r="D152" s="388"/>
      <c r="E152" s="388"/>
      <c r="F152" s="388"/>
      <c r="G152" s="388"/>
      <c r="H152" s="388"/>
      <c r="I152" s="388"/>
      <c r="J152" s="388"/>
      <c r="K152" s="388"/>
      <c r="L152" s="388"/>
      <c r="M152" s="388"/>
      <c r="N152" s="388"/>
      <c r="O152" s="388"/>
      <c r="P152" s="388"/>
      <c r="Q152" s="388"/>
      <c r="R152" s="388"/>
      <c r="S152" s="388"/>
      <c r="T152" s="388"/>
      <c r="U152" s="388"/>
      <c r="V152" s="388"/>
    </row>
    <row r="153" spans="2:22" s="402" customFormat="1">
      <c r="B153" s="388"/>
      <c r="C153" s="388"/>
      <c r="D153" s="388"/>
      <c r="E153" s="388"/>
      <c r="F153" s="388"/>
      <c r="G153" s="388"/>
      <c r="H153" s="388"/>
      <c r="I153" s="388"/>
      <c r="J153" s="388"/>
      <c r="K153" s="388"/>
      <c r="L153" s="388"/>
      <c r="M153" s="388"/>
      <c r="N153" s="388"/>
      <c r="O153" s="388"/>
      <c r="P153" s="388"/>
      <c r="Q153" s="388"/>
      <c r="R153" s="388"/>
      <c r="S153" s="388"/>
      <c r="T153" s="388"/>
      <c r="U153" s="388"/>
      <c r="V153" s="388"/>
    </row>
    <row r="154" spans="2:22" s="402" customFormat="1">
      <c r="B154" s="388"/>
      <c r="C154" s="388"/>
      <c r="D154" s="388"/>
      <c r="E154" s="388"/>
      <c r="F154" s="388"/>
      <c r="G154" s="388"/>
      <c r="H154" s="388"/>
      <c r="I154" s="388"/>
      <c r="J154" s="388"/>
      <c r="K154" s="388"/>
      <c r="L154" s="388"/>
      <c r="M154" s="388"/>
      <c r="N154" s="388"/>
      <c r="O154" s="388"/>
      <c r="P154" s="388"/>
      <c r="Q154" s="388"/>
      <c r="R154" s="388"/>
      <c r="S154" s="388"/>
      <c r="T154" s="388"/>
      <c r="U154" s="388"/>
      <c r="V154" s="388"/>
    </row>
    <row r="155" spans="2:22" s="402" customFormat="1">
      <c r="B155" s="388"/>
      <c r="C155" s="388"/>
      <c r="D155" s="388"/>
      <c r="E155" s="388"/>
      <c r="F155" s="388"/>
      <c r="G155" s="388"/>
      <c r="H155" s="388"/>
      <c r="I155" s="388"/>
      <c r="J155" s="388"/>
      <c r="K155" s="388"/>
      <c r="L155" s="388"/>
      <c r="M155" s="388"/>
      <c r="N155" s="388"/>
      <c r="O155" s="388"/>
      <c r="P155" s="388"/>
      <c r="Q155" s="388"/>
      <c r="R155" s="388"/>
      <c r="S155" s="388"/>
      <c r="T155" s="388"/>
      <c r="U155" s="388"/>
      <c r="V155" s="388"/>
    </row>
    <row r="156" spans="2:22" s="402" customFormat="1">
      <c r="B156" s="388"/>
      <c r="C156" s="388"/>
      <c r="D156" s="388"/>
      <c r="E156" s="388"/>
      <c r="F156" s="388"/>
      <c r="G156" s="388"/>
      <c r="H156" s="388"/>
      <c r="I156" s="388"/>
      <c r="J156" s="388"/>
      <c r="K156" s="388"/>
      <c r="L156" s="388"/>
      <c r="M156" s="388"/>
      <c r="N156" s="388"/>
      <c r="O156" s="388"/>
      <c r="P156" s="388"/>
      <c r="Q156" s="388"/>
      <c r="R156" s="388"/>
      <c r="S156" s="388"/>
      <c r="T156" s="388"/>
      <c r="U156" s="388"/>
      <c r="V156" s="388"/>
    </row>
    <row r="157" spans="2:22" s="402" customFormat="1">
      <c r="B157" s="388"/>
      <c r="C157" s="388"/>
      <c r="D157" s="388"/>
      <c r="E157" s="388"/>
      <c r="F157" s="388"/>
      <c r="G157" s="388"/>
      <c r="H157" s="388"/>
      <c r="I157" s="388"/>
      <c r="J157" s="388"/>
      <c r="K157" s="388"/>
      <c r="L157" s="388"/>
      <c r="M157" s="388"/>
      <c r="N157" s="388"/>
      <c r="O157" s="388"/>
      <c r="P157" s="388"/>
      <c r="Q157" s="388"/>
      <c r="R157" s="388"/>
      <c r="S157" s="388"/>
      <c r="T157" s="388"/>
      <c r="U157" s="388"/>
      <c r="V157" s="388"/>
    </row>
    <row r="158" spans="2:22" s="402" customFormat="1">
      <c r="B158" s="388"/>
      <c r="C158" s="388"/>
      <c r="D158" s="388"/>
      <c r="E158" s="388"/>
      <c r="F158" s="388"/>
      <c r="G158" s="388"/>
      <c r="H158" s="388"/>
      <c r="I158" s="388"/>
      <c r="J158" s="388"/>
      <c r="K158" s="388"/>
      <c r="L158" s="388"/>
      <c r="M158" s="388"/>
      <c r="N158" s="388"/>
      <c r="O158" s="388"/>
      <c r="P158" s="388"/>
      <c r="Q158" s="388"/>
      <c r="R158" s="388"/>
      <c r="S158" s="388"/>
      <c r="T158" s="388"/>
      <c r="U158" s="388"/>
      <c r="V158" s="388"/>
    </row>
    <row r="159" spans="2:22" s="402" customFormat="1">
      <c r="B159" s="388"/>
      <c r="C159" s="388"/>
      <c r="D159" s="388"/>
      <c r="E159" s="388"/>
      <c r="F159" s="388"/>
      <c r="G159" s="388"/>
      <c r="H159" s="388"/>
      <c r="I159" s="388"/>
      <c r="J159" s="388"/>
      <c r="K159" s="388"/>
      <c r="L159" s="388"/>
      <c r="M159" s="388"/>
      <c r="N159" s="388"/>
      <c r="O159" s="388"/>
      <c r="P159" s="388"/>
      <c r="Q159" s="388"/>
      <c r="R159" s="388"/>
      <c r="S159" s="388"/>
      <c r="T159" s="388"/>
      <c r="U159" s="388"/>
      <c r="V159" s="388"/>
    </row>
    <row r="160" spans="2:22" s="402" customFormat="1">
      <c r="B160" s="388"/>
      <c r="C160" s="388"/>
      <c r="D160" s="388"/>
      <c r="E160" s="388"/>
      <c r="F160" s="388"/>
      <c r="G160" s="388"/>
      <c r="H160" s="388"/>
      <c r="I160" s="388"/>
      <c r="J160" s="388"/>
      <c r="K160" s="388"/>
      <c r="L160" s="388"/>
      <c r="M160" s="388"/>
      <c r="N160" s="388"/>
      <c r="O160" s="388"/>
      <c r="P160" s="388"/>
      <c r="Q160" s="388"/>
      <c r="R160" s="388"/>
      <c r="S160" s="388"/>
      <c r="T160" s="388"/>
      <c r="U160" s="388"/>
      <c r="V160" s="388"/>
    </row>
    <row r="161" spans="2:22" s="402" customFormat="1">
      <c r="B161" s="388"/>
      <c r="C161" s="388"/>
      <c r="D161" s="388"/>
      <c r="E161" s="388"/>
      <c r="F161" s="388"/>
      <c r="G161" s="388"/>
      <c r="H161" s="388"/>
      <c r="I161" s="388"/>
      <c r="J161" s="388"/>
      <c r="K161" s="388"/>
      <c r="L161" s="388"/>
      <c r="M161" s="388"/>
      <c r="N161" s="388"/>
      <c r="O161" s="388"/>
      <c r="P161" s="388"/>
      <c r="Q161" s="388"/>
      <c r="R161" s="388"/>
      <c r="S161" s="388"/>
      <c r="T161" s="388"/>
      <c r="U161" s="388"/>
      <c r="V161" s="388"/>
    </row>
    <row r="162" spans="2:22" s="402" customFormat="1">
      <c r="B162" s="388"/>
      <c r="C162" s="388"/>
      <c r="D162" s="388"/>
      <c r="E162" s="388"/>
      <c r="F162" s="388"/>
      <c r="G162" s="388"/>
      <c r="H162" s="388"/>
      <c r="I162" s="388"/>
      <c r="J162" s="388"/>
      <c r="K162" s="388"/>
      <c r="L162" s="388"/>
      <c r="M162" s="388"/>
      <c r="N162" s="388"/>
      <c r="O162" s="388"/>
      <c r="P162" s="388"/>
      <c r="Q162" s="388"/>
      <c r="R162" s="388"/>
      <c r="S162" s="388"/>
      <c r="T162" s="388"/>
      <c r="U162" s="388"/>
      <c r="V162" s="388"/>
    </row>
    <row r="163" spans="2:22" s="402" customFormat="1">
      <c r="B163" s="388"/>
      <c r="C163" s="388"/>
      <c r="D163" s="388"/>
      <c r="E163" s="388"/>
      <c r="F163" s="388"/>
      <c r="G163" s="388"/>
      <c r="H163" s="388"/>
      <c r="I163" s="388"/>
      <c r="J163" s="388"/>
      <c r="K163" s="388"/>
      <c r="L163" s="388"/>
      <c r="M163" s="388"/>
      <c r="N163" s="388"/>
      <c r="O163" s="388"/>
      <c r="P163" s="388"/>
      <c r="Q163" s="388"/>
      <c r="R163" s="388"/>
      <c r="S163" s="388"/>
      <c r="T163" s="388"/>
      <c r="U163" s="388"/>
      <c r="V163" s="388"/>
    </row>
    <row r="164" spans="2:22" s="402" customFormat="1">
      <c r="B164" s="388"/>
      <c r="C164" s="388"/>
      <c r="D164" s="388"/>
      <c r="E164" s="388"/>
      <c r="F164" s="388"/>
      <c r="G164" s="388"/>
      <c r="H164" s="388"/>
      <c r="I164" s="388"/>
      <c r="J164" s="388"/>
      <c r="K164" s="388"/>
      <c r="L164" s="388"/>
      <c r="M164" s="388"/>
      <c r="N164" s="388"/>
      <c r="O164" s="388"/>
      <c r="P164" s="388"/>
      <c r="Q164" s="388"/>
      <c r="R164" s="388"/>
      <c r="S164" s="388"/>
      <c r="T164" s="388"/>
      <c r="U164" s="388"/>
      <c r="V164" s="388"/>
    </row>
    <row r="165" spans="2:22" s="402" customFormat="1">
      <c r="B165" s="388"/>
      <c r="C165" s="388"/>
      <c r="D165" s="388"/>
      <c r="E165" s="388"/>
      <c r="F165" s="388"/>
      <c r="G165" s="388"/>
      <c r="H165" s="388"/>
      <c r="I165" s="388"/>
      <c r="J165" s="388"/>
      <c r="K165" s="388"/>
      <c r="L165" s="388"/>
      <c r="M165" s="388"/>
      <c r="N165" s="388"/>
      <c r="O165" s="388"/>
      <c r="P165" s="388"/>
      <c r="Q165" s="388"/>
      <c r="R165" s="388"/>
      <c r="S165" s="388"/>
      <c r="T165" s="388"/>
      <c r="U165" s="388"/>
      <c r="V165" s="388"/>
    </row>
    <row r="166" spans="2:22" s="402" customFormat="1">
      <c r="B166" s="388"/>
      <c r="C166" s="388"/>
      <c r="D166" s="388"/>
      <c r="E166" s="388"/>
      <c r="F166" s="388"/>
      <c r="G166" s="388"/>
      <c r="H166" s="388"/>
      <c r="I166" s="388"/>
      <c r="J166" s="388"/>
      <c r="K166" s="388"/>
      <c r="L166" s="388"/>
      <c r="M166" s="388"/>
      <c r="N166" s="388"/>
      <c r="O166" s="388"/>
      <c r="P166" s="388"/>
      <c r="Q166" s="388"/>
      <c r="R166" s="388"/>
      <c r="S166" s="388"/>
      <c r="T166" s="388"/>
      <c r="U166" s="388"/>
      <c r="V166" s="388"/>
    </row>
    <row r="167" spans="2:22" s="402" customFormat="1">
      <c r="B167" s="388"/>
      <c r="C167" s="388"/>
      <c r="D167" s="388"/>
      <c r="E167" s="388"/>
      <c r="F167" s="388"/>
      <c r="G167" s="388"/>
      <c r="H167" s="388"/>
      <c r="I167" s="388"/>
      <c r="J167" s="388"/>
      <c r="K167" s="388"/>
      <c r="L167" s="388"/>
      <c r="M167" s="388"/>
      <c r="N167" s="388"/>
      <c r="O167" s="388"/>
      <c r="P167" s="388"/>
      <c r="Q167" s="388"/>
      <c r="R167" s="388"/>
      <c r="S167" s="388"/>
      <c r="T167" s="388"/>
      <c r="U167" s="388"/>
      <c r="V167" s="388"/>
    </row>
    <row r="168" spans="2:22" s="402" customFormat="1">
      <c r="B168" s="388"/>
      <c r="C168" s="388"/>
      <c r="D168" s="388"/>
      <c r="E168" s="388"/>
      <c r="F168" s="388"/>
      <c r="G168" s="388"/>
      <c r="H168" s="388"/>
      <c r="I168" s="388"/>
      <c r="J168" s="388"/>
      <c r="K168" s="388"/>
      <c r="L168" s="388"/>
      <c r="M168" s="388"/>
      <c r="N168" s="388"/>
      <c r="O168" s="388"/>
      <c r="P168" s="388"/>
      <c r="Q168" s="388"/>
      <c r="R168" s="388"/>
      <c r="S168" s="388"/>
      <c r="T168" s="388"/>
      <c r="U168" s="388"/>
      <c r="V168" s="388"/>
    </row>
    <row r="169" spans="2:22" s="402" customFormat="1">
      <c r="B169" s="388"/>
      <c r="C169" s="388"/>
      <c r="D169" s="388"/>
      <c r="E169" s="388"/>
      <c r="F169" s="388"/>
      <c r="G169" s="388"/>
      <c r="H169" s="388"/>
      <c r="I169" s="388"/>
      <c r="J169" s="388"/>
      <c r="K169" s="388"/>
      <c r="L169" s="388"/>
      <c r="M169" s="388"/>
      <c r="N169" s="388"/>
      <c r="O169" s="388"/>
      <c r="P169" s="388"/>
      <c r="Q169" s="388"/>
      <c r="R169" s="388"/>
      <c r="S169" s="388"/>
      <c r="T169" s="388"/>
      <c r="U169" s="388"/>
      <c r="V169" s="388"/>
    </row>
    <row r="170" spans="2:22" s="402" customFormat="1">
      <c r="B170" s="388"/>
      <c r="C170" s="388"/>
      <c r="D170" s="388"/>
      <c r="E170" s="388"/>
      <c r="F170" s="388"/>
      <c r="G170" s="388"/>
      <c r="H170" s="388"/>
      <c r="I170" s="388"/>
      <c r="J170" s="388"/>
      <c r="K170" s="388"/>
      <c r="L170" s="388"/>
      <c r="M170" s="388"/>
      <c r="N170" s="388"/>
      <c r="O170" s="388"/>
      <c r="P170" s="388"/>
      <c r="Q170" s="388"/>
      <c r="R170" s="388"/>
      <c r="S170" s="388"/>
      <c r="T170" s="388"/>
      <c r="U170" s="388"/>
      <c r="V170" s="388"/>
    </row>
    <row r="171" spans="2:22" s="402" customFormat="1">
      <c r="B171" s="388"/>
      <c r="C171" s="388"/>
      <c r="D171" s="388"/>
      <c r="E171" s="388"/>
      <c r="F171" s="388"/>
      <c r="G171" s="388"/>
      <c r="H171" s="388"/>
      <c r="I171" s="388"/>
      <c r="J171" s="388"/>
      <c r="K171" s="388"/>
      <c r="L171" s="388"/>
      <c r="M171" s="388"/>
      <c r="N171" s="388"/>
      <c r="O171" s="388"/>
      <c r="P171" s="388"/>
      <c r="Q171" s="388"/>
      <c r="R171" s="388"/>
      <c r="S171" s="388"/>
      <c r="T171" s="388"/>
      <c r="U171" s="388"/>
      <c r="V171" s="388"/>
    </row>
    <row r="172" spans="2:22" s="402" customFormat="1">
      <c r="B172" s="388"/>
      <c r="C172" s="388"/>
      <c r="D172" s="388"/>
      <c r="E172" s="388"/>
      <c r="F172" s="388"/>
      <c r="G172" s="388"/>
      <c r="H172" s="388"/>
      <c r="I172" s="388"/>
      <c r="J172" s="388"/>
      <c r="K172" s="388"/>
      <c r="L172" s="388"/>
      <c r="M172" s="388"/>
      <c r="N172" s="388"/>
      <c r="O172" s="388"/>
      <c r="P172" s="388"/>
      <c r="Q172" s="388"/>
      <c r="R172" s="388"/>
      <c r="S172" s="388"/>
      <c r="T172" s="388"/>
      <c r="U172" s="388"/>
      <c r="V172" s="388"/>
    </row>
    <row r="173" spans="2:22" s="402" customFormat="1">
      <c r="B173" s="388"/>
      <c r="C173" s="388"/>
      <c r="D173" s="388"/>
      <c r="E173" s="388"/>
      <c r="F173" s="388"/>
      <c r="G173" s="388"/>
      <c r="H173" s="388"/>
      <c r="I173" s="388"/>
      <c r="J173" s="388"/>
      <c r="K173" s="388"/>
      <c r="L173" s="388"/>
      <c r="M173" s="388"/>
      <c r="N173" s="388"/>
      <c r="O173" s="388"/>
      <c r="P173" s="388"/>
      <c r="Q173" s="388"/>
      <c r="R173" s="388"/>
      <c r="S173" s="388"/>
      <c r="T173" s="388"/>
      <c r="U173" s="388"/>
      <c r="V173" s="388"/>
    </row>
    <row r="174" spans="2:22" s="402" customFormat="1">
      <c r="B174" s="388"/>
      <c r="C174" s="388"/>
      <c r="D174" s="388"/>
      <c r="E174" s="388"/>
      <c r="F174" s="388"/>
      <c r="G174" s="388"/>
      <c r="H174" s="388"/>
      <c r="I174" s="388"/>
      <c r="J174" s="388"/>
      <c r="K174" s="388"/>
      <c r="L174" s="388"/>
      <c r="M174" s="388"/>
      <c r="N174" s="388"/>
      <c r="O174" s="388"/>
      <c r="P174" s="388"/>
      <c r="Q174" s="388"/>
      <c r="R174" s="388"/>
      <c r="S174" s="388"/>
      <c r="T174" s="388"/>
      <c r="U174" s="388"/>
      <c r="V174" s="388"/>
    </row>
    <row r="175" spans="2:22" s="402" customFormat="1">
      <c r="B175" s="388"/>
      <c r="C175" s="388"/>
      <c r="D175" s="388"/>
      <c r="E175" s="388"/>
      <c r="F175" s="388"/>
      <c r="G175" s="388"/>
      <c r="H175" s="388"/>
      <c r="I175" s="388"/>
      <c r="J175" s="388"/>
      <c r="K175" s="388"/>
      <c r="L175" s="388"/>
      <c r="M175" s="388"/>
      <c r="N175" s="388"/>
      <c r="O175" s="388"/>
      <c r="P175" s="388"/>
      <c r="Q175" s="388"/>
      <c r="R175" s="388"/>
      <c r="S175" s="388"/>
      <c r="T175" s="388"/>
      <c r="U175" s="388"/>
      <c r="V175" s="388"/>
    </row>
    <row r="176" spans="2:22" s="402" customFormat="1">
      <c r="B176" s="388"/>
      <c r="C176" s="388"/>
      <c r="D176" s="388"/>
      <c r="E176" s="388"/>
      <c r="F176" s="388"/>
      <c r="G176" s="388"/>
      <c r="H176" s="388"/>
      <c r="I176" s="388"/>
      <c r="J176" s="388"/>
      <c r="K176" s="388"/>
      <c r="L176" s="388"/>
      <c r="M176" s="388"/>
      <c r="N176" s="388"/>
      <c r="O176" s="388"/>
      <c r="P176" s="388"/>
      <c r="Q176" s="388"/>
      <c r="R176" s="388"/>
      <c r="S176" s="388"/>
      <c r="T176" s="388"/>
      <c r="U176" s="388"/>
      <c r="V176" s="388"/>
    </row>
    <row r="177" spans="2:22" s="402" customFormat="1">
      <c r="B177" s="388"/>
      <c r="C177" s="388"/>
      <c r="D177" s="388"/>
      <c r="E177" s="388"/>
      <c r="F177" s="388"/>
      <c r="G177" s="388"/>
      <c r="H177" s="388"/>
      <c r="I177" s="388"/>
      <c r="J177" s="388"/>
      <c r="K177" s="388"/>
      <c r="L177" s="388"/>
      <c r="M177" s="388"/>
      <c r="N177" s="388"/>
      <c r="O177" s="388"/>
      <c r="P177" s="388"/>
      <c r="Q177" s="388"/>
      <c r="R177" s="388"/>
      <c r="S177" s="388"/>
      <c r="T177" s="388"/>
      <c r="U177" s="388"/>
      <c r="V177" s="388"/>
    </row>
    <row r="178" spans="2:22" s="402" customFormat="1">
      <c r="B178" s="388"/>
      <c r="C178" s="388"/>
      <c r="D178" s="388"/>
      <c r="E178" s="388"/>
      <c r="F178" s="388"/>
      <c r="G178" s="388"/>
      <c r="H178" s="388"/>
      <c r="I178" s="388"/>
      <c r="J178" s="388"/>
      <c r="K178" s="388"/>
      <c r="L178" s="388"/>
      <c r="M178" s="388"/>
      <c r="N178" s="388"/>
      <c r="O178" s="388"/>
      <c r="P178" s="388"/>
      <c r="Q178" s="388"/>
      <c r="R178" s="388"/>
      <c r="S178" s="388"/>
      <c r="T178" s="388"/>
      <c r="U178" s="388"/>
      <c r="V178" s="388"/>
    </row>
    <row r="179" spans="2:22" s="402" customFormat="1">
      <c r="B179" s="388"/>
      <c r="C179" s="388"/>
      <c r="D179" s="388"/>
      <c r="E179" s="388"/>
      <c r="F179" s="388"/>
      <c r="G179" s="388"/>
      <c r="H179" s="388"/>
      <c r="I179" s="388"/>
      <c r="J179" s="388"/>
      <c r="K179" s="388"/>
      <c r="L179" s="388"/>
      <c r="M179" s="388"/>
      <c r="N179" s="388"/>
      <c r="O179" s="388"/>
      <c r="P179" s="388"/>
      <c r="Q179" s="388"/>
      <c r="R179" s="388"/>
      <c r="S179" s="388"/>
      <c r="T179" s="388"/>
      <c r="U179" s="388"/>
      <c r="V179" s="388"/>
    </row>
    <row r="180" spans="2:22" s="402" customFormat="1">
      <c r="B180" s="388"/>
      <c r="C180" s="388"/>
      <c r="D180" s="388"/>
      <c r="E180" s="388"/>
      <c r="F180" s="388"/>
      <c r="G180" s="388"/>
      <c r="H180" s="388"/>
      <c r="I180" s="388"/>
      <c r="J180" s="388"/>
      <c r="K180" s="388"/>
      <c r="L180" s="388"/>
      <c r="M180" s="388"/>
      <c r="N180" s="388"/>
      <c r="O180" s="388"/>
      <c r="P180" s="388"/>
      <c r="Q180" s="388"/>
      <c r="R180" s="388"/>
      <c r="S180" s="388"/>
      <c r="T180" s="388"/>
      <c r="U180" s="388"/>
      <c r="V180" s="388"/>
    </row>
    <row r="181" spans="2:22" s="402" customFormat="1">
      <c r="B181" s="388"/>
      <c r="C181" s="388"/>
      <c r="D181" s="388"/>
      <c r="E181" s="388"/>
      <c r="F181" s="388"/>
      <c r="G181" s="388"/>
      <c r="H181" s="388"/>
      <c r="I181" s="388"/>
      <c r="J181" s="388"/>
      <c r="K181" s="388"/>
      <c r="L181" s="388"/>
      <c r="M181" s="388"/>
      <c r="N181" s="388"/>
      <c r="O181" s="388"/>
      <c r="P181" s="388"/>
      <c r="Q181" s="388"/>
      <c r="R181" s="388"/>
      <c r="S181" s="388"/>
      <c r="T181" s="388"/>
      <c r="U181" s="388"/>
      <c r="V181" s="388"/>
    </row>
    <row r="182" spans="2:22" s="402" customFormat="1">
      <c r="B182" s="388"/>
      <c r="C182" s="388"/>
      <c r="D182" s="388"/>
      <c r="E182" s="388"/>
      <c r="F182" s="388"/>
      <c r="G182" s="388"/>
      <c r="H182" s="388"/>
      <c r="I182" s="388"/>
      <c r="J182" s="388"/>
      <c r="K182" s="388"/>
      <c r="L182" s="388"/>
      <c r="M182" s="388"/>
      <c r="N182" s="388"/>
      <c r="O182" s="388"/>
      <c r="P182" s="388"/>
      <c r="Q182" s="388"/>
      <c r="R182" s="388"/>
      <c r="S182" s="388"/>
      <c r="T182" s="388"/>
      <c r="U182" s="388"/>
      <c r="V182" s="388"/>
    </row>
    <row r="183" spans="2:22" s="402" customFormat="1">
      <c r="B183" s="388"/>
      <c r="C183" s="388"/>
      <c r="D183" s="388"/>
      <c r="E183" s="388"/>
      <c r="F183" s="388"/>
      <c r="G183" s="388"/>
      <c r="H183" s="388"/>
      <c r="I183" s="388"/>
      <c r="J183" s="388"/>
      <c r="K183" s="388"/>
      <c r="L183" s="388"/>
      <c r="M183" s="388"/>
      <c r="N183" s="388"/>
      <c r="O183" s="388"/>
      <c r="P183" s="388"/>
      <c r="Q183" s="388"/>
      <c r="R183" s="388"/>
      <c r="S183" s="388"/>
      <c r="T183" s="388"/>
      <c r="U183" s="388"/>
      <c r="V183" s="388"/>
    </row>
    <row r="184" spans="2:22" s="402" customFormat="1">
      <c r="B184" s="388"/>
      <c r="C184" s="388"/>
      <c r="D184" s="388"/>
      <c r="E184" s="388"/>
      <c r="F184" s="388"/>
      <c r="G184" s="388"/>
      <c r="H184" s="388"/>
      <c r="I184" s="388"/>
      <c r="J184" s="388"/>
      <c r="K184" s="388"/>
      <c r="L184" s="388"/>
      <c r="M184" s="388"/>
      <c r="N184" s="388"/>
      <c r="O184" s="388"/>
      <c r="P184" s="388"/>
      <c r="Q184" s="388"/>
      <c r="R184" s="388"/>
      <c r="S184" s="388"/>
      <c r="T184" s="388"/>
      <c r="U184" s="388"/>
      <c r="V184" s="388"/>
    </row>
    <row r="185" spans="2:22" s="402" customFormat="1">
      <c r="B185" s="388"/>
      <c r="C185" s="388"/>
      <c r="D185" s="388"/>
      <c r="E185" s="388"/>
      <c r="F185" s="388"/>
      <c r="G185" s="388"/>
      <c r="H185" s="388"/>
      <c r="I185" s="388"/>
      <c r="J185" s="388"/>
      <c r="K185" s="388"/>
      <c r="L185" s="388"/>
      <c r="M185" s="388"/>
      <c r="N185" s="388"/>
      <c r="O185" s="388"/>
      <c r="P185" s="388"/>
      <c r="Q185" s="388"/>
      <c r="R185" s="388"/>
      <c r="S185" s="388"/>
      <c r="T185" s="388"/>
      <c r="U185" s="388"/>
      <c r="V185" s="388"/>
    </row>
    <row r="186" spans="2:22" s="402" customFormat="1">
      <c r="B186" s="388"/>
      <c r="C186" s="388"/>
      <c r="D186" s="388"/>
      <c r="E186" s="388"/>
      <c r="F186" s="388"/>
      <c r="G186" s="388"/>
      <c r="H186" s="388"/>
      <c r="I186" s="388"/>
      <c r="J186" s="388"/>
      <c r="K186" s="388"/>
      <c r="L186" s="388"/>
      <c r="M186" s="388"/>
      <c r="N186" s="388"/>
      <c r="O186" s="388"/>
      <c r="P186" s="388"/>
      <c r="Q186" s="388"/>
      <c r="R186" s="388"/>
      <c r="S186" s="388"/>
      <c r="T186" s="388"/>
      <c r="U186" s="388"/>
      <c r="V186" s="388"/>
    </row>
    <row r="187" spans="2:22" s="402" customFormat="1">
      <c r="B187" s="388"/>
      <c r="C187" s="388"/>
      <c r="D187" s="388"/>
      <c r="E187" s="388"/>
      <c r="F187" s="388"/>
      <c r="G187" s="388"/>
      <c r="H187" s="388"/>
      <c r="I187" s="388"/>
      <c r="J187" s="388"/>
      <c r="K187" s="388"/>
      <c r="L187" s="388"/>
      <c r="M187" s="388"/>
      <c r="N187" s="388"/>
      <c r="O187" s="388"/>
      <c r="P187" s="388"/>
      <c r="Q187" s="388"/>
      <c r="R187" s="388"/>
      <c r="S187" s="388"/>
      <c r="T187" s="388"/>
      <c r="U187" s="388"/>
      <c r="V187" s="388"/>
    </row>
    <row r="188" spans="2:22" s="402" customFormat="1">
      <c r="B188" s="388"/>
      <c r="C188" s="388"/>
      <c r="D188" s="388"/>
      <c r="E188" s="388"/>
      <c r="F188" s="388"/>
      <c r="G188" s="388"/>
      <c r="H188" s="388"/>
      <c r="I188" s="388"/>
      <c r="J188" s="388"/>
      <c r="K188" s="388"/>
      <c r="L188" s="388"/>
      <c r="M188" s="388"/>
      <c r="N188" s="388"/>
      <c r="O188" s="388"/>
      <c r="P188" s="388"/>
      <c r="Q188" s="388"/>
      <c r="R188" s="388"/>
      <c r="S188" s="388"/>
      <c r="T188" s="388"/>
      <c r="U188" s="388"/>
      <c r="V188" s="388"/>
    </row>
    <row r="189" spans="2:22" s="402" customFormat="1">
      <c r="B189" s="388"/>
      <c r="C189" s="388"/>
      <c r="D189" s="388"/>
      <c r="E189" s="388"/>
      <c r="F189" s="388"/>
      <c r="G189" s="388"/>
      <c r="H189" s="388"/>
      <c r="I189" s="388"/>
      <c r="J189" s="388"/>
      <c r="K189" s="388"/>
      <c r="L189" s="388"/>
      <c r="M189" s="388"/>
      <c r="N189" s="388"/>
      <c r="O189" s="388"/>
      <c r="P189" s="388"/>
      <c r="Q189" s="388"/>
      <c r="R189" s="388"/>
      <c r="S189" s="388"/>
      <c r="T189" s="388"/>
      <c r="U189" s="388"/>
      <c r="V189" s="388"/>
    </row>
    <row r="190" spans="2:22" s="402" customFormat="1">
      <c r="B190" s="388"/>
      <c r="C190" s="388"/>
      <c r="D190" s="388"/>
      <c r="E190" s="388"/>
      <c r="F190" s="388"/>
      <c r="G190" s="388"/>
      <c r="H190" s="388"/>
      <c r="I190" s="388"/>
      <c r="J190" s="388"/>
      <c r="K190" s="388"/>
      <c r="L190" s="388"/>
      <c r="M190" s="388"/>
      <c r="N190" s="388"/>
      <c r="O190" s="388"/>
      <c r="P190" s="388"/>
      <c r="Q190" s="388"/>
      <c r="R190" s="388"/>
      <c r="S190" s="388"/>
      <c r="T190" s="388"/>
      <c r="U190" s="388"/>
      <c r="V190" s="388"/>
    </row>
    <row r="191" spans="2:22" s="402" customFormat="1">
      <c r="B191" s="388"/>
      <c r="C191" s="388"/>
      <c r="D191" s="388"/>
      <c r="E191" s="388"/>
      <c r="F191" s="388"/>
      <c r="G191" s="388"/>
      <c r="H191" s="388"/>
      <c r="I191" s="388"/>
      <c r="J191" s="388"/>
      <c r="K191" s="388"/>
      <c r="L191" s="388"/>
      <c r="M191" s="388"/>
      <c r="N191" s="388"/>
      <c r="O191" s="388"/>
      <c r="P191" s="388"/>
      <c r="Q191" s="388"/>
      <c r="R191" s="388"/>
      <c r="S191" s="388"/>
      <c r="T191" s="388"/>
      <c r="U191" s="388"/>
      <c r="V191" s="388"/>
    </row>
    <row r="192" spans="2:22" s="402" customFormat="1">
      <c r="B192" s="388"/>
      <c r="C192" s="388"/>
      <c r="D192" s="388"/>
      <c r="E192" s="388"/>
      <c r="F192" s="388"/>
      <c r="G192" s="388"/>
      <c r="H192" s="388"/>
      <c r="I192" s="388"/>
      <c r="J192" s="388"/>
      <c r="K192" s="388"/>
      <c r="L192" s="388"/>
      <c r="M192" s="388"/>
      <c r="N192" s="388"/>
      <c r="O192" s="388"/>
      <c r="P192" s="388"/>
      <c r="Q192" s="388"/>
      <c r="R192" s="388"/>
      <c r="S192" s="388"/>
      <c r="T192" s="388"/>
      <c r="U192" s="388"/>
      <c r="V192" s="388"/>
    </row>
    <row r="193" spans="2:22" s="402" customFormat="1">
      <c r="B193" s="388"/>
      <c r="C193" s="388"/>
      <c r="D193" s="388"/>
      <c r="E193" s="388"/>
      <c r="F193" s="388"/>
      <c r="G193" s="388"/>
      <c r="H193" s="388"/>
      <c r="I193" s="388"/>
      <c r="J193" s="388"/>
      <c r="K193" s="388"/>
      <c r="L193" s="388"/>
      <c r="M193" s="388"/>
      <c r="N193" s="388"/>
      <c r="O193" s="388"/>
      <c r="P193" s="388"/>
      <c r="Q193" s="388"/>
      <c r="R193" s="388"/>
      <c r="S193" s="388"/>
      <c r="T193" s="388"/>
      <c r="U193" s="388"/>
      <c r="V193" s="388"/>
    </row>
    <row r="194" spans="2:22" s="402" customFormat="1">
      <c r="B194" s="388"/>
      <c r="C194" s="388"/>
      <c r="D194" s="388"/>
      <c r="E194" s="388"/>
      <c r="F194" s="388"/>
      <c r="G194" s="388"/>
      <c r="H194" s="388"/>
      <c r="I194" s="388"/>
      <c r="J194" s="388"/>
      <c r="K194" s="388"/>
      <c r="L194" s="388"/>
      <c r="M194" s="388"/>
      <c r="N194" s="388"/>
      <c r="O194" s="388"/>
      <c r="P194" s="388"/>
      <c r="Q194" s="388"/>
      <c r="R194" s="388"/>
      <c r="S194" s="388"/>
      <c r="T194" s="388"/>
      <c r="U194" s="388"/>
      <c r="V194" s="388"/>
    </row>
    <row r="195" spans="2:22" s="402" customFormat="1">
      <c r="B195" s="388"/>
      <c r="C195" s="388"/>
      <c r="D195" s="388"/>
      <c r="E195" s="388"/>
      <c r="F195" s="388"/>
      <c r="G195" s="388"/>
      <c r="H195" s="388"/>
      <c r="I195" s="388"/>
      <c r="J195" s="388"/>
      <c r="K195" s="388"/>
      <c r="L195" s="388"/>
      <c r="M195" s="388"/>
      <c r="N195" s="388"/>
      <c r="O195" s="388"/>
      <c r="P195" s="388"/>
      <c r="Q195" s="388"/>
      <c r="R195" s="388"/>
      <c r="S195" s="388"/>
      <c r="T195" s="388"/>
      <c r="U195" s="388"/>
      <c r="V195" s="388"/>
    </row>
    <row r="196" spans="2:22" s="402" customFormat="1">
      <c r="B196" s="388"/>
      <c r="C196" s="388"/>
      <c r="D196" s="388"/>
      <c r="E196" s="388"/>
      <c r="F196" s="388"/>
      <c r="G196" s="388"/>
      <c r="H196" s="388"/>
      <c r="I196" s="388"/>
      <c r="J196" s="388"/>
      <c r="K196" s="388"/>
      <c r="L196" s="388"/>
      <c r="M196" s="388"/>
      <c r="N196" s="388"/>
      <c r="O196" s="388"/>
      <c r="P196" s="388"/>
      <c r="Q196" s="388"/>
      <c r="R196" s="388"/>
      <c r="S196" s="388"/>
      <c r="T196" s="388"/>
      <c r="U196" s="388"/>
      <c r="V196" s="388"/>
    </row>
    <row r="197" spans="2:22" s="402" customFormat="1">
      <c r="B197" s="388"/>
      <c r="C197" s="388"/>
      <c r="D197" s="388"/>
      <c r="E197" s="388"/>
      <c r="F197" s="388"/>
      <c r="G197" s="388"/>
      <c r="H197" s="388"/>
      <c r="I197" s="388"/>
      <c r="J197" s="388"/>
      <c r="K197" s="388"/>
      <c r="L197" s="388"/>
      <c r="M197" s="388"/>
      <c r="N197" s="388"/>
      <c r="O197" s="388"/>
      <c r="P197" s="388"/>
      <c r="Q197" s="388"/>
      <c r="R197" s="388"/>
      <c r="S197" s="388"/>
      <c r="T197" s="388"/>
      <c r="U197" s="388"/>
      <c r="V197" s="388"/>
    </row>
    <row r="198" spans="2:22" s="402" customFormat="1">
      <c r="B198" s="388"/>
      <c r="C198" s="388"/>
      <c r="D198" s="388"/>
      <c r="E198" s="388"/>
      <c r="F198" s="388"/>
      <c r="G198" s="388"/>
      <c r="H198" s="388"/>
      <c r="I198" s="388"/>
      <c r="J198" s="388"/>
      <c r="K198" s="388"/>
      <c r="L198" s="388"/>
      <c r="M198" s="388"/>
      <c r="N198" s="388"/>
      <c r="O198" s="388"/>
      <c r="P198" s="388"/>
      <c r="Q198" s="388"/>
      <c r="R198" s="388"/>
      <c r="S198" s="388"/>
      <c r="T198" s="388"/>
      <c r="U198" s="388"/>
      <c r="V198" s="388"/>
    </row>
    <row r="199" spans="2:22" s="402" customFormat="1">
      <c r="B199" s="388"/>
      <c r="C199" s="388"/>
      <c r="D199" s="388"/>
      <c r="E199" s="388"/>
      <c r="F199" s="388"/>
      <c r="G199" s="388"/>
      <c r="H199" s="388"/>
      <c r="I199" s="388"/>
      <c r="J199" s="388"/>
      <c r="K199" s="388"/>
      <c r="L199" s="388"/>
      <c r="M199" s="388"/>
      <c r="N199" s="388"/>
      <c r="O199" s="388"/>
      <c r="P199" s="388"/>
      <c r="Q199" s="388"/>
      <c r="R199" s="388"/>
      <c r="S199" s="388"/>
      <c r="T199" s="388"/>
      <c r="U199" s="388"/>
      <c r="V199" s="388"/>
    </row>
    <row r="200" spans="2:22" s="402" customFormat="1">
      <c r="B200" s="388"/>
      <c r="C200" s="388"/>
      <c r="D200" s="388"/>
      <c r="E200" s="388"/>
      <c r="F200" s="388"/>
      <c r="G200" s="388"/>
      <c r="H200" s="388"/>
      <c r="I200" s="388"/>
      <c r="J200" s="388"/>
      <c r="K200" s="388"/>
      <c r="L200" s="388"/>
      <c r="M200" s="388"/>
      <c r="N200" s="388"/>
      <c r="O200" s="388"/>
      <c r="P200" s="388"/>
      <c r="Q200" s="388"/>
      <c r="R200" s="388"/>
      <c r="S200" s="388"/>
      <c r="T200" s="388"/>
      <c r="U200" s="388"/>
      <c r="V200" s="388"/>
    </row>
    <row r="201" spans="2:22" s="402" customFormat="1">
      <c r="B201" s="388"/>
      <c r="C201" s="388"/>
      <c r="D201" s="388"/>
      <c r="E201" s="388"/>
      <c r="F201" s="388"/>
      <c r="G201" s="388"/>
      <c r="H201" s="388"/>
      <c r="I201" s="388"/>
      <c r="J201" s="388"/>
      <c r="K201" s="388"/>
      <c r="L201" s="388"/>
      <c r="M201" s="388"/>
      <c r="N201" s="388"/>
      <c r="O201" s="388"/>
      <c r="P201" s="388"/>
      <c r="Q201" s="388"/>
      <c r="R201" s="388"/>
      <c r="S201" s="388"/>
      <c r="T201" s="388"/>
      <c r="U201" s="388"/>
      <c r="V201" s="388"/>
    </row>
    <row r="202" spans="2:22" s="402" customFormat="1">
      <c r="B202" s="388"/>
      <c r="C202" s="388"/>
      <c r="D202" s="388"/>
      <c r="E202" s="388"/>
      <c r="F202" s="388"/>
      <c r="G202" s="388"/>
      <c r="H202" s="388"/>
      <c r="I202" s="388"/>
      <c r="J202" s="388"/>
      <c r="K202" s="388"/>
      <c r="L202" s="388"/>
      <c r="M202" s="388"/>
      <c r="N202" s="388"/>
      <c r="O202" s="388"/>
      <c r="P202" s="388"/>
      <c r="Q202" s="388"/>
      <c r="R202" s="388"/>
      <c r="S202" s="388"/>
      <c r="T202" s="388"/>
      <c r="U202" s="388"/>
      <c r="V202" s="388"/>
    </row>
    <row r="203" spans="2:22" s="402" customFormat="1">
      <c r="B203" s="388"/>
      <c r="C203" s="388"/>
      <c r="D203" s="388"/>
      <c r="E203" s="388"/>
      <c r="F203" s="388"/>
      <c r="G203" s="388"/>
      <c r="H203" s="388"/>
      <c r="I203" s="388"/>
      <c r="J203" s="388"/>
      <c r="K203" s="388"/>
      <c r="L203" s="388"/>
      <c r="M203" s="388"/>
      <c r="N203" s="388"/>
      <c r="O203" s="388"/>
      <c r="P203" s="388"/>
      <c r="Q203" s="388"/>
      <c r="R203" s="388"/>
      <c r="S203" s="388"/>
      <c r="T203" s="388"/>
      <c r="U203" s="388"/>
      <c r="V203" s="388"/>
    </row>
    <row r="204" spans="2:22" s="402" customFormat="1">
      <c r="B204" s="388"/>
      <c r="C204" s="388"/>
      <c r="D204" s="388"/>
      <c r="E204" s="388"/>
      <c r="F204" s="388"/>
      <c r="G204" s="388"/>
      <c r="H204" s="388"/>
      <c r="I204" s="388"/>
      <c r="J204" s="388"/>
      <c r="K204" s="388"/>
      <c r="L204" s="388"/>
      <c r="M204" s="388"/>
      <c r="N204" s="388"/>
      <c r="O204" s="388"/>
      <c r="P204" s="388"/>
      <c r="Q204" s="388"/>
      <c r="R204" s="388"/>
      <c r="S204" s="388"/>
      <c r="T204" s="388"/>
      <c r="U204" s="388"/>
      <c r="V204" s="388"/>
    </row>
    <row r="205" spans="2:22" s="402" customFormat="1">
      <c r="B205" s="388"/>
      <c r="C205" s="388"/>
      <c r="D205" s="388"/>
      <c r="E205" s="388"/>
      <c r="F205" s="388"/>
      <c r="G205" s="388"/>
      <c r="H205" s="388"/>
      <c r="I205" s="388"/>
      <c r="J205" s="388"/>
      <c r="K205" s="388"/>
      <c r="L205" s="388"/>
      <c r="M205" s="388"/>
      <c r="N205" s="388"/>
      <c r="O205" s="388"/>
      <c r="P205" s="388"/>
      <c r="Q205" s="388"/>
      <c r="R205" s="388"/>
      <c r="S205" s="388"/>
      <c r="T205" s="388"/>
      <c r="U205" s="388"/>
      <c r="V205" s="388"/>
    </row>
    <row r="206" spans="2:22" s="402" customFormat="1">
      <c r="B206" s="388"/>
      <c r="C206" s="388"/>
      <c r="D206" s="388"/>
      <c r="E206" s="388"/>
      <c r="F206" s="388"/>
      <c r="G206" s="388"/>
      <c r="H206" s="388"/>
      <c r="I206" s="388"/>
      <c r="J206" s="388"/>
      <c r="K206" s="388"/>
      <c r="L206" s="388"/>
      <c r="M206" s="388"/>
      <c r="N206" s="388"/>
      <c r="O206" s="388"/>
      <c r="P206" s="388"/>
      <c r="Q206" s="388"/>
      <c r="R206" s="388"/>
      <c r="S206" s="388"/>
      <c r="T206" s="388"/>
      <c r="U206" s="388"/>
      <c r="V206" s="388"/>
    </row>
    <row r="207" spans="2:22" s="402" customFormat="1">
      <c r="B207" s="388"/>
      <c r="C207" s="388"/>
      <c r="D207" s="388"/>
      <c r="E207" s="388"/>
      <c r="F207" s="388"/>
      <c r="G207" s="388"/>
      <c r="H207" s="388"/>
      <c r="I207" s="388"/>
      <c r="J207" s="388"/>
      <c r="K207" s="388"/>
      <c r="L207" s="388"/>
      <c r="M207" s="388"/>
      <c r="N207" s="388"/>
      <c r="O207" s="388"/>
      <c r="P207" s="388"/>
      <c r="Q207" s="388"/>
      <c r="R207" s="388"/>
      <c r="S207" s="388"/>
      <c r="T207" s="388"/>
      <c r="U207" s="388"/>
      <c r="V207" s="388"/>
    </row>
    <row r="208" spans="2:22" s="402" customFormat="1">
      <c r="B208" s="388"/>
      <c r="C208" s="388"/>
      <c r="D208" s="388"/>
      <c r="E208" s="388"/>
      <c r="F208" s="388"/>
      <c r="G208" s="388"/>
      <c r="H208" s="388"/>
      <c r="I208" s="388"/>
      <c r="J208" s="388"/>
      <c r="K208" s="388"/>
      <c r="L208" s="388"/>
      <c r="M208" s="388"/>
      <c r="N208" s="388"/>
      <c r="O208" s="388"/>
      <c r="P208" s="388"/>
      <c r="Q208" s="388"/>
      <c r="R208" s="388"/>
      <c r="S208" s="388"/>
      <c r="T208" s="388"/>
      <c r="U208" s="388"/>
      <c r="V208" s="388"/>
    </row>
    <row r="209" spans="2:22" s="402" customFormat="1">
      <c r="B209" s="388"/>
      <c r="C209" s="388"/>
      <c r="D209" s="388"/>
      <c r="E209" s="388"/>
      <c r="F209" s="388"/>
      <c r="G209" s="388"/>
      <c r="H209" s="388"/>
      <c r="I209" s="388"/>
      <c r="J209" s="388"/>
      <c r="K209" s="388"/>
      <c r="L209" s="388"/>
      <c r="M209" s="388"/>
      <c r="N209" s="388"/>
      <c r="O209" s="388"/>
      <c r="P209" s="388"/>
      <c r="Q209" s="388"/>
      <c r="R209" s="388"/>
      <c r="S209" s="388"/>
      <c r="T209" s="388"/>
      <c r="U209" s="388"/>
      <c r="V209" s="388"/>
    </row>
    <row r="210" spans="2:22" s="402" customFormat="1">
      <c r="B210" s="388"/>
      <c r="C210" s="388"/>
      <c r="D210" s="388"/>
      <c r="E210" s="388"/>
      <c r="F210" s="388"/>
      <c r="G210" s="388"/>
      <c r="H210" s="388"/>
      <c r="I210" s="388"/>
      <c r="J210" s="388"/>
      <c r="K210" s="388"/>
      <c r="L210" s="388"/>
      <c r="M210" s="388"/>
      <c r="N210" s="388"/>
      <c r="O210" s="388"/>
      <c r="P210" s="388"/>
      <c r="Q210" s="388"/>
      <c r="R210" s="388"/>
      <c r="S210" s="388"/>
      <c r="T210" s="388"/>
      <c r="U210" s="388"/>
      <c r="V210" s="388"/>
    </row>
    <row r="211" spans="2:22" s="402" customFormat="1">
      <c r="B211" s="388"/>
      <c r="C211" s="388"/>
      <c r="D211" s="388"/>
      <c r="E211" s="388"/>
      <c r="F211" s="388"/>
      <c r="G211" s="388"/>
      <c r="H211" s="388"/>
      <c r="I211" s="388"/>
      <c r="J211" s="388"/>
      <c r="K211" s="388"/>
      <c r="L211" s="388"/>
      <c r="M211" s="388"/>
      <c r="N211" s="388"/>
      <c r="O211" s="388"/>
      <c r="P211" s="388"/>
      <c r="Q211" s="388"/>
      <c r="R211" s="388"/>
      <c r="S211" s="388"/>
      <c r="T211" s="388"/>
      <c r="U211" s="388"/>
      <c r="V211" s="388"/>
    </row>
    <row r="212" spans="2:22" s="402" customFormat="1">
      <c r="B212" s="388"/>
      <c r="C212" s="388"/>
      <c r="D212" s="388"/>
      <c r="E212" s="388"/>
      <c r="F212" s="388"/>
      <c r="G212" s="388"/>
      <c r="H212" s="388"/>
      <c r="I212" s="388"/>
      <c r="J212" s="388"/>
      <c r="K212" s="388"/>
      <c r="L212" s="388"/>
      <c r="M212" s="388"/>
      <c r="N212" s="388"/>
      <c r="O212" s="388"/>
      <c r="P212" s="388"/>
      <c r="Q212" s="388"/>
      <c r="R212" s="388"/>
      <c r="S212" s="388"/>
      <c r="T212" s="388"/>
      <c r="U212" s="388"/>
      <c r="V212" s="388"/>
    </row>
    <row r="213" spans="2:22" s="402" customFormat="1">
      <c r="B213" s="388"/>
      <c r="C213" s="388"/>
      <c r="D213" s="388"/>
      <c r="E213" s="388"/>
      <c r="F213" s="388"/>
      <c r="G213" s="388"/>
      <c r="H213" s="388"/>
      <c r="I213" s="388"/>
      <c r="J213" s="388"/>
      <c r="K213" s="388"/>
      <c r="L213" s="388"/>
      <c r="M213" s="388"/>
      <c r="N213" s="388"/>
      <c r="O213" s="388"/>
      <c r="P213" s="388"/>
      <c r="Q213" s="388"/>
      <c r="R213" s="388"/>
      <c r="S213" s="388"/>
      <c r="T213" s="388"/>
      <c r="U213" s="388"/>
      <c r="V213" s="388"/>
    </row>
    <row r="214" spans="2:22" s="402" customFormat="1">
      <c r="B214" s="388"/>
      <c r="C214" s="388"/>
      <c r="D214" s="388"/>
      <c r="E214" s="388"/>
      <c r="F214" s="388"/>
      <c r="G214" s="388"/>
      <c r="H214" s="388"/>
      <c r="I214" s="388"/>
      <c r="J214" s="388"/>
      <c r="K214" s="388"/>
      <c r="L214" s="388"/>
      <c r="M214" s="388"/>
      <c r="N214" s="388"/>
      <c r="O214" s="388"/>
      <c r="P214" s="388"/>
      <c r="Q214" s="388"/>
      <c r="R214" s="388"/>
      <c r="S214" s="388"/>
      <c r="T214" s="388"/>
      <c r="U214" s="388"/>
      <c r="V214" s="388"/>
    </row>
    <row r="215" spans="2:22" s="402" customFormat="1">
      <c r="B215" s="388"/>
      <c r="C215" s="388"/>
      <c r="D215" s="388"/>
      <c r="E215" s="388"/>
      <c r="F215" s="388"/>
      <c r="G215" s="388"/>
      <c r="H215" s="388"/>
      <c r="I215" s="388"/>
      <c r="J215" s="388"/>
      <c r="K215" s="388"/>
      <c r="L215" s="388"/>
      <c r="M215" s="388"/>
      <c r="N215" s="388"/>
      <c r="O215" s="388"/>
      <c r="P215" s="388"/>
      <c r="Q215" s="388"/>
      <c r="R215" s="388"/>
      <c r="S215" s="388"/>
      <c r="T215" s="388"/>
      <c r="U215" s="388"/>
      <c r="V215" s="388"/>
    </row>
    <row r="216" spans="2:22" s="402" customFormat="1">
      <c r="B216" s="388"/>
      <c r="C216" s="388"/>
      <c r="D216" s="388"/>
      <c r="E216" s="388"/>
      <c r="F216" s="388"/>
      <c r="G216" s="388"/>
      <c r="H216" s="388"/>
      <c r="I216" s="388"/>
      <c r="J216" s="388"/>
      <c r="K216" s="388"/>
      <c r="L216" s="388"/>
      <c r="M216" s="388"/>
      <c r="N216" s="388"/>
      <c r="O216" s="388"/>
      <c r="P216" s="388"/>
      <c r="Q216" s="388"/>
      <c r="R216" s="388"/>
      <c r="S216" s="388"/>
      <c r="T216" s="388"/>
      <c r="U216" s="388"/>
      <c r="V216" s="388"/>
    </row>
    <row r="217" spans="2:22" s="402" customFormat="1">
      <c r="B217" s="388"/>
      <c r="C217" s="388"/>
      <c r="D217" s="388"/>
      <c r="E217" s="388"/>
      <c r="F217" s="388"/>
      <c r="G217" s="388"/>
      <c r="H217" s="388"/>
      <c r="I217" s="388"/>
      <c r="J217" s="388"/>
      <c r="K217" s="388"/>
      <c r="L217" s="388"/>
      <c r="M217" s="388"/>
      <c r="N217" s="388"/>
      <c r="O217" s="388"/>
      <c r="P217" s="388"/>
      <c r="Q217" s="388"/>
      <c r="R217" s="388"/>
      <c r="S217" s="388"/>
      <c r="T217" s="388"/>
      <c r="U217" s="388"/>
      <c r="V217" s="388"/>
    </row>
    <row r="218" spans="2:22" s="402" customFormat="1">
      <c r="B218" s="388"/>
      <c r="C218" s="388"/>
      <c r="D218" s="388"/>
      <c r="E218" s="388"/>
      <c r="F218" s="388"/>
      <c r="G218" s="388"/>
      <c r="H218" s="388"/>
      <c r="I218" s="388"/>
      <c r="J218" s="388"/>
      <c r="K218" s="388"/>
      <c r="L218" s="388"/>
      <c r="M218" s="388"/>
      <c r="N218" s="388"/>
      <c r="O218" s="388"/>
      <c r="P218" s="388"/>
      <c r="Q218" s="388"/>
      <c r="R218" s="388"/>
      <c r="S218" s="388"/>
      <c r="T218" s="388"/>
      <c r="U218" s="388"/>
      <c r="V218" s="388"/>
    </row>
    <row r="219" spans="2:22" s="402" customFormat="1">
      <c r="B219" s="388"/>
      <c r="C219" s="388"/>
      <c r="D219" s="388"/>
      <c r="E219" s="388"/>
      <c r="F219" s="388"/>
      <c r="G219" s="388"/>
      <c r="H219" s="388"/>
      <c r="I219" s="388"/>
      <c r="J219" s="388"/>
      <c r="K219" s="388"/>
      <c r="L219" s="388"/>
      <c r="M219" s="388"/>
      <c r="N219" s="388"/>
      <c r="O219" s="388"/>
      <c r="P219" s="388"/>
      <c r="Q219" s="388"/>
      <c r="R219" s="388"/>
      <c r="S219" s="388"/>
      <c r="T219" s="388"/>
      <c r="U219" s="388"/>
      <c r="V219" s="388"/>
    </row>
    <row r="220" spans="2:22" s="402" customFormat="1">
      <c r="B220" s="388"/>
      <c r="C220" s="388"/>
      <c r="D220" s="388"/>
      <c r="E220" s="388"/>
      <c r="F220" s="388"/>
      <c r="G220" s="388"/>
      <c r="H220" s="388"/>
      <c r="I220" s="388"/>
      <c r="J220" s="388"/>
      <c r="K220" s="388"/>
      <c r="L220" s="388"/>
      <c r="M220" s="388"/>
      <c r="N220" s="388"/>
      <c r="O220" s="388"/>
      <c r="P220" s="388"/>
      <c r="Q220" s="388"/>
      <c r="R220" s="388"/>
      <c r="S220" s="388"/>
      <c r="T220" s="388"/>
      <c r="U220" s="388"/>
      <c r="V220" s="388"/>
    </row>
    <row r="221" spans="2:22" s="402" customFormat="1">
      <c r="B221" s="388"/>
      <c r="C221" s="388"/>
      <c r="D221" s="388"/>
      <c r="E221" s="388"/>
      <c r="F221" s="388"/>
      <c r="G221" s="388"/>
      <c r="H221" s="388"/>
      <c r="I221" s="388"/>
      <c r="J221" s="388"/>
      <c r="K221" s="388"/>
      <c r="L221" s="388"/>
      <c r="M221" s="388"/>
      <c r="N221" s="388"/>
      <c r="O221" s="388"/>
      <c r="P221" s="388"/>
      <c r="Q221" s="388"/>
      <c r="R221" s="388"/>
      <c r="S221" s="388"/>
      <c r="T221" s="388"/>
      <c r="U221" s="388"/>
      <c r="V221" s="388"/>
    </row>
    <row r="222" spans="2:22" s="402" customFormat="1">
      <c r="B222" s="388"/>
      <c r="C222" s="388"/>
      <c r="D222" s="388"/>
      <c r="E222" s="388"/>
      <c r="F222" s="388"/>
      <c r="G222" s="388"/>
      <c r="H222" s="388"/>
      <c r="I222" s="388"/>
      <c r="J222" s="388"/>
      <c r="K222" s="388"/>
      <c r="L222" s="388"/>
      <c r="M222" s="388"/>
      <c r="N222" s="388"/>
      <c r="O222" s="388"/>
      <c r="P222" s="388"/>
      <c r="Q222" s="388"/>
      <c r="R222" s="388"/>
      <c r="S222" s="388"/>
      <c r="T222" s="388"/>
      <c r="U222" s="388"/>
      <c r="V222" s="388"/>
    </row>
    <row r="223" spans="2:22" s="402" customFormat="1">
      <c r="B223" s="388"/>
      <c r="C223" s="388"/>
      <c r="D223" s="388"/>
      <c r="E223" s="388"/>
      <c r="F223" s="388"/>
      <c r="G223" s="388"/>
      <c r="H223" s="388"/>
      <c r="I223" s="388"/>
      <c r="J223" s="388"/>
      <c r="K223" s="388"/>
      <c r="L223" s="388"/>
      <c r="M223" s="388"/>
      <c r="N223" s="388"/>
      <c r="O223" s="388"/>
      <c r="P223" s="388"/>
      <c r="Q223" s="388"/>
      <c r="R223" s="388"/>
      <c r="S223" s="388"/>
      <c r="T223" s="388"/>
      <c r="U223" s="388"/>
      <c r="V223" s="388"/>
    </row>
    <row r="224" spans="2:22" s="402" customFormat="1">
      <c r="B224" s="388"/>
      <c r="C224" s="388"/>
      <c r="D224" s="388"/>
      <c r="E224" s="388"/>
      <c r="F224" s="388"/>
      <c r="G224" s="388"/>
      <c r="H224" s="388"/>
      <c r="I224" s="388"/>
      <c r="J224" s="388"/>
      <c r="K224" s="388"/>
      <c r="L224" s="388"/>
      <c r="M224" s="388"/>
      <c r="N224" s="388"/>
      <c r="O224" s="388"/>
      <c r="P224" s="388"/>
      <c r="Q224" s="388"/>
      <c r="R224" s="388"/>
      <c r="S224" s="388"/>
      <c r="T224" s="388"/>
      <c r="U224" s="388"/>
      <c r="V224" s="388"/>
    </row>
    <row r="225" spans="2:22" s="402" customFormat="1">
      <c r="B225" s="388"/>
      <c r="C225" s="388"/>
      <c r="D225" s="388"/>
      <c r="E225" s="388"/>
      <c r="F225" s="388"/>
      <c r="G225" s="388"/>
      <c r="H225" s="388"/>
      <c r="I225" s="388"/>
      <c r="J225" s="388"/>
      <c r="K225" s="388"/>
      <c r="L225" s="388"/>
      <c r="M225" s="388"/>
      <c r="N225" s="388"/>
      <c r="O225" s="388"/>
      <c r="P225" s="388"/>
      <c r="Q225" s="388"/>
      <c r="R225" s="388"/>
      <c r="S225" s="388"/>
      <c r="T225" s="388"/>
      <c r="U225" s="388"/>
      <c r="V225" s="388"/>
    </row>
    <row r="226" spans="2:22" s="402" customFormat="1">
      <c r="B226" s="388"/>
      <c r="C226" s="388"/>
      <c r="D226" s="388"/>
      <c r="E226" s="388"/>
      <c r="F226" s="388"/>
      <c r="G226" s="388"/>
      <c r="H226" s="388"/>
      <c r="I226" s="388"/>
      <c r="J226" s="388"/>
      <c r="K226" s="388"/>
      <c r="L226" s="388"/>
      <c r="M226" s="388"/>
      <c r="N226" s="388"/>
      <c r="O226" s="388"/>
      <c r="P226" s="388"/>
      <c r="Q226" s="388"/>
      <c r="R226" s="388"/>
      <c r="S226" s="388"/>
      <c r="T226" s="388"/>
      <c r="U226" s="388"/>
      <c r="V226" s="388"/>
    </row>
    <row r="227" spans="2:22" s="402" customFormat="1">
      <c r="B227" s="388"/>
      <c r="C227" s="388"/>
      <c r="D227" s="388"/>
      <c r="E227" s="388"/>
      <c r="F227" s="388"/>
      <c r="G227" s="388"/>
      <c r="H227" s="388"/>
      <c r="I227" s="388"/>
      <c r="J227" s="388"/>
      <c r="K227" s="388"/>
      <c r="L227" s="388"/>
      <c r="M227" s="388"/>
      <c r="N227" s="388"/>
      <c r="O227" s="388"/>
      <c r="P227" s="388"/>
      <c r="Q227" s="388"/>
      <c r="R227" s="388"/>
      <c r="S227" s="388"/>
      <c r="T227" s="388"/>
      <c r="U227" s="388"/>
      <c r="V227" s="388"/>
    </row>
    <row r="228" spans="2:22" s="402" customFormat="1">
      <c r="B228" s="388"/>
      <c r="C228" s="388"/>
      <c r="D228" s="388"/>
      <c r="E228" s="388"/>
      <c r="F228" s="388"/>
      <c r="G228" s="388"/>
      <c r="H228" s="388"/>
      <c r="I228" s="388"/>
      <c r="J228" s="388"/>
      <c r="K228" s="388"/>
      <c r="L228" s="388"/>
      <c r="M228" s="388"/>
      <c r="N228" s="388"/>
      <c r="O228" s="388"/>
      <c r="P228" s="388"/>
      <c r="Q228" s="388"/>
      <c r="R228" s="388"/>
      <c r="S228" s="388"/>
      <c r="T228" s="388"/>
      <c r="U228" s="388"/>
      <c r="V228" s="388"/>
    </row>
    <row r="229" spans="2:22" s="402" customFormat="1">
      <c r="B229" s="388"/>
      <c r="C229" s="388"/>
      <c r="D229" s="388"/>
      <c r="E229" s="388"/>
      <c r="F229" s="388"/>
      <c r="G229" s="388"/>
      <c r="H229" s="388"/>
      <c r="I229" s="388"/>
      <c r="J229" s="388"/>
      <c r="K229" s="388"/>
      <c r="L229" s="388"/>
      <c r="M229" s="388"/>
      <c r="N229" s="388"/>
      <c r="O229" s="388"/>
      <c r="P229" s="388"/>
      <c r="Q229" s="388"/>
      <c r="R229" s="388"/>
      <c r="S229" s="388"/>
      <c r="T229" s="388"/>
      <c r="U229" s="388"/>
      <c r="V229" s="388"/>
    </row>
    <row r="230" spans="2:22" s="402" customFormat="1">
      <c r="B230" s="388"/>
      <c r="C230" s="388"/>
      <c r="D230" s="388"/>
      <c r="E230" s="388"/>
      <c r="F230" s="388"/>
      <c r="G230" s="388"/>
      <c r="H230" s="388"/>
      <c r="I230" s="388"/>
      <c r="J230" s="388"/>
      <c r="K230" s="388"/>
      <c r="L230" s="388"/>
      <c r="M230" s="388"/>
      <c r="N230" s="388"/>
      <c r="O230" s="388"/>
      <c r="P230" s="388"/>
      <c r="Q230" s="388"/>
      <c r="R230" s="388"/>
      <c r="S230" s="388"/>
      <c r="T230" s="388"/>
      <c r="U230" s="388"/>
      <c r="V230" s="388"/>
    </row>
    <row r="231" spans="2:22" s="402" customFormat="1">
      <c r="B231" s="388"/>
      <c r="C231" s="388"/>
      <c r="D231" s="388"/>
      <c r="E231" s="388"/>
      <c r="F231" s="388"/>
      <c r="G231" s="388"/>
      <c r="H231" s="388"/>
      <c r="I231" s="388"/>
      <c r="J231" s="388"/>
      <c r="K231" s="388"/>
      <c r="L231" s="388"/>
      <c r="M231" s="388"/>
      <c r="N231" s="388"/>
      <c r="O231" s="388"/>
      <c r="P231" s="388"/>
      <c r="Q231" s="388"/>
      <c r="R231" s="388"/>
      <c r="S231" s="388"/>
      <c r="T231" s="388"/>
      <c r="U231" s="388"/>
      <c r="V231" s="388"/>
    </row>
    <row r="232" spans="2:22" s="402" customFormat="1">
      <c r="B232" s="388"/>
      <c r="C232" s="388"/>
      <c r="D232" s="388"/>
      <c r="E232" s="388"/>
      <c r="F232" s="388"/>
      <c r="G232" s="388"/>
      <c r="H232" s="388"/>
      <c r="I232" s="388"/>
      <c r="J232" s="388"/>
      <c r="K232" s="388"/>
      <c r="L232" s="388"/>
      <c r="M232" s="388"/>
      <c r="N232" s="388"/>
      <c r="O232" s="388"/>
      <c r="P232" s="388"/>
      <c r="Q232" s="388"/>
      <c r="R232" s="388"/>
      <c r="S232" s="388"/>
      <c r="T232" s="388"/>
      <c r="U232" s="388"/>
      <c r="V232" s="388"/>
    </row>
    <row r="233" spans="2:22" s="402" customFormat="1">
      <c r="B233" s="388"/>
      <c r="C233" s="388"/>
      <c r="D233" s="388"/>
      <c r="E233" s="388"/>
      <c r="F233" s="388"/>
      <c r="G233" s="388"/>
      <c r="H233" s="388"/>
      <c r="I233" s="388"/>
      <c r="J233" s="388"/>
      <c r="K233" s="388"/>
      <c r="L233" s="388"/>
      <c r="M233" s="388"/>
      <c r="N233" s="388"/>
      <c r="O233" s="388"/>
      <c r="P233" s="388"/>
      <c r="Q233" s="388"/>
      <c r="R233" s="388"/>
      <c r="S233" s="388"/>
      <c r="T233" s="388"/>
      <c r="U233" s="388"/>
      <c r="V233" s="388"/>
    </row>
    <row r="234" spans="2:22" s="402" customFormat="1">
      <c r="B234" s="388"/>
      <c r="C234" s="388"/>
      <c r="D234" s="388"/>
      <c r="E234" s="388"/>
      <c r="F234" s="388"/>
      <c r="G234" s="388"/>
      <c r="H234" s="388"/>
      <c r="I234" s="388"/>
      <c r="J234" s="388"/>
      <c r="K234" s="388"/>
      <c r="L234" s="388"/>
      <c r="M234" s="388"/>
      <c r="N234" s="388"/>
      <c r="O234" s="388"/>
      <c r="P234" s="388"/>
      <c r="Q234" s="388"/>
      <c r="R234" s="388"/>
      <c r="S234" s="388"/>
      <c r="T234" s="388"/>
      <c r="U234" s="388"/>
      <c r="V234" s="388"/>
    </row>
    <row r="235" spans="2:22" s="402" customFormat="1">
      <c r="B235" s="388"/>
      <c r="C235" s="388"/>
      <c r="D235" s="388"/>
      <c r="E235" s="388"/>
      <c r="F235" s="388"/>
      <c r="G235" s="388"/>
      <c r="H235" s="388"/>
      <c r="I235" s="388"/>
      <c r="J235" s="388"/>
      <c r="K235" s="388"/>
      <c r="L235" s="388"/>
      <c r="M235" s="388"/>
      <c r="N235" s="388"/>
      <c r="O235" s="388"/>
      <c r="P235" s="388"/>
      <c r="Q235" s="388"/>
      <c r="R235" s="388"/>
      <c r="S235" s="388"/>
      <c r="T235" s="388"/>
      <c r="U235" s="388"/>
      <c r="V235" s="388"/>
    </row>
    <row r="236" spans="2:22" s="402" customFormat="1">
      <c r="B236" s="388"/>
      <c r="C236" s="388"/>
      <c r="D236" s="388"/>
      <c r="E236" s="388"/>
      <c r="F236" s="388"/>
      <c r="G236" s="388"/>
      <c r="H236" s="388"/>
      <c r="I236" s="388"/>
      <c r="J236" s="388"/>
      <c r="K236" s="388"/>
      <c r="L236" s="388"/>
      <c r="M236" s="388"/>
      <c r="N236" s="388"/>
      <c r="O236" s="388"/>
      <c r="P236" s="388"/>
      <c r="Q236" s="388"/>
      <c r="R236" s="388"/>
      <c r="S236" s="388"/>
      <c r="T236" s="388"/>
      <c r="U236" s="388"/>
      <c r="V236" s="388"/>
    </row>
    <row r="237" spans="2:22" s="402" customFormat="1">
      <c r="B237" s="388"/>
      <c r="C237" s="388"/>
      <c r="D237" s="388"/>
      <c r="E237" s="388"/>
      <c r="F237" s="388"/>
      <c r="G237" s="388"/>
      <c r="H237" s="388"/>
      <c r="I237" s="388"/>
      <c r="J237" s="388"/>
      <c r="K237" s="388"/>
      <c r="L237" s="388"/>
      <c r="M237" s="388"/>
      <c r="N237" s="388"/>
      <c r="O237" s="388"/>
      <c r="P237" s="388"/>
      <c r="Q237" s="388"/>
      <c r="R237" s="388"/>
      <c r="S237" s="388"/>
      <c r="T237" s="388"/>
      <c r="U237" s="388"/>
      <c r="V237" s="388"/>
    </row>
    <row r="238" spans="2:22" s="402" customFormat="1">
      <c r="B238" s="388"/>
      <c r="C238" s="388"/>
      <c r="D238" s="388"/>
      <c r="E238" s="388"/>
      <c r="F238" s="388"/>
      <c r="G238" s="388"/>
      <c r="H238" s="388"/>
      <c r="I238" s="388"/>
      <c r="J238" s="388"/>
      <c r="K238" s="388"/>
      <c r="L238" s="388"/>
      <c r="M238" s="388"/>
      <c r="N238" s="388"/>
      <c r="O238" s="388"/>
      <c r="P238" s="388"/>
      <c r="Q238" s="388"/>
      <c r="R238" s="388"/>
      <c r="S238" s="388"/>
      <c r="T238" s="388"/>
      <c r="U238" s="388"/>
      <c r="V238" s="388"/>
    </row>
    <row r="239" spans="2:22" s="402" customFormat="1">
      <c r="B239" s="388"/>
      <c r="C239" s="388"/>
      <c r="D239" s="388"/>
      <c r="E239" s="388"/>
      <c r="F239" s="388"/>
      <c r="G239" s="388"/>
      <c r="H239" s="388"/>
      <c r="I239" s="388"/>
      <c r="J239" s="388"/>
      <c r="K239" s="388"/>
      <c r="L239" s="388"/>
      <c r="M239" s="388"/>
      <c r="N239" s="388"/>
      <c r="O239" s="388"/>
      <c r="P239" s="388"/>
      <c r="Q239" s="388"/>
      <c r="R239" s="388"/>
      <c r="S239" s="388"/>
      <c r="T239" s="388"/>
      <c r="U239" s="388"/>
      <c r="V239" s="388"/>
    </row>
    <row r="240" spans="2:22" s="402" customFormat="1">
      <c r="B240" s="388"/>
      <c r="C240" s="388"/>
      <c r="D240" s="388"/>
      <c r="E240" s="388"/>
      <c r="F240" s="388"/>
      <c r="G240" s="388"/>
      <c r="H240" s="388"/>
      <c r="I240" s="388"/>
      <c r="J240" s="388"/>
      <c r="K240" s="388"/>
      <c r="L240" s="388"/>
      <c r="M240" s="388"/>
      <c r="N240" s="388"/>
      <c r="O240" s="388"/>
      <c r="P240" s="388"/>
      <c r="Q240" s="388"/>
      <c r="R240" s="388"/>
      <c r="S240" s="388"/>
      <c r="T240" s="388"/>
      <c r="U240" s="388"/>
      <c r="V240" s="388"/>
    </row>
    <row r="241" spans="2:22" s="402" customFormat="1">
      <c r="B241" s="388"/>
      <c r="C241" s="388"/>
      <c r="D241" s="388"/>
      <c r="E241" s="388"/>
      <c r="F241" s="388"/>
      <c r="G241" s="388"/>
      <c r="H241" s="388"/>
      <c r="I241" s="388"/>
      <c r="J241" s="388"/>
      <c r="K241" s="388"/>
      <c r="L241" s="388"/>
      <c r="M241" s="388"/>
      <c r="N241" s="388"/>
      <c r="O241" s="388"/>
      <c r="P241" s="388"/>
      <c r="Q241" s="388"/>
      <c r="R241" s="388"/>
      <c r="S241" s="388"/>
      <c r="T241" s="388"/>
      <c r="U241" s="388"/>
      <c r="V241" s="388"/>
    </row>
    <row r="242" spans="2:22" s="402" customFormat="1">
      <c r="B242" s="388"/>
      <c r="C242" s="388"/>
      <c r="D242" s="388"/>
      <c r="E242" s="388"/>
      <c r="F242" s="388"/>
      <c r="G242" s="388"/>
      <c r="H242" s="388"/>
      <c r="I242" s="388"/>
      <c r="J242" s="388"/>
      <c r="K242" s="388"/>
      <c r="L242" s="388"/>
      <c r="M242" s="388"/>
      <c r="N242" s="388"/>
      <c r="O242" s="388"/>
      <c r="P242" s="388"/>
      <c r="Q242" s="388"/>
      <c r="R242" s="388"/>
      <c r="S242" s="388"/>
      <c r="T242" s="388"/>
      <c r="U242" s="388"/>
      <c r="V242" s="388"/>
    </row>
    <row r="243" spans="2:22" s="402" customFormat="1">
      <c r="B243" s="388"/>
      <c r="C243" s="388"/>
      <c r="D243" s="388"/>
      <c r="E243" s="388"/>
      <c r="F243" s="388"/>
      <c r="G243" s="388"/>
      <c r="H243" s="388"/>
      <c r="I243" s="388"/>
      <c r="J243" s="388"/>
      <c r="K243" s="388"/>
      <c r="L243" s="388"/>
      <c r="M243" s="388"/>
      <c r="N243" s="388"/>
      <c r="O243" s="388"/>
      <c r="P243" s="388"/>
      <c r="Q243" s="388"/>
      <c r="R243" s="388"/>
      <c r="S243" s="388"/>
      <c r="T243" s="388"/>
      <c r="U243" s="388"/>
      <c r="V243" s="388"/>
    </row>
    <row r="244" spans="2:22" s="402" customFormat="1">
      <c r="B244" s="388"/>
      <c r="C244" s="388"/>
      <c r="D244" s="388"/>
      <c r="E244" s="388"/>
      <c r="F244" s="388"/>
      <c r="G244" s="388"/>
      <c r="H244" s="388"/>
      <c r="I244" s="388"/>
      <c r="J244" s="388"/>
      <c r="K244" s="388"/>
      <c r="L244" s="388"/>
      <c r="M244" s="388"/>
      <c r="N244" s="388"/>
      <c r="O244" s="388"/>
      <c r="P244" s="388"/>
      <c r="Q244" s="388"/>
      <c r="R244" s="388"/>
      <c r="S244" s="388"/>
      <c r="T244" s="388"/>
      <c r="U244" s="388"/>
      <c r="V244" s="388"/>
    </row>
    <row r="245" spans="2:22" s="402" customFormat="1">
      <c r="B245" s="388"/>
      <c r="C245" s="388"/>
      <c r="D245" s="388"/>
      <c r="E245" s="388"/>
      <c r="F245" s="388"/>
      <c r="G245" s="388"/>
      <c r="H245" s="388"/>
      <c r="I245" s="388"/>
      <c r="J245" s="388"/>
      <c r="K245" s="388"/>
      <c r="L245" s="388"/>
      <c r="M245" s="388"/>
      <c r="N245" s="388"/>
      <c r="O245" s="388"/>
      <c r="P245" s="388"/>
      <c r="Q245" s="388"/>
      <c r="R245" s="388"/>
      <c r="S245" s="388"/>
      <c r="T245" s="388"/>
      <c r="U245" s="388"/>
      <c r="V245" s="388"/>
    </row>
    <row r="246" spans="2:22" s="402" customFormat="1">
      <c r="B246" s="388"/>
      <c r="C246" s="388"/>
      <c r="D246" s="388"/>
      <c r="E246" s="388"/>
      <c r="F246" s="388"/>
      <c r="G246" s="388"/>
      <c r="H246" s="388"/>
      <c r="I246" s="388"/>
      <c r="J246" s="388"/>
      <c r="K246" s="388"/>
      <c r="L246" s="388"/>
      <c r="M246" s="388"/>
      <c r="N246" s="388"/>
      <c r="O246" s="388"/>
      <c r="P246" s="388"/>
      <c r="Q246" s="388"/>
      <c r="R246" s="388"/>
      <c r="S246" s="388"/>
      <c r="T246" s="388"/>
      <c r="U246" s="388"/>
      <c r="V246" s="388"/>
    </row>
    <row r="247" spans="2:22" s="402" customFormat="1">
      <c r="B247" s="388"/>
      <c r="C247" s="388"/>
      <c r="D247" s="388"/>
      <c r="E247" s="388"/>
      <c r="F247" s="388"/>
      <c r="G247" s="388"/>
      <c r="H247" s="388"/>
      <c r="I247" s="388"/>
      <c r="J247" s="388"/>
      <c r="K247" s="388"/>
      <c r="L247" s="388"/>
      <c r="M247" s="388"/>
      <c r="N247" s="388"/>
      <c r="O247" s="388"/>
      <c r="P247" s="388"/>
      <c r="Q247" s="388"/>
      <c r="R247" s="388"/>
      <c r="S247" s="388"/>
      <c r="T247" s="388"/>
      <c r="U247" s="388"/>
      <c r="V247" s="388"/>
    </row>
    <row r="248" spans="2:22" s="402" customFormat="1">
      <c r="B248" s="388"/>
      <c r="C248" s="388"/>
      <c r="D248" s="388"/>
      <c r="E248" s="388"/>
      <c r="F248" s="388"/>
      <c r="G248" s="388"/>
      <c r="H248" s="388"/>
      <c r="I248" s="388"/>
      <c r="J248" s="388"/>
      <c r="K248" s="388"/>
      <c r="L248" s="388"/>
      <c r="M248" s="388"/>
      <c r="N248" s="388"/>
      <c r="O248" s="388"/>
      <c r="P248" s="388"/>
      <c r="Q248" s="388"/>
      <c r="R248" s="388"/>
      <c r="S248" s="388"/>
      <c r="T248" s="388"/>
      <c r="U248" s="388"/>
      <c r="V248" s="388"/>
    </row>
    <row r="249" spans="2:22" s="402" customFormat="1">
      <c r="B249" s="388"/>
      <c r="C249" s="388"/>
      <c r="D249" s="388"/>
      <c r="E249" s="388"/>
      <c r="F249" s="388"/>
      <c r="G249" s="388"/>
      <c r="H249" s="388"/>
      <c r="I249" s="388"/>
      <c r="J249" s="388"/>
      <c r="K249" s="388"/>
      <c r="L249" s="388"/>
      <c r="M249" s="388"/>
      <c r="N249" s="388"/>
      <c r="O249" s="388"/>
      <c r="P249" s="388"/>
      <c r="Q249" s="388"/>
      <c r="R249" s="388"/>
      <c r="S249" s="388"/>
      <c r="T249" s="388"/>
      <c r="U249" s="388"/>
      <c r="V249" s="388"/>
    </row>
  </sheetData>
  <protectedRanges>
    <protectedRange sqref="B26 C22:V22" name="区域1"/>
  </protectedRanges>
  <phoneticPr fontId="2" type="noConversion"/>
  <pageMargins left="0.75" right="0.75" top="1" bottom="1" header="0.5" footer="0.5"/>
  <pageSetup paperSize="9" orientation="portrait"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dimension ref="B1:V4"/>
  <sheetViews>
    <sheetView workbookViewId="0">
      <selection activeCell="V2" sqref="V2"/>
    </sheetView>
  </sheetViews>
  <sheetFormatPr defaultRowHeight="14.25"/>
  <cols>
    <col min="2" max="2" width="11.375" customWidth="1"/>
  </cols>
  <sheetData>
    <row r="1" spans="2:22">
      <c r="C1" s="304" t="str">
        <f>项目现金流量表!C3</f>
        <v>第1年1季度</v>
      </c>
      <c r="D1" s="304" t="str">
        <f>项目现金流量表!D3</f>
        <v>第1年2季度</v>
      </c>
      <c r="E1" s="304" t="str">
        <f>项目现金流量表!E3</f>
        <v>第1年3季度</v>
      </c>
      <c r="F1" s="304" t="str">
        <f>项目现金流量表!F3</f>
        <v>第1年4季度</v>
      </c>
      <c r="G1" s="304" t="str">
        <f>项目现金流量表!G3</f>
        <v>第2年1季度</v>
      </c>
      <c r="H1" s="304" t="str">
        <f>项目现金流量表!H3</f>
        <v>第2年2季度</v>
      </c>
      <c r="I1" s="304" t="str">
        <f>项目现金流量表!I3</f>
        <v>第2年3季度</v>
      </c>
      <c r="J1" s="304" t="str">
        <f>项目现金流量表!J3</f>
        <v>第2年4季度</v>
      </c>
      <c r="K1" s="304" t="str">
        <f>项目现金流量表!K3</f>
        <v>第3年1季度</v>
      </c>
      <c r="L1" s="304" t="str">
        <f>项目现金流量表!L3</f>
        <v>第3年2季度</v>
      </c>
      <c r="M1" s="304" t="str">
        <f>项目现金流量表!M3</f>
        <v>第3年3季度</v>
      </c>
      <c r="N1" s="304" t="str">
        <f>项目现金流量表!N3</f>
        <v>第3年4季度</v>
      </c>
      <c r="O1" s="304" t="str">
        <f>项目现金流量表!O3</f>
        <v>第4年1季度</v>
      </c>
      <c r="P1" s="304" t="str">
        <f>项目现金流量表!P3</f>
        <v>第4年2季度</v>
      </c>
      <c r="Q1" s="304" t="str">
        <f>项目现金流量表!Q3</f>
        <v>第4年3季度</v>
      </c>
      <c r="R1" s="304" t="str">
        <f>项目现金流量表!R3</f>
        <v>第4年4季度</v>
      </c>
      <c r="S1" s="304" t="str">
        <f>项目现金流量表!S3</f>
        <v>第5年1季度</v>
      </c>
      <c r="T1" s="304" t="str">
        <f>项目现金流量表!T3</f>
        <v>第5年2季度</v>
      </c>
      <c r="U1" s="304" t="str">
        <f>项目现金流量表!U3</f>
        <v>第5年3季度</v>
      </c>
      <c r="V1" s="304" t="str">
        <f>项目现金流量表!V3</f>
        <v>第5年4季度</v>
      </c>
    </row>
    <row r="2" spans="2:22">
      <c r="B2" t="s">
        <v>286</v>
      </c>
      <c r="C2">
        <f>项目现金流量表!C8</f>
        <v>0</v>
      </c>
      <c r="D2">
        <f>项目现金流量表!D8</f>
        <v>0</v>
      </c>
      <c r="E2">
        <f>项目现金流量表!E8</f>
        <v>0</v>
      </c>
      <c r="F2">
        <f>项目现金流量表!F8</f>
        <v>0</v>
      </c>
      <c r="G2">
        <f>项目现金流量表!G8</f>
        <v>31100</v>
      </c>
      <c r="H2">
        <f>项目现金流量表!H8</f>
        <v>26435</v>
      </c>
      <c r="I2">
        <f>项目现金流量表!I8</f>
        <v>17105</v>
      </c>
      <c r="J2">
        <f>项目现金流量表!J8</f>
        <v>29136.755789473689</v>
      </c>
      <c r="K2">
        <f>项目现金流量表!K8</f>
        <v>23372.026698947368</v>
      </c>
      <c r="L2">
        <f>项目现金流量表!L8</f>
        <v>15459.892938947371</v>
      </c>
      <c r="M2">
        <f>项目现金流量表!M8</f>
        <v>30308.716063759413</v>
      </c>
      <c r="N2">
        <f>项目现金流量表!N8</f>
        <v>23373.152472721813</v>
      </c>
      <c r="O2">
        <f>项目现金流量表!O8</f>
        <v>16003.734987204818</v>
      </c>
      <c r="P2">
        <f>项目现金流量表!P8</f>
        <v>2969.7652553575954</v>
      </c>
      <c r="Q2">
        <f>项目现金流量表!Q8</f>
        <v>0</v>
      </c>
      <c r="R2">
        <f>项目现金流量表!R8</f>
        <v>0</v>
      </c>
      <c r="S2">
        <f>项目现金流量表!S8</f>
        <v>0</v>
      </c>
      <c r="T2">
        <f>项目现金流量表!T8</f>
        <v>0</v>
      </c>
      <c r="U2">
        <f>项目现金流量表!U8</f>
        <v>0</v>
      </c>
      <c r="V2">
        <f>项目现金流量表!V8</f>
        <v>0</v>
      </c>
    </row>
    <row r="3" spans="2:22">
      <c r="B3" t="s">
        <v>287</v>
      </c>
      <c r="C3">
        <f>项目现金流量表!C18</f>
        <v>23000</v>
      </c>
      <c r="D3">
        <f>项目现金流量表!D18</f>
        <v>6489.3973413949498</v>
      </c>
      <c r="E3">
        <f>项目现金流量表!E18</f>
        <v>17994.90386901336</v>
      </c>
      <c r="F3">
        <f>项目现金流量表!F18</f>
        <v>7994.9038690133648</v>
      </c>
      <c r="G3">
        <f>项目现金流量表!G18</f>
        <v>14551.623843368194</v>
      </c>
      <c r="H3">
        <f>项目现金流量表!H18</f>
        <v>9753.9350719496888</v>
      </c>
      <c r="I3">
        <f>项目现金流量表!I18</f>
        <v>18447.249712288783</v>
      </c>
      <c r="J3">
        <f>项目现金流量表!J18</f>
        <v>15406.471456448211</v>
      </c>
      <c r="K3">
        <f>项目现金流量表!K18</f>
        <v>17007.519546236479</v>
      </c>
      <c r="L3">
        <f>项目现金流量表!L18</f>
        <v>7398.2685468548407</v>
      </c>
      <c r="M3">
        <f>项目现金流量表!M18</f>
        <v>17012.318404239821</v>
      </c>
      <c r="N3">
        <f>项目现金流量表!N18</f>
        <v>4640.6362091889223</v>
      </c>
      <c r="O3">
        <f>项目现金流量表!O18</f>
        <v>2199.9234843053155</v>
      </c>
      <c r="P3">
        <f>项目现金流量表!P18</f>
        <v>1098.553041964225</v>
      </c>
      <c r="Q3">
        <f>项目现金流量表!Q18</f>
        <v>847.60787788650828</v>
      </c>
      <c r="R3">
        <f>项目现金流量表!R18</f>
        <v>1015.3936724110836</v>
      </c>
      <c r="S3">
        <f>项目现金流量表!S18</f>
        <v>0</v>
      </c>
      <c r="T3">
        <f>项目现金流量表!T18</f>
        <v>0</v>
      </c>
      <c r="U3">
        <f>项目现金流量表!U18</f>
        <v>0</v>
      </c>
      <c r="V3">
        <f>项目现金流量表!V18</f>
        <v>0</v>
      </c>
    </row>
    <row r="4" spans="2:22">
      <c r="B4" t="s">
        <v>289</v>
      </c>
      <c r="C4">
        <f>项目现金流量表!C21</f>
        <v>-23000</v>
      </c>
      <c r="D4">
        <f>项目现金流量表!D21</f>
        <v>-29489.39734139495</v>
      </c>
      <c r="E4">
        <f>项目现金流量表!E21</f>
        <v>-47484.30121040831</v>
      </c>
      <c r="F4">
        <f>项目现金流量表!F21</f>
        <v>-55479.205079421678</v>
      </c>
      <c r="G4">
        <f>项目现金流量表!G21</f>
        <v>-38930.828922789871</v>
      </c>
      <c r="H4">
        <f>项目现金流量表!H21</f>
        <v>-22249.763994739558</v>
      </c>
      <c r="I4">
        <f>项目现金流量表!I21</f>
        <v>-23592.013707028342</v>
      </c>
      <c r="J4">
        <f>项目现金流量表!J21</f>
        <v>-9861.7293740028636</v>
      </c>
      <c r="K4">
        <f>项目现金流量表!K21</f>
        <v>-3497.2222212919751</v>
      </c>
      <c r="L4">
        <f>项目现金流量表!L21</f>
        <v>4564.4021708005548</v>
      </c>
      <c r="M4">
        <f>项目现金流量表!M21</f>
        <v>17860.799830320146</v>
      </c>
      <c r="N4">
        <f>项目现金流量表!N21</f>
        <v>36593.316093853035</v>
      </c>
      <c r="O4">
        <f>项目现金流量表!O21</f>
        <v>50397.127596752536</v>
      </c>
      <c r="P4">
        <f>项目现金流量表!P21</f>
        <v>52268.33981014591</v>
      </c>
      <c r="Q4">
        <f>项目现金流量表!Q21</f>
        <v>51420.731932259405</v>
      </c>
      <c r="R4">
        <f>项目现金流量表!R21</f>
        <v>50405.338259848322</v>
      </c>
      <c r="S4">
        <f>项目现金流量表!S21</f>
        <v>50405.338259848322</v>
      </c>
      <c r="T4">
        <f>项目现金流量表!T21</f>
        <v>50405.338259848322</v>
      </c>
      <c r="U4">
        <f>项目现金流量表!U21</f>
        <v>50405.338259848322</v>
      </c>
      <c r="V4">
        <f>项目现金流量表!V21</f>
        <v>50405.338259848322</v>
      </c>
    </row>
  </sheetData>
  <phoneticPr fontId="2" type="noConversion"/>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dimension ref="A1:AO508"/>
  <sheetViews>
    <sheetView workbookViewId="0">
      <pane xSplit="3" ySplit="3" topLeftCell="D4" activePane="bottomRight" state="frozen"/>
      <selection pane="topRight" activeCell="D1" sqref="D1"/>
      <selection pane="bottomLeft" activeCell="A4" sqref="A4"/>
      <selection pane="bottomRight" activeCell="B28" sqref="B28"/>
    </sheetView>
  </sheetViews>
  <sheetFormatPr defaultRowHeight="12"/>
  <cols>
    <col min="1" max="1" width="5.25" style="237" customWidth="1"/>
    <col min="2" max="2" width="21.75" style="237" customWidth="1"/>
    <col min="3" max="3" width="8.625" style="237" customWidth="1"/>
    <col min="4" max="5" width="9.625" style="237" customWidth="1"/>
    <col min="6" max="6" width="10.375" style="237" customWidth="1"/>
    <col min="7" max="17" width="9.625" style="237" customWidth="1"/>
    <col min="18" max="18" width="10.375" style="237" customWidth="1"/>
    <col min="19" max="20" width="9" style="237"/>
    <col min="21" max="21" width="9.125" style="237" customWidth="1"/>
    <col min="22" max="22" width="9.75" style="237" customWidth="1"/>
    <col min="23" max="23" width="10.125" style="237" customWidth="1"/>
    <col min="24" max="16384" width="9" style="237"/>
  </cols>
  <sheetData>
    <row r="1" spans="1:41" ht="15">
      <c r="A1" s="232"/>
      <c r="B1" s="233"/>
      <c r="C1" s="233"/>
      <c r="D1" s="233"/>
      <c r="E1" s="233"/>
      <c r="F1" s="233"/>
      <c r="G1" s="257" t="s">
        <v>290</v>
      </c>
      <c r="H1" s="233"/>
      <c r="I1" s="233"/>
      <c r="J1" s="233"/>
      <c r="K1" s="233"/>
      <c r="L1" s="233"/>
      <c r="M1" s="233"/>
      <c r="N1" s="234"/>
      <c r="O1" s="234"/>
      <c r="P1" s="234"/>
      <c r="Q1" s="234"/>
      <c r="R1" s="235"/>
      <c r="S1" s="235"/>
      <c r="T1" s="235"/>
      <c r="U1" s="236"/>
      <c r="V1" s="236"/>
      <c r="W1" s="236"/>
      <c r="X1" s="236"/>
      <c r="Y1" s="236"/>
      <c r="Z1" s="236"/>
      <c r="AA1" s="236"/>
      <c r="AB1" s="236"/>
      <c r="AC1" s="236"/>
      <c r="AD1" s="236"/>
      <c r="AE1" s="236"/>
      <c r="AF1" s="236"/>
      <c r="AG1" s="236"/>
      <c r="AH1" s="236"/>
      <c r="AI1" s="236"/>
      <c r="AJ1" s="236"/>
      <c r="AK1" s="236"/>
      <c r="AL1" s="236"/>
      <c r="AM1" s="236"/>
      <c r="AN1" s="236"/>
      <c r="AO1" s="236"/>
    </row>
    <row r="2" spans="1:41" ht="15" thickBot="1">
      <c r="A2" s="238"/>
      <c r="B2" s="238"/>
      <c r="C2" s="238"/>
      <c r="D2" s="238"/>
      <c r="E2" s="238"/>
      <c r="F2" s="238"/>
      <c r="G2" s="239"/>
      <c r="H2" s="239"/>
      <c r="I2" s="240"/>
      <c r="J2" s="240"/>
      <c r="K2" s="240"/>
      <c r="L2" s="231" t="s">
        <v>300</v>
      </c>
      <c r="M2" s="239"/>
      <c r="N2" s="241"/>
      <c r="O2" s="241"/>
      <c r="P2" s="241"/>
      <c r="Q2" s="241"/>
      <c r="R2" s="235"/>
      <c r="S2" s="235"/>
      <c r="T2" s="235"/>
      <c r="U2" s="236"/>
      <c r="V2" s="236"/>
      <c r="W2" s="236"/>
      <c r="X2" s="236"/>
      <c r="Y2" s="236"/>
      <c r="Z2" s="236"/>
      <c r="AA2" s="236"/>
      <c r="AB2" s="236"/>
      <c r="AC2" s="236"/>
      <c r="AD2" s="236"/>
      <c r="AE2" s="236"/>
      <c r="AF2" s="236"/>
      <c r="AG2" s="236"/>
      <c r="AH2" s="236"/>
      <c r="AI2" s="236"/>
      <c r="AJ2" s="236"/>
      <c r="AK2" s="236"/>
      <c r="AL2" s="236"/>
      <c r="AM2" s="236"/>
      <c r="AN2" s="236"/>
      <c r="AO2" s="236"/>
    </row>
    <row r="3" spans="1:41" s="320" customFormat="1" ht="24">
      <c r="A3" s="408" t="s">
        <v>340</v>
      </c>
      <c r="B3" s="409" t="s">
        <v>341</v>
      </c>
      <c r="C3" s="410" t="s">
        <v>342</v>
      </c>
      <c r="D3" s="456" t="str">
        <f>项目现金流量表!C3</f>
        <v>第1年1季度</v>
      </c>
      <c r="E3" s="456" t="str">
        <f>项目现金流量表!D3</f>
        <v>第1年2季度</v>
      </c>
      <c r="F3" s="456" t="str">
        <f>项目现金流量表!E3</f>
        <v>第1年3季度</v>
      </c>
      <c r="G3" s="456" t="str">
        <f>项目现金流量表!F3</f>
        <v>第1年4季度</v>
      </c>
      <c r="H3" s="456" t="str">
        <f>项目现金流量表!G3</f>
        <v>第2年1季度</v>
      </c>
      <c r="I3" s="456" t="str">
        <f>项目现金流量表!H3</f>
        <v>第2年2季度</v>
      </c>
      <c r="J3" s="456" t="str">
        <f>项目现金流量表!I3</f>
        <v>第2年3季度</v>
      </c>
      <c r="K3" s="456" t="str">
        <f>项目现金流量表!J3</f>
        <v>第2年4季度</v>
      </c>
      <c r="L3" s="456" t="str">
        <f>项目现金流量表!K3</f>
        <v>第3年1季度</v>
      </c>
      <c r="M3" s="456" t="str">
        <f>项目现金流量表!L3</f>
        <v>第3年2季度</v>
      </c>
      <c r="N3" s="456" t="str">
        <f>项目现金流量表!M3</f>
        <v>第3年3季度</v>
      </c>
      <c r="O3" s="456" t="str">
        <f>项目现金流量表!N3</f>
        <v>第3年4季度</v>
      </c>
      <c r="P3" s="456" t="str">
        <f>项目现金流量表!O3</f>
        <v>第4年1季度</v>
      </c>
      <c r="Q3" s="456" t="str">
        <f>项目现金流量表!P3</f>
        <v>第4年2季度</v>
      </c>
      <c r="R3" s="696" t="str">
        <f>项目现金流量表!Q3</f>
        <v>第4年3季度</v>
      </c>
      <c r="S3" s="697" t="str">
        <f>项目现金流量表!R3</f>
        <v>第4年4季度</v>
      </c>
      <c r="T3" s="697" t="str">
        <f>项目现金流量表!S3</f>
        <v>第5年1季度</v>
      </c>
      <c r="U3" s="697" t="str">
        <f>项目现金流量表!T3</f>
        <v>第5年2季度</v>
      </c>
      <c r="V3" s="697" t="str">
        <f>项目现金流量表!U3</f>
        <v>第5年3季度</v>
      </c>
      <c r="W3" s="697" t="str">
        <f>项目现金流量表!V3</f>
        <v>第5年4季度</v>
      </c>
      <c r="X3" s="319"/>
      <c r="Y3" s="319"/>
      <c r="Z3" s="319"/>
      <c r="AA3" s="319"/>
      <c r="AB3" s="319"/>
      <c r="AC3" s="319"/>
      <c r="AD3" s="319"/>
      <c r="AE3" s="319"/>
      <c r="AF3" s="319"/>
      <c r="AG3" s="319"/>
      <c r="AH3" s="319"/>
      <c r="AI3" s="319"/>
      <c r="AJ3" s="319"/>
      <c r="AK3" s="319"/>
      <c r="AL3" s="319"/>
      <c r="AM3" s="319"/>
      <c r="AN3" s="319"/>
      <c r="AO3" s="319"/>
    </row>
    <row r="4" spans="1:41" s="242" customFormat="1">
      <c r="A4" s="243" t="s">
        <v>301</v>
      </c>
      <c r="B4" s="244" t="s">
        <v>302</v>
      </c>
      <c r="C4" s="261">
        <f>SUM(D4:Q4)</f>
        <v>215264.04420641204</v>
      </c>
      <c r="D4" s="261">
        <f>D5</f>
        <v>0</v>
      </c>
      <c r="E4" s="261">
        <f t="shared" ref="E4:W4" si="0">E5</f>
        <v>0</v>
      </c>
      <c r="F4" s="261">
        <f t="shared" si="0"/>
        <v>0</v>
      </c>
      <c r="G4" s="261">
        <f t="shared" si="0"/>
        <v>0</v>
      </c>
      <c r="H4" s="261">
        <f t="shared" si="0"/>
        <v>31100</v>
      </c>
      <c r="I4" s="261">
        <f t="shared" si="0"/>
        <v>26435</v>
      </c>
      <c r="J4" s="261">
        <f t="shared" si="0"/>
        <v>17105</v>
      </c>
      <c r="K4" s="261">
        <f t="shared" si="0"/>
        <v>29136.755789473689</v>
      </c>
      <c r="L4" s="261">
        <f t="shared" si="0"/>
        <v>23372.026698947368</v>
      </c>
      <c r="M4" s="261">
        <f t="shared" si="0"/>
        <v>15459.892938947371</v>
      </c>
      <c r="N4" s="261">
        <f t="shared" si="0"/>
        <v>30308.716063759413</v>
      </c>
      <c r="O4" s="261">
        <f t="shared" si="0"/>
        <v>23373.152472721813</v>
      </c>
      <c r="P4" s="261">
        <f t="shared" si="0"/>
        <v>16003.734987204818</v>
      </c>
      <c r="Q4" s="261">
        <f t="shared" si="0"/>
        <v>2969.7652553575954</v>
      </c>
      <c r="R4" s="261">
        <f t="shared" si="0"/>
        <v>0</v>
      </c>
      <c r="S4" s="261">
        <f t="shared" si="0"/>
        <v>0</v>
      </c>
      <c r="T4" s="261">
        <f t="shared" si="0"/>
        <v>0</v>
      </c>
      <c r="U4" s="261">
        <f t="shared" si="0"/>
        <v>0</v>
      </c>
      <c r="V4" s="261">
        <f t="shared" si="0"/>
        <v>0</v>
      </c>
      <c r="W4" s="261">
        <f t="shared" si="0"/>
        <v>0</v>
      </c>
      <c r="X4" s="236"/>
      <c r="Y4" s="236"/>
      <c r="Z4" s="236"/>
      <c r="AA4" s="236"/>
      <c r="AB4" s="236"/>
      <c r="AC4" s="236"/>
      <c r="AD4" s="236"/>
      <c r="AE4" s="236"/>
      <c r="AF4" s="236"/>
      <c r="AG4" s="236"/>
      <c r="AH4" s="236"/>
      <c r="AI4" s="236"/>
      <c r="AJ4" s="236"/>
      <c r="AK4" s="236"/>
      <c r="AL4" s="236"/>
      <c r="AM4" s="236"/>
      <c r="AN4" s="236"/>
      <c r="AO4" s="236"/>
    </row>
    <row r="5" spans="1:41" s="242" customFormat="1">
      <c r="A5" s="245">
        <v>1</v>
      </c>
      <c r="B5" s="246" t="s">
        <v>303</v>
      </c>
      <c r="C5" s="261">
        <f>SUM(D5:Q5)</f>
        <v>215264.04420641204</v>
      </c>
      <c r="D5" s="262">
        <f>项目现金流量表!C7</f>
        <v>0</v>
      </c>
      <c r="E5" s="262">
        <f>项目现金流量表!D7</f>
        <v>0</v>
      </c>
      <c r="F5" s="262">
        <f>项目现金流量表!E7</f>
        <v>0</v>
      </c>
      <c r="G5" s="262">
        <f>项目现金流量表!F7</f>
        <v>0</v>
      </c>
      <c r="H5" s="262">
        <f>项目现金流量表!G7</f>
        <v>31100</v>
      </c>
      <c r="I5" s="262">
        <f>项目现金流量表!H7</f>
        <v>26435</v>
      </c>
      <c r="J5" s="262">
        <f>项目现金流量表!I7</f>
        <v>17105</v>
      </c>
      <c r="K5" s="262">
        <f>项目现金流量表!J7</f>
        <v>29136.755789473689</v>
      </c>
      <c r="L5" s="262">
        <f>项目现金流量表!K7</f>
        <v>23372.026698947368</v>
      </c>
      <c r="M5" s="262">
        <f>项目现金流量表!L7</f>
        <v>15459.892938947371</v>
      </c>
      <c r="N5" s="262">
        <f>项目现金流量表!M7</f>
        <v>30308.716063759413</v>
      </c>
      <c r="O5" s="262">
        <f>项目现金流量表!N7</f>
        <v>23373.152472721813</v>
      </c>
      <c r="P5" s="262">
        <f>项目现金流量表!O7</f>
        <v>16003.734987204818</v>
      </c>
      <c r="Q5" s="262">
        <f>项目现金流量表!P7</f>
        <v>2969.7652553575954</v>
      </c>
      <c r="R5" s="262">
        <f>项目现金流量表!Q7</f>
        <v>0</v>
      </c>
      <c r="S5" s="262">
        <f>项目现金流量表!R7</f>
        <v>0</v>
      </c>
      <c r="T5" s="262">
        <f>项目现金流量表!S7</f>
        <v>0</v>
      </c>
      <c r="U5" s="262">
        <f>项目现金流量表!T7</f>
        <v>0</v>
      </c>
      <c r="V5" s="262">
        <f>项目现金流量表!U7</f>
        <v>0</v>
      </c>
      <c r="W5" s="262">
        <f>项目现金流量表!V7</f>
        <v>0</v>
      </c>
      <c r="X5" s="236"/>
      <c r="Y5" s="236"/>
      <c r="Z5" s="236"/>
      <c r="AA5" s="236"/>
      <c r="AB5" s="236"/>
      <c r="AC5" s="236"/>
      <c r="AD5" s="236"/>
      <c r="AE5" s="236"/>
      <c r="AF5" s="236"/>
      <c r="AG5" s="236"/>
      <c r="AH5" s="236"/>
      <c r="AI5" s="236"/>
      <c r="AJ5" s="236"/>
      <c r="AK5" s="236"/>
      <c r="AL5" s="236"/>
      <c r="AM5" s="236"/>
      <c r="AN5" s="236"/>
      <c r="AO5" s="236"/>
    </row>
    <row r="6" spans="1:41" s="242" customFormat="1">
      <c r="A6" s="247" t="s">
        <v>291</v>
      </c>
      <c r="B6" s="248" t="s">
        <v>292</v>
      </c>
      <c r="C6" s="261">
        <f>SUM(C7:C14)</f>
        <v>162995.70439626617</v>
      </c>
      <c r="D6" s="263">
        <f>SUM(D7:D14)</f>
        <v>23000</v>
      </c>
      <c r="E6" s="263">
        <f t="shared" ref="E6:O6" si="1">SUM(E7:E14)</f>
        <v>6489.3973413949498</v>
      </c>
      <c r="F6" s="263">
        <f t="shared" si="1"/>
        <v>17994.90386901336</v>
      </c>
      <c r="G6" s="263">
        <f t="shared" si="1"/>
        <v>7994.9038690133648</v>
      </c>
      <c r="H6" s="263">
        <f t="shared" si="1"/>
        <v>14551.623843368194</v>
      </c>
      <c r="I6" s="263">
        <f t="shared" si="1"/>
        <v>9753.9350719496888</v>
      </c>
      <c r="J6" s="263">
        <f t="shared" si="1"/>
        <v>18447.249712288783</v>
      </c>
      <c r="K6" s="263">
        <f t="shared" si="1"/>
        <v>15406.471456448211</v>
      </c>
      <c r="L6" s="263">
        <f t="shared" si="1"/>
        <v>17007.519546236479</v>
      </c>
      <c r="M6" s="263">
        <f t="shared" si="1"/>
        <v>7398.2685468548407</v>
      </c>
      <c r="N6" s="263">
        <f t="shared" si="1"/>
        <v>17012.318404239821</v>
      </c>
      <c r="O6" s="263">
        <f t="shared" si="1"/>
        <v>4640.6362091889223</v>
      </c>
      <c r="P6" s="263">
        <f t="shared" ref="P6:W6" si="2">SUM(P7:P14)</f>
        <v>2199.9234843053155</v>
      </c>
      <c r="Q6" s="263">
        <f t="shared" si="2"/>
        <v>1098.553041964225</v>
      </c>
      <c r="R6" s="263">
        <f t="shared" si="2"/>
        <v>847.60787788650828</v>
      </c>
      <c r="S6" s="263">
        <f t="shared" si="2"/>
        <v>1015.3936724110836</v>
      </c>
      <c r="T6" s="263">
        <f t="shared" si="2"/>
        <v>0</v>
      </c>
      <c r="U6" s="263">
        <f t="shared" si="2"/>
        <v>0</v>
      </c>
      <c r="V6" s="263">
        <f t="shared" si="2"/>
        <v>0</v>
      </c>
      <c r="W6" s="263">
        <f t="shared" si="2"/>
        <v>0</v>
      </c>
      <c r="X6" s="236"/>
      <c r="Y6" s="236"/>
      <c r="Z6" s="236"/>
      <c r="AA6" s="236"/>
      <c r="AB6" s="236"/>
      <c r="AC6" s="236"/>
      <c r="AD6" s="236"/>
      <c r="AE6" s="236"/>
      <c r="AF6" s="236"/>
      <c r="AG6" s="236"/>
      <c r="AH6" s="236"/>
      <c r="AI6" s="236"/>
      <c r="AJ6" s="236"/>
      <c r="AK6" s="236"/>
      <c r="AL6" s="236"/>
      <c r="AM6" s="236"/>
      <c r="AN6" s="236"/>
      <c r="AO6" s="236"/>
    </row>
    <row r="7" spans="1:41" s="242" customFormat="1">
      <c r="A7" s="249">
        <v>1</v>
      </c>
      <c r="B7" s="258" t="s">
        <v>118</v>
      </c>
      <c r="C7" s="261">
        <f t="shared" ref="C7:C15" si="3">SUM(D7:Q7)</f>
        <v>60300</v>
      </c>
      <c r="D7" s="264">
        <f>项目现金流量表!C11</f>
        <v>23000</v>
      </c>
      <c r="E7" s="264">
        <f>项目现金流量表!D11</f>
        <v>0</v>
      </c>
      <c r="F7" s="264">
        <f>项目现金流量表!E11</f>
        <v>10000</v>
      </c>
      <c r="G7" s="264">
        <f>项目现金流量表!F11</f>
        <v>0</v>
      </c>
      <c r="H7" s="264">
        <f>项目现金流量表!G11</f>
        <v>0</v>
      </c>
      <c r="I7" s="264">
        <f>项目现金流量表!H11</f>
        <v>0</v>
      </c>
      <c r="J7" s="264">
        <f>项目现金流量表!I11</f>
        <v>10000</v>
      </c>
      <c r="K7" s="264">
        <f>项目现金流量表!J11</f>
        <v>0</v>
      </c>
      <c r="L7" s="264">
        <f>项目现金流量表!K11</f>
        <v>7300</v>
      </c>
      <c r="M7" s="264">
        <f>项目现金流量表!L11</f>
        <v>0</v>
      </c>
      <c r="N7" s="264">
        <f>项目现金流量表!M11</f>
        <v>10000</v>
      </c>
      <c r="O7" s="264">
        <f>项目现金流量表!N11</f>
        <v>0</v>
      </c>
      <c r="P7" s="264">
        <f>项目现金流量表!O11</f>
        <v>0</v>
      </c>
      <c r="Q7" s="264">
        <f>项目现金流量表!P11</f>
        <v>0</v>
      </c>
      <c r="R7" s="264">
        <f>项目现金流量表!Q11</f>
        <v>0</v>
      </c>
      <c r="S7" s="264">
        <f>项目现金流量表!R11</f>
        <v>0</v>
      </c>
      <c r="T7" s="264">
        <f>项目现金流量表!S11</f>
        <v>0</v>
      </c>
      <c r="U7" s="264">
        <f>项目现金流量表!T11</f>
        <v>0</v>
      </c>
      <c r="V7" s="264">
        <f>项目现金流量表!U11</f>
        <v>0</v>
      </c>
      <c r="W7" s="264">
        <f>项目现金流量表!V11</f>
        <v>0</v>
      </c>
      <c r="X7" s="236"/>
      <c r="Y7" s="236"/>
      <c r="Z7" s="236"/>
      <c r="AA7" s="236"/>
      <c r="AB7" s="236"/>
      <c r="AC7" s="236"/>
      <c r="AD7" s="236"/>
      <c r="AE7" s="236"/>
      <c r="AF7" s="236"/>
      <c r="AG7" s="236"/>
      <c r="AH7" s="236"/>
      <c r="AI7" s="236"/>
      <c r="AJ7" s="236"/>
      <c r="AK7" s="236"/>
      <c r="AL7" s="236"/>
      <c r="AM7" s="236"/>
      <c r="AN7" s="236"/>
      <c r="AO7" s="236"/>
    </row>
    <row r="8" spans="1:41" s="242" customFormat="1">
      <c r="A8" s="250">
        <v>2</v>
      </c>
      <c r="B8" s="258" t="s">
        <v>117</v>
      </c>
      <c r="C8" s="261">
        <f t="shared" si="3"/>
        <v>5765.1801825904367</v>
      </c>
      <c r="D8" s="264">
        <f>项目现金流量表!C12</f>
        <v>0</v>
      </c>
      <c r="E8" s="264">
        <f>项目现金流量表!D12</f>
        <v>2068.1414679450127</v>
      </c>
      <c r="F8" s="264">
        <f>项目现金流量表!E12</f>
        <v>0</v>
      </c>
      <c r="G8" s="264">
        <f>项目现金流量表!F12</f>
        <v>0</v>
      </c>
      <c r="H8" s="264">
        <f>项目现金流量表!G12</f>
        <v>1914.4059905094023</v>
      </c>
      <c r="I8" s="264">
        <f>项目现金流量表!H12</f>
        <v>0</v>
      </c>
      <c r="J8" s="264">
        <f>项目现金流量表!I12</f>
        <v>0</v>
      </c>
      <c r="K8" s="264">
        <f>项目现金流量表!J12</f>
        <v>1782.6327241360218</v>
      </c>
      <c r="L8" s="264">
        <f>项目现金流量表!K12</f>
        <v>0</v>
      </c>
      <c r="M8" s="264">
        <f>项目现金流量表!L12</f>
        <v>0</v>
      </c>
      <c r="N8" s="264">
        <f>项目现金流量表!M12</f>
        <v>0</v>
      </c>
      <c r="O8" s="264">
        <f>项目现金流量表!N12</f>
        <v>0</v>
      </c>
      <c r="P8" s="264">
        <f>项目现金流量表!O12</f>
        <v>0</v>
      </c>
      <c r="Q8" s="264">
        <f>项目现金流量表!P12</f>
        <v>0</v>
      </c>
      <c r="R8" s="264">
        <f>项目现金流量表!Q12</f>
        <v>0</v>
      </c>
      <c r="S8" s="264">
        <f>项目现金流量表!R12</f>
        <v>0</v>
      </c>
      <c r="T8" s="264">
        <f>项目现金流量表!S12</f>
        <v>0</v>
      </c>
      <c r="U8" s="264">
        <f>项目现金流量表!T12</f>
        <v>0</v>
      </c>
      <c r="V8" s="264">
        <f>项目现金流量表!U12</f>
        <v>0</v>
      </c>
      <c r="W8" s="264">
        <f>项目现金流量表!V12</f>
        <v>0</v>
      </c>
      <c r="X8" s="236"/>
      <c r="Y8" s="236"/>
      <c r="Z8" s="236"/>
      <c r="AA8" s="236"/>
      <c r="AB8" s="236"/>
      <c r="AC8" s="236"/>
      <c r="AD8" s="236"/>
      <c r="AE8" s="236"/>
      <c r="AF8" s="236"/>
      <c r="AG8" s="236"/>
      <c r="AH8" s="236"/>
      <c r="AI8" s="236"/>
      <c r="AJ8" s="236"/>
      <c r="AK8" s="236"/>
      <c r="AL8" s="236"/>
      <c r="AM8" s="236"/>
      <c r="AN8" s="236"/>
      <c r="AO8" s="236"/>
    </row>
    <row r="9" spans="1:41" s="242" customFormat="1">
      <c r="A9" s="250">
        <v>3</v>
      </c>
      <c r="B9" s="259" t="s">
        <v>119</v>
      </c>
      <c r="C9" s="261">
        <f t="shared" si="3"/>
        <v>64668.094809022565</v>
      </c>
      <c r="D9" s="264">
        <f>项目现金流量表!C13</f>
        <v>0</v>
      </c>
      <c r="E9" s="264">
        <f>项目现金流量表!D13</f>
        <v>3573.6479955634281</v>
      </c>
      <c r="F9" s="264">
        <f>项目现金流量表!E13</f>
        <v>7147.2959911268563</v>
      </c>
      <c r="G9" s="264">
        <f>项目现金流量表!F13</f>
        <v>7147.2959911268563</v>
      </c>
      <c r="H9" s="264">
        <f>项目现金流量表!G13</f>
        <v>9161.6599749722845</v>
      </c>
      <c r="I9" s="264">
        <f>项目现金流量表!H13</f>
        <v>6672.5696940631788</v>
      </c>
      <c r="J9" s="264">
        <f>项目现金流量表!I13</f>
        <v>6154.2693344022773</v>
      </c>
      <c r="K9" s="264">
        <f>项目现金流量表!J13</f>
        <v>9078.4566808858362</v>
      </c>
      <c r="L9" s="264">
        <f>项目现金流量表!K13</f>
        <v>6884.9754122889153</v>
      </c>
      <c r="M9" s="264">
        <f>项目现金流量表!L13</f>
        <v>5244.2997156272795</v>
      </c>
      <c r="N9" s="264">
        <f>项目现金流量表!M13</f>
        <v>3603.6240189656423</v>
      </c>
      <c r="O9" s="264">
        <f>项目现金流量表!N13</f>
        <v>0</v>
      </c>
      <c r="P9" s="264">
        <f>项目现金流量表!O13</f>
        <v>0</v>
      </c>
      <c r="Q9" s="264">
        <f>项目现金流量表!P13</f>
        <v>0</v>
      </c>
      <c r="R9" s="264">
        <f>项目现金流量表!Q13</f>
        <v>0</v>
      </c>
      <c r="S9" s="264">
        <f>项目现金流量表!R13</f>
        <v>0</v>
      </c>
      <c r="T9" s="264">
        <f>项目现金流量表!S13</f>
        <v>0</v>
      </c>
      <c r="U9" s="264">
        <f>项目现金流量表!T13</f>
        <v>0</v>
      </c>
      <c r="V9" s="264">
        <f>项目现金流量表!U13</f>
        <v>0</v>
      </c>
      <c r="W9" s="264">
        <f>项目现金流量表!V13</f>
        <v>0</v>
      </c>
      <c r="X9" s="236"/>
      <c r="Y9" s="236"/>
      <c r="Z9" s="236"/>
      <c r="AA9" s="236"/>
      <c r="AB9" s="236"/>
      <c r="AC9" s="236"/>
      <c r="AD9" s="236"/>
      <c r="AE9" s="236"/>
      <c r="AF9" s="236"/>
      <c r="AG9" s="236"/>
      <c r="AH9" s="236"/>
      <c r="AI9" s="236"/>
      <c r="AJ9" s="236"/>
      <c r="AK9" s="236"/>
      <c r="AL9" s="236"/>
      <c r="AM9" s="236"/>
      <c r="AN9" s="236"/>
      <c r="AO9" s="236"/>
    </row>
    <row r="10" spans="1:41" s="242" customFormat="1">
      <c r="A10" s="250">
        <v>4</v>
      </c>
      <c r="B10" s="259" t="s">
        <v>121</v>
      </c>
      <c r="C10" s="261">
        <f t="shared" si="3"/>
        <v>1522.0372631578955</v>
      </c>
      <c r="D10" s="264">
        <f>项目现金流量表!C14</f>
        <v>0</v>
      </c>
      <c r="E10" s="264">
        <f>项目现金流量表!D14</f>
        <v>117.07978947368423</v>
      </c>
      <c r="F10" s="264">
        <f>项目现金流量表!E14</f>
        <v>117.07978947368423</v>
      </c>
      <c r="G10" s="264">
        <f>项目现金流量表!F14</f>
        <v>117.07978947368423</v>
      </c>
      <c r="H10" s="264">
        <f>项目现金流量表!G14</f>
        <v>117.07978947368423</v>
      </c>
      <c r="I10" s="264">
        <f>项目现金流量表!H14</f>
        <v>117.07978947368423</v>
      </c>
      <c r="J10" s="264">
        <f>项目现金流量表!I14</f>
        <v>117.07978947368423</v>
      </c>
      <c r="K10" s="264">
        <f>项目现金流量表!J14</f>
        <v>117.07978947368423</v>
      </c>
      <c r="L10" s="264">
        <f>项目现金流量表!K14</f>
        <v>117.07978947368423</v>
      </c>
      <c r="M10" s="264">
        <f>项目现金流量表!L14</f>
        <v>117.07978947368423</v>
      </c>
      <c r="N10" s="264">
        <f>项目现金流量表!M14</f>
        <v>117.07978947368423</v>
      </c>
      <c r="O10" s="264">
        <f>项目现金流量表!N14</f>
        <v>117.07978947368423</v>
      </c>
      <c r="P10" s="264">
        <f>项目现金流量表!O14</f>
        <v>117.07978947368423</v>
      </c>
      <c r="Q10" s="264">
        <f>项目现金流量表!P14</f>
        <v>117.07978947368423</v>
      </c>
      <c r="R10" s="264">
        <f>项目现金流量表!Q14</f>
        <v>117.07978947368423</v>
      </c>
      <c r="S10" s="264">
        <f>项目现金流量表!R14</f>
        <v>117.07978947368423</v>
      </c>
      <c r="T10" s="264">
        <f>项目现金流量表!S14</f>
        <v>0</v>
      </c>
      <c r="U10" s="264">
        <f>项目现金流量表!T14</f>
        <v>0</v>
      </c>
      <c r="V10" s="264">
        <f>项目现金流量表!U14</f>
        <v>0</v>
      </c>
      <c r="W10" s="264">
        <f>项目现金流量表!V14</f>
        <v>0</v>
      </c>
      <c r="X10" s="236"/>
      <c r="Y10" s="236"/>
      <c r="Z10" s="236"/>
      <c r="AA10" s="236"/>
      <c r="AB10" s="236"/>
      <c r="AC10" s="236"/>
      <c r="AD10" s="236"/>
      <c r="AE10" s="236"/>
      <c r="AF10" s="236"/>
      <c r="AG10" s="236"/>
      <c r="AH10" s="236"/>
      <c r="AI10" s="236"/>
      <c r="AJ10" s="236"/>
      <c r="AK10" s="236"/>
      <c r="AL10" s="236"/>
      <c r="AM10" s="236"/>
      <c r="AN10" s="236"/>
      <c r="AO10" s="236"/>
    </row>
    <row r="11" spans="1:41" s="242" customFormat="1" ht="12.75">
      <c r="A11" s="250">
        <v>5</v>
      </c>
      <c r="B11" s="260" t="s">
        <v>120</v>
      </c>
      <c r="C11" s="261">
        <f t="shared" si="3"/>
        <v>22843.235890164258</v>
      </c>
      <c r="D11" s="264">
        <f>项目现金流量表!C15</f>
        <v>0</v>
      </c>
      <c r="E11" s="264">
        <f>项目现金流量表!D15</f>
        <v>730.5280884128241</v>
      </c>
      <c r="F11" s="264">
        <f>项目现金流量表!E15</f>
        <v>730.5280884128241</v>
      </c>
      <c r="G11" s="264">
        <f>项目现金流量表!F15</f>
        <v>730.5280884128241</v>
      </c>
      <c r="H11" s="264">
        <f>项目现金流量表!G15</f>
        <v>2658.728088412824</v>
      </c>
      <c r="I11" s="264">
        <f>项目现金流量表!H15</f>
        <v>2369.4980884128245</v>
      </c>
      <c r="J11" s="264">
        <f>项目现金流量表!I15</f>
        <v>1791.0380884128242</v>
      </c>
      <c r="K11" s="264">
        <f>项目现金流量表!J15</f>
        <v>2537.006947360193</v>
      </c>
      <c r="L11" s="264">
        <f>项目现金流量表!K15</f>
        <v>2179.5937437475613</v>
      </c>
      <c r="M11" s="264">
        <f>项目现金流量表!L15</f>
        <v>1689.0414506275611</v>
      </c>
      <c r="N11" s="264">
        <f>项目现金流量表!M15</f>
        <v>2609.6684843659082</v>
      </c>
      <c r="O11" s="264">
        <f>项目现金流量表!N15</f>
        <v>2179.6635417215766</v>
      </c>
      <c r="P11" s="264">
        <f>项目现金流量表!O15</f>
        <v>1722.7596576195228</v>
      </c>
      <c r="Q11" s="264">
        <f>项目现金流量表!P15</f>
        <v>914.65353424499506</v>
      </c>
      <c r="R11" s="264">
        <f>项目现金流量表!Q15</f>
        <v>730.5280884128241</v>
      </c>
      <c r="S11" s="264">
        <f>项目现金流量表!R15</f>
        <v>730.5280884128241</v>
      </c>
      <c r="T11" s="264">
        <f>项目现金流量表!S15</f>
        <v>0</v>
      </c>
      <c r="U11" s="264">
        <f>项目现金流量表!T15</f>
        <v>0</v>
      </c>
      <c r="V11" s="264">
        <f>项目现金流量表!U15</f>
        <v>0</v>
      </c>
      <c r="W11" s="264">
        <f>项目现金流量表!V15</f>
        <v>0</v>
      </c>
      <c r="X11" s="236"/>
      <c r="Y11" s="236"/>
      <c r="Z11" s="236"/>
      <c r="AA11" s="236"/>
      <c r="AB11" s="236"/>
      <c r="AC11" s="236"/>
      <c r="AD11" s="236"/>
      <c r="AE11" s="236"/>
      <c r="AF11" s="236"/>
      <c r="AG11" s="236"/>
      <c r="AH11" s="236"/>
      <c r="AI11" s="236"/>
      <c r="AJ11" s="236"/>
      <c r="AK11" s="236"/>
      <c r="AL11" s="236"/>
      <c r="AM11" s="236"/>
      <c r="AN11" s="236"/>
      <c r="AO11" s="236"/>
    </row>
    <row r="12" spans="1:41" s="242" customFormat="1">
      <c r="A12" s="250">
        <v>6</v>
      </c>
      <c r="B12" s="259" t="s">
        <v>307</v>
      </c>
      <c r="C12" s="261">
        <f t="shared" si="3"/>
        <v>0</v>
      </c>
      <c r="D12" s="264">
        <f>项目现金流量表!C22</f>
        <v>0</v>
      </c>
      <c r="E12" s="264">
        <f>项目现金流量表!D22</f>
        <v>0</v>
      </c>
      <c r="F12" s="264">
        <f>项目现金流量表!E22</f>
        <v>0</v>
      </c>
      <c r="G12" s="264">
        <f>项目现金流量表!F22</f>
        <v>0</v>
      </c>
      <c r="H12" s="264">
        <f>项目现金流量表!G22</f>
        <v>0</v>
      </c>
      <c r="I12" s="264">
        <f>项目现金流量表!H22</f>
        <v>0</v>
      </c>
      <c r="J12" s="264">
        <f>项目现金流量表!I22</f>
        <v>0</v>
      </c>
      <c r="K12" s="264">
        <f>项目现金流量表!J22</f>
        <v>0</v>
      </c>
      <c r="L12" s="264">
        <f>项目现金流量表!K22</f>
        <v>0</v>
      </c>
      <c r="M12" s="264">
        <f>项目现金流量表!L22</f>
        <v>0</v>
      </c>
      <c r="N12" s="264">
        <f>项目现金流量表!M22</f>
        <v>0</v>
      </c>
      <c r="O12" s="264">
        <f>项目现金流量表!N22</f>
        <v>0</v>
      </c>
      <c r="P12" s="264">
        <f>项目现金流量表!O22</f>
        <v>0</v>
      </c>
      <c r="Q12" s="264">
        <f>项目现金流量表!P22</f>
        <v>0</v>
      </c>
      <c r="R12" s="264">
        <f>项目现金流量表!Q22</f>
        <v>0</v>
      </c>
      <c r="S12" s="264">
        <f>项目现金流量表!R22</f>
        <v>0</v>
      </c>
      <c r="T12" s="264">
        <f>项目现金流量表!S22</f>
        <v>0</v>
      </c>
      <c r="U12" s="264">
        <f>项目现金流量表!T22</f>
        <v>0</v>
      </c>
      <c r="V12" s="264">
        <f>项目现金流量表!U22</f>
        <v>0</v>
      </c>
      <c r="W12" s="264">
        <f>项目现金流量表!V22</f>
        <v>0</v>
      </c>
      <c r="X12" s="236"/>
      <c r="Y12" s="236"/>
      <c r="Z12" s="236"/>
      <c r="AA12" s="236"/>
      <c r="AB12" s="236"/>
      <c r="AC12" s="236"/>
      <c r="AD12" s="236"/>
      <c r="AE12" s="236"/>
      <c r="AF12" s="236"/>
      <c r="AG12" s="236"/>
      <c r="AH12" s="236"/>
      <c r="AI12" s="236"/>
      <c r="AJ12" s="236"/>
      <c r="AK12" s="236"/>
      <c r="AL12" s="236"/>
      <c r="AM12" s="236"/>
      <c r="AN12" s="236"/>
      <c r="AO12" s="236"/>
    </row>
    <row r="13" spans="1:41" s="242" customFormat="1">
      <c r="A13" s="250">
        <v>7</v>
      </c>
      <c r="B13" s="259" t="s">
        <v>285</v>
      </c>
      <c r="C13" s="261">
        <f t="shared" si="3"/>
        <v>0</v>
      </c>
      <c r="D13" s="264">
        <f>项目现金流量表!C16</f>
        <v>0</v>
      </c>
      <c r="E13" s="264">
        <f>项目现金流量表!D16</f>
        <v>0</v>
      </c>
      <c r="F13" s="264">
        <f>项目现金流量表!E16</f>
        <v>0</v>
      </c>
      <c r="G13" s="264">
        <f>项目现金流量表!F16</f>
        <v>0</v>
      </c>
      <c r="H13" s="264">
        <f>项目现金流量表!G16</f>
        <v>0</v>
      </c>
      <c r="I13" s="264">
        <f>项目现金流量表!H16</f>
        <v>0</v>
      </c>
      <c r="J13" s="264">
        <f>项目现金流量表!I16</f>
        <v>0</v>
      </c>
      <c r="K13" s="264">
        <f>项目现金流量表!J16</f>
        <v>0</v>
      </c>
      <c r="L13" s="264">
        <f>项目现金流量表!K16</f>
        <v>0</v>
      </c>
      <c r="M13" s="264">
        <f>项目现金流量表!L16</f>
        <v>0</v>
      </c>
      <c r="N13" s="264">
        <f>项目现金流量表!M16</f>
        <v>0</v>
      </c>
      <c r="O13" s="264">
        <f>项目现金流量表!N16</f>
        <v>0</v>
      </c>
      <c r="P13" s="264">
        <f>项目现金流量表!O16</f>
        <v>0</v>
      </c>
      <c r="Q13" s="264">
        <f>项目现金流量表!P16</f>
        <v>0</v>
      </c>
      <c r="R13" s="264">
        <f>项目现金流量表!Q16</f>
        <v>0</v>
      </c>
      <c r="S13" s="264">
        <f>项目现金流量表!R16</f>
        <v>0</v>
      </c>
      <c r="T13" s="264">
        <f>项目现金流量表!S16</f>
        <v>0</v>
      </c>
      <c r="U13" s="264">
        <f>项目现金流量表!T16</f>
        <v>0</v>
      </c>
      <c r="V13" s="264">
        <f>项目现金流量表!U16</f>
        <v>0</v>
      </c>
      <c r="W13" s="264">
        <f>项目现金流量表!V16</f>
        <v>0</v>
      </c>
      <c r="X13" s="236"/>
      <c r="Y13" s="236"/>
      <c r="Z13" s="236"/>
      <c r="AA13" s="236"/>
      <c r="AB13" s="236"/>
      <c r="AC13" s="236"/>
      <c r="AD13" s="236"/>
      <c r="AE13" s="236"/>
      <c r="AF13" s="236"/>
      <c r="AG13" s="236"/>
      <c r="AH13" s="236"/>
      <c r="AI13" s="236"/>
      <c r="AJ13" s="236"/>
      <c r="AK13" s="236"/>
      <c r="AL13" s="236"/>
      <c r="AM13" s="236"/>
      <c r="AN13" s="236"/>
      <c r="AO13" s="236"/>
    </row>
    <row r="14" spans="1:41" s="242" customFormat="1">
      <c r="A14" s="250">
        <v>8</v>
      </c>
      <c r="B14" s="251" t="s">
        <v>293</v>
      </c>
      <c r="C14" s="261">
        <f t="shared" si="3"/>
        <v>7897.1562513310109</v>
      </c>
      <c r="D14" s="264">
        <f>项目现金流量表!C17</f>
        <v>0</v>
      </c>
      <c r="E14" s="264">
        <f>项目现金流量表!D17</f>
        <v>0</v>
      </c>
      <c r="F14" s="264">
        <f>项目现金流量表!E17</f>
        <v>0</v>
      </c>
      <c r="G14" s="264">
        <f>项目现金流量表!F17</f>
        <v>0</v>
      </c>
      <c r="H14" s="264">
        <f>项目现金流量表!G17</f>
        <v>699.75</v>
      </c>
      <c r="I14" s="264">
        <f>项目现金流量表!H17</f>
        <v>594.78750000000002</v>
      </c>
      <c r="J14" s="264">
        <f>项目现金流量表!I17</f>
        <v>384.86250000000001</v>
      </c>
      <c r="K14" s="264">
        <f>项目现金流量表!J17</f>
        <v>1891.2953145924769</v>
      </c>
      <c r="L14" s="264">
        <f>项目现金流量表!K17</f>
        <v>525.87060072631573</v>
      </c>
      <c r="M14" s="264">
        <f>项目现金流量表!L17</f>
        <v>347.84759112631576</v>
      </c>
      <c r="N14" s="264">
        <f>项目现金流量表!M17</f>
        <v>681.94611143458678</v>
      </c>
      <c r="O14" s="264">
        <f>项目现金流量表!N17</f>
        <v>2343.8928779936614</v>
      </c>
      <c r="P14" s="264">
        <f>项目现金流量表!O17</f>
        <v>360.08403721210834</v>
      </c>
      <c r="Q14" s="264">
        <f>项目现金流量表!P17</f>
        <v>66.819718245545886</v>
      </c>
      <c r="R14" s="264">
        <f>项目现金流量表!Q17</f>
        <v>0</v>
      </c>
      <c r="S14" s="264">
        <f>项目现金流量表!R17</f>
        <v>167.78579452457532</v>
      </c>
      <c r="T14" s="264">
        <f>项目现金流量表!S17</f>
        <v>0</v>
      </c>
      <c r="U14" s="264">
        <f>项目现金流量表!T17</f>
        <v>0</v>
      </c>
      <c r="V14" s="264">
        <f>项目现金流量表!U17</f>
        <v>0</v>
      </c>
      <c r="W14" s="264">
        <f>项目现金流量表!V17</f>
        <v>0</v>
      </c>
      <c r="X14" s="236"/>
      <c r="Y14" s="236"/>
      <c r="Z14" s="236"/>
      <c r="AA14" s="236"/>
      <c r="AB14" s="236"/>
      <c r="AC14" s="236"/>
      <c r="AD14" s="236"/>
      <c r="AE14" s="236"/>
      <c r="AF14" s="236"/>
      <c r="AG14" s="236"/>
      <c r="AH14" s="236"/>
      <c r="AI14" s="236"/>
      <c r="AJ14" s="236"/>
      <c r="AK14" s="236"/>
      <c r="AL14" s="236"/>
      <c r="AM14" s="236"/>
      <c r="AN14" s="236"/>
      <c r="AO14" s="236"/>
    </row>
    <row r="15" spans="1:41" s="475" customFormat="1">
      <c r="A15" s="470" t="s">
        <v>294</v>
      </c>
      <c r="B15" s="471" t="s">
        <v>295</v>
      </c>
      <c r="C15" s="472">
        <f t="shared" si="3"/>
        <v>52268.33981014591</v>
      </c>
      <c r="D15" s="473">
        <f>D4-D6</f>
        <v>-23000</v>
      </c>
      <c r="E15" s="473">
        <f t="shared" ref="E15:O15" si="4">E4-E6</f>
        <v>-6489.3973413949498</v>
      </c>
      <c r="F15" s="473">
        <f t="shared" si="4"/>
        <v>-17994.90386901336</v>
      </c>
      <c r="G15" s="473">
        <f t="shared" si="4"/>
        <v>-7994.9038690133648</v>
      </c>
      <c r="H15" s="473">
        <f t="shared" si="4"/>
        <v>16548.376156631806</v>
      </c>
      <c r="I15" s="473">
        <f t="shared" si="4"/>
        <v>16681.064928050313</v>
      </c>
      <c r="J15" s="473">
        <f t="shared" si="4"/>
        <v>-1342.2497122887835</v>
      </c>
      <c r="K15" s="473">
        <f t="shared" si="4"/>
        <v>13730.284333025478</v>
      </c>
      <c r="L15" s="473">
        <f t="shared" si="4"/>
        <v>6364.5071527108885</v>
      </c>
      <c r="M15" s="473">
        <f t="shared" si="4"/>
        <v>8061.6243920925299</v>
      </c>
      <c r="N15" s="473">
        <f t="shared" si="4"/>
        <v>13296.397659519593</v>
      </c>
      <c r="O15" s="473">
        <f t="shared" si="4"/>
        <v>18732.516263532889</v>
      </c>
      <c r="P15" s="473">
        <f t="shared" ref="P15:W15" si="5">P4-P6</f>
        <v>13803.811502899502</v>
      </c>
      <c r="Q15" s="473">
        <f t="shared" si="5"/>
        <v>1871.2122133933703</v>
      </c>
      <c r="R15" s="473">
        <f t="shared" si="5"/>
        <v>-847.60787788650828</v>
      </c>
      <c r="S15" s="473">
        <f t="shared" si="5"/>
        <v>-1015.3936724110836</v>
      </c>
      <c r="T15" s="473">
        <f t="shared" si="5"/>
        <v>0</v>
      </c>
      <c r="U15" s="473">
        <f t="shared" si="5"/>
        <v>0</v>
      </c>
      <c r="V15" s="473">
        <f t="shared" si="5"/>
        <v>0</v>
      </c>
      <c r="W15" s="473">
        <f t="shared" si="5"/>
        <v>0</v>
      </c>
      <c r="X15" s="474"/>
      <c r="Y15" s="474"/>
      <c r="Z15" s="474"/>
      <c r="AA15" s="474"/>
      <c r="AB15" s="474"/>
      <c r="AC15" s="474"/>
      <c r="AD15" s="474"/>
      <c r="AE15" s="474"/>
      <c r="AF15" s="474"/>
      <c r="AG15" s="474"/>
      <c r="AH15" s="474"/>
      <c r="AI15" s="474"/>
      <c r="AJ15" s="474"/>
      <c r="AK15" s="474"/>
      <c r="AL15" s="474"/>
      <c r="AM15" s="474"/>
      <c r="AN15" s="474"/>
      <c r="AO15" s="474"/>
    </row>
    <row r="16" spans="1:41" s="475" customFormat="1">
      <c r="A16" s="481" t="s">
        <v>296</v>
      </c>
      <c r="B16" s="482" t="s">
        <v>633</v>
      </c>
      <c r="C16" s="371">
        <f>SUM(D16:W16)</f>
        <v>0</v>
      </c>
      <c r="D16" s="672">
        <f>SUM(D17:D20)</f>
        <v>0</v>
      </c>
      <c r="E16" s="672">
        <f t="shared" ref="E16:W16" si="6">SUM(E17:E20)</f>
        <v>0</v>
      </c>
      <c r="F16" s="672">
        <f t="shared" si="6"/>
        <v>0</v>
      </c>
      <c r="G16" s="672">
        <f t="shared" si="6"/>
        <v>0</v>
      </c>
      <c r="H16" s="672">
        <f t="shared" si="6"/>
        <v>0</v>
      </c>
      <c r="I16" s="672">
        <f t="shared" si="6"/>
        <v>0</v>
      </c>
      <c r="J16" s="672">
        <f t="shared" si="6"/>
        <v>0</v>
      </c>
      <c r="K16" s="672">
        <f t="shared" si="6"/>
        <v>0</v>
      </c>
      <c r="L16" s="672">
        <f t="shared" si="6"/>
        <v>0</v>
      </c>
      <c r="M16" s="672">
        <f t="shared" si="6"/>
        <v>0</v>
      </c>
      <c r="N16" s="672">
        <f t="shared" si="6"/>
        <v>0</v>
      </c>
      <c r="O16" s="672">
        <f t="shared" si="6"/>
        <v>0</v>
      </c>
      <c r="P16" s="672">
        <f t="shared" si="6"/>
        <v>0</v>
      </c>
      <c r="Q16" s="672">
        <f t="shared" si="6"/>
        <v>0</v>
      </c>
      <c r="R16" s="672">
        <f t="shared" si="6"/>
        <v>0</v>
      </c>
      <c r="S16" s="672">
        <f t="shared" si="6"/>
        <v>0</v>
      </c>
      <c r="T16" s="672">
        <f t="shared" si="6"/>
        <v>0</v>
      </c>
      <c r="U16" s="672">
        <f t="shared" si="6"/>
        <v>0</v>
      </c>
      <c r="V16" s="672">
        <f t="shared" si="6"/>
        <v>0</v>
      </c>
      <c r="W16" s="672">
        <f t="shared" si="6"/>
        <v>0</v>
      </c>
      <c r="X16" s="474"/>
      <c r="Y16" s="474"/>
      <c r="Z16" s="474"/>
      <c r="AA16" s="474"/>
      <c r="AB16" s="474"/>
      <c r="AC16" s="474"/>
      <c r="AD16" s="474"/>
      <c r="AE16" s="474"/>
      <c r="AF16" s="474"/>
      <c r="AG16" s="474"/>
      <c r="AH16" s="474"/>
      <c r="AI16" s="474"/>
      <c r="AJ16" s="474"/>
      <c r="AK16" s="474"/>
      <c r="AL16" s="474"/>
      <c r="AM16" s="474"/>
      <c r="AN16" s="474"/>
      <c r="AO16" s="474"/>
    </row>
    <row r="17" spans="1:41" s="475" customFormat="1">
      <c r="A17" s="476">
        <v>1</v>
      </c>
      <c r="B17" s="477" t="s">
        <v>139</v>
      </c>
      <c r="C17" s="478">
        <f>SUM(D17:W17)</f>
        <v>0</v>
      </c>
      <c r="D17" s="479"/>
      <c r="E17" s="479"/>
      <c r="F17" s="479"/>
      <c r="G17" s="479"/>
      <c r="H17" s="479"/>
      <c r="I17" s="479"/>
      <c r="J17" s="479"/>
      <c r="K17" s="480"/>
      <c r="L17" s="480"/>
      <c r="M17" s="480"/>
      <c r="N17" s="479"/>
      <c r="O17" s="479"/>
      <c r="P17" s="479"/>
      <c r="Q17" s="479"/>
      <c r="R17" s="480"/>
      <c r="S17" s="480"/>
      <c r="T17" s="480"/>
      <c r="U17" s="480"/>
      <c r="V17" s="480"/>
      <c r="W17" s="480"/>
      <c r="X17" s="474"/>
      <c r="Y17" s="474"/>
      <c r="Z17" s="474"/>
      <c r="AA17" s="474"/>
      <c r="AB17" s="474"/>
      <c r="AC17" s="474"/>
      <c r="AD17" s="474"/>
      <c r="AE17" s="474"/>
      <c r="AF17" s="474"/>
      <c r="AG17" s="474"/>
      <c r="AH17" s="474"/>
      <c r="AI17" s="474"/>
      <c r="AJ17" s="474"/>
      <c r="AK17" s="474"/>
      <c r="AL17" s="474"/>
      <c r="AM17" s="474"/>
      <c r="AN17" s="474"/>
      <c r="AO17" s="474"/>
    </row>
    <row r="18" spans="1:41" s="475" customFormat="1">
      <c r="A18" s="476">
        <v>2</v>
      </c>
      <c r="B18" s="477" t="s">
        <v>698</v>
      </c>
      <c r="C18" s="478">
        <f t="shared" ref="C18:C25" si="7">SUM(D18:W18)</f>
        <v>0</v>
      </c>
      <c r="D18" s="479"/>
      <c r="E18" s="479"/>
      <c r="F18" s="479"/>
      <c r="G18" s="479"/>
      <c r="H18" s="479"/>
      <c r="I18" s="479"/>
      <c r="J18" s="479"/>
      <c r="K18" s="479"/>
      <c r="L18" s="479"/>
      <c r="M18" s="479"/>
      <c r="N18" s="479"/>
      <c r="O18" s="479"/>
      <c r="P18" s="479"/>
      <c r="Q18" s="479"/>
      <c r="R18" s="480"/>
      <c r="S18" s="480"/>
      <c r="T18" s="480"/>
      <c r="U18" s="480"/>
      <c r="V18" s="480"/>
      <c r="W18" s="480"/>
      <c r="X18" s="474"/>
      <c r="Y18" s="474"/>
      <c r="Z18" s="474"/>
      <c r="AA18" s="474"/>
      <c r="AB18" s="474"/>
      <c r="AC18" s="474"/>
      <c r="AD18" s="474"/>
      <c r="AE18" s="474"/>
      <c r="AF18" s="474"/>
      <c r="AG18" s="474"/>
      <c r="AH18" s="474"/>
      <c r="AI18" s="474"/>
      <c r="AJ18" s="474"/>
      <c r="AK18" s="474"/>
      <c r="AL18" s="474"/>
      <c r="AM18" s="474"/>
      <c r="AN18" s="474"/>
      <c r="AO18" s="474"/>
    </row>
    <row r="19" spans="1:41" s="475" customFormat="1">
      <c r="A19" s="476">
        <v>3</v>
      </c>
      <c r="B19" s="477" t="s">
        <v>435</v>
      </c>
      <c r="C19" s="478">
        <f t="shared" si="7"/>
        <v>0</v>
      </c>
      <c r="D19" s="479"/>
      <c r="E19" s="479"/>
      <c r="F19" s="479"/>
      <c r="G19" s="479"/>
      <c r="H19" s="480"/>
      <c r="I19" s="480"/>
      <c r="J19" s="479"/>
      <c r="K19" s="479"/>
      <c r="L19" s="479"/>
      <c r="M19" s="479"/>
      <c r="N19" s="479"/>
      <c r="O19" s="479"/>
      <c r="P19" s="479"/>
      <c r="Q19" s="479"/>
      <c r="R19" s="480"/>
      <c r="S19" s="480"/>
      <c r="T19" s="480"/>
      <c r="U19" s="480"/>
      <c r="V19" s="480"/>
      <c r="W19" s="480"/>
      <c r="X19" s="474"/>
      <c r="Y19" s="474"/>
      <c r="Z19" s="474"/>
      <c r="AA19" s="474"/>
      <c r="AB19" s="474"/>
      <c r="AC19" s="474"/>
      <c r="AD19" s="474"/>
      <c r="AE19" s="474"/>
      <c r="AF19" s="474"/>
      <c r="AG19" s="474"/>
      <c r="AH19" s="474"/>
      <c r="AI19" s="474"/>
      <c r="AJ19" s="474"/>
      <c r="AK19" s="474"/>
      <c r="AL19" s="474"/>
      <c r="AM19" s="474"/>
      <c r="AN19" s="474"/>
      <c r="AO19" s="474"/>
    </row>
    <row r="20" spans="1:41" s="475" customFormat="1">
      <c r="A20" s="476">
        <v>4</v>
      </c>
      <c r="B20" s="477" t="s">
        <v>297</v>
      </c>
      <c r="C20" s="478">
        <f t="shared" si="7"/>
        <v>0</v>
      </c>
      <c r="D20" s="479"/>
      <c r="E20" s="479"/>
      <c r="F20" s="479"/>
      <c r="G20" s="479"/>
      <c r="H20" s="480"/>
      <c r="I20" s="479"/>
      <c r="J20" s="479"/>
      <c r="K20" s="480"/>
      <c r="L20" s="480"/>
      <c r="M20" s="480"/>
      <c r="N20" s="479"/>
      <c r="O20" s="479"/>
      <c r="P20" s="479"/>
      <c r="Q20" s="479"/>
      <c r="R20" s="480"/>
      <c r="S20" s="480"/>
      <c r="T20" s="480"/>
      <c r="U20" s="480"/>
      <c r="V20" s="480"/>
      <c r="W20" s="480"/>
      <c r="X20" s="474"/>
      <c r="Y20" s="474"/>
      <c r="Z20" s="474"/>
      <c r="AA20" s="474"/>
      <c r="AB20" s="474"/>
      <c r="AC20" s="474"/>
      <c r="AD20" s="474"/>
      <c r="AE20" s="474"/>
      <c r="AF20" s="474"/>
      <c r="AG20" s="474"/>
      <c r="AH20" s="474"/>
      <c r="AI20" s="474"/>
      <c r="AJ20" s="474"/>
      <c r="AK20" s="474"/>
      <c r="AL20" s="474"/>
      <c r="AM20" s="474"/>
      <c r="AN20" s="474"/>
      <c r="AO20" s="474"/>
    </row>
    <row r="21" spans="1:41" s="475" customFormat="1">
      <c r="A21" s="481" t="s">
        <v>305</v>
      </c>
      <c r="B21" s="482" t="s">
        <v>634</v>
      </c>
      <c r="C21" s="371">
        <f t="shared" si="7"/>
        <v>0</v>
      </c>
      <c r="D21" s="672">
        <f>SUM(D22:D25)</f>
        <v>0</v>
      </c>
      <c r="E21" s="672">
        <f t="shared" ref="E21:W21" si="8">SUM(E22:E25)</f>
        <v>0</v>
      </c>
      <c r="F21" s="672">
        <f t="shared" si="8"/>
        <v>0</v>
      </c>
      <c r="G21" s="672">
        <f t="shared" si="8"/>
        <v>0</v>
      </c>
      <c r="H21" s="672">
        <f t="shared" si="8"/>
        <v>0</v>
      </c>
      <c r="I21" s="672">
        <f t="shared" si="8"/>
        <v>0</v>
      </c>
      <c r="J21" s="672">
        <f t="shared" si="8"/>
        <v>0</v>
      </c>
      <c r="K21" s="672">
        <f t="shared" si="8"/>
        <v>0</v>
      </c>
      <c r="L21" s="672">
        <f t="shared" si="8"/>
        <v>0</v>
      </c>
      <c r="M21" s="672">
        <f t="shared" si="8"/>
        <v>0</v>
      </c>
      <c r="N21" s="672">
        <f t="shared" si="8"/>
        <v>0</v>
      </c>
      <c r="O21" s="672">
        <f t="shared" si="8"/>
        <v>0</v>
      </c>
      <c r="P21" s="672">
        <f t="shared" si="8"/>
        <v>0</v>
      </c>
      <c r="Q21" s="672">
        <f t="shared" si="8"/>
        <v>0</v>
      </c>
      <c r="R21" s="672">
        <f t="shared" si="8"/>
        <v>0</v>
      </c>
      <c r="S21" s="672">
        <f t="shared" si="8"/>
        <v>0</v>
      </c>
      <c r="T21" s="672">
        <f t="shared" si="8"/>
        <v>0</v>
      </c>
      <c r="U21" s="672">
        <f t="shared" si="8"/>
        <v>0</v>
      </c>
      <c r="V21" s="672">
        <f t="shared" si="8"/>
        <v>0</v>
      </c>
      <c r="W21" s="672">
        <f t="shared" si="8"/>
        <v>0</v>
      </c>
      <c r="X21" s="474"/>
      <c r="Y21" s="474"/>
      <c r="Z21" s="474"/>
      <c r="AA21" s="474"/>
      <c r="AB21" s="474"/>
      <c r="AC21" s="474"/>
      <c r="AD21" s="474"/>
      <c r="AE21" s="474"/>
      <c r="AF21" s="474"/>
      <c r="AG21" s="474"/>
      <c r="AH21" s="474"/>
      <c r="AI21" s="474"/>
      <c r="AJ21" s="474"/>
      <c r="AK21" s="474"/>
      <c r="AL21" s="474"/>
      <c r="AM21" s="474"/>
      <c r="AN21" s="474"/>
      <c r="AO21" s="474"/>
    </row>
    <row r="22" spans="1:41" s="475" customFormat="1">
      <c r="A22" s="476">
        <v>1</v>
      </c>
      <c r="B22" s="477" t="s">
        <v>139</v>
      </c>
      <c r="C22" s="478">
        <f t="shared" si="7"/>
        <v>0</v>
      </c>
      <c r="D22" s="479"/>
      <c r="E22" s="479"/>
      <c r="F22" s="479"/>
      <c r="G22" s="479"/>
      <c r="H22" s="479"/>
      <c r="I22" s="479"/>
      <c r="J22" s="479"/>
      <c r="K22" s="479"/>
      <c r="L22" s="479"/>
      <c r="M22" s="479"/>
      <c r="N22" s="479"/>
      <c r="O22" s="479"/>
      <c r="P22" s="479"/>
      <c r="Q22" s="479"/>
      <c r="R22" s="480"/>
      <c r="S22" s="480"/>
      <c r="T22" s="480"/>
      <c r="U22" s="480"/>
      <c r="V22" s="480"/>
      <c r="W22" s="480"/>
      <c r="X22" s="474"/>
      <c r="Y22" s="474"/>
      <c r="Z22" s="474"/>
      <c r="AA22" s="474"/>
      <c r="AB22" s="474"/>
      <c r="AC22" s="474"/>
      <c r="AD22" s="474"/>
      <c r="AE22" s="474"/>
      <c r="AF22" s="474"/>
      <c r="AG22" s="474"/>
      <c r="AH22" s="474"/>
      <c r="AI22" s="474"/>
      <c r="AJ22" s="474"/>
      <c r="AK22" s="474"/>
      <c r="AL22" s="474"/>
      <c r="AM22" s="474"/>
      <c r="AN22" s="474"/>
      <c r="AO22" s="474"/>
    </row>
    <row r="23" spans="1:41" s="475" customFormat="1">
      <c r="A23" s="476">
        <v>2</v>
      </c>
      <c r="B23" s="477" t="s">
        <v>698</v>
      </c>
      <c r="C23" s="478">
        <f t="shared" si="7"/>
        <v>0</v>
      </c>
      <c r="D23" s="479"/>
      <c r="E23" s="479"/>
      <c r="F23" s="479"/>
      <c r="G23" s="479"/>
      <c r="H23" s="479"/>
      <c r="I23" s="479"/>
      <c r="J23" s="479"/>
      <c r="K23" s="479"/>
      <c r="L23" s="479"/>
      <c r="M23" s="479"/>
      <c r="N23" s="479"/>
      <c r="O23" s="479"/>
      <c r="P23" s="479"/>
      <c r="Q23" s="479"/>
      <c r="R23" s="480"/>
      <c r="S23" s="480"/>
      <c r="T23" s="480"/>
      <c r="U23" s="480"/>
      <c r="V23" s="480"/>
      <c r="W23" s="480"/>
      <c r="X23" s="474"/>
      <c r="Y23" s="474"/>
      <c r="Z23" s="474"/>
      <c r="AA23" s="474"/>
      <c r="AB23" s="474"/>
      <c r="AC23" s="474"/>
      <c r="AD23" s="474"/>
      <c r="AE23" s="474"/>
      <c r="AF23" s="474"/>
      <c r="AG23" s="474"/>
      <c r="AH23" s="474"/>
      <c r="AI23" s="474"/>
      <c r="AJ23" s="474"/>
      <c r="AK23" s="474"/>
      <c r="AL23" s="474"/>
      <c r="AM23" s="474"/>
      <c r="AN23" s="474"/>
      <c r="AO23" s="474"/>
    </row>
    <row r="24" spans="1:41" s="475" customFormat="1">
      <c r="A24" s="476">
        <v>3</v>
      </c>
      <c r="B24" s="477" t="s">
        <v>435</v>
      </c>
      <c r="C24" s="478">
        <f t="shared" si="7"/>
        <v>0</v>
      </c>
      <c r="D24" s="479"/>
      <c r="E24" s="479"/>
      <c r="F24" s="479"/>
      <c r="G24" s="479"/>
      <c r="H24" s="479"/>
      <c r="I24" s="479"/>
      <c r="J24" s="479"/>
      <c r="K24" s="479"/>
      <c r="L24" s="479"/>
      <c r="M24" s="479"/>
      <c r="N24" s="479"/>
      <c r="O24" s="479"/>
      <c r="P24" s="479"/>
      <c r="Q24" s="479"/>
      <c r="R24" s="480"/>
      <c r="S24" s="480"/>
      <c r="T24" s="480"/>
      <c r="U24" s="480"/>
      <c r="V24" s="480"/>
      <c r="W24" s="480"/>
      <c r="X24" s="474"/>
      <c r="Y24" s="474"/>
      <c r="Z24" s="474"/>
      <c r="AA24" s="474"/>
      <c r="AB24" s="474"/>
      <c r="AC24" s="474"/>
      <c r="AD24" s="474"/>
      <c r="AE24" s="474"/>
      <c r="AF24" s="474"/>
      <c r="AG24" s="474"/>
      <c r="AH24" s="474"/>
      <c r="AI24" s="474"/>
      <c r="AJ24" s="474"/>
      <c r="AK24" s="474"/>
      <c r="AL24" s="474"/>
      <c r="AM24" s="474"/>
      <c r="AN24" s="474"/>
      <c r="AO24" s="474"/>
    </row>
    <row r="25" spans="1:41" s="475" customFormat="1">
      <c r="A25" s="476">
        <v>4</v>
      </c>
      <c r="B25" s="477" t="s">
        <v>297</v>
      </c>
      <c r="C25" s="478">
        <f t="shared" si="7"/>
        <v>0</v>
      </c>
      <c r="D25" s="479"/>
      <c r="E25" s="479"/>
      <c r="F25" s="479"/>
      <c r="G25" s="479"/>
      <c r="H25" s="479"/>
      <c r="I25" s="673"/>
      <c r="J25" s="479"/>
      <c r="K25" s="479"/>
      <c r="L25" s="479"/>
      <c r="M25" s="479"/>
      <c r="N25" s="479"/>
      <c r="O25" s="479"/>
      <c r="P25" s="479"/>
      <c r="Q25" s="479"/>
      <c r="R25" s="480"/>
      <c r="S25" s="480"/>
      <c r="T25" s="480"/>
      <c r="U25" s="480"/>
      <c r="V25" s="480"/>
      <c r="W25" s="480"/>
      <c r="X25" s="474"/>
      <c r="Y25" s="474"/>
      <c r="Z25" s="474"/>
      <c r="AA25" s="474"/>
      <c r="AB25" s="474"/>
      <c r="AC25" s="474"/>
      <c r="AD25" s="474"/>
      <c r="AE25" s="474"/>
      <c r="AF25" s="474"/>
      <c r="AG25" s="474"/>
      <c r="AH25" s="474"/>
      <c r="AI25" s="474"/>
      <c r="AJ25" s="474"/>
      <c r="AK25" s="474"/>
      <c r="AL25" s="474"/>
      <c r="AM25" s="474"/>
      <c r="AN25" s="474"/>
      <c r="AO25" s="474"/>
    </row>
    <row r="26" spans="1:41" s="475" customFormat="1">
      <c r="A26" s="470" t="s">
        <v>306</v>
      </c>
      <c r="B26" s="471" t="s">
        <v>635</v>
      </c>
      <c r="C26" s="371">
        <f>C16-C21</f>
        <v>0</v>
      </c>
      <c r="D26" s="371">
        <f t="shared" ref="D26:W26" si="9">D16-D21</f>
        <v>0</v>
      </c>
      <c r="E26" s="371">
        <f t="shared" si="9"/>
        <v>0</v>
      </c>
      <c r="F26" s="371">
        <f t="shared" si="9"/>
        <v>0</v>
      </c>
      <c r="G26" s="371">
        <f t="shared" si="9"/>
        <v>0</v>
      </c>
      <c r="H26" s="371">
        <f t="shared" si="9"/>
        <v>0</v>
      </c>
      <c r="I26" s="371">
        <f t="shared" si="9"/>
        <v>0</v>
      </c>
      <c r="J26" s="371">
        <f t="shared" si="9"/>
        <v>0</v>
      </c>
      <c r="K26" s="371">
        <f t="shared" si="9"/>
        <v>0</v>
      </c>
      <c r="L26" s="371">
        <f t="shared" si="9"/>
        <v>0</v>
      </c>
      <c r="M26" s="371">
        <f t="shared" si="9"/>
        <v>0</v>
      </c>
      <c r="N26" s="371">
        <f t="shared" si="9"/>
        <v>0</v>
      </c>
      <c r="O26" s="371">
        <f t="shared" si="9"/>
        <v>0</v>
      </c>
      <c r="P26" s="371">
        <f t="shared" si="9"/>
        <v>0</v>
      </c>
      <c r="Q26" s="371">
        <f t="shared" si="9"/>
        <v>0</v>
      </c>
      <c r="R26" s="371">
        <f t="shared" si="9"/>
        <v>0</v>
      </c>
      <c r="S26" s="371">
        <f t="shared" si="9"/>
        <v>0</v>
      </c>
      <c r="T26" s="371">
        <f t="shared" si="9"/>
        <v>0</v>
      </c>
      <c r="U26" s="371">
        <f t="shared" si="9"/>
        <v>0</v>
      </c>
      <c r="V26" s="371">
        <f t="shared" si="9"/>
        <v>0</v>
      </c>
      <c r="W26" s="371">
        <f t="shared" si="9"/>
        <v>0</v>
      </c>
      <c r="X26" s="474"/>
      <c r="Y26" s="474"/>
      <c r="Z26" s="474"/>
      <c r="AA26" s="474"/>
      <c r="AB26" s="474"/>
      <c r="AC26" s="474"/>
      <c r="AD26" s="474"/>
      <c r="AE26" s="474"/>
      <c r="AF26" s="474"/>
      <c r="AG26" s="474"/>
      <c r="AH26" s="474"/>
      <c r="AI26" s="474"/>
      <c r="AJ26" s="474"/>
      <c r="AK26" s="474"/>
      <c r="AL26" s="474"/>
      <c r="AM26" s="474"/>
      <c r="AN26" s="474"/>
      <c r="AO26" s="474"/>
    </row>
    <row r="27" spans="1:41" s="475" customFormat="1">
      <c r="A27" s="476">
        <v>1</v>
      </c>
      <c r="B27" s="477" t="s">
        <v>139</v>
      </c>
      <c r="C27" s="371">
        <f>C17-C22</f>
        <v>0</v>
      </c>
      <c r="D27" s="371">
        <f t="shared" ref="D27:W30" si="10">D17-D22</f>
        <v>0</v>
      </c>
      <c r="E27" s="371">
        <f t="shared" si="10"/>
        <v>0</v>
      </c>
      <c r="F27" s="371">
        <f t="shared" si="10"/>
        <v>0</v>
      </c>
      <c r="G27" s="371">
        <f t="shared" si="10"/>
        <v>0</v>
      </c>
      <c r="H27" s="371">
        <f t="shared" si="10"/>
        <v>0</v>
      </c>
      <c r="I27" s="371">
        <f t="shared" si="10"/>
        <v>0</v>
      </c>
      <c r="J27" s="371">
        <f t="shared" si="10"/>
        <v>0</v>
      </c>
      <c r="K27" s="371">
        <f t="shared" si="10"/>
        <v>0</v>
      </c>
      <c r="L27" s="371">
        <f t="shared" si="10"/>
        <v>0</v>
      </c>
      <c r="M27" s="371">
        <f t="shared" si="10"/>
        <v>0</v>
      </c>
      <c r="N27" s="371">
        <f t="shared" si="10"/>
        <v>0</v>
      </c>
      <c r="O27" s="371">
        <f t="shared" si="10"/>
        <v>0</v>
      </c>
      <c r="P27" s="371">
        <f t="shared" si="10"/>
        <v>0</v>
      </c>
      <c r="Q27" s="371">
        <f t="shared" si="10"/>
        <v>0</v>
      </c>
      <c r="R27" s="371">
        <f t="shared" si="10"/>
        <v>0</v>
      </c>
      <c r="S27" s="371">
        <f t="shared" si="10"/>
        <v>0</v>
      </c>
      <c r="T27" s="371">
        <f t="shared" si="10"/>
        <v>0</v>
      </c>
      <c r="U27" s="371">
        <f t="shared" si="10"/>
        <v>0</v>
      </c>
      <c r="V27" s="371">
        <f t="shared" si="10"/>
        <v>0</v>
      </c>
      <c r="W27" s="371">
        <f t="shared" si="10"/>
        <v>0</v>
      </c>
      <c r="X27" s="474"/>
      <c r="Y27" s="474"/>
      <c r="Z27" s="474"/>
      <c r="AA27" s="474"/>
      <c r="AB27" s="474"/>
      <c r="AC27" s="474"/>
      <c r="AD27" s="474"/>
      <c r="AE27" s="474"/>
      <c r="AF27" s="474"/>
      <c r="AG27" s="474"/>
      <c r="AH27" s="474"/>
      <c r="AI27" s="474"/>
      <c r="AJ27" s="474"/>
      <c r="AK27" s="474"/>
      <c r="AL27" s="474"/>
      <c r="AM27" s="474"/>
      <c r="AN27" s="474"/>
      <c r="AO27" s="474"/>
    </row>
    <row r="28" spans="1:41" s="475" customFormat="1">
      <c r="A28" s="476">
        <v>2</v>
      </c>
      <c r="B28" s="477" t="s">
        <v>698</v>
      </c>
      <c r="C28" s="371">
        <f>C18-C23</f>
        <v>0</v>
      </c>
      <c r="D28" s="371">
        <f t="shared" ref="D28:R28" si="11">D18-D23</f>
        <v>0</v>
      </c>
      <c r="E28" s="371">
        <f t="shared" si="11"/>
        <v>0</v>
      </c>
      <c r="F28" s="371">
        <f t="shared" si="11"/>
        <v>0</v>
      </c>
      <c r="G28" s="371">
        <f t="shared" si="11"/>
        <v>0</v>
      </c>
      <c r="H28" s="371">
        <f t="shared" si="11"/>
        <v>0</v>
      </c>
      <c r="I28" s="371">
        <f t="shared" si="11"/>
        <v>0</v>
      </c>
      <c r="J28" s="371">
        <f t="shared" si="11"/>
        <v>0</v>
      </c>
      <c r="K28" s="371">
        <f t="shared" si="11"/>
        <v>0</v>
      </c>
      <c r="L28" s="371">
        <f t="shared" si="11"/>
        <v>0</v>
      </c>
      <c r="M28" s="371">
        <f t="shared" si="11"/>
        <v>0</v>
      </c>
      <c r="N28" s="371">
        <f t="shared" si="11"/>
        <v>0</v>
      </c>
      <c r="O28" s="371">
        <f t="shared" si="11"/>
        <v>0</v>
      </c>
      <c r="P28" s="371">
        <f t="shared" si="11"/>
        <v>0</v>
      </c>
      <c r="Q28" s="371">
        <f t="shared" si="11"/>
        <v>0</v>
      </c>
      <c r="R28" s="371">
        <f t="shared" si="11"/>
        <v>0</v>
      </c>
      <c r="S28" s="371">
        <f t="shared" si="10"/>
        <v>0</v>
      </c>
      <c r="T28" s="371">
        <f t="shared" si="10"/>
        <v>0</v>
      </c>
      <c r="U28" s="371">
        <f t="shared" si="10"/>
        <v>0</v>
      </c>
      <c r="V28" s="371">
        <f t="shared" si="10"/>
        <v>0</v>
      </c>
      <c r="W28" s="371">
        <f t="shared" si="10"/>
        <v>0</v>
      </c>
      <c r="X28" s="474"/>
      <c r="Y28" s="474"/>
      <c r="Z28" s="474"/>
      <c r="AA28" s="474"/>
      <c r="AB28" s="474"/>
      <c r="AC28" s="474"/>
      <c r="AD28" s="474"/>
      <c r="AE28" s="474"/>
      <c r="AF28" s="474"/>
      <c r="AG28" s="474"/>
      <c r="AH28" s="474"/>
      <c r="AI28" s="474"/>
      <c r="AJ28" s="474"/>
      <c r="AK28" s="474"/>
      <c r="AL28" s="474"/>
      <c r="AM28" s="474"/>
      <c r="AN28" s="474"/>
      <c r="AO28" s="474"/>
    </row>
    <row r="29" spans="1:41" s="475" customFormat="1">
      <c r="A29" s="476">
        <v>3</v>
      </c>
      <c r="B29" s="477" t="s">
        <v>435</v>
      </c>
      <c r="C29" s="371">
        <f>C19-C24</f>
        <v>0</v>
      </c>
      <c r="D29" s="371">
        <f t="shared" si="10"/>
        <v>0</v>
      </c>
      <c r="E29" s="371">
        <f t="shared" si="10"/>
        <v>0</v>
      </c>
      <c r="F29" s="371">
        <f t="shared" si="10"/>
        <v>0</v>
      </c>
      <c r="G29" s="371">
        <f t="shared" si="10"/>
        <v>0</v>
      </c>
      <c r="H29" s="371">
        <f t="shared" si="10"/>
        <v>0</v>
      </c>
      <c r="I29" s="371">
        <f t="shared" si="10"/>
        <v>0</v>
      </c>
      <c r="J29" s="371">
        <f t="shared" si="10"/>
        <v>0</v>
      </c>
      <c r="K29" s="371">
        <f t="shared" si="10"/>
        <v>0</v>
      </c>
      <c r="L29" s="371">
        <f t="shared" si="10"/>
        <v>0</v>
      </c>
      <c r="M29" s="371">
        <f t="shared" si="10"/>
        <v>0</v>
      </c>
      <c r="N29" s="371">
        <f t="shared" si="10"/>
        <v>0</v>
      </c>
      <c r="O29" s="371">
        <f t="shared" si="10"/>
        <v>0</v>
      </c>
      <c r="P29" s="371">
        <f t="shared" si="10"/>
        <v>0</v>
      </c>
      <c r="Q29" s="371">
        <f t="shared" si="10"/>
        <v>0</v>
      </c>
      <c r="R29" s="371">
        <f t="shared" si="10"/>
        <v>0</v>
      </c>
      <c r="S29" s="371">
        <f t="shared" si="10"/>
        <v>0</v>
      </c>
      <c r="T29" s="371">
        <f t="shared" si="10"/>
        <v>0</v>
      </c>
      <c r="U29" s="371">
        <f t="shared" si="10"/>
        <v>0</v>
      </c>
      <c r="V29" s="371">
        <f t="shared" si="10"/>
        <v>0</v>
      </c>
      <c r="W29" s="371">
        <f t="shared" si="10"/>
        <v>0</v>
      </c>
      <c r="X29" s="474"/>
      <c r="Y29" s="474"/>
      <c r="Z29" s="474"/>
      <c r="AA29" s="474"/>
      <c r="AB29" s="474"/>
      <c r="AC29" s="474"/>
      <c r="AD29" s="474"/>
      <c r="AE29" s="474"/>
      <c r="AF29" s="474"/>
      <c r="AG29" s="474"/>
      <c r="AH29" s="474"/>
      <c r="AI29" s="474"/>
      <c r="AJ29" s="474"/>
      <c r="AK29" s="474"/>
      <c r="AL29" s="474"/>
      <c r="AM29" s="474"/>
      <c r="AN29" s="474"/>
      <c r="AO29" s="474"/>
    </row>
    <row r="30" spans="1:41" s="475" customFormat="1">
      <c r="A30" s="476">
        <v>4</v>
      </c>
      <c r="B30" s="477" t="s">
        <v>297</v>
      </c>
      <c r="C30" s="371">
        <f>C20-C25</f>
        <v>0</v>
      </c>
      <c r="D30" s="371">
        <f t="shared" si="10"/>
        <v>0</v>
      </c>
      <c r="E30" s="371">
        <f t="shared" si="10"/>
        <v>0</v>
      </c>
      <c r="F30" s="371">
        <f t="shared" si="10"/>
        <v>0</v>
      </c>
      <c r="G30" s="371">
        <f t="shared" si="10"/>
        <v>0</v>
      </c>
      <c r="H30" s="371">
        <f t="shared" si="10"/>
        <v>0</v>
      </c>
      <c r="I30" s="371">
        <f t="shared" si="10"/>
        <v>0</v>
      </c>
      <c r="J30" s="371">
        <f t="shared" si="10"/>
        <v>0</v>
      </c>
      <c r="K30" s="371">
        <f t="shared" si="10"/>
        <v>0</v>
      </c>
      <c r="L30" s="371">
        <f t="shared" si="10"/>
        <v>0</v>
      </c>
      <c r="M30" s="371">
        <f t="shared" si="10"/>
        <v>0</v>
      </c>
      <c r="N30" s="371">
        <f t="shared" si="10"/>
        <v>0</v>
      </c>
      <c r="O30" s="371">
        <f t="shared" si="10"/>
        <v>0</v>
      </c>
      <c r="P30" s="371">
        <f t="shared" si="10"/>
        <v>0</v>
      </c>
      <c r="Q30" s="371">
        <f t="shared" si="10"/>
        <v>0</v>
      </c>
      <c r="R30" s="371">
        <f t="shared" si="10"/>
        <v>0</v>
      </c>
      <c r="S30" s="371">
        <f t="shared" si="10"/>
        <v>0</v>
      </c>
      <c r="T30" s="371">
        <f t="shared" si="10"/>
        <v>0</v>
      </c>
      <c r="U30" s="371">
        <f t="shared" si="10"/>
        <v>0</v>
      </c>
      <c r="V30" s="371">
        <f t="shared" si="10"/>
        <v>0</v>
      </c>
      <c r="W30" s="371">
        <f t="shared" si="10"/>
        <v>0</v>
      </c>
      <c r="X30" s="474"/>
      <c r="Y30" s="474"/>
      <c r="Z30" s="474"/>
      <c r="AA30" s="474"/>
      <c r="AB30" s="474"/>
      <c r="AC30" s="474"/>
      <c r="AD30" s="474"/>
      <c r="AE30" s="474"/>
      <c r="AF30" s="474"/>
      <c r="AG30" s="474"/>
      <c r="AH30" s="474"/>
      <c r="AI30" s="474"/>
      <c r="AJ30" s="474"/>
      <c r="AK30" s="474"/>
      <c r="AL30" s="474"/>
      <c r="AM30" s="474"/>
      <c r="AN30" s="474"/>
      <c r="AO30" s="474"/>
    </row>
    <row r="31" spans="1:41" s="475" customFormat="1">
      <c r="A31" s="481" t="s">
        <v>636</v>
      </c>
      <c r="B31" s="482" t="s">
        <v>298</v>
      </c>
      <c r="C31" s="472">
        <f>SUM(D31:Q31)</f>
        <v>52268.33981014591</v>
      </c>
      <c r="D31" s="469">
        <f t="shared" ref="D31:W31" si="12">D15+D26</f>
        <v>-23000</v>
      </c>
      <c r="E31" s="469">
        <f t="shared" si="12"/>
        <v>-6489.3973413949498</v>
      </c>
      <c r="F31" s="469">
        <f t="shared" si="12"/>
        <v>-17994.90386901336</v>
      </c>
      <c r="G31" s="469">
        <f t="shared" si="12"/>
        <v>-7994.9038690133648</v>
      </c>
      <c r="H31" s="469">
        <f t="shared" si="12"/>
        <v>16548.376156631806</v>
      </c>
      <c r="I31" s="469">
        <f t="shared" si="12"/>
        <v>16681.064928050313</v>
      </c>
      <c r="J31" s="469">
        <f t="shared" si="12"/>
        <v>-1342.2497122887835</v>
      </c>
      <c r="K31" s="469">
        <f t="shared" si="12"/>
        <v>13730.284333025478</v>
      </c>
      <c r="L31" s="469">
        <f t="shared" si="12"/>
        <v>6364.5071527108885</v>
      </c>
      <c r="M31" s="469">
        <f t="shared" si="12"/>
        <v>8061.6243920925299</v>
      </c>
      <c r="N31" s="469">
        <f t="shared" si="12"/>
        <v>13296.397659519593</v>
      </c>
      <c r="O31" s="469">
        <f t="shared" si="12"/>
        <v>18732.516263532889</v>
      </c>
      <c r="P31" s="469">
        <f t="shared" si="12"/>
        <v>13803.811502899502</v>
      </c>
      <c r="Q31" s="469">
        <f t="shared" si="12"/>
        <v>1871.2122133933703</v>
      </c>
      <c r="R31" s="469">
        <f t="shared" si="12"/>
        <v>-847.60787788650828</v>
      </c>
      <c r="S31" s="469">
        <f t="shared" si="12"/>
        <v>-1015.3936724110836</v>
      </c>
      <c r="T31" s="469">
        <f t="shared" si="12"/>
        <v>0</v>
      </c>
      <c r="U31" s="469">
        <f t="shared" si="12"/>
        <v>0</v>
      </c>
      <c r="V31" s="469">
        <f t="shared" si="12"/>
        <v>0</v>
      </c>
      <c r="W31" s="469">
        <f t="shared" si="12"/>
        <v>0</v>
      </c>
      <c r="X31" s="474"/>
      <c r="Y31" s="474"/>
      <c r="Z31" s="474"/>
      <c r="AA31" s="474"/>
      <c r="AB31" s="474"/>
      <c r="AC31" s="474"/>
      <c r="AD31" s="474"/>
      <c r="AE31" s="474"/>
      <c r="AF31" s="474"/>
      <c r="AG31" s="474"/>
      <c r="AH31" s="474"/>
      <c r="AI31" s="474"/>
      <c r="AJ31" s="474"/>
      <c r="AK31" s="474"/>
      <c r="AL31" s="474"/>
      <c r="AM31" s="474"/>
      <c r="AN31" s="474"/>
      <c r="AO31" s="474"/>
    </row>
    <row r="32" spans="1:41" s="475" customFormat="1" ht="12.75" thickBot="1">
      <c r="A32" s="483" t="s">
        <v>637</v>
      </c>
      <c r="B32" s="484" t="s">
        <v>299</v>
      </c>
      <c r="C32" s="485">
        <f>Q32</f>
        <v>52268.33981014591</v>
      </c>
      <c r="D32" s="486">
        <f>D31</f>
        <v>-23000</v>
      </c>
      <c r="E32" s="486">
        <f>D32+E31</f>
        <v>-29489.39734139495</v>
      </c>
      <c r="F32" s="486">
        <f t="shared" ref="F32:N32" si="13">E32+F31</f>
        <v>-47484.30121040831</v>
      </c>
      <c r="G32" s="486">
        <f t="shared" si="13"/>
        <v>-55479.205079421678</v>
      </c>
      <c r="H32" s="486">
        <f t="shared" si="13"/>
        <v>-38930.828922789871</v>
      </c>
      <c r="I32" s="486">
        <f t="shared" si="13"/>
        <v>-22249.763994739558</v>
      </c>
      <c r="J32" s="486">
        <f t="shared" si="13"/>
        <v>-23592.013707028342</v>
      </c>
      <c r="K32" s="486">
        <f t="shared" si="13"/>
        <v>-9861.7293740028636</v>
      </c>
      <c r="L32" s="486">
        <f t="shared" si="13"/>
        <v>-3497.2222212919751</v>
      </c>
      <c r="M32" s="486">
        <f t="shared" si="13"/>
        <v>4564.4021708005548</v>
      </c>
      <c r="N32" s="486">
        <f t="shared" si="13"/>
        <v>17860.799830320146</v>
      </c>
      <c r="O32" s="486">
        <f t="shared" ref="O32:W32" si="14">N32+O31</f>
        <v>36593.316093853035</v>
      </c>
      <c r="P32" s="486">
        <f t="shared" si="14"/>
        <v>50397.127596752536</v>
      </c>
      <c r="Q32" s="486">
        <f t="shared" si="14"/>
        <v>52268.33981014591</v>
      </c>
      <c r="R32" s="486">
        <f t="shared" si="14"/>
        <v>51420.731932259405</v>
      </c>
      <c r="S32" s="486">
        <f t="shared" si="14"/>
        <v>50405.338259848322</v>
      </c>
      <c r="T32" s="486">
        <f t="shared" si="14"/>
        <v>50405.338259848322</v>
      </c>
      <c r="U32" s="486">
        <f t="shared" si="14"/>
        <v>50405.338259848322</v>
      </c>
      <c r="V32" s="486">
        <f t="shared" si="14"/>
        <v>50405.338259848322</v>
      </c>
      <c r="W32" s="486">
        <f t="shared" si="14"/>
        <v>50405.338259848322</v>
      </c>
      <c r="X32" s="474"/>
      <c r="Y32" s="474"/>
      <c r="Z32" s="474"/>
      <c r="AA32" s="474"/>
      <c r="AB32" s="474"/>
      <c r="AC32" s="474"/>
      <c r="AD32" s="474"/>
      <c r="AE32" s="474"/>
      <c r="AF32" s="474"/>
      <c r="AG32" s="474"/>
      <c r="AH32" s="474"/>
      <c r="AI32" s="474"/>
      <c r="AJ32" s="474"/>
      <c r="AK32" s="474"/>
      <c r="AL32" s="474"/>
      <c r="AM32" s="474"/>
      <c r="AN32" s="474"/>
      <c r="AO32" s="474"/>
    </row>
    <row r="33" spans="2:12">
      <c r="B33" s="237" t="s">
        <v>412</v>
      </c>
      <c r="C33" s="253"/>
      <c r="E33" s="254"/>
      <c r="F33" s="254"/>
      <c r="I33" s="255"/>
      <c r="K33" s="256"/>
    </row>
    <row r="34" spans="2:12">
      <c r="B34" s="237" t="s">
        <v>413</v>
      </c>
      <c r="C34" s="253"/>
      <c r="E34" s="254"/>
      <c r="F34" s="254"/>
      <c r="I34" s="255"/>
      <c r="J34" s="467"/>
    </row>
    <row r="35" spans="2:12">
      <c r="E35" s="254"/>
      <c r="F35" s="254"/>
    </row>
    <row r="36" spans="2:12">
      <c r="E36" s="254"/>
      <c r="F36" s="254"/>
      <c r="H36" s="454"/>
    </row>
    <row r="37" spans="2:12">
      <c r="E37" s="254"/>
      <c r="F37" s="254"/>
      <c r="G37" s="254"/>
      <c r="H37" s="724"/>
      <c r="I37" s="254"/>
      <c r="J37" s="254"/>
      <c r="K37" s="254"/>
      <c r="L37" s="254"/>
    </row>
    <row r="38" spans="2:12">
      <c r="E38" s="254"/>
      <c r="F38" s="254"/>
      <c r="G38" s="254"/>
      <c r="H38" s="254"/>
      <c r="I38" s="254"/>
      <c r="J38" s="254"/>
      <c r="K38" s="254"/>
      <c r="L38" s="254"/>
    </row>
    <row r="39" spans="2:12">
      <c r="E39" s="254"/>
      <c r="F39" s="725"/>
      <c r="G39" s="725"/>
      <c r="H39" s="725"/>
      <c r="I39" s="725"/>
      <c r="J39" s="725"/>
      <c r="K39" s="725"/>
      <c r="L39" s="254"/>
    </row>
    <row r="40" spans="2:12">
      <c r="E40" s="254"/>
      <c r="F40" s="725"/>
      <c r="G40" s="726"/>
      <c r="H40" s="726"/>
      <c r="I40" s="726"/>
      <c r="J40" s="726"/>
      <c r="K40" s="726"/>
      <c r="L40" s="254"/>
    </row>
    <row r="41" spans="2:12">
      <c r="E41" s="254"/>
      <c r="F41" s="725"/>
      <c r="G41" s="726"/>
      <c r="H41" s="726"/>
      <c r="I41" s="726"/>
      <c r="J41" s="726"/>
      <c r="K41" s="726"/>
      <c r="L41" s="254"/>
    </row>
    <row r="42" spans="2:12">
      <c r="E42" s="254"/>
      <c r="F42" s="725"/>
      <c r="G42" s="726"/>
      <c r="H42" s="726"/>
      <c r="I42" s="726"/>
      <c r="J42" s="726"/>
      <c r="K42" s="726"/>
      <c r="L42" s="254"/>
    </row>
    <row r="43" spans="2:12" ht="14.25" customHeight="1">
      <c r="E43" s="254"/>
      <c r="F43" s="893"/>
      <c r="G43" s="893"/>
      <c r="H43" s="893"/>
      <c r="I43" s="894"/>
      <c r="J43" s="894"/>
      <c r="K43" s="894"/>
      <c r="L43" s="254"/>
    </row>
    <row r="44" spans="2:12">
      <c r="E44" s="254"/>
      <c r="F44" s="254"/>
      <c r="G44" s="727"/>
      <c r="H44" s="727"/>
      <c r="I44" s="727"/>
      <c r="J44" s="727"/>
      <c r="K44" s="728"/>
      <c r="L44" s="254"/>
    </row>
    <row r="45" spans="2:12">
      <c r="E45" s="254"/>
      <c r="F45" s="254"/>
      <c r="G45" s="254"/>
      <c r="H45" s="254"/>
      <c r="I45" s="254"/>
      <c r="J45" s="727"/>
      <c r="K45" s="727"/>
      <c r="L45" s="254"/>
    </row>
    <row r="46" spans="2:12">
      <c r="E46" s="254"/>
      <c r="F46" s="254"/>
      <c r="G46" s="254"/>
      <c r="H46" s="254"/>
      <c r="I46" s="254"/>
      <c r="J46" s="254"/>
      <c r="K46" s="254"/>
      <c r="L46" s="254"/>
    </row>
    <row r="47" spans="2:12">
      <c r="E47" s="254"/>
      <c r="F47" s="254"/>
      <c r="G47" s="254"/>
      <c r="H47" s="254"/>
      <c r="I47" s="254"/>
      <c r="J47" s="254"/>
      <c r="K47" s="254"/>
      <c r="L47" s="254"/>
    </row>
    <row r="48" spans="2:12">
      <c r="E48" s="254"/>
      <c r="F48" s="254"/>
    </row>
    <row r="49" spans="5:6">
      <c r="E49" s="254"/>
      <c r="F49" s="254"/>
    </row>
    <row r="50" spans="5:6">
      <c r="E50" s="254"/>
      <c r="F50" s="254"/>
    </row>
    <row r="51" spans="5:6">
      <c r="E51" s="254"/>
      <c r="F51" s="254"/>
    </row>
    <row r="52" spans="5:6">
      <c r="E52" s="254"/>
      <c r="F52" s="254"/>
    </row>
    <row r="53" spans="5:6">
      <c r="E53" s="254"/>
      <c r="F53" s="254"/>
    </row>
    <row r="54" spans="5:6">
      <c r="E54" s="254"/>
      <c r="F54" s="254"/>
    </row>
    <row r="55" spans="5:6">
      <c r="E55" s="254"/>
      <c r="F55" s="254"/>
    </row>
    <row r="56" spans="5:6">
      <c r="E56" s="254"/>
      <c r="F56" s="254"/>
    </row>
    <row r="57" spans="5:6">
      <c r="E57" s="254"/>
      <c r="F57" s="254"/>
    </row>
    <row r="58" spans="5:6">
      <c r="E58" s="254"/>
      <c r="F58" s="254"/>
    </row>
    <row r="59" spans="5:6">
      <c r="E59" s="254"/>
      <c r="F59" s="254"/>
    </row>
    <row r="60" spans="5:6">
      <c r="E60" s="254"/>
      <c r="F60" s="254"/>
    </row>
    <row r="61" spans="5:6">
      <c r="E61" s="254"/>
      <c r="F61" s="254"/>
    </row>
    <row r="62" spans="5:6">
      <c r="E62" s="254"/>
      <c r="F62" s="254"/>
    </row>
    <row r="63" spans="5:6">
      <c r="E63" s="254"/>
      <c r="F63" s="254"/>
    </row>
    <row r="64" spans="5:6">
      <c r="E64" s="254"/>
      <c r="F64" s="254"/>
    </row>
    <row r="65" spans="5:6">
      <c r="E65" s="254"/>
      <c r="F65" s="254"/>
    </row>
    <row r="66" spans="5:6">
      <c r="E66" s="254"/>
      <c r="F66" s="254"/>
    </row>
    <row r="67" spans="5:6">
      <c r="E67" s="254"/>
      <c r="F67" s="254"/>
    </row>
    <row r="68" spans="5:6">
      <c r="E68" s="254"/>
      <c r="F68" s="254"/>
    </row>
    <row r="69" spans="5:6">
      <c r="E69" s="254"/>
      <c r="F69" s="254"/>
    </row>
    <row r="70" spans="5:6">
      <c r="E70" s="254"/>
      <c r="F70" s="254"/>
    </row>
    <row r="71" spans="5:6">
      <c r="E71" s="254"/>
      <c r="F71" s="254"/>
    </row>
    <row r="72" spans="5:6">
      <c r="E72" s="254"/>
      <c r="F72" s="254"/>
    </row>
    <row r="73" spans="5:6">
      <c r="E73" s="254"/>
      <c r="F73" s="254"/>
    </row>
    <row r="74" spans="5:6">
      <c r="E74" s="254"/>
      <c r="F74" s="254"/>
    </row>
    <row r="75" spans="5:6">
      <c r="E75" s="254"/>
      <c r="F75" s="254"/>
    </row>
    <row r="76" spans="5:6">
      <c r="E76" s="254"/>
      <c r="F76" s="254"/>
    </row>
    <row r="77" spans="5:6">
      <c r="E77" s="254"/>
      <c r="F77" s="254"/>
    </row>
    <row r="78" spans="5:6">
      <c r="E78" s="254"/>
      <c r="F78" s="254"/>
    </row>
    <row r="79" spans="5:6">
      <c r="E79" s="254"/>
      <c r="F79" s="254"/>
    </row>
    <row r="80" spans="5:6">
      <c r="E80" s="254"/>
      <c r="F80" s="254"/>
    </row>
    <row r="81" spans="5:6">
      <c r="E81" s="254"/>
      <c r="F81" s="254"/>
    </row>
    <row r="82" spans="5:6">
      <c r="E82" s="254"/>
      <c r="F82" s="254"/>
    </row>
    <row r="83" spans="5:6">
      <c r="E83" s="254"/>
      <c r="F83" s="254"/>
    </row>
    <row r="84" spans="5:6">
      <c r="E84" s="254"/>
      <c r="F84" s="254"/>
    </row>
    <row r="85" spans="5:6">
      <c r="E85" s="254"/>
      <c r="F85" s="254"/>
    </row>
    <row r="86" spans="5:6">
      <c r="E86" s="254"/>
      <c r="F86" s="254"/>
    </row>
    <row r="87" spans="5:6">
      <c r="E87" s="254"/>
      <c r="F87" s="254"/>
    </row>
    <row r="88" spans="5:6">
      <c r="E88" s="254"/>
      <c r="F88" s="254"/>
    </row>
    <row r="89" spans="5:6">
      <c r="E89" s="254"/>
      <c r="F89" s="254"/>
    </row>
    <row r="90" spans="5:6">
      <c r="E90" s="254"/>
      <c r="F90" s="254"/>
    </row>
    <row r="91" spans="5:6">
      <c r="E91" s="254"/>
      <c r="F91" s="254"/>
    </row>
    <row r="92" spans="5:6">
      <c r="E92" s="254"/>
      <c r="F92" s="254"/>
    </row>
    <row r="93" spans="5:6">
      <c r="E93" s="254"/>
      <c r="F93" s="254"/>
    </row>
    <row r="94" spans="5:6">
      <c r="E94" s="254"/>
      <c r="F94" s="254"/>
    </row>
    <row r="95" spans="5:6">
      <c r="E95" s="254"/>
      <c r="F95" s="254"/>
    </row>
    <row r="96" spans="5:6">
      <c r="E96" s="254"/>
      <c r="F96" s="254"/>
    </row>
    <row r="97" spans="5:6">
      <c r="E97" s="254"/>
      <c r="F97" s="254"/>
    </row>
    <row r="98" spans="5:6">
      <c r="E98" s="254"/>
      <c r="F98" s="254"/>
    </row>
    <row r="99" spans="5:6">
      <c r="E99" s="254"/>
      <c r="F99" s="254"/>
    </row>
    <row r="100" spans="5:6">
      <c r="E100" s="254"/>
      <c r="F100" s="254"/>
    </row>
    <row r="101" spans="5:6">
      <c r="E101" s="254"/>
      <c r="F101" s="254"/>
    </row>
    <row r="102" spans="5:6">
      <c r="E102" s="254"/>
      <c r="F102" s="254"/>
    </row>
    <row r="103" spans="5:6">
      <c r="E103" s="254"/>
      <c r="F103" s="254"/>
    </row>
    <row r="104" spans="5:6">
      <c r="E104" s="254"/>
      <c r="F104" s="254"/>
    </row>
    <row r="105" spans="5:6">
      <c r="E105" s="254"/>
      <c r="F105" s="254"/>
    </row>
    <row r="106" spans="5:6">
      <c r="E106" s="254"/>
      <c r="F106" s="254"/>
    </row>
    <row r="107" spans="5:6">
      <c r="E107" s="254"/>
      <c r="F107" s="254"/>
    </row>
    <row r="108" spans="5:6">
      <c r="E108" s="254"/>
      <c r="F108" s="254"/>
    </row>
    <row r="109" spans="5:6">
      <c r="E109" s="254"/>
      <c r="F109" s="254"/>
    </row>
    <row r="110" spans="5:6">
      <c r="E110" s="254"/>
      <c r="F110" s="254"/>
    </row>
    <row r="111" spans="5:6">
      <c r="E111" s="254"/>
      <c r="F111" s="254"/>
    </row>
    <row r="112" spans="5:6">
      <c r="E112" s="254"/>
      <c r="F112" s="254"/>
    </row>
    <row r="113" spans="5:6">
      <c r="E113" s="254"/>
      <c r="F113" s="254"/>
    </row>
    <row r="114" spans="5:6">
      <c r="E114" s="254"/>
      <c r="F114" s="254"/>
    </row>
    <row r="115" spans="5:6">
      <c r="E115" s="254"/>
      <c r="F115" s="254"/>
    </row>
    <row r="116" spans="5:6">
      <c r="E116" s="254"/>
      <c r="F116" s="254"/>
    </row>
    <row r="117" spans="5:6">
      <c r="E117" s="254"/>
      <c r="F117" s="254"/>
    </row>
    <row r="118" spans="5:6">
      <c r="E118" s="254"/>
      <c r="F118" s="254"/>
    </row>
    <row r="119" spans="5:6">
      <c r="E119" s="254"/>
      <c r="F119" s="254"/>
    </row>
    <row r="120" spans="5:6">
      <c r="E120" s="254"/>
      <c r="F120" s="254"/>
    </row>
    <row r="121" spans="5:6">
      <c r="E121" s="254"/>
      <c r="F121" s="254"/>
    </row>
    <row r="122" spans="5:6">
      <c r="E122" s="254"/>
      <c r="F122" s="254"/>
    </row>
    <row r="123" spans="5:6">
      <c r="E123" s="254"/>
      <c r="F123" s="254"/>
    </row>
    <row r="124" spans="5:6">
      <c r="E124" s="254"/>
      <c r="F124" s="254"/>
    </row>
    <row r="125" spans="5:6">
      <c r="E125" s="254"/>
      <c r="F125" s="254"/>
    </row>
    <row r="126" spans="5:6">
      <c r="E126" s="254"/>
      <c r="F126" s="254"/>
    </row>
    <row r="127" spans="5:6">
      <c r="E127" s="254"/>
      <c r="F127" s="254"/>
    </row>
    <row r="128" spans="5:6">
      <c r="E128" s="254"/>
      <c r="F128" s="254"/>
    </row>
    <row r="129" spans="5:6">
      <c r="E129" s="254"/>
      <c r="F129" s="254"/>
    </row>
    <row r="130" spans="5:6">
      <c r="E130" s="254"/>
      <c r="F130" s="254"/>
    </row>
    <row r="131" spans="5:6">
      <c r="E131" s="254"/>
      <c r="F131" s="254"/>
    </row>
    <row r="132" spans="5:6">
      <c r="E132" s="254"/>
      <c r="F132" s="254"/>
    </row>
    <row r="133" spans="5:6">
      <c r="E133" s="254"/>
      <c r="F133" s="254"/>
    </row>
    <row r="134" spans="5:6">
      <c r="E134" s="254"/>
      <c r="F134" s="254"/>
    </row>
    <row r="135" spans="5:6">
      <c r="E135" s="254"/>
      <c r="F135" s="254"/>
    </row>
    <row r="136" spans="5:6">
      <c r="E136" s="254"/>
      <c r="F136" s="254"/>
    </row>
    <row r="137" spans="5:6">
      <c r="E137" s="254"/>
      <c r="F137" s="254"/>
    </row>
    <row r="138" spans="5:6">
      <c r="E138" s="254"/>
      <c r="F138" s="254"/>
    </row>
    <row r="139" spans="5:6">
      <c r="E139" s="254"/>
      <c r="F139" s="254"/>
    </row>
    <row r="140" spans="5:6">
      <c r="E140" s="254"/>
      <c r="F140" s="254"/>
    </row>
    <row r="141" spans="5:6">
      <c r="E141" s="254"/>
      <c r="F141" s="254"/>
    </row>
    <row r="142" spans="5:6">
      <c r="E142" s="254"/>
      <c r="F142" s="254"/>
    </row>
    <row r="143" spans="5:6">
      <c r="E143" s="254"/>
      <c r="F143" s="254"/>
    </row>
    <row r="144" spans="5:6">
      <c r="E144" s="254"/>
      <c r="F144" s="254"/>
    </row>
    <row r="145" spans="5:6">
      <c r="E145" s="254"/>
      <c r="F145" s="254"/>
    </row>
    <row r="146" spans="5:6">
      <c r="E146" s="254"/>
      <c r="F146" s="254"/>
    </row>
    <row r="147" spans="5:6">
      <c r="E147" s="254"/>
      <c r="F147" s="254"/>
    </row>
    <row r="148" spans="5:6">
      <c r="E148" s="254"/>
      <c r="F148" s="254"/>
    </row>
    <row r="149" spans="5:6">
      <c r="E149" s="254"/>
      <c r="F149" s="254"/>
    </row>
    <row r="150" spans="5:6">
      <c r="E150" s="254"/>
      <c r="F150" s="254"/>
    </row>
    <row r="151" spans="5:6">
      <c r="E151" s="254"/>
      <c r="F151" s="254"/>
    </row>
    <row r="152" spans="5:6">
      <c r="E152" s="254"/>
      <c r="F152" s="254"/>
    </row>
    <row r="153" spans="5:6">
      <c r="E153" s="254"/>
      <c r="F153" s="254"/>
    </row>
    <row r="154" spans="5:6">
      <c r="E154" s="254"/>
      <c r="F154" s="254"/>
    </row>
    <row r="155" spans="5:6">
      <c r="E155" s="254"/>
      <c r="F155" s="254"/>
    </row>
    <row r="156" spans="5:6">
      <c r="E156" s="254"/>
      <c r="F156" s="254"/>
    </row>
    <row r="157" spans="5:6">
      <c r="E157" s="254"/>
      <c r="F157" s="254"/>
    </row>
    <row r="158" spans="5:6">
      <c r="E158" s="254"/>
      <c r="F158" s="254"/>
    </row>
    <row r="159" spans="5:6">
      <c r="E159" s="254"/>
      <c r="F159" s="254"/>
    </row>
    <row r="160" spans="5:6">
      <c r="E160" s="254"/>
      <c r="F160" s="254"/>
    </row>
    <row r="161" spans="5:6">
      <c r="E161" s="254"/>
      <c r="F161" s="254"/>
    </row>
    <row r="162" spans="5:6">
      <c r="E162" s="254"/>
      <c r="F162" s="254"/>
    </row>
    <row r="163" spans="5:6">
      <c r="E163" s="254"/>
      <c r="F163" s="254"/>
    </row>
    <row r="164" spans="5:6">
      <c r="E164" s="254"/>
      <c r="F164" s="254"/>
    </row>
    <row r="165" spans="5:6">
      <c r="E165" s="254"/>
      <c r="F165" s="254"/>
    </row>
    <row r="166" spans="5:6">
      <c r="E166" s="254"/>
      <c r="F166" s="254"/>
    </row>
    <row r="167" spans="5:6">
      <c r="E167" s="254"/>
      <c r="F167" s="254"/>
    </row>
    <row r="168" spans="5:6">
      <c r="E168" s="254"/>
      <c r="F168" s="254"/>
    </row>
    <row r="169" spans="5:6">
      <c r="E169" s="254"/>
      <c r="F169" s="254"/>
    </row>
    <row r="170" spans="5:6">
      <c r="E170" s="254"/>
      <c r="F170" s="254"/>
    </row>
    <row r="171" spans="5:6">
      <c r="E171" s="254"/>
      <c r="F171" s="254"/>
    </row>
    <row r="172" spans="5:6">
      <c r="E172" s="254"/>
      <c r="F172" s="254"/>
    </row>
    <row r="173" spans="5:6">
      <c r="E173" s="254"/>
      <c r="F173" s="254"/>
    </row>
    <row r="174" spans="5:6">
      <c r="E174" s="254"/>
      <c r="F174" s="254"/>
    </row>
    <row r="175" spans="5:6">
      <c r="E175" s="254"/>
      <c r="F175" s="254"/>
    </row>
    <row r="176" spans="5:6">
      <c r="E176" s="254"/>
      <c r="F176" s="254"/>
    </row>
    <row r="177" spans="5:6">
      <c r="E177" s="254"/>
      <c r="F177" s="254"/>
    </row>
    <row r="178" spans="5:6">
      <c r="E178" s="254"/>
      <c r="F178" s="254"/>
    </row>
    <row r="179" spans="5:6">
      <c r="E179" s="254"/>
      <c r="F179" s="254"/>
    </row>
    <row r="180" spans="5:6">
      <c r="E180" s="254"/>
      <c r="F180" s="254"/>
    </row>
    <row r="181" spans="5:6">
      <c r="E181" s="254"/>
      <c r="F181" s="254"/>
    </row>
    <row r="182" spans="5:6">
      <c r="E182" s="254"/>
      <c r="F182" s="254"/>
    </row>
    <row r="183" spans="5:6">
      <c r="E183" s="254"/>
      <c r="F183" s="254"/>
    </row>
    <row r="184" spans="5:6">
      <c r="E184" s="254"/>
      <c r="F184" s="254"/>
    </row>
    <row r="185" spans="5:6">
      <c r="E185" s="254"/>
      <c r="F185" s="254"/>
    </row>
    <row r="186" spans="5:6">
      <c r="E186" s="254"/>
      <c r="F186" s="254"/>
    </row>
    <row r="187" spans="5:6">
      <c r="E187" s="254"/>
      <c r="F187" s="254"/>
    </row>
    <row r="188" spans="5:6">
      <c r="E188" s="254"/>
      <c r="F188" s="254"/>
    </row>
    <row r="189" spans="5:6">
      <c r="E189" s="254"/>
      <c r="F189" s="254"/>
    </row>
    <row r="190" spans="5:6">
      <c r="E190" s="254"/>
      <c r="F190" s="254"/>
    </row>
    <row r="191" spans="5:6">
      <c r="E191" s="254"/>
      <c r="F191" s="254"/>
    </row>
    <row r="192" spans="5:6">
      <c r="E192" s="254"/>
      <c r="F192" s="254"/>
    </row>
    <row r="193" spans="5:6">
      <c r="E193" s="254"/>
      <c r="F193" s="254"/>
    </row>
    <row r="194" spans="5:6">
      <c r="E194" s="254"/>
      <c r="F194" s="254"/>
    </row>
    <row r="195" spans="5:6">
      <c r="E195" s="254"/>
      <c r="F195" s="254"/>
    </row>
    <row r="196" spans="5:6">
      <c r="E196" s="254"/>
      <c r="F196" s="254"/>
    </row>
    <row r="197" spans="5:6">
      <c r="E197" s="254"/>
      <c r="F197" s="254"/>
    </row>
    <row r="198" spans="5:6">
      <c r="E198" s="254"/>
      <c r="F198" s="254"/>
    </row>
    <row r="199" spans="5:6">
      <c r="E199" s="254"/>
      <c r="F199" s="254"/>
    </row>
    <row r="200" spans="5:6">
      <c r="E200" s="254"/>
      <c r="F200" s="254"/>
    </row>
    <row r="201" spans="5:6">
      <c r="E201" s="254"/>
      <c r="F201" s="254"/>
    </row>
    <row r="202" spans="5:6">
      <c r="E202" s="254"/>
      <c r="F202" s="254"/>
    </row>
    <row r="203" spans="5:6">
      <c r="E203" s="254"/>
      <c r="F203" s="254"/>
    </row>
    <row r="204" spans="5:6">
      <c r="E204" s="254"/>
      <c r="F204" s="254"/>
    </row>
    <row r="205" spans="5:6">
      <c r="E205" s="254"/>
      <c r="F205" s="254"/>
    </row>
    <row r="206" spans="5:6">
      <c r="E206" s="254"/>
      <c r="F206" s="254"/>
    </row>
    <row r="207" spans="5:6">
      <c r="E207" s="254"/>
      <c r="F207" s="254"/>
    </row>
    <row r="208" spans="5:6">
      <c r="E208" s="254"/>
      <c r="F208" s="254"/>
    </row>
    <row r="209" spans="5:6">
      <c r="E209" s="254"/>
      <c r="F209" s="254"/>
    </row>
    <row r="210" spans="5:6">
      <c r="E210" s="254"/>
      <c r="F210" s="254"/>
    </row>
    <row r="211" spans="5:6">
      <c r="E211" s="254"/>
      <c r="F211" s="254"/>
    </row>
    <row r="212" spans="5:6">
      <c r="E212" s="254"/>
      <c r="F212" s="254"/>
    </row>
    <row r="213" spans="5:6">
      <c r="E213" s="254"/>
      <c r="F213" s="254"/>
    </row>
    <row r="214" spans="5:6">
      <c r="E214" s="254"/>
      <c r="F214" s="254"/>
    </row>
    <row r="215" spans="5:6">
      <c r="E215" s="254"/>
      <c r="F215" s="254"/>
    </row>
    <row r="216" spans="5:6">
      <c r="E216" s="254"/>
      <c r="F216" s="254"/>
    </row>
    <row r="217" spans="5:6">
      <c r="E217" s="254"/>
      <c r="F217" s="254"/>
    </row>
    <row r="218" spans="5:6">
      <c r="E218" s="254"/>
      <c r="F218" s="254"/>
    </row>
    <row r="219" spans="5:6">
      <c r="E219" s="254"/>
      <c r="F219" s="254"/>
    </row>
    <row r="220" spans="5:6">
      <c r="E220" s="254"/>
      <c r="F220" s="254"/>
    </row>
    <row r="221" spans="5:6">
      <c r="E221" s="254"/>
      <c r="F221" s="254"/>
    </row>
    <row r="222" spans="5:6">
      <c r="E222" s="254"/>
      <c r="F222" s="254"/>
    </row>
    <row r="223" spans="5:6">
      <c r="E223" s="254"/>
      <c r="F223" s="254"/>
    </row>
    <row r="224" spans="5:6">
      <c r="E224" s="254"/>
      <c r="F224" s="254"/>
    </row>
    <row r="225" spans="5:6">
      <c r="E225" s="254"/>
      <c r="F225" s="254"/>
    </row>
    <row r="226" spans="5:6">
      <c r="E226" s="254"/>
      <c r="F226" s="254"/>
    </row>
    <row r="227" spans="5:6">
      <c r="E227" s="254"/>
      <c r="F227" s="254"/>
    </row>
    <row r="228" spans="5:6">
      <c r="E228" s="254"/>
      <c r="F228" s="254"/>
    </row>
    <row r="229" spans="5:6">
      <c r="E229" s="254"/>
      <c r="F229" s="254"/>
    </row>
    <row r="230" spans="5:6">
      <c r="E230" s="254"/>
      <c r="F230" s="254"/>
    </row>
    <row r="231" spans="5:6">
      <c r="E231" s="254"/>
      <c r="F231" s="254"/>
    </row>
    <row r="232" spans="5:6">
      <c r="E232" s="254"/>
      <c r="F232" s="254"/>
    </row>
    <row r="233" spans="5:6">
      <c r="E233" s="254"/>
      <c r="F233" s="254"/>
    </row>
    <row r="234" spans="5:6">
      <c r="E234" s="254"/>
      <c r="F234" s="254"/>
    </row>
    <row r="235" spans="5:6">
      <c r="E235" s="254"/>
      <c r="F235" s="254"/>
    </row>
    <row r="236" spans="5:6">
      <c r="E236" s="254"/>
      <c r="F236" s="254"/>
    </row>
    <row r="237" spans="5:6">
      <c r="E237" s="254"/>
      <c r="F237" s="254"/>
    </row>
    <row r="238" spans="5:6">
      <c r="E238" s="254"/>
      <c r="F238" s="254"/>
    </row>
    <row r="239" spans="5:6">
      <c r="E239" s="254"/>
      <c r="F239" s="254"/>
    </row>
    <row r="240" spans="5:6">
      <c r="E240" s="254"/>
      <c r="F240" s="254"/>
    </row>
    <row r="241" spans="5:6">
      <c r="E241" s="254"/>
      <c r="F241" s="254"/>
    </row>
    <row r="242" spans="5:6">
      <c r="E242" s="254"/>
      <c r="F242" s="254"/>
    </row>
    <row r="243" spans="5:6">
      <c r="E243" s="254"/>
      <c r="F243" s="254"/>
    </row>
    <row r="244" spans="5:6">
      <c r="E244" s="254"/>
      <c r="F244" s="254"/>
    </row>
    <row r="245" spans="5:6">
      <c r="E245" s="254"/>
      <c r="F245" s="254"/>
    </row>
    <row r="246" spans="5:6">
      <c r="E246" s="254"/>
      <c r="F246" s="254"/>
    </row>
    <row r="247" spans="5:6">
      <c r="E247" s="254"/>
      <c r="F247" s="254"/>
    </row>
    <row r="248" spans="5:6">
      <c r="E248" s="254"/>
      <c r="F248" s="254"/>
    </row>
    <row r="249" spans="5:6">
      <c r="E249" s="254"/>
      <c r="F249" s="254"/>
    </row>
    <row r="250" spans="5:6">
      <c r="E250" s="254"/>
      <c r="F250" s="254"/>
    </row>
    <row r="251" spans="5:6">
      <c r="E251" s="254"/>
      <c r="F251" s="254"/>
    </row>
    <row r="252" spans="5:6">
      <c r="E252" s="254"/>
      <c r="F252" s="254"/>
    </row>
    <row r="253" spans="5:6">
      <c r="E253" s="254"/>
      <c r="F253" s="254"/>
    </row>
    <row r="254" spans="5:6">
      <c r="E254" s="254"/>
      <c r="F254" s="254"/>
    </row>
    <row r="255" spans="5:6">
      <c r="E255" s="254"/>
      <c r="F255" s="254"/>
    </row>
    <row r="256" spans="5:6">
      <c r="E256" s="254"/>
      <c r="F256" s="254"/>
    </row>
    <row r="257" spans="5:6">
      <c r="E257" s="254"/>
      <c r="F257" s="254"/>
    </row>
    <row r="258" spans="5:6">
      <c r="E258" s="254"/>
      <c r="F258" s="254"/>
    </row>
    <row r="259" spans="5:6">
      <c r="E259" s="254"/>
      <c r="F259" s="254"/>
    </row>
    <row r="260" spans="5:6">
      <c r="E260" s="254"/>
      <c r="F260" s="254"/>
    </row>
    <row r="261" spans="5:6">
      <c r="E261" s="254"/>
      <c r="F261" s="254"/>
    </row>
    <row r="262" spans="5:6">
      <c r="E262" s="254"/>
      <c r="F262" s="254"/>
    </row>
    <row r="263" spans="5:6">
      <c r="E263" s="254"/>
      <c r="F263" s="254"/>
    </row>
    <row r="264" spans="5:6">
      <c r="E264" s="254"/>
      <c r="F264" s="254"/>
    </row>
    <row r="265" spans="5:6">
      <c r="E265" s="254"/>
      <c r="F265" s="254"/>
    </row>
    <row r="266" spans="5:6">
      <c r="E266" s="254"/>
      <c r="F266" s="254"/>
    </row>
    <row r="267" spans="5:6">
      <c r="E267" s="254"/>
      <c r="F267" s="254"/>
    </row>
    <row r="268" spans="5:6">
      <c r="E268" s="254"/>
      <c r="F268" s="254"/>
    </row>
    <row r="269" spans="5:6">
      <c r="E269" s="254"/>
      <c r="F269" s="254"/>
    </row>
    <row r="270" spans="5:6">
      <c r="E270" s="254"/>
      <c r="F270" s="254"/>
    </row>
    <row r="271" spans="5:6">
      <c r="E271" s="254"/>
      <c r="F271" s="254"/>
    </row>
    <row r="272" spans="5:6">
      <c r="E272" s="254"/>
      <c r="F272" s="254"/>
    </row>
    <row r="273" spans="5:6">
      <c r="E273" s="254"/>
      <c r="F273" s="254"/>
    </row>
    <row r="274" spans="5:6">
      <c r="E274" s="254"/>
      <c r="F274" s="254"/>
    </row>
    <row r="275" spans="5:6">
      <c r="E275" s="254"/>
      <c r="F275" s="254"/>
    </row>
    <row r="276" spans="5:6">
      <c r="E276" s="254"/>
      <c r="F276" s="254"/>
    </row>
    <row r="277" spans="5:6">
      <c r="E277" s="254"/>
      <c r="F277" s="254"/>
    </row>
    <row r="278" spans="5:6">
      <c r="E278" s="254"/>
      <c r="F278" s="254"/>
    </row>
    <row r="279" spans="5:6">
      <c r="E279" s="254"/>
      <c r="F279" s="254"/>
    </row>
    <row r="280" spans="5:6">
      <c r="E280" s="254"/>
      <c r="F280" s="254"/>
    </row>
    <row r="281" spans="5:6">
      <c r="E281" s="254"/>
      <c r="F281" s="254"/>
    </row>
    <row r="282" spans="5:6">
      <c r="E282" s="254"/>
      <c r="F282" s="254"/>
    </row>
    <row r="283" spans="5:6">
      <c r="E283" s="254"/>
      <c r="F283" s="254"/>
    </row>
    <row r="284" spans="5:6">
      <c r="E284" s="254"/>
      <c r="F284" s="254"/>
    </row>
    <row r="285" spans="5:6">
      <c r="E285" s="254"/>
      <c r="F285" s="254"/>
    </row>
    <row r="286" spans="5:6">
      <c r="E286" s="254"/>
      <c r="F286" s="254"/>
    </row>
    <row r="287" spans="5:6">
      <c r="E287" s="254"/>
      <c r="F287" s="254"/>
    </row>
    <row r="288" spans="5:6">
      <c r="E288" s="254"/>
      <c r="F288" s="254"/>
    </row>
    <row r="289" spans="5:6">
      <c r="E289" s="254"/>
      <c r="F289" s="254"/>
    </row>
    <row r="290" spans="5:6">
      <c r="E290" s="254"/>
      <c r="F290" s="254"/>
    </row>
    <row r="291" spans="5:6">
      <c r="E291" s="254"/>
      <c r="F291" s="254"/>
    </row>
    <row r="292" spans="5:6">
      <c r="E292" s="254"/>
      <c r="F292" s="254"/>
    </row>
    <row r="293" spans="5:6">
      <c r="E293" s="254"/>
      <c r="F293" s="254"/>
    </row>
    <row r="294" spans="5:6">
      <c r="E294" s="254"/>
      <c r="F294" s="254"/>
    </row>
    <row r="295" spans="5:6">
      <c r="E295" s="254"/>
      <c r="F295" s="254"/>
    </row>
    <row r="296" spans="5:6">
      <c r="E296" s="254"/>
      <c r="F296" s="254"/>
    </row>
    <row r="297" spans="5:6">
      <c r="E297" s="254"/>
      <c r="F297" s="254"/>
    </row>
    <row r="298" spans="5:6">
      <c r="E298" s="254"/>
      <c r="F298" s="254"/>
    </row>
    <row r="299" spans="5:6">
      <c r="E299" s="254"/>
      <c r="F299" s="254"/>
    </row>
    <row r="300" spans="5:6">
      <c r="E300" s="254"/>
      <c r="F300" s="254"/>
    </row>
    <row r="301" spans="5:6">
      <c r="E301" s="254"/>
      <c r="F301" s="254"/>
    </row>
    <row r="302" spans="5:6">
      <c r="E302" s="254"/>
      <c r="F302" s="254"/>
    </row>
    <row r="303" spans="5:6">
      <c r="E303" s="254"/>
      <c r="F303" s="254"/>
    </row>
    <row r="304" spans="5:6">
      <c r="E304" s="254"/>
      <c r="F304" s="254"/>
    </row>
    <row r="305" spans="5:6">
      <c r="E305" s="254"/>
      <c r="F305" s="254"/>
    </row>
    <row r="306" spans="5:6">
      <c r="E306" s="254"/>
      <c r="F306" s="254"/>
    </row>
    <row r="307" spans="5:6">
      <c r="E307" s="254"/>
      <c r="F307" s="254"/>
    </row>
    <row r="308" spans="5:6">
      <c r="E308" s="254"/>
      <c r="F308" s="254"/>
    </row>
    <row r="309" spans="5:6">
      <c r="E309" s="254"/>
      <c r="F309" s="254"/>
    </row>
    <row r="310" spans="5:6">
      <c r="E310" s="254"/>
      <c r="F310" s="254"/>
    </row>
    <row r="311" spans="5:6">
      <c r="E311" s="254"/>
      <c r="F311" s="254"/>
    </row>
    <row r="312" spans="5:6">
      <c r="E312" s="254"/>
      <c r="F312" s="254"/>
    </row>
    <row r="313" spans="5:6">
      <c r="E313" s="254"/>
      <c r="F313" s="254"/>
    </row>
    <row r="314" spans="5:6">
      <c r="E314" s="254"/>
      <c r="F314" s="254"/>
    </row>
    <row r="315" spans="5:6">
      <c r="E315" s="254"/>
      <c r="F315" s="254"/>
    </row>
    <row r="316" spans="5:6">
      <c r="E316" s="254"/>
      <c r="F316" s="254"/>
    </row>
    <row r="317" spans="5:6">
      <c r="E317" s="254"/>
      <c r="F317" s="254"/>
    </row>
    <row r="318" spans="5:6">
      <c r="E318" s="254"/>
      <c r="F318" s="254"/>
    </row>
    <row r="319" spans="5:6">
      <c r="E319" s="254"/>
      <c r="F319" s="254"/>
    </row>
    <row r="320" spans="5:6">
      <c r="E320" s="254"/>
      <c r="F320" s="254"/>
    </row>
    <row r="321" spans="5:6">
      <c r="E321" s="254"/>
      <c r="F321" s="254"/>
    </row>
    <row r="322" spans="5:6">
      <c r="E322" s="254"/>
      <c r="F322" s="254"/>
    </row>
    <row r="323" spans="5:6">
      <c r="E323" s="254"/>
      <c r="F323" s="254"/>
    </row>
    <row r="324" spans="5:6">
      <c r="E324" s="254"/>
      <c r="F324" s="254"/>
    </row>
    <row r="325" spans="5:6">
      <c r="E325" s="254"/>
      <c r="F325" s="254"/>
    </row>
    <row r="326" spans="5:6">
      <c r="E326" s="254"/>
      <c r="F326" s="254"/>
    </row>
    <row r="327" spans="5:6">
      <c r="E327" s="254"/>
      <c r="F327" s="254"/>
    </row>
    <row r="328" spans="5:6">
      <c r="E328" s="254"/>
      <c r="F328" s="254"/>
    </row>
    <row r="329" spans="5:6">
      <c r="E329" s="254"/>
      <c r="F329" s="254"/>
    </row>
    <row r="330" spans="5:6">
      <c r="E330" s="254"/>
      <c r="F330" s="254"/>
    </row>
    <row r="331" spans="5:6">
      <c r="E331" s="254"/>
      <c r="F331" s="254"/>
    </row>
    <row r="332" spans="5:6">
      <c r="E332" s="254"/>
      <c r="F332" s="254"/>
    </row>
    <row r="333" spans="5:6">
      <c r="E333" s="254"/>
      <c r="F333" s="254"/>
    </row>
    <row r="334" spans="5:6">
      <c r="E334" s="254"/>
      <c r="F334" s="254"/>
    </row>
    <row r="335" spans="5:6">
      <c r="E335" s="254"/>
      <c r="F335" s="254"/>
    </row>
    <row r="336" spans="5:6">
      <c r="E336" s="254"/>
      <c r="F336" s="254"/>
    </row>
    <row r="337" spans="5:6">
      <c r="E337" s="254"/>
      <c r="F337" s="254"/>
    </row>
    <row r="338" spans="5:6">
      <c r="E338" s="254"/>
      <c r="F338" s="254"/>
    </row>
    <row r="339" spans="5:6">
      <c r="E339" s="254"/>
      <c r="F339" s="254"/>
    </row>
    <row r="340" spans="5:6">
      <c r="E340" s="254"/>
      <c r="F340" s="254"/>
    </row>
    <row r="341" spans="5:6">
      <c r="E341" s="254"/>
      <c r="F341" s="254"/>
    </row>
    <row r="342" spans="5:6">
      <c r="E342" s="254"/>
      <c r="F342" s="254"/>
    </row>
    <row r="343" spans="5:6">
      <c r="E343" s="254"/>
      <c r="F343" s="254"/>
    </row>
    <row r="344" spans="5:6">
      <c r="E344" s="254"/>
      <c r="F344" s="254"/>
    </row>
    <row r="345" spans="5:6">
      <c r="E345" s="254"/>
      <c r="F345" s="254"/>
    </row>
    <row r="346" spans="5:6">
      <c r="E346" s="254"/>
      <c r="F346" s="254"/>
    </row>
    <row r="347" spans="5:6">
      <c r="E347" s="254"/>
      <c r="F347" s="254"/>
    </row>
    <row r="348" spans="5:6">
      <c r="E348" s="254"/>
      <c r="F348" s="254"/>
    </row>
    <row r="349" spans="5:6">
      <c r="E349" s="254"/>
      <c r="F349" s="254"/>
    </row>
    <row r="350" spans="5:6">
      <c r="E350" s="254"/>
      <c r="F350" s="254"/>
    </row>
    <row r="351" spans="5:6">
      <c r="E351" s="254"/>
      <c r="F351" s="254"/>
    </row>
    <row r="352" spans="5:6">
      <c r="E352" s="254"/>
      <c r="F352" s="254"/>
    </row>
    <row r="353" spans="5:6">
      <c r="E353" s="254"/>
      <c r="F353" s="254"/>
    </row>
    <row r="354" spans="5:6">
      <c r="E354" s="254"/>
      <c r="F354" s="254"/>
    </row>
    <row r="355" spans="5:6">
      <c r="E355" s="254"/>
      <c r="F355" s="254"/>
    </row>
    <row r="356" spans="5:6">
      <c r="E356" s="254"/>
      <c r="F356" s="254"/>
    </row>
    <row r="357" spans="5:6">
      <c r="E357" s="254"/>
      <c r="F357" s="254"/>
    </row>
    <row r="358" spans="5:6">
      <c r="E358" s="254"/>
      <c r="F358" s="254"/>
    </row>
    <row r="359" spans="5:6">
      <c r="E359" s="254"/>
      <c r="F359" s="254"/>
    </row>
    <row r="360" spans="5:6">
      <c r="E360" s="254"/>
      <c r="F360" s="254"/>
    </row>
    <row r="361" spans="5:6">
      <c r="E361" s="254"/>
      <c r="F361" s="254"/>
    </row>
    <row r="362" spans="5:6">
      <c r="E362" s="254"/>
      <c r="F362" s="254"/>
    </row>
    <row r="363" spans="5:6">
      <c r="E363" s="254"/>
      <c r="F363" s="254"/>
    </row>
    <row r="364" spans="5:6">
      <c r="E364" s="254"/>
      <c r="F364" s="254"/>
    </row>
    <row r="365" spans="5:6">
      <c r="E365" s="254"/>
      <c r="F365" s="254"/>
    </row>
    <row r="366" spans="5:6">
      <c r="E366" s="254"/>
      <c r="F366" s="254"/>
    </row>
    <row r="367" spans="5:6">
      <c r="E367" s="254"/>
      <c r="F367" s="254"/>
    </row>
    <row r="368" spans="5:6">
      <c r="E368" s="254"/>
      <c r="F368" s="254"/>
    </row>
    <row r="369" spans="5:6">
      <c r="E369" s="254"/>
      <c r="F369" s="254"/>
    </row>
    <row r="370" spans="5:6">
      <c r="E370" s="254"/>
      <c r="F370" s="254"/>
    </row>
    <row r="371" spans="5:6">
      <c r="E371" s="254"/>
      <c r="F371" s="254"/>
    </row>
    <row r="372" spans="5:6">
      <c r="E372" s="254"/>
      <c r="F372" s="254"/>
    </row>
    <row r="373" spans="5:6">
      <c r="E373" s="254"/>
      <c r="F373" s="254"/>
    </row>
    <row r="374" spans="5:6">
      <c r="E374" s="254"/>
      <c r="F374" s="254"/>
    </row>
    <row r="375" spans="5:6">
      <c r="E375" s="254"/>
      <c r="F375" s="254"/>
    </row>
    <row r="376" spans="5:6">
      <c r="E376" s="254"/>
      <c r="F376" s="254"/>
    </row>
    <row r="377" spans="5:6">
      <c r="E377" s="254"/>
      <c r="F377" s="254"/>
    </row>
    <row r="378" spans="5:6">
      <c r="E378" s="254"/>
      <c r="F378" s="254"/>
    </row>
    <row r="379" spans="5:6">
      <c r="E379" s="254"/>
      <c r="F379" s="254"/>
    </row>
    <row r="380" spans="5:6">
      <c r="E380" s="254"/>
      <c r="F380" s="254"/>
    </row>
    <row r="381" spans="5:6">
      <c r="E381" s="254"/>
      <c r="F381" s="254"/>
    </row>
    <row r="382" spans="5:6">
      <c r="E382" s="254"/>
      <c r="F382" s="254"/>
    </row>
    <row r="383" spans="5:6">
      <c r="E383" s="254"/>
      <c r="F383" s="254"/>
    </row>
    <row r="384" spans="5:6">
      <c r="E384" s="254"/>
      <c r="F384" s="254"/>
    </row>
    <row r="385" spans="5:6">
      <c r="E385" s="254"/>
      <c r="F385" s="254"/>
    </row>
    <row r="386" spans="5:6">
      <c r="E386" s="254"/>
      <c r="F386" s="254"/>
    </row>
    <row r="387" spans="5:6">
      <c r="E387" s="254"/>
      <c r="F387" s="254"/>
    </row>
    <row r="388" spans="5:6">
      <c r="E388" s="254"/>
      <c r="F388" s="254"/>
    </row>
    <row r="389" spans="5:6">
      <c r="E389" s="254"/>
      <c r="F389" s="254"/>
    </row>
    <row r="390" spans="5:6">
      <c r="E390" s="254"/>
      <c r="F390" s="254"/>
    </row>
    <row r="391" spans="5:6">
      <c r="E391" s="254"/>
      <c r="F391" s="254"/>
    </row>
    <row r="392" spans="5:6">
      <c r="E392" s="254"/>
      <c r="F392" s="254"/>
    </row>
    <row r="393" spans="5:6">
      <c r="E393" s="254"/>
      <c r="F393" s="254"/>
    </row>
    <row r="394" spans="5:6">
      <c r="E394" s="254"/>
      <c r="F394" s="254"/>
    </row>
    <row r="395" spans="5:6">
      <c r="E395" s="254"/>
      <c r="F395" s="254"/>
    </row>
    <row r="396" spans="5:6">
      <c r="E396" s="254"/>
      <c r="F396" s="254"/>
    </row>
    <row r="397" spans="5:6">
      <c r="E397" s="254"/>
      <c r="F397" s="254"/>
    </row>
    <row r="398" spans="5:6">
      <c r="E398" s="254"/>
      <c r="F398" s="254"/>
    </row>
    <row r="399" spans="5:6">
      <c r="E399" s="254"/>
      <c r="F399" s="254"/>
    </row>
    <row r="400" spans="5:6">
      <c r="E400" s="254"/>
      <c r="F400" s="254"/>
    </row>
    <row r="401" spans="5:6">
      <c r="E401" s="254"/>
      <c r="F401" s="254"/>
    </row>
    <row r="402" spans="5:6">
      <c r="E402" s="254"/>
      <c r="F402" s="254"/>
    </row>
    <row r="403" spans="5:6">
      <c r="E403" s="254"/>
      <c r="F403" s="254"/>
    </row>
    <row r="404" spans="5:6">
      <c r="E404" s="254"/>
      <c r="F404" s="254"/>
    </row>
    <row r="405" spans="5:6">
      <c r="E405" s="254"/>
      <c r="F405" s="254"/>
    </row>
    <row r="406" spans="5:6">
      <c r="E406" s="254"/>
      <c r="F406" s="254"/>
    </row>
    <row r="407" spans="5:6">
      <c r="E407" s="254"/>
      <c r="F407" s="254"/>
    </row>
    <row r="408" spans="5:6">
      <c r="E408" s="254"/>
      <c r="F408" s="254"/>
    </row>
    <row r="409" spans="5:6">
      <c r="E409" s="254"/>
      <c r="F409" s="254"/>
    </row>
    <row r="410" spans="5:6">
      <c r="E410" s="254"/>
      <c r="F410" s="254"/>
    </row>
    <row r="411" spans="5:6">
      <c r="E411" s="254"/>
      <c r="F411" s="254"/>
    </row>
    <row r="412" spans="5:6">
      <c r="E412" s="254"/>
      <c r="F412" s="254"/>
    </row>
    <row r="413" spans="5:6">
      <c r="E413" s="254"/>
      <c r="F413" s="254"/>
    </row>
    <row r="414" spans="5:6">
      <c r="E414" s="254"/>
      <c r="F414" s="254"/>
    </row>
    <row r="415" spans="5:6">
      <c r="E415" s="254"/>
      <c r="F415" s="254"/>
    </row>
    <row r="416" spans="5:6">
      <c r="E416" s="254"/>
      <c r="F416" s="254"/>
    </row>
    <row r="417" spans="5:6">
      <c r="E417" s="254"/>
      <c r="F417" s="254"/>
    </row>
    <row r="418" spans="5:6">
      <c r="E418" s="254"/>
      <c r="F418" s="254"/>
    </row>
    <row r="419" spans="5:6">
      <c r="E419" s="254"/>
      <c r="F419" s="254"/>
    </row>
    <row r="420" spans="5:6">
      <c r="E420" s="254"/>
      <c r="F420" s="254"/>
    </row>
    <row r="421" spans="5:6">
      <c r="E421" s="254"/>
      <c r="F421" s="254"/>
    </row>
    <row r="422" spans="5:6">
      <c r="E422" s="254"/>
      <c r="F422" s="254"/>
    </row>
    <row r="423" spans="5:6">
      <c r="E423" s="254"/>
      <c r="F423" s="254"/>
    </row>
    <row r="424" spans="5:6">
      <c r="E424" s="254"/>
      <c r="F424" s="254"/>
    </row>
    <row r="425" spans="5:6">
      <c r="E425" s="254"/>
      <c r="F425" s="254"/>
    </row>
    <row r="426" spans="5:6">
      <c r="E426" s="254"/>
      <c r="F426" s="254"/>
    </row>
    <row r="427" spans="5:6">
      <c r="E427" s="254"/>
      <c r="F427" s="254"/>
    </row>
    <row r="428" spans="5:6">
      <c r="E428" s="254"/>
      <c r="F428" s="254"/>
    </row>
    <row r="429" spans="5:6">
      <c r="E429" s="254"/>
      <c r="F429" s="254"/>
    </row>
    <row r="430" spans="5:6">
      <c r="E430" s="254"/>
      <c r="F430" s="254"/>
    </row>
    <row r="431" spans="5:6">
      <c r="E431" s="254"/>
      <c r="F431" s="254"/>
    </row>
    <row r="432" spans="5:6">
      <c r="E432" s="254"/>
      <c r="F432" s="254"/>
    </row>
    <row r="433" spans="5:6">
      <c r="E433" s="254"/>
      <c r="F433" s="254"/>
    </row>
    <row r="434" spans="5:6">
      <c r="E434" s="254"/>
      <c r="F434" s="254"/>
    </row>
    <row r="435" spans="5:6">
      <c r="E435" s="254"/>
      <c r="F435" s="254"/>
    </row>
    <row r="436" spans="5:6">
      <c r="E436" s="254"/>
      <c r="F436" s="254"/>
    </row>
    <row r="437" spans="5:6">
      <c r="E437" s="254"/>
      <c r="F437" s="254"/>
    </row>
    <row r="438" spans="5:6">
      <c r="E438" s="254"/>
      <c r="F438" s="254"/>
    </row>
    <row r="439" spans="5:6">
      <c r="E439" s="254"/>
      <c r="F439" s="254"/>
    </row>
    <row r="440" spans="5:6">
      <c r="E440" s="254"/>
      <c r="F440" s="254"/>
    </row>
    <row r="441" spans="5:6">
      <c r="E441" s="254"/>
      <c r="F441" s="254"/>
    </row>
    <row r="442" spans="5:6">
      <c r="E442" s="254"/>
      <c r="F442" s="254"/>
    </row>
    <row r="443" spans="5:6">
      <c r="E443" s="254"/>
      <c r="F443" s="254"/>
    </row>
    <row r="444" spans="5:6">
      <c r="E444" s="254"/>
      <c r="F444" s="254"/>
    </row>
    <row r="445" spans="5:6">
      <c r="E445" s="254"/>
      <c r="F445" s="254"/>
    </row>
    <row r="446" spans="5:6">
      <c r="E446" s="254"/>
      <c r="F446" s="254"/>
    </row>
    <row r="447" spans="5:6">
      <c r="E447" s="254"/>
      <c r="F447" s="254"/>
    </row>
    <row r="448" spans="5:6">
      <c r="E448" s="254"/>
      <c r="F448" s="254"/>
    </row>
    <row r="449" spans="5:6">
      <c r="E449" s="254"/>
      <c r="F449" s="254"/>
    </row>
    <row r="450" spans="5:6">
      <c r="E450" s="254"/>
      <c r="F450" s="254"/>
    </row>
    <row r="451" spans="5:6">
      <c r="E451" s="254"/>
      <c r="F451" s="254"/>
    </row>
    <row r="452" spans="5:6">
      <c r="E452" s="254"/>
      <c r="F452" s="254"/>
    </row>
    <row r="453" spans="5:6">
      <c r="E453" s="254"/>
      <c r="F453" s="254"/>
    </row>
    <row r="454" spans="5:6">
      <c r="E454" s="254"/>
      <c r="F454" s="254"/>
    </row>
    <row r="455" spans="5:6">
      <c r="E455" s="254"/>
      <c r="F455" s="254"/>
    </row>
    <row r="456" spans="5:6">
      <c r="E456" s="254"/>
      <c r="F456" s="254"/>
    </row>
    <row r="457" spans="5:6">
      <c r="E457" s="254"/>
      <c r="F457" s="254"/>
    </row>
    <row r="458" spans="5:6">
      <c r="E458" s="254"/>
      <c r="F458" s="254"/>
    </row>
    <row r="459" spans="5:6">
      <c r="E459" s="254"/>
      <c r="F459" s="254"/>
    </row>
    <row r="460" spans="5:6">
      <c r="E460" s="254"/>
      <c r="F460" s="254"/>
    </row>
    <row r="461" spans="5:6">
      <c r="E461" s="254"/>
      <c r="F461" s="254"/>
    </row>
    <row r="462" spans="5:6">
      <c r="E462" s="254"/>
      <c r="F462" s="254"/>
    </row>
    <row r="463" spans="5:6">
      <c r="E463" s="254"/>
      <c r="F463" s="254"/>
    </row>
    <row r="464" spans="5:6">
      <c r="E464" s="254"/>
      <c r="F464" s="254"/>
    </row>
    <row r="465" spans="5:6">
      <c r="E465" s="254"/>
      <c r="F465" s="254"/>
    </row>
    <row r="466" spans="5:6">
      <c r="E466" s="254"/>
      <c r="F466" s="254"/>
    </row>
    <row r="467" spans="5:6">
      <c r="E467" s="254"/>
      <c r="F467" s="254"/>
    </row>
    <row r="468" spans="5:6">
      <c r="E468" s="254"/>
      <c r="F468" s="254"/>
    </row>
    <row r="469" spans="5:6">
      <c r="E469" s="254"/>
      <c r="F469" s="254"/>
    </row>
    <row r="470" spans="5:6">
      <c r="E470" s="254"/>
      <c r="F470" s="254"/>
    </row>
    <row r="471" spans="5:6">
      <c r="E471" s="254"/>
      <c r="F471" s="254"/>
    </row>
    <row r="472" spans="5:6">
      <c r="E472" s="254"/>
      <c r="F472" s="254"/>
    </row>
    <row r="473" spans="5:6">
      <c r="E473" s="254"/>
      <c r="F473" s="254"/>
    </row>
    <row r="474" spans="5:6">
      <c r="E474" s="254"/>
      <c r="F474" s="254"/>
    </row>
    <row r="475" spans="5:6">
      <c r="E475" s="254"/>
      <c r="F475" s="254"/>
    </row>
    <row r="476" spans="5:6">
      <c r="E476" s="254"/>
      <c r="F476" s="254"/>
    </row>
    <row r="477" spans="5:6">
      <c r="E477" s="254"/>
      <c r="F477" s="254"/>
    </row>
    <row r="478" spans="5:6">
      <c r="E478" s="254"/>
      <c r="F478" s="254"/>
    </row>
    <row r="479" spans="5:6">
      <c r="E479" s="254"/>
      <c r="F479" s="254"/>
    </row>
    <row r="480" spans="5:6">
      <c r="E480" s="254"/>
      <c r="F480" s="254"/>
    </row>
    <row r="481" spans="5:6">
      <c r="E481" s="254"/>
      <c r="F481" s="254"/>
    </row>
    <row r="482" spans="5:6">
      <c r="E482" s="254"/>
      <c r="F482" s="254"/>
    </row>
    <row r="483" spans="5:6">
      <c r="E483" s="254"/>
      <c r="F483" s="254"/>
    </row>
    <row r="484" spans="5:6">
      <c r="E484" s="254"/>
      <c r="F484" s="254"/>
    </row>
    <row r="485" spans="5:6">
      <c r="E485" s="254"/>
      <c r="F485" s="254"/>
    </row>
    <row r="486" spans="5:6">
      <c r="E486" s="254"/>
      <c r="F486" s="254"/>
    </row>
    <row r="487" spans="5:6">
      <c r="E487" s="254"/>
      <c r="F487" s="254"/>
    </row>
    <row r="488" spans="5:6">
      <c r="E488" s="254"/>
      <c r="F488" s="254"/>
    </row>
    <row r="489" spans="5:6">
      <c r="E489" s="254"/>
      <c r="F489" s="254"/>
    </row>
    <row r="490" spans="5:6">
      <c r="E490" s="254"/>
      <c r="F490" s="254"/>
    </row>
    <row r="491" spans="5:6">
      <c r="E491" s="254"/>
      <c r="F491" s="254"/>
    </row>
    <row r="492" spans="5:6">
      <c r="E492" s="254"/>
      <c r="F492" s="254"/>
    </row>
    <row r="493" spans="5:6">
      <c r="E493" s="254"/>
      <c r="F493" s="254"/>
    </row>
    <row r="494" spans="5:6">
      <c r="E494" s="254"/>
      <c r="F494" s="254"/>
    </row>
    <row r="495" spans="5:6">
      <c r="E495" s="254"/>
      <c r="F495" s="254"/>
    </row>
    <row r="496" spans="5:6">
      <c r="E496" s="254"/>
      <c r="F496" s="254"/>
    </row>
    <row r="497" spans="5:6">
      <c r="E497" s="254"/>
      <c r="F497" s="254"/>
    </row>
    <row r="498" spans="5:6">
      <c r="E498" s="254"/>
      <c r="F498" s="254"/>
    </row>
    <row r="499" spans="5:6">
      <c r="E499" s="254"/>
      <c r="F499" s="254"/>
    </row>
    <row r="500" spans="5:6">
      <c r="E500" s="254"/>
      <c r="F500" s="254"/>
    </row>
    <row r="501" spans="5:6">
      <c r="E501" s="254"/>
      <c r="F501" s="254"/>
    </row>
    <row r="502" spans="5:6">
      <c r="E502" s="254"/>
      <c r="F502" s="254"/>
    </row>
    <row r="503" spans="5:6">
      <c r="E503" s="254"/>
      <c r="F503" s="254"/>
    </row>
    <row r="504" spans="5:6">
      <c r="E504" s="254"/>
      <c r="F504" s="254"/>
    </row>
    <row r="505" spans="5:6">
      <c r="E505" s="254"/>
      <c r="F505" s="254"/>
    </row>
    <row r="506" spans="5:6">
      <c r="E506" s="254"/>
      <c r="F506" s="254"/>
    </row>
    <row r="507" spans="5:6">
      <c r="E507" s="254"/>
      <c r="F507" s="254"/>
    </row>
    <row r="508" spans="5:6">
      <c r="E508" s="254"/>
      <c r="F508" s="254"/>
    </row>
  </sheetData>
  <protectedRanges>
    <protectedRange sqref="H17:I18 J22:Q25 K18:M19 E22:H25 C16 C17:D25 E17:G20 N17:Q20 J17:J20 I20 I22:I24 E21:W21" name="区域1"/>
  </protectedRanges>
  <mergeCells count="2">
    <mergeCell ref="F43:H43"/>
    <mergeCell ref="I43:K43"/>
  </mergeCells>
  <phoneticPr fontId="2" type="noConversion"/>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dimension ref="A1:U6"/>
  <sheetViews>
    <sheetView workbookViewId="0">
      <selection activeCell="Q28" sqref="Q28"/>
    </sheetView>
  </sheetViews>
  <sheetFormatPr defaultRowHeight="12"/>
  <cols>
    <col min="1" max="1" width="11.125" style="237" customWidth="1"/>
    <col min="2" max="16384" width="9" style="237"/>
  </cols>
  <sheetData>
    <row r="1" spans="1:21">
      <c r="A1" s="265"/>
      <c r="B1" s="25" t="str">
        <f>资金需求分析表!D3</f>
        <v>第1年1季度</v>
      </c>
      <c r="C1" s="25" t="str">
        <f>资金需求分析表!E3</f>
        <v>第1年2季度</v>
      </c>
      <c r="D1" s="25" t="str">
        <f>资金需求分析表!F3</f>
        <v>第1年3季度</v>
      </c>
      <c r="E1" s="25" t="str">
        <f>资金需求分析表!G3</f>
        <v>第1年4季度</v>
      </c>
      <c r="F1" s="25" t="str">
        <f>资金需求分析表!H3</f>
        <v>第2年1季度</v>
      </c>
      <c r="G1" s="25" t="str">
        <f>资金需求分析表!I3</f>
        <v>第2年2季度</v>
      </c>
      <c r="H1" s="25" t="str">
        <f>资金需求分析表!J3</f>
        <v>第2年3季度</v>
      </c>
      <c r="I1" s="25" t="str">
        <f>资金需求分析表!K3</f>
        <v>第2年4季度</v>
      </c>
      <c r="J1" s="25" t="str">
        <f>资金需求分析表!L3</f>
        <v>第3年1季度</v>
      </c>
      <c r="K1" s="25" t="str">
        <f>资金需求分析表!M3</f>
        <v>第3年2季度</v>
      </c>
      <c r="L1" s="25" t="str">
        <f>资金需求分析表!N3</f>
        <v>第3年3季度</v>
      </c>
      <c r="M1" s="25" t="str">
        <f>资金需求分析表!O3</f>
        <v>第3年4季度</v>
      </c>
      <c r="N1" s="25" t="str">
        <f>资金需求分析表!P3</f>
        <v>第4年1季度</v>
      </c>
      <c r="O1" s="25" t="str">
        <f>资金需求分析表!Q3</f>
        <v>第4年2季度</v>
      </c>
      <c r="P1" s="25" t="str">
        <f>资金需求分析表!R3</f>
        <v>第4年3季度</v>
      </c>
      <c r="Q1" s="25" t="str">
        <f>资金需求分析表!S3</f>
        <v>第4年4季度</v>
      </c>
      <c r="R1" s="25" t="str">
        <f>资金需求分析表!T3</f>
        <v>第5年1季度</v>
      </c>
      <c r="S1" s="25" t="str">
        <f>资金需求分析表!U3</f>
        <v>第5年2季度</v>
      </c>
      <c r="T1" s="25" t="str">
        <f>资金需求分析表!V3</f>
        <v>第5年3季度</v>
      </c>
      <c r="U1" s="25" t="str">
        <f>资金需求分析表!W3</f>
        <v>第5年4季度</v>
      </c>
    </row>
    <row r="2" spans="1:21">
      <c r="A2" s="251" t="s">
        <v>139</v>
      </c>
      <c r="B2" s="265">
        <f>资金需求分析表!D27</f>
        <v>0</v>
      </c>
      <c r="C2" s="265">
        <f>资金需求分析表!E27</f>
        <v>0</v>
      </c>
      <c r="D2" s="265">
        <f>资金需求分析表!F27</f>
        <v>0</v>
      </c>
      <c r="E2" s="265">
        <f>资金需求分析表!G27</f>
        <v>0</v>
      </c>
      <c r="F2" s="265">
        <f>资金需求分析表!H27</f>
        <v>0</v>
      </c>
      <c r="G2" s="265">
        <f>资金需求分析表!I27</f>
        <v>0</v>
      </c>
      <c r="H2" s="265">
        <f>资金需求分析表!J27</f>
        <v>0</v>
      </c>
      <c r="I2" s="265">
        <f>资金需求分析表!K27</f>
        <v>0</v>
      </c>
      <c r="J2" s="265">
        <f>资金需求分析表!L27</f>
        <v>0</v>
      </c>
      <c r="K2" s="265">
        <f>资金需求分析表!M27</f>
        <v>0</v>
      </c>
      <c r="L2" s="265">
        <f>资金需求分析表!N27</f>
        <v>0</v>
      </c>
      <c r="M2" s="265">
        <f>资金需求分析表!O27</f>
        <v>0</v>
      </c>
      <c r="N2" s="265">
        <f>资金需求分析表!P27</f>
        <v>0</v>
      </c>
      <c r="O2" s="265">
        <f>资金需求分析表!Q27</f>
        <v>0</v>
      </c>
      <c r="P2" s="265">
        <f>资金需求分析表!R27</f>
        <v>0</v>
      </c>
      <c r="Q2" s="265">
        <f>资金需求分析表!S27</f>
        <v>0</v>
      </c>
      <c r="R2" s="265">
        <f>资金需求分析表!T27</f>
        <v>0</v>
      </c>
      <c r="S2" s="265">
        <f>资金需求分析表!U27</f>
        <v>0</v>
      </c>
      <c r="T2" s="265">
        <f>资金需求分析表!V27</f>
        <v>0</v>
      </c>
      <c r="U2" s="265">
        <f>资金需求分析表!W27</f>
        <v>0</v>
      </c>
    </row>
    <row r="3" spans="1:21">
      <c r="A3" s="251" t="s">
        <v>304</v>
      </c>
      <c r="B3" s="265">
        <f>资金需求分析表!D28</f>
        <v>0</v>
      </c>
      <c r="C3" s="265">
        <f>资金需求分析表!E28</f>
        <v>0</v>
      </c>
      <c r="D3" s="265">
        <f>资金需求分析表!F28</f>
        <v>0</v>
      </c>
      <c r="E3" s="265">
        <f>资金需求分析表!G28</f>
        <v>0</v>
      </c>
      <c r="F3" s="265">
        <f>资金需求分析表!H28</f>
        <v>0</v>
      </c>
      <c r="G3" s="265">
        <f>资金需求分析表!I28</f>
        <v>0</v>
      </c>
      <c r="H3" s="265">
        <f>资金需求分析表!J28</f>
        <v>0</v>
      </c>
      <c r="I3" s="265">
        <f>资金需求分析表!K28</f>
        <v>0</v>
      </c>
      <c r="J3" s="265">
        <f>资金需求分析表!L28</f>
        <v>0</v>
      </c>
      <c r="K3" s="265">
        <f>资金需求分析表!M28</f>
        <v>0</v>
      </c>
      <c r="L3" s="265">
        <f>资金需求分析表!N28</f>
        <v>0</v>
      </c>
      <c r="M3" s="265">
        <f>资金需求分析表!O28</f>
        <v>0</v>
      </c>
      <c r="N3" s="265">
        <f>资金需求分析表!P28</f>
        <v>0</v>
      </c>
      <c r="O3" s="265">
        <f>资金需求分析表!Q28</f>
        <v>0</v>
      </c>
      <c r="P3" s="265">
        <f>资金需求分析表!R28</f>
        <v>0</v>
      </c>
      <c r="Q3" s="265">
        <f>资金需求分析表!S28</f>
        <v>0</v>
      </c>
      <c r="R3" s="265">
        <f>资金需求分析表!T28</f>
        <v>0</v>
      </c>
      <c r="S3" s="265">
        <f>资金需求分析表!U28</f>
        <v>0</v>
      </c>
      <c r="T3" s="265">
        <f>资金需求分析表!V28</f>
        <v>0</v>
      </c>
      <c r="U3" s="265">
        <f>资金需求分析表!W28</f>
        <v>0</v>
      </c>
    </row>
    <row r="4" spans="1:21">
      <c r="A4" s="251" t="s">
        <v>435</v>
      </c>
      <c r="B4" s="265">
        <f>资金需求分析表!D29</f>
        <v>0</v>
      </c>
      <c r="C4" s="265">
        <f>资金需求分析表!E29</f>
        <v>0</v>
      </c>
      <c r="D4" s="265">
        <f>资金需求分析表!F29</f>
        <v>0</v>
      </c>
      <c r="E4" s="265">
        <f>资金需求分析表!G29</f>
        <v>0</v>
      </c>
      <c r="F4" s="265">
        <f>资金需求分析表!H29</f>
        <v>0</v>
      </c>
      <c r="G4" s="265">
        <f>资金需求分析表!I29</f>
        <v>0</v>
      </c>
      <c r="H4" s="265">
        <f>资金需求分析表!J29</f>
        <v>0</v>
      </c>
      <c r="I4" s="265">
        <f>资金需求分析表!K29</f>
        <v>0</v>
      </c>
      <c r="J4" s="265">
        <f>资金需求分析表!L29</f>
        <v>0</v>
      </c>
      <c r="K4" s="265">
        <f>资金需求分析表!M29</f>
        <v>0</v>
      </c>
      <c r="L4" s="265">
        <f>资金需求分析表!N29</f>
        <v>0</v>
      </c>
      <c r="M4" s="265">
        <f>资金需求分析表!O29</f>
        <v>0</v>
      </c>
      <c r="N4" s="265">
        <f>资金需求分析表!P29</f>
        <v>0</v>
      </c>
      <c r="O4" s="265">
        <f>资金需求分析表!Q29</f>
        <v>0</v>
      </c>
      <c r="P4" s="265">
        <f>资金需求分析表!R29</f>
        <v>0</v>
      </c>
      <c r="Q4" s="265">
        <f>资金需求分析表!S29</f>
        <v>0</v>
      </c>
      <c r="R4" s="265">
        <f>资金需求分析表!T29</f>
        <v>0</v>
      </c>
      <c r="S4" s="265">
        <f>资金需求分析表!U29</f>
        <v>0</v>
      </c>
      <c r="T4" s="265">
        <f>资金需求分析表!V29</f>
        <v>0</v>
      </c>
      <c r="U4" s="265">
        <f>资金需求分析表!W29</f>
        <v>0</v>
      </c>
    </row>
    <row r="5" spans="1:21">
      <c r="A5" s="251" t="s">
        <v>297</v>
      </c>
      <c r="B5" s="265">
        <f>资金需求分析表!D30</f>
        <v>0</v>
      </c>
      <c r="C5" s="265">
        <f>资金需求分析表!E30</f>
        <v>0</v>
      </c>
      <c r="D5" s="265">
        <f>资金需求分析表!F30</f>
        <v>0</v>
      </c>
      <c r="E5" s="265">
        <f>资金需求分析表!G30</f>
        <v>0</v>
      </c>
      <c r="F5" s="265">
        <f>资金需求分析表!H30</f>
        <v>0</v>
      </c>
      <c r="G5" s="265">
        <f>资金需求分析表!I30</f>
        <v>0</v>
      </c>
      <c r="H5" s="265">
        <f>资金需求分析表!J30</f>
        <v>0</v>
      </c>
      <c r="I5" s="265">
        <f>资金需求分析表!K30</f>
        <v>0</v>
      </c>
      <c r="J5" s="265">
        <f>资金需求分析表!L30</f>
        <v>0</v>
      </c>
      <c r="K5" s="265">
        <f>资金需求分析表!M30</f>
        <v>0</v>
      </c>
      <c r="L5" s="265">
        <f>资金需求分析表!N30</f>
        <v>0</v>
      </c>
      <c r="M5" s="265">
        <f>资金需求分析表!O30</f>
        <v>0</v>
      </c>
      <c r="N5" s="265">
        <f>资金需求分析表!P30</f>
        <v>0</v>
      </c>
      <c r="O5" s="265">
        <f>资金需求分析表!Q30</f>
        <v>0</v>
      </c>
      <c r="P5" s="265">
        <f>资金需求分析表!R30</f>
        <v>0</v>
      </c>
      <c r="Q5" s="265">
        <f>资金需求分析表!S30</f>
        <v>0</v>
      </c>
      <c r="R5" s="265">
        <f>资金需求分析表!T30</f>
        <v>0</v>
      </c>
      <c r="S5" s="265">
        <f>资金需求分析表!U30</f>
        <v>0</v>
      </c>
      <c r="T5" s="265">
        <f>资金需求分析表!V30</f>
        <v>0</v>
      </c>
      <c r="U5" s="265">
        <f>资金需求分析表!W30</f>
        <v>0</v>
      </c>
    </row>
    <row r="6" spans="1:21">
      <c r="A6" s="251" t="s">
        <v>308</v>
      </c>
      <c r="B6" s="265">
        <f>资金需求分析表!D32</f>
        <v>-23000</v>
      </c>
      <c r="C6" s="265">
        <f>资金需求分析表!E32</f>
        <v>-29489.39734139495</v>
      </c>
      <c r="D6" s="265">
        <f>资金需求分析表!F32</f>
        <v>-47484.30121040831</v>
      </c>
      <c r="E6" s="265">
        <f>资金需求分析表!G32</f>
        <v>-55479.205079421678</v>
      </c>
      <c r="F6" s="265">
        <f>资金需求分析表!H32</f>
        <v>-38930.828922789871</v>
      </c>
      <c r="G6" s="265">
        <f>资金需求分析表!I32</f>
        <v>-22249.763994739558</v>
      </c>
      <c r="H6" s="265">
        <f>资金需求分析表!J32</f>
        <v>-23592.013707028342</v>
      </c>
      <c r="I6" s="265">
        <f>资金需求分析表!K32</f>
        <v>-9861.7293740028636</v>
      </c>
      <c r="J6" s="265">
        <f>资金需求分析表!L32</f>
        <v>-3497.2222212919751</v>
      </c>
      <c r="K6" s="265">
        <f>资金需求分析表!M32</f>
        <v>4564.4021708005548</v>
      </c>
      <c r="L6" s="265">
        <f>资金需求分析表!N32</f>
        <v>17860.799830320146</v>
      </c>
      <c r="M6" s="265">
        <f>资金需求分析表!O32</f>
        <v>36593.316093853035</v>
      </c>
      <c r="N6" s="265">
        <f>资金需求分析表!P32</f>
        <v>50397.127596752536</v>
      </c>
      <c r="O6" s="265">
        <f>资金需求分析表!Q32</f>
        <v>52268.33981014591</v>
      </c>
      <c r="P6" s="265">
        <f>资金需求分析表!R32</f>
        <v>51420.731932259405</v>
      </c>
      <c r="Q6" s="265">
        <f>资金需求分析表!S32</f>
        <v>50405.338259848322</v>
      </c>
      <c r="R6" s="265">
        <f>资金需求分析表!T32</f>
        <v>50405.338259848322</v>
      </c>
      <c r="S6" s="265">
        <f>资金需求分析表!U32</f>
        <v>50405.338259848322</v>
      </c>
      <c r="T6" s="265">
        <f>资金需求分析表!V32</f>
        <v>50405.338259848322</v>
      </c>
      <c r="U6" s="265">
        <f>资金需求分析表!W32</f>
        <v>50405.338259848322</v>
      </c>
    </row>
  </sheetData>
  <phoneticPr fontId="2"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dimension ref="A1:X55"/>
  <sheetViews>
    <sheetView workbookViewId="0">
      <pane xSplit="2" ySplit="4" topLeftCell="N5" activePane="bottomRight" state="frozen"/>
      <selection pane="topRight" activeCell="C1" sqref="C1"/>
      <selection pane="bottomLeft" activeCell="A5" sqref="A5"/>
      <selection pane="bottomRight" activeCell="B23" sqref="B23"/>
    </sheetView>
  </sheetViews>
  <sheetFormatPr defaultRowHeight="12.75"/>
  <cols>
    <col min="1" max="1" width="20.75" style="17" customWidth="1"/>
    <col min="2" max="2" width="10.125" style="27" customWidth="1"/>
    <col min="3" max="22" width="10.125" style="28" customWidth="1"/>
    <col min="23" max="23" width="9.625" style="17" customWidth="1"/>
    <col min="24" max="16384" width="9" style="17"/>
  </cols>
  <sheetData>
    <row r="1" spans="1:23" ht="20.25" customHeight="1">
      <c r="A1" s="446">
        <f>项目现金流量表!A1</f>
        <v>15</v>
      </c>
      <c r="B1" s="297"/>
      <c r="C1" s="16"/>
      <c r="D1" s="16"/>
      <c r="E1" s="16"/>
      <c r="F1" s="16" t="s">
        <v>643</v>
      </c>
      <c r="G1" s="16"/>
      <c r="H1" s="16"/>
      <c r="I1" s="16"/>
      <c r="J1" s="16"/>
      <c r="K1" s="16"/>
      <c r="L1" s="16"/>
      <c r="M1" s="16"/>
      <c r="N1" s="16"/>
      <c r="O1" s="16"/>
      <c r="P1" s="16"/>
      <c r="Q1" s="16"/>
      <c r="R1" s="16"/>
      <c r="S1" s="16"/>
      <c r="T1" s="16"/>
      <c r="U1" s="16"/>
      <c r="V1" s="16"/>
      <c r="W1" s="32"/>
    </row>
    <row r="2" spans="1:23" s="19" customFormat="1" ht="12.75" customHeight="1">
      <c r="A2" s="18" t="s">
        <v>46</v>
      </c>
      <c r="B2" s="307"/>
      <c r="C2" s="21"/>
      <c r="D2" s="21"/>
      <c r="E2" s="21"/>
      <c r="F2" s="21"/>
      <c r="G2" s="21"/>
      <c r="H2" s="33" t="s">
        <v>62</v>
      </c>
      <c r="I2" s="21"/>
      <c r="J2" s="21"/>
      <c r="K2" s="33" t="s">
        <v>61</v>
      </c>
      <c r="L2" s="21"/>
      <c r="M2" s="21"/>
      <c r="N2" s="21"/>
      <c r="O2" s="21"/>
      <c r="P2" s="21"/>
      <c r="Q2" s="21"/>
      <c r="R2" s="21"/>
      <c r="S2" s="21"/>
      <c r="T2" s="21"/>
      <c r="U2" s="21"/>
      <c r="V2" s="21"/>
    </row>
    <row r="3" spans="1:23" s="21" customFormat="1">
      <c r="A3" s="34" t="s">
        <v>47</v>
      </c>
      <c r="B3" s="20" t="s">
        <v>40</v>
      </c>
      <c r="C3" s="455" t="str">
        <f>项目现金流量表!C3</f>
        <v>第1年1季度</v>
      </c>
      <c r="D3" s="455" t="str">
        <f>项目现金流量表!D3</f>
        <v>第1年2季度</v>
      </c>
      <c r="E3" s="455" t="str">
        <f>项目现金流量表!E3</f>
        <v>第1年3季度</v>
      </c>
      <c r="F3" s="455" t="str">
        <f>项目现金流量表!F3</f>
        <v>第1年4季度</v>
      </c>
      <c r="G3" s="455" t="str">
        <f>项目现金流量表!G3</f>
        <v>第2年1季度</v>
      </c>
      <c r="H3" s="455" t="str">
        <f>项目现金流量表!H3</f>
        <v>第2年2季度</v>
      </c>
      <c r="I3" s="455" t="str">
        <f>项目现金流量表!I3</f>
        <v>第2年3季度</v>
      </c>
      <c r="J3" s="455" t="str">
        <f>项目现金流量表!J3</f>
        <v>第2年4季度</v>
      </c>
      <c r="K3" s="455" t="str">
        <f>项目现金流量表!K3</f>
        <v>第3年1季度</v>
      </c>
      <c r="L3" s="455" t="str">
        <f>项目现金流量表!L3</f>
        <v>第3年2季度</v>
      </c>
      <c r="M3" s="455" t="str">
        <f>项目现金流量表!M3</f>
        <v>第3年3季度</v>
      </c>
      <c r="N3" s="455" t="str">
        <f>项目现金流量表!N3</f>
        <v>第3年4季度</v>
      </c>
      <c r="O3" s="455" t="str">
        <f>项目现金流量表!O3</f>
        <v>第4年1季度</v>
      </c>
      <c r="P3" s="455" t="str">
        <f>项目现金流量表!P3</f>
        <v>第4年2季度</v>
      </c>
      <c r="Q3" s="455" t="str">
        <f>项目现金流量表!Q3</f>
        <v>第4年3季度</v>
      </c>
      <c r="R3" s="455" t="str">
        <f>项目现金流量表!R3</f>
        <v>第4年4季度</v>
      </c>
      <c r="S3" s="455" t="str">
        <f>项目现金流量表!S3</f>
        <v>第5年1季度</v>
      </c>
      <c r="T3" s="455" t="str">
        <f>项目现金流量表!T3</f>
        <v>第5年2季度</v>
      </c>
      <c r="U3" s="455" t="str">
        <f>项目现金流量表!U3</f>
        <v>第5年3季度</v>
      </c>
      <c r="V3" s="455" t="str">
        <f>项目现金流量表!V3</f>
        <v>第5年4季度</v>
      </c>
    </row>
    <row r="4" spans="1:23">
      <c r="A4" s="36" t="s">
        <v>63</v>
      </c>
      <c r="B4" s="115"/>
      <c r="C4" s="308"/>
      <c r="D4" s="308"/>
      <c r="E4" s="308"/>
      <c r="F4" s="308"/>
      <c r="G4" s="308"/>
      <c r="H4" s="309"/>
      <c r="I4" s="309"/>
      <c r="J4" s="309"/>
      <c r="K4" s="309"/>
      <c r="L4" s="37"/>
      <c r="M4" s="37"/>
      <c r="N4" s="37"/>
      <c r="O4" s="37"/>
      <c r="P4" s="37"/>
      <c r="Q4" s="37"/>
      <c r="R4" s="37"/>
      <c r="S4" s="37"/>
      <c r="T4" s="37"/>
      <c r="U4" s="37"/>
      <c r="V4" s="300"/>
    </row>
    <row r="5" spans="1:23" s="72" customFormat="1" ht="15.75" customHeight="1">
      <c r="A5" s="121" t="s">
        <v>645</v>
      </c>
      <c r="B5" s="115">
        <f>SUM(C5:V5)</f>
        <v>335665.88300751883</v>
      </c>
      <c r="C5" s="310">
        <f>开发和销售计划!B26</f>
        <v>0</v>
      </c>
      <c r="D5" s="310">
        <f>开发和销售计划!C26</f>
        <v>0</v>
      </c>
      <c r="E5" s="310">
        <f>开发和销售计划!D26</f>
        <v>0</v>
      </c>
      <c r="F5" s="310">
        <f>开发和销售计划!E26</f>
        <v>0</v>
      </c>
      <c r="G5" s="310">
        <f>开发和销售计划!F26</f>
        <v>60000</v>
      </c>
      <c r="H5" s="310">
        <f>开发和销售计划!G26</f>
        <v>36000</v>
      </c>
      <c r="I5" s="310">
        <f>开发和销售计划!H26</f>
        <v>24000</v>
      </c>
      <c r="J5" s="310">
        <f>开发和销售计划!I26</f>
        <v>56097.407894736847</v>
      </c>
      <c r="K5" s="310">
        <f>开发和销售计划!J26</f>
        <v>33658.44473684211</v>
      </c>
      <c r="L5" s="310">
        <f>开发和销售计划!K26</f>
        <v>22438.963157894737</v>
      </c>
      <c r="M5" s="310">
        <f>开发和销售计划!L26</f>
        <v>51735.533609022561</v>
      </c>
      <c r="N5" s="310">
        <f>开发和销售计划!M26</f>
        <v>31041.320165413537</v>
      </c>
      <c r="O5" s="310">
        <f>开发和销售计划!N26</f>
        <v>20694.213443609027</v>
      </c>
      <c r="P5" s="310">
        <f>开发和销售计划!O26</f>
        <v>0</v>
      </c>
      <c r="Q5" s="310">
        <f>开发和销售计划!P26</f>
        <v>0</v>
      </c>
      <c r="R5" s="310">
        <f>开发和销售计划!Q26</f>
        <v>0</v>
      </c>
      <c r="S5" s="310">
        <f>开发和销售计划!R26</f>
        <v>0</v>
      </c>
      <c r="T5" s="310">
        <f>开发和销售计划!S26</f>
        <v>0</v>
      </c>
      <c r="U5" s="310">
        <f>开发和销售计划!T26</f>
        <v>0</v>
      </c>
      <c r="V5" s="310">
        <f>开发和销售计划!U26</f>
        <v>0</v>
      </c>
    </row>
    <row r="6" spans="1:23" s="72" customFormat="1">
      <c r="A6" s="87" t="s">
        <v>646</v>
      </c>
      <c r="B6" s="115">
        <f>SUM(C6:V6)</f>
        <v>215264.04420641201</v>
      </c>
      <c r="C6" s="115">
        <f>开发和销售计划!B49*假设条件及经济指标!$G$14</f>
        <v>0</v>
      </c>
      <c r="D6" s="115">
        <f>开发和销售计划!C49*假设条件及经济指标!$G$14</f>
        <v>0</v>
      </c>
      <c r="E6" s="115">
        <f>开发和销售计划!D49*假设条件及经济指标!$G$14</f>
        <v>0</v>
      </c>
      <c r="F6" s="115">
        <f>开发和销售计划!E49*假设条件及经济指标!$G$14</f>
        <v>0</v>
      </c>
      <c r="G6" s="115">
        <f>开发和销售计划!F49*假设条件及经济指标!$G$14</f>
        <v>38875</v>
      </c>
      <c r="H6" s="115">
        <f>开发和销售计划!G49*假设条件及经济指标!$G$14</f>
        <v>23325</v>
      </c>
      <c r="I6" s="115">
        <f>开发和销售计划!H49*假设条件及经济指标!$G$14</f>
        <v>15550</v>
      </c>
      <c r="J6" s="115">
        <f>开发和销售计划!I49*假设条件及经济指标!$G$14</f>
        <v>32533.44473684211</v>
      </c>
      <c r="K6" s="115">
        <f>开发和销售计划!J49*假设条件及经济指标!$G$14</f>
        <v>21081.672189473684</v>
      </c>
      <c r="L6" s="115">
        <f>开发和销售计划!K49*假设条件及经济指标!$G$14</f>
        <v>14054.44812631579</v>
      </c>
      <c r="M6" s="115">
        <f>开发和销售计划!L49*假设条件及经济指标!$G$14</f>
        <v>34372.283048120313</v>
      </c>
      <c r="N6" s="115">
        <f>开发和销售计划!M49*假设条件及经济指标!$G$14</f>
        <v>20623.369828872186</v>
      </c>
      <c r="O6" s="115">
        <f>开发和销售计划!N49*假设条件及经济指标!$G$14</f>
        <v>14848.826276787975</v>
      </c>
      <c r="P6" s="115">
        <f>开发和销售计划!O49*假设条件及经济指标!$G$14</f>
        <v>0</v>
      </c>
      <c r="Q6" s="115">
        <f>开发和销售计划!P49*假设条件及经济指标!$G$14</f>
        <v>0</v>
      </c>
      <c r="R6" s="115">
        <f>开发和销售计划!Q49*假设条件及经济指标!$G$14</f>
        <v>0</v>
      </c>
      <c r="S6" s="115">
        <f>开发和销售计划!R49*假设条件及经济指标!$G$14</f>
        <v>0</v>
      </c>
      <c r="T6" s="115">
        <f>开发和销售计划!S49*假设条件及经济指标!$G$14</f>
        <v>0</v>
      </c>
      <c r="U6" s="115">
        <f>开发和销售计划!T49*假设条件及经济指标!$G$14</f>
        <v>0</v>
      </c>
      <c r="V6" s="115">
        <f>开发和销售计划!U49*假设条件及经济指标!$G$14</f>
        <v>0</v>
      </c>
    </row>
    <row r="7" spans="1:23" s="72" customFormat="1">
      <c r="A7" s="87" t="s">
        <v>647</v>
      </c>
      <c r="B7" s="115">
        <f>SUM(C7:V7)</f>
        <v>215264.04420641204</v>
      </c>
      <c r="C7" s="115">
        <f>C6*80%</f>
        <v>0</v>
      </c>
      <c r="D7" s="115">
        <f>D6*80%+C6*20%</f>
        <v>0</v>
      </c>
      <c r="E7" s="115">
        <f t="shared" ref="E7:U7" si="0">E6*80%+D6*20%</f>
        <v>0</v>
      </c>
      <c r="F7" s="115">
        <f t="shared" si="0"/>
        <v>0</v>
      </c>
      <c r="G7" s="115">
        <f t="shared" si="0"/>
        <v>31100</v>
      </c>
      <c r="H7" s="115">
        <f t="shared" si="0"/>
        <v>26435</v>
      </c>
      <c r="I7" s="115">
        <f t="shared" si="0"/>
        <v>17105</v>
      </c>
      <c r="J7" s="115">
        <f t="shared" si="0"/>
        <v>29136.755789473689</v>
      </c>
      <c r="K7" s="115">
        <f t="shared" si="0"/>
        <v>23372.026698947368</v>
      </c>
      <c r="L7" s="115">
        <f t="shared" si="0"/>
        <v>15459.892938947371</v>
      </c>
      <c r="M7" s="115">
        <f t="shared" si="0"/>
        <v>30308.716063759413</v>
      </c>
      <c r="N7" s="115">
        <f t="shared" si="0"/>
        <v>23373.152472721813</v>
      </c>
      <c r="O7" s="115">
        <f t="shared" si="0"/>
        <v>16003.734987204818</v>
      </c>
      <c r="P7" s="115">
        <f t="shared" si="0"/>
        <v>2969.7652553575954</v>
      </c>
      <c r="Q7" s="115">
        <f t="shared" si="0"/>
        <v>0</v>
      </c>
      <c r="R7" s="115">
        <f t="shared" si="0"/>
        <v>0</v>
      </c>
      <c r="S7" s="115">
        <f t="shared" si="0"/>
        <v>0</v>
      </c>
      <c r="T7" s="115">
        <f t="shared" si="0"/>
        <v>0</v>
      </c>
      <c r="U7" s="115">
        <f t="shared" si="0"/>
        <v>0</v>
      </c>
      <c r="V7" s="115">
        <f>V6+U6*20%</f>
        <v>0</v>
      </c>
    </row>
    <row r="8" spans="1:23" s="72" customFormat="1">
      <c r="A8" s="672" t="s">
        <v>694</v>
      </c>
      <c r="B8" s="115">
        <f>SUM(C8:V8)</f>
        <v>0</v>
      </c>
      <c r="C8" s="115">
        <f>现金流出表!B13</f>
        <v>0</v>
      </c>
      <c r="D8" s="115">
        <f>现金流出表!C13</f>
        <v>0</v>
      </c>
      <c r="E8" s="115">
        <f>现金流出表!D13</f>
        <v>0</v>
      </c>
      <c r="F8" s="115">
        <f>现金流出表!E13</f>
        <v>0</v>
      </c>
      <c r="G8" s="115">
        <f>现金流出表!F13</f>
        <v>0</v>
      </c>
      <c r="H8" s="115">
        <f>现金流出表!G13</f>
        <v>0</v>
      </c>
      <c r="I8" s="115">
        <f>现金流出表!H13</f>
        <v>0</v>
      </c>
      <c r="J8" s="115">
        <f>现金流出表!I13</f>
        <v>0</v>
      </c>
      <c r="K8" s="115">
        <f>现金流出表!J13</f>
        <v>0</v>
      </c>
      <c r="L8" s="115">
        <f>现金流出表!K13</f>
        <v>0</v>
      </c>
      <c r="M8" s="115">
        <f>现金流出表!L13</f>
        <v>0</v>
      </c>
      <c r="N8" s="115">
        <f>现金流出表!M13</f>
        <v>0</v>
      </c>
      <c r="O8" s="115">
        <f>现金流出表!N13</f>
        <v>0</v>
      </c>
      <c r="P8" s="115">
        <f>现金流出表!O13</f>
        <v>0</v>
      </c>
      <c r="Q8" s="115">
        <f>现金流出表!P13</f>
        <v>0</v>
      </c>
      <c r="R8" s="115">
        <f>现金流出表!Q13</f>
        <v>0</v>
      </c>
      <c r="S8" s="115">
        <f>现金流出表!R13</f>
        <v>0</v>
      </c>
      <c r="T8" s="115">
        <f>现金流出表!S13</f>
        <v>0</v>
      </c>
      <c r="U8" s="115">
        <f>现金流出表!T13</f>
        <v>0</v>
      </c>
      <c r="V8" s="115">
        <f>现金流出表!U13</f>
        <v>0</v>
      </c>
    </row>
    <row r="9" spans="1:23">
      <c r="A9" s="305" t="s">
        <v>67</v>
      </c>
      <c r="B9" s="306">
        <f>SUM(C9:V9)</f>
        <v>215264.04420641204</v>
      </c>
      <c r="C9" s="306">
        <f t="shared" ref="C9:V9" si="1">SUM(C7:C8)</f>
        <v>0</v>
      </c>
      <c r="D9" s="306">
        <f t="shared" si="1"/>
        <v>0</v>
      </c>
      <c r="E9" s="306">
        <f t="shared" si="1"/>
        <v>0</v>
      </c>
      <c r="F9" s="306">
        <f t="shared" si="1"/>
        <v>0</v>
      </c>
      <c r="G9" s="306">
        <f t="shared" si="1"/>
        <v>31100</v>
      </c>
      <c r="H9" s="306">
        <f t="shared" si="1"/>
        <v>26435</v>
      </c>
      <c r="I9" s="306">
        <f t="shared" si="1"/>
        <v>17105</v>
      </c>
      <c r="J9" s="306">
        <f t="shared" si="1"/>
        <v>29136.755789473689</v>
      </c>
      <c r="K9" s="306">
        <f t="shared" si="1"/>
        <v>23372.026698947368</v>
      </c>
      <c r="L9" s="306">
        <f t="shared" si="1"/>
        <v>15459.892938947371</v>
      </c>
      <c r="M9" s="306">
        <f t="shared" si="1"/>
        <v>30308.716063759413</v>
      </c>
      <c r="N9" s="306">
        <f t="shared" si="1"/>
        <v>23373.152472721813</v>
      </c>
      <c r="O9" s="306">
        <f t="shared" si="1"/>
        <v>16003.734987204818</v>
      </c>
      <c r="P9" s="306">
        <f t="shared" si="1"/>
        <v>2969.7652553575954</v>
      </c>
      <c r="Q9" s="306">
        <f t="shared" si="1"/>
        <v>0</v>
      </c>
      <c r="R9" s="306">
        <f t="shared" si="1"/>
        <v>0</v>
      </c>
      <c r="S9" s="306">
        <f t="shared" si="1"/>
        <v>0</v>
      </c>
      <c r="T9" s="306">
        <f t="shared" si="1"/>
        <v>0</v>
      </c>
      <c r="U9" s="306">
        <f t="shared" si="1"/>
        <v>0</v>
      </c>
      <c r="V9" s="306">
        <f t="shared" si="1"/>
        <v>0</v>
      </c>
    </row>
    <row r="10" spans="1:23" s="28" customFormat="1">
      <c r="A10" s="40" t="s">
        <v>68</v>
      </c>
      <c r="B10" s="298">
        <f>NPV(经济指标!E15/4,D9:V9)+C9</f>
        <v>177907.61256646016</v>
      </c>
      <c r="C10" s="41"/>
      <c r="D10" s="41"/>
      <c r="E10" s="41"/>
      <c r="F10" s="41"/>
      <c r="G10" s="41"/>
      <c r="H10" s="41"/>
      <c r="I10" s="41"/>
      <c r="J10" s="41"/>
      <c r="K10" s="41"/>
      <c r="L10" s="41"/>
      <c r="M10" s="41"/>
      <c r="N10" s="41"/>
      <c r="O10" s="41"/>
      <c r="P10" s="41"/>
      <c r="Q10" s="41"/>
      <c r="R10" s="41"/>
      <c r="S10" s="41"/>
      <c r="T10" s="41"/>
      <c r="U10" s="41"/>
      <c r="V10" s="31"/>
    </row>
    <row r="11" spans="1:23">
      <c r="A11" s="42" t="s">
        <v>69</v>
      </c>
      <c r="B11" s="299"/>
      <c r="C11" s="311"/>
      <c r="D11" s="311"/>
      <c r="E11" s="311"/>
      <c r="F11" s="311"/>
      <c r="G11" s="311"/>
      <c r="H11" s="311"/>
      <c r="I11" s="311"/>
      <c r="J11" s="311"/>
      <c r="K11" s="311"/>
      <c r="L11" s="43"/>
      <c r="M11" s="43"/>
      <c r="N11" s="43"/>
      <c r="O11" s="43"/>
      <c r="P11" s="43"/>
      <c r="Q11" s="43"/>
      <c r="R11" s="43"/>
      <c r="S11" s="43"/>
      <c r="T11" s="43"/>
      <c r="U11" s="43"/>
      <c r="V11" s="301"/>
    </row>
    <row r="12" spans="1:23">
      <c r="A12" s="38" t="s">
        <v>118</v>
      </c>
      <c r="B12" s="115">
        <f t="shared" ref="B12:B19" si="2">SUM(C12:V12)</f>
        <v>60300</v>
      </c>
      <c r="C12" s="110">
        <f>现金流出表!B4*假设条件及经济指标!$G$14</f>
        <v>23000</v>
      </c>
      <c r="D12" s="110">
        <f>现金流出表!C4*假设条件及经济指标!$G$14</f>
        <v>0</v>
      </c>
      <c r="E12" s="110">
        <f>现金流出表!D4*假设条件及经济指标!$G$14</f>
        <v>10000</v>
      </c>
      <c r="F12" s="110">
        <f>现金流出表!E4*假设条件及经济指标!$G$14</f>
        <v>0</v>
      </c>
      <c r="G12" s="110">
        <f>现金流出表!F4*假设条件及经济指标!$G$14</f>
        <v>0</v>
      </c>
      <c r="H12" s="110">
        <f>现金流出表!G4*假设条件及经济指标!$G$14</f>
        <v>0</v>
      </c>
      <c r="I12" s="110">
        <f>现金流出表!H4*假设条件及经济指标!$G$14</f>
        <v>10000</v>
      </c>
      <c r="J12" s="110">
        <f>现金流出表!I4*假设条件及经济指标!$G$14</f>
        <v>0</v>
      </c>
      <c r="K12" s="110">
        <f>现金流出表!J4*假设条件及经济指标!$G$14</f>
        <v>7300</v>
      </c>
      <c r="L12" s="110">
        <f>现金流出表!K4*假设条件及经济指标!$G$14</f>
        <v>0</v>
      </c>
      <c r="M12" s="110">
        <f>现金流出表!L4*假设条件及经济指标!$G$14</f>
        <v>10000</v>
      </c>
      <c r="N12" s="110">
        <f>现金流出表!M4*假设条件及经济指标!$G$14</f>
        <v>0</v>
      </c>
      <c r="O12" s="110">
        <f>现金流出表!N4*假设条件及经济指标!$G$14</f>
        <v>0</v>
      </c>
      <c r="P12" s="110">
        <f>现金流出表!O4*假设条件及经济指标!$G$14</f>
        <v>0</v>
      </c>
      <c r="Q12" s="110">
        <f>现金流出表!P4*假设条件及经济指标!$G$14</f>
        <v>0</v>
      </c>
      <c r="R12" s="110">
        <f>现金流出表!Q4*假设条件及经济指标!$G$14</f>
        <v>0</v>
      </c>
      <c r="S12" s="110">
        <f>现金流出表!R4*假设条件及经济指标!$G$14</f>
        <v>0</v>
      </c>
      <c r="T12" s="110">
        <f>现金流出表!S4*假设条件及经济指标!$G$14</f>
        <v>0</v>
      </c>
      <c r="U12" s="110">
        <f>现金流出表!T4*假设条件及经济指标!$G$14</f>
        <v>0</v>
      </c>
      <c r="V12" s="110">
        <f>现金流出表!U4*假设条件及经济指标!$G$14</f>
        <v>0</v>
      </c>
    </row>
    <row r="13" spans="1:23">
      <c r="A13" s="38" t="s">
        <v>117</v>
      </c>
      <c r="B13" s="115">
        <f t="shared" si="2"/>
        <v>5765.1801825904367</v>
      </c>
      <c r="C13" s="110">
        <f>现金流出表!B5*假设条件及经济指标!$G$14</f>
        <v>0</v>
      </c>
      <c r="D13" s="110">
        <f>现金流出表!C5*假设条件及经济指标!$G$14</f>
        <v>2068.1414679450127</v>
      </c>
      <c r="E13" s="110">
        <f>现金流出表!D5*假设条件及经济指标!$G$14</f>
        <v>0</v>
      </c>
      <c r="F13" s="110">
        <f>现金流出表!E5*假设条件及经济指标!$G$14</f>
        <v>0</v>
      </c>
      <c r="G13" s="110">
        <f>现金流出表!F5*假设条件及经济指标!$G$14</f>
        <v>1914.4059905094023</v>
      </c>
      <c r="H13" s="110">
        <f>现金流出表!G5*假设条件及经济指标!$G$14</f>
        <v>0</v>
      </c>
      <c r="I13" s="110">
        <f>现金流出表!H5*假设条件及经济指标!$G$14</f>
        <v>0</v>
      </c>
      <c r="J13" s="110">
        <f>现金流出表!I5*假设条件及经济指标!$G$14</f>
        <v>1782.6327241360218</v>
      </c>
      <c r="K13" s="110">
        <f>现金流出表!J5*假设条件及经济指标!$G$14</f>
        <v>0</v>
      </c>
      <c r="L13" s="110">
        <f>现金流出表!K5*假设条件及经济指标!$G$14</f>
        <v>0</v>
      </c>
      <c r="M13" s="110">
        <f>现金流出表!L5*假设条件及经济指标!$G$14</f>
        <v>0</v>
      </c>
      <c r="N13" s="110">
        <f>现金流出表!M5*假设条件及经济指标!$G$14</f>
        <v>0</v>
      </c>
      <c r="O13" s="110">
        <f>现金流出表!N5*假设条件及经济指标!$G$14</f>
        <v>0</v>
      </c>
      <c r="P13" s="110">
        <f>现金流出表!O5*假设条件及经济指标!$G$14</f>
        <v>0</v>
      </c>
      <c r="Q13" s="110">
        <f>现金流出表!P5*假设条件及经济指标!$G$14</f>
        <v>0</v>
      </c>
      <c r="R13" s="110">
        <f>现金流出表!Q5*假设条件及经济指标!$G$14</f>
        <v>0</v>
      </c>
      <c r="S13" s="110">
        <f>现金流出表!R5*假设条件及经济指标!$G$14</f>
        <v>0</v>
      </c>
      <c r="T13" s="110">
        <f>现金流出表!S5*假设条件及经济指标!$G$14</f>
        <v>0</v>
      </c>
      <c r="U13" s="110">
        <f>现金流出表!T5*假设条件及经济指标!$G$14</f>
        <v>0</v>
      </c>
      <c r="V13" s="110">
        <f>现金流出表!U5*假设条件及经济指标!$G$14</f>
        <v>0</v>
      </c>
    </row>
    <row r="14" spans="1:23">
      <c r="A14" s="39" t="s">
        <v>119</v>
      </c>
      <c r="B14" s="115">
        <f t="shared" si="2"/>
        <v>64668.094809022565</v>
      </c>
      <c r="C14" s="110">
        <f>现金流出表!B6*假设条件及经济指标!$G$14</f>
        <v>0</v>
      </c>
      <c r="D14" s="110">
        <f>现金流出表!C6*假设条件及经济指标!$G$14</f>
        <v>3573.6479955634281</v>
      </c>
      <c r="E14" s="110">
        <f>现金流出表!D6*假设条件及经济指标!$G$14</f>
        <v>7147.2959911268563</v>
      </c>
      <c r="F14" s="110">
        <f>现金流出表!E6*假设条件及经济指标!$G$14</f>
        <v>7147.2959911268563</v>
      </c>
      <c r="G14" s="110">
        <f>现金流出表!F6*假设条件及经济指标!$G$14</f>
        <v>9161.6599749722845</v>
      </c>
      <c r="H14" s="110">
        <f>现金流出表!G6*假设条件及经济指标!$G$14</f>
        <v>6672.5696940631788</v>
      </c>
      <c r="I14" s="110">
        <f>现金流出表!H6*假设条件及经济指标!$G$14</f>
        <v>6154.2693344022773</v>
      </c>
      <c r="J14" s="110">
        <f>现金流出表!I6*假设条件及经济指标!$G$14</f>
        <v>9078.4566808858362</v>
      </c>
      <c r="K14" s="110">
        <f>现金流出表!J6*假设条件及经济指标!$G$14</f>
        <v>6884.9754122889153</v>
      </c>
      <c r="L14" s="110">
        <f>现金流出表!K6*假设条件及经济指标!$G$14</f>
        <v>5244.2997156272795</v>
      </c>
      <c r="M14" s="110">
        <f>现金流出表!L6*假设条件及经济指标!$G$14</f>
        <v>3603.6240189656423</v>
      </c>
      <c r="N14" s="110">
        <f>现金流出表!M6*假设条件及经济指标!$G$14</f>
        <v>0</v>
      </c>
      <c r="O14" s="110">
        <f>现金流出表!N6*假设条件及经济指标!$G$14</f>
        <v>0</v>
      </c>
      <c r="P14" s="110">
        <f>现金流出表!O6*假设条件及经济指标!$G$14</f>
        <v>0</v>
      </c>
      <c r="Q14" s="110">
        <f>现金流出表!P6*假设条件及经济指标!$G$14</f>
        <v>0</v>
      </c>
      <c r="R14" s="110">
        <f>现金流出表!Q6*假设条件及经济指标!$G$14</f>
        <v>0</v>
      </c>
      <c r="S14" s="110">
        <f>现金流出表!R6*假设条件及经济指标!$G$14</f>
        <v>0</v>
      </c>
      <c r="T14" s="110">
        <f>现金流出表!S6*假设条件及经济指标!$G$14</f>
        <v>0</v>
      </c>
      <c r="U14" s="110">
        <f>现金流出表!T6*假设条件及经济指标!$G$14</f>
        <v>0</v>
      </c>
      <c r="V14" s="110">
        <f>现金流出表!U6*假设条件及经济指标!$G$14</f>
        <v>0</v>
      </c>
    </row>
    <row r="15" spans="1:23">
      <c r="A15" s="39" t="s">
        <v>121</v>
      </c>
      <c r="B15" s="115">
        <f t="shared" si="2"/>
        <v>1756.1968421052641</v>
      </c>
      <c r="C15" s="110">
        <f>现金流出表!B7*假设条件及经济指标!$G$14</f>
        <v>0</v>
      </c>
      <c r="D15" s="110">
        <f>现金流出表!C7*假设条件及经济指标!$G$14</f>
        <v>117.07978947368423</v>
      </c>
      <c r="E15" s="110">
        <f>现金流出表!D7*假设条件及经济指标!$G$14</f>
        <v>117.07978947368423</v>
      </c>
      <c r="F15" s="110">
        <f>现金流出表!E7*假设条件及经济指标!$G$14</f>
        <v>117.07978947368423</v>
      </c>
      <c r="G15" s="110">
        <f>现金流出表!F7*假设条件及经济指标!$G$14</f>
        <v>117.07978947368423</v>
      </c>
      <c r="H15" s="110">
        <f>现金流出表!G7*假设条件及经济指标!$G$14</f>
        <v>117.07978947368423</v>
      </c>
      <c r="I15" s="110">
        <f>现金流出表!H7*假设条件及经济指标!$G$14</f>
        <v>117.07978947368423</v>
      </c>
      <c r="J15" s="110">
        <f>现金流出表!I7*假设条件及经济指标!$G$14</f>
        <v>117.07978947368423</v>
      </c>
      <c r="K15" s="110">
        <f>现金流出表!J7*假设条件及经济指标!$G$14</f>
        <v>117.07978947368423</v>
      </c>
      <c r="L15" s="110">
        <f>现金流出表!K7*假设条件及经济指标!$G$14</f>
        <v>117.07978947368423</v>
      </c>
      <c r="M15" s="110">
        <f>现金流出表!L7*假设条件及经济指标!$G$14</f>
        <v>117.07978947368423</v>
      </c>
      <c r="N15" s="110">
        <f>现金流出表!M7*假设条件及经济指标!$G$14</f>
        <v>117.07978947368423</v>
      </c>
      <c r="O15" s="110">
        <f>现金流出表!N7*假设条件及经济指标!$G$14</f>
        <v>117.07978947368423</v>
      </c>
      <c r="P15" s="110">
        <f>现金流出表!O7*假设条件及经济指标!$G$14</f>
        <v>117.07978947368423</v>
      </c>
      <c r="Q15" s="110">
        <f>现金流出表!P7*假设条件及经济指标!$G$14</f>
        <v>117.07978947368423</v>
      </c>
      <c r="R15" s="110">
        <f>现金流出表!Q7*假设条件及经济指标!$G$14</f>
        <v>117.07978947368423</v>
      </c>
      <c r="S15" s="110">
        <f>现金流出表!R7*假设条件及经济指标!$G$14</f>
        <v>0</v>
      </c>
      <c r="T15" s="110">
        <f>现金流出表!S7*假设条件及经济指标!$G$14</f>
        <v>0</v>
      </c>
      <c r="U15" s="110">
        <f>现金流出表!T7*假设条件及经济指标!$G$14</f>
        <v>0</v>
      </c>
      <c r="V15" s="110">
        <f>现金流出表!U7*假设条件及经济指标!$G$14</f>
        <v>0</v>
      </c>
    </row>
    <row r="16" spans="1:23">
      <c r="A16" s="30" t="s">
        <v>120</v>
      </c>
      <c r="B16" s="115">
        <f t="shared" si="2"/>
        <v>24304.292066989903</v>
      </c>
      <c r="C16" s="110">
        <f>现金流出表!B8*假设条件及经济指标!$G$14</f>
        <v>0</v>
      </c>
      <c r="D16" s="110">
        <f>现金流出表!C8*假设条件及经济指标!$G$14</f>
        <v>730.5280884128241</v>
      </c>
      <c r="E16" s="110">
        <f>现金流出表!D8*假设条件及经济指标!$G$14</f>
        <v>730.5280884128241</v>
      </c>
      <c r="F16" s="110">
        <f>现金流出表!E8*假设条件及经济指标!$G$14</f>
        <v>730.5280884128241</v>
      </c>
      <c r="G16" s="110">
        <f>现金流出表!F8*假设条件及经济指标!$G$14</f>
        <v>2658.728088412824</v>
      </c>
      <c r="H16" s="110">
        <f>现金流出表!G8*假设条件及经济指标!$G$14</f>
        <v>2369.4980884128245</v>
      </c>
      <c r="I16" s="110">
        <f>现金流出表!H8*假设条件及经济指标!$G$14</f>
        <v>1791.0380884128242</v>
      </c>
      <c r="J16" s="110">
        <f>现金流出表!I8*假设条件及经济指标!$G$14</f>
        <v>2537.006947360193</v>
      </c>
      <c r="K16" s="110">
        <f>现金流出表!J8*假设条件及经济指标!$G$14</f>
        <v>2179.5937437475613</v>
      </c>
      <c r="L16" s="110">
        <f>现金流出表!K8*假设条件及经济指标!$G$14</f>
        <v>1689.0414506275611</v>
      </c>
      <c r="M16" s="110">
        <f>现金流出表!L8*假设条件及经济指标!$G$14</f>
        <v>2609.6684843659082</v>
      </c>
      <c r="N16" s="110">
        <f>现金流出表!M8*假设条件及经济指标!$G$14</f>
        <v>2179.6635417215766</v>
      </c>
      <c r="O16" s="110">
        <f>现金流出表!N8*假设条件及经济指标!$G$14</f>
        <v>1722.7596576195228</v>
      </c>
      <c r="P16" s="110">
        <f>现金流出表!O8*假设条件及经济指标!$G$14</f>
        <v>914.65353424499506</v>
      </c>
      <c r="Q16" s="110">
        <f>现金流出表!P8*假设条件及经济指标!$G$14</f>
        <v>730.5280884128241</v>
      </c>
      <c r="R16" s="110">
        <f>现金流出表!Q8*假设条件及经济指标!$G$14</f>
        <v>730.5280884128241</v>
      </c>
      <c r="S16" s="110">
        <f>现金流出表!R8*假设条件及经济指标!$G$14</f>
        <v>0</v>
      </c>
      <c r="T16" s="110">
        <f>现金流出表!S8*假设条件及经济指标!$G$14</f>
        <v>0</v>
      </c>
      <c r="U16" s="110">
        <f>现金流出表!T8*假设条件及经济指标!$G$14</f>
        <v>0</v>
      </c>
      <c r="V16" s="110">
        <f>现金流出表!U8*假设条件及经济指标!$G$14</f>
        <v>0</v>
      </c>
    </row>
    <row r="17" spans="1:24">
      <c r="A17" s="39" t="s">
        <v>285</v>
      </c>
      <c r="B17" s="115">
        <f t="shared" si="2"/>
        <v>0</v>
      </c>
      <c r="C17" s="312">
        <f>现金流出表!B15*假设条件及经济指标!$G$14</f>
        <v>0</v>
      </c>
      <c r="D17" s="312">
        <f>现金流出表!C15*假设条件及经济指标!$G$14</f>
        <v>0</v>
      </c>
      <c r="E17" s="312">
        <f>现金流出表!D15*假设条件及经济指标!$G$14</f>
        <v>0</v>
      </c>
      <c r="F17" s="312">
        <f>现金流出表!E15*假设条件及经济指标!$G$14</f>
        <v>0</v>
      </c>
      <c r="G17" s="312">
        <f>现金流出表!F15*假设条件及经济指标!$G$14</f>
        <v>0</v>
      </c>
      <c r="H17" s="312">
        <f>现金流出表!G15*假设条件及经济指标!$G$14</f>
        <v>0</v>
      </c>
      <c r="I17" s="312">
        <f>现金流出表!H15*假设条件及经济指标!$G$14</f>
        <v>0</v>
      </c>
      <c r="J17" s="312">
        <f>现金流出表!I15*假设条件及经济指标!$G$14</f>
        <v>0</v>
      </c>
      <c r="K17" s="312">
        <f>现金流出表!J15*假设条件及经济指标!$G$14</f>
        <v>0</v>
      </c>
      <c r="L17" s="312">
        <f>现金流出表!K15*假设条件及经济指标!$G$14</f>
        <v>0</v>
      </c>
      <c r="M17" s="312">
        <f>现金流出表!L15*假设条件及经济指标!$G$14</f>
        <v>0</v>
      </c>
      <c r="N17" s="312">
        <f>现金流出表!M15*假设条件及经济指标!$G$14</f>
        <v>0</v>
      </c>
      <c r="O17" s="312">
        <f>现金流出表!N15*假设条件及经济指标!$G$14</f>
        <v>0</v>
      </c>
      <c r="P17" s="312">
        <f>现金流出表!O15*假设条件及经济指标!$G$14</f>
        <v>0</v>
      </c>
      <c r="Q17" s="312">
        <f>现金流出表!P15*假设条件及经济指标!$G$14</f>
        <v>0</v>
      </c>
      <c r="R17" s="312">
        <f>现金流出表!Q15*假设条件及经济指标!$G$14</f>
        <v>0</v>
      </c>
      <c r="S17" s="312">
        <f>现金流出表!R15*假设条件及经济指标!$G$14</f>
        <v>0</v>
      </c>
      <c r="T17" s="312">
        <f>现金流出表!S15*假设条件及经济指标!$G$14</f>
        <v>0</v>
      </c>
      <c r="U17" s="312">
        <f>现金流出表!T15*假设条件及经济指标!$G$14</f>
        <v>0</v>
      </c>
      <c r="V17" s="312">
        <f>现金流出表!U15*假设条件及经济指标!$G$14</f>
        <v>0</v>
      </c>
    </row>
    <row r="18" spans="1:24">
      <c r="A18" s="30" t="s">
        <v>124</v>
      </c>
      <c r="B18" s="115">
        <f t="shared" si="2"/>
        <v>8064.942045855586</v>
      </c>
      <c r="C18" s="312">
        <f>现金流出表!B16*假设条件及经济指标!$G$14</f>
        <v>0</v>
      </c>
      <c r="D18" s="312">
        <f>现金流出表!C16*假设条件及经济指标!$G$14</f>
        <v>0</v>
      </c>
      <c r="E18" s="312">
        <f>现金流出表!D16*假设条件及经济指标!$G$14</f>
        <v>0</v>
      </c>
      <c r="F18" s="312">
        <f>现金流出表!E16*假设条件及经济指标!$G$14</f>
        <v>0</v>
      </c>
      <c r="G18" s="312">
        <f>现金流出表!F16*假设条件及经济指标!$G$14</f>
        <v>699.75</v>
      </c>
      <c r="H18" s="312">
        <f>现金流出表!G16*假设条件及经济指标!$G$14</f>
        <v>594.78750000000002</v>
      </c>
      <c r="I18" s="312">
        <f>现金流出表!H16*假设条件及经济指标!$G$14</f>
        <v>384.86250000000001</v>
      </c>
      <c r="J18" s="312">
        <f>现金流出表!I16*假设条件及经济指标!$G$14</f>
        <v>1891.2953145924769</v>
      </c>
      <c r="K18" s="312">
        <f>现金流出表!J16*假设条件及经济指标!$G$14</f>
        <v>525.87060072631573</v>
      </c>
      <c r="L18" s="312">
        <f>现金流出表!K16*假设条件及经济指标!$G$14</f>
        <v>347.84759112631576</v>
      </c>
      <c r="M18" s="312">
        <f>现金流出表!L16*假设条件及经济指标!$G$14</f>
        <v>681.94611143458678</v>
      </c>
      <c r="N18" s="312">
        <f>现金流出表!M16*假设条件及经济指标!$G$14</f>
        <v>2343.8928779936614</v>
      </c>
      <c r="O18" s="312">
        <f>现金流出表!N16*假设条件及经济指标!$G$14</f>
        <v>360.08403721210834</v>
      </c>
      <c r="P18" s="312">
        <f>现金流出表!O16*假设条件及经济指标!$G$14</f>
        <v>66.819718245545886</v>
      </c>
      <c r="Q18" s="312">
        <f>现金流出表!P16*假设条件及经济指标!$G$14</f>
        <v>0</v>
      </c>
      <c r="R18" s="312">
        <f>现金流出表!Q16*假设条件及经济指标!$G$14</f>
        <v>167.78579452457532</v>
      </c>
      <c r="S18" s="312">
        <f>现金流出表!R16*假设条件及经济指标!$G$14</f>
        <v>0</v>
      </c>
      <c r="T18" s="312">
        <f>现金流出表!S16*假设条件及经济指标!$G$14</f>
        <v>0</v>
      </c>
      <c r="U18" s="312">
        <f>现金流出表!T16*假设条件及经济指标!$G$14</f>
        <v>0</v>
      </c>
      <c r="V18" s="312">
        <f>现金流出表!U16*假设条件及经济指标!$G$14</f>
        <v>0</v>
      </c>
    </row>
    <row r="19" spans="1:24" ht="14.25">
      <c r="A19" s="305" t="s">
        <v>70</v>
      </c>
      <c r="B19" s="306">
        <f t="shared" si="2"/>
        <v>164858.70594656374</v>
      </c>
      <c r="C19" s="314">
        <f t="shared" ref="C19:V19" si="3">SUM(C12:C18)</f>
        <v>23000</v>
      </c>
      <c r="D19" s="314">
        <f t="shared" si="3"/>
        <v>6489.3973413949498</v>
      </c>
      <c r="E19" s="314">
        <f t="shared" si="3"/>
        <v>17994.90386901336</v>
      </c>
      <c r="F19" s="314">
        <f t="shared" si="3"/>
        <v>7994.9038690133648</v>
      </c>
      <c r="G19" s="314">
        <f t="shared" si="3"/>
        <v>14551.623843368194</v>
      </c>
      <c r="H19" s="314">
        <f t="shared" si="3"/>
        <v>9753.9350719496888</v>
      </c>
      <c r="I19" s="314">
        <f t="shared" si="3"/>
        <v>18447.249712288783</v>
      </c>
      <c r="J19" s="314">
        <f t="shared" si="3"/>
        <v>15406.471456448211</v>
      </c>
      <c r="K19" s="314">
        <f t="shared" si="3"/>
        <v>17007.519546236479</v>
      </c>
      <c r="L19" s="314">
        <f t="shared" si="3"/>
        <v>7398.2685468548407</v>
      </c>
      <c r="M19" s="314">
        <f t="shared" si="3"/>
        <v>17012.318404239821</v>
      </c>
      <c r="N19" s="314">
        <f t="shared" si="3"/>
        <v>4640.6362091889223</v>
      </c>
      <c r="O19" s="314">
        <f t="shared" si="3"/>
        <v>2199.9234843053155</v>
      </c>
      <c r="P19" s="314">
        <f t="shared" si="3"/>
        <v>1098.553041964225</v>
      </c>
      <c r="Q19" s="314">
        <f t="shared" si="3"/>
        <v>847.60787788650828</v>
      </c>
      <c r="R19" s="314">
        <f t="shared" si="3"/>
        <v>1015.3936724110836</v>
      </c>
      <c r="S19" s="314">
        <f t="shared" si="3"/>
        <v>0</v>
      </c>
      <c r="T19" s="314">
        <f t="shared" si="3"/>
        <v>0</v>
      </c>
      <c r="U19" s="314">
        <f t="shared" si="3"/>
        <v>0</v>
      </c>
      <c r="V19" s="314">
        <f t="shared" si="3"/>
        <v>0</v>
      </c>
    </row>
    <row r="20" spans="1:24" s="28" customFormat="1">
      <c r="A20" s="39" t="s">
        <v>71</v>
      </c>
      <c r="B20" s="115">
        <f>NPV(经济指标!E15/4,D19:V19)+C19</f>
        <v>144998.38346014338</v>
      </c>
      <c r="C20" s="315"/>
      <c r="D20" s="41"/>
      <c r="E20" s="41"/>
      <c r="F20" s="41"/>
      <c r="G20" s="41"/>
      <c r="H20" s="41"/>
      <c r="I20" s="41"/>
      <c r="J20" s="41"/>
      <c r="K20" s="41"/>
      <c r="L20" s="41"/>
      <c r="M20" s="41"/>
      <c r="N20" s="41"/>
      <c r="O20" s="41"/>
      <c r="P20" s="41"/>
      <c r="Q20" s="41"/>
      <c r="R20" s="41"/>
      <c r="S20" s="41"/>
      <c r="T20" s="41"/>
      <c r="U20" s="41"/>
      <c r="V20" s="31"/>
    </row>
    <row r="21" spans="1:24">
      <c r="A21" s="44" t="s">
        <v>72</v>
      </c>
      <c r="B21" s="115">
        <f>SUM(C21:V21)</f>
        <v>50405.338259848322</v>
      </c>
      <c r="C21" s="308">
        <f t="shared" ref="C21:V21" si="4">C9-C19</f>
        <v>-23000</v>
      </c>
      <c r="D21" s="308">
        <f t="shared" si="4"/>
        <v>-6489.3973413949498</v>
      </c>
      <c r="E21" s="308">
        <f t="shared" si="4"/>
        <v>-17994.90386901336</v>
      </c>
      <c r="F21" s="308">
        <f t="shared" si="4"/>
        <v>-7994.9038690133648</v>
      </c>
      <c r="G21" s="308">
        <f t="shared" si="4"/>
        <v>16548.376156631806</v>
      </c>
      <c r="H21" s="308">
        <f t="shared" si="4"/>
        <v>16681.064928050313</v>
      </c>
      <c r="I21" s="308">
        <f t="shared" si="4"/>
        <v>-1342.2497122887835</v>
      </c>
      <c r="J21" s="308">
        <f t="shared" si="4"/>
        <v>13730.284333025478</v>
      </c>
      <c r="K21" s="308">
        <f t="shared" si="4"/>
        <v>6364.5071527108885</v>
      </c>
      <c r="L21" s="308">
        <f t="shared" si="4"/>
        <v>8061.6243920925299</v>
      </c>
      <c r="M21" s="308">
        <f t="shared" si="4"/>
        <v>13296.397659519593</v>
      </c>
      <c r="N21" s="308">
        <f t="shared" si="4"/>
        <v>18732.516263532889</v>
      </c>
      <c r="O21" s="308">
        <f t="shared" si="4"/>
        <v>13803.811502899502</v>
      </c>
      <c r="P21" s="308">
        <f t="shared" si="4"/>
        <v>1871.2122133933703</v>
      </c>
      <c r="Q21" s="308">
        <f t="shared" si="4"/>
        <v>-847.60787788650828</v>
      </c>
      <c r="R21" s="308">
        <f t="shared" si="4"/>
        <v>-1015.3936724110836</v>
      </c>
      <c r="S21" s="308">
        <f t="shared" si="4"/>
        <v>0</v>
      </c>
      <c r="T21" s="308">
        <f t="shared" si="4"/>
        <v>0</v>
      </c>
      <c r="U21" s="308">
        <f t="shared" si="4"/>
        <v>0</v>
      </c>
      <c r="V21" s="308">
        <f t="shared" si="4"/>
        <v>0</v>
      </c>
    </row>
    <row r="22" spans="1:24">
      <c r="A22" s="44" t="s">
        <v>288</v>
      </c>
      <c r="B22" s="115">
        <f>V22</f>
        <v>50405.338259848322</v>
      </c>
      <c r="C22" s="308">
        <f>C21</f>
        <v>-23000</v>
      </c>
      <c r="D22" s="308">
        <f>C22+D21</f>
        <v>-29489.39734139495</v>
      </c>
      <c r="E22" s="308">
        <f t="shared" ref="E22:V22" si="5">D22+E21</f>
        <v>-47484.30121040831</v>
      </c>
      <c r="F22" s="308">
        <f t="shared" si="5"/>
        <v>-55479.205079421678</v>
      </c>
      <c r="G22" s="308">
        <f t="shared" si="5"/>
        <v>-38930.828922789871</v>
      </c>
      <c r="H22" s="308">
        <f t="shared" si="5"/>
        <v>-22249.763994739558</v>
      </c>
      <c r="I22" s="308">
        <f t="shared" si="5"/>
        <v>-23592.013707028342</v>
      </c>
      <c r="J22" s="308">
        <f t="shared" si="5"/>
        <v>-9861.7293740028636</v>
      </c>
      <c r="K22" s="308">
        <f t="shared" si="5"/>
        <v>-3497.2222212919751</v>
      </c>
      <c r="L22" s="308">
        <f t="shared" si="5"/>
        <v>4564.4021708005548</v>
      </c>
      <c r="M22" s="308">
        <f t="shared" si="5"/>
        <v>17860.799830320146</v>
      </c>
      <c r="N22" s="308">
        <f t="shared" si="5"/>
        <v>36593.316093853035</v>
      </c>
      <c r="O22" s="308">
        <f t="shared" si="5"/>
        <v>50397.127596752536</v>
      </c>
      <c r="P22" s="308">
        <f t="shared" si="5"/>
        <v>52268.33981014591</v>
      </c>
      <c r="Q22" s="308">
        <f t="shared" si="5"/>
        <v>51420.731932259405</v>
      </c>
      <c r="R22" s="308">
        <f t="shared" si="5"/>
        <v>50405.338259848322</v>
      </c>
      <c r="S22" s="308">
        <f t="shared" si="5"/>
        <v>50405.338259848322</v>
      </c>
      <c r="T22" s="308">
        <f t="shared" si="5"/>
        <v>50405.338259848322</v>
      </c>
      <c r="U22" s="308">
        <f t="shared" si="5"/>
        <v>50405.338259848322</v>
      </c>
      <c r="V22" s="308">
        <f t="shared" si="5"/>
        <v>50405.338259848322</v>
      </c>
    </row>
    <row r="23" spans="1:24">
      <c r="A23" s="45" t="s">
        <v>638</v>
      </c>
      <c r="B23" s="316">
        <f>IRR(C21:V21)*4</f>
        <v>0.41011030566490986</v>
      </c>
      <c r="C23" s="317"/>
      <c r="D23" s="46"/>
      <c r="E23" s="46"/>
      <c r="F23" s="46"/>
      <c r="G23" s="46"/>
      <c r="H23" s="46"/>
      <c r="I23" s="46"/>
      <c r="J23" s="46"/>
      <c r="K23" s="46"/>
      <c r="L23" s="46"/>
      <c r="M23" s="46"/>
      <c r="N23" s="46"/>
      <c r="O23" s="46"/>
      <c r="P23" s="46"/>
      <c r="Q23" s="46"/>
      <c r="R23" s="46"/>
      <c r="S23" s="46"/>
      <c r="T23" s="46"/>
      <c r="U23" s="46"/>
      <c r="V23" s="302"/>
    </row>
    <row r="24" spans="1:24">
      <c r="A24" s="36" t="s">
        <v>639</v>
      </c>
      <c r="B24" s="447">
        <f>MIN(C22:V22)</f>
        <v>-55479.205079421678</v>
      </c>
      <c r="C24" s="47"/>
      <c r="D24" s="47"/>
      <c r="E24" s="47"/>
      <c r="F24" s="47"/>
      <c r="G24" s="47"/>
      <c r="H24" s="47"/>
      <c r="I24" s="47"/>
      <c r="J24" s="47"/>
      <c r="K24" s="47"/>
      <c r="L24" s="47"/>
      <c r="M24" s="47"/>
      <c r="N24" s="47"/>
      <c r="O24" s="47"/>
      <c r="P24" s="47"/>
      <c r="Q24" s="47"/>
      <c r="R24" s="47"/>
      <c r="S24" s="47"/>
      <c r="T24" s="47"/>
      <c r="U24" s="47"/>
      <c r="V24" s="303"/>
    </row>
    <row r="25" spans="1:24">
      <c r="A25" s="36" t="s">
        <v>640</v>
      </c>
      <c r="B25" s="447">
        <f>B10-B20</f>
        <v>32909.22910631678</v>
      </c>
      <c r="C25" s="47"/>
      <c r="D25" s="47"/>
      <c r="E25" s="47"/>
      <c r="F25" s="47"/>
      <c r="G25" s="47"/>
      <c r="H25" s="47"/>
      <c r="I25" s="47"/>
      <c r="J25" s="47"/>
      <c r="K25" s="47"/>
      <c r="L25" s="47"/>
      <c r="M25" s="47"/>
      <c r="N25" s="47"/>
      <c r="O25" s="47"/>
      <c r="P25" s="47"/>
      <c r="Q25" s="47"/>
      <c r="R25" s="47"/>
      <c r="S25" s="47"/>
      <c r="T25" s="47"/>
      <c r="U25" s="47"/>
      <c r="V25" s="303"/>
    </row>
    <row r="26" spans="1:24">
      <c r="A26" s="36" t="s">
        <v>641</v>
      </c>
      <c r="B26" s="321"/>
      <c r="C26" s="47"/>
      <c r="D26" s="47"/>
      <c r="E26" s="47"/>
      <c r="F26" s="47"/>
      <c r="G26" s="47"/>
      <c r="H26" s="47"/>
      <c r="I26" s="47"/>
      <c r="J26" s="47"/>
      <c r="K26" s="47"/>
      <c r="L26" s="47"/>
      <c r="M26" s="47"/>
      <c r="N26" s="47"/>
      <c r="O26" s="47"/>
      <c r="P26" s="47"/>
      <c r="Q26" s="47"/>
      <c r="R26" s="47"/>
      <c r="S26" s="47"/>
      <c r="T26" s="47"/>
      <c r="U26" s="47"/>
      <c r="V26" s="303"/>
    </row>
    <row r="27" spans="1:24">
      <c r="A27" s="36" t="s">
        <v>642</v>
      </c>
      <c r="B27" s="318">
        <f>IF(B12=0,0,(NPV(经济指标!E15/4,D12:V12)+C12)/B12)</f>
        <v>0.9111865108743834</v>
      </c>
      <c r="C27" s="47"/>
      <c r="D27" s="47"/>
      <c r="E27" s="47"/>
      <c r="F27" s="47"/>
      <c r="G27" s="47"/>
      <c r="H27" s="47"/>
      <c r="I27" s="47"/>
      <c r="J27" s="47"/>
      <c r="K27" s="47"/>
      <c r="L27" s="47"/>
      <c r="M27" s="47"/>
      <c r="N27" s="47"/>
      <c r="O27" s="47"/>
      <c r="P27" s="47"/>
      <c r="Q27" s="47"/>
      <c r="R27" s="47"/>
      <c r="S27" s="47"/>
      <c r="T27" s="47"/>
      <c r="U27" s="47"/>
      <c r="V27" s="303"/>
    </row>
    <row r="28" spans="1:24">
      <c r="A28" s="669"/>
      <c r="B28" s="670"/>
      <c r="C28" s="671"/>
      <c r="D28" s="671"/>
      <c r="E28" s="671"/>
      <c r="F28" s="671"/>
      <c r="G28" s="671"/>
      <c r="H28" s="671"/>
      <c r="I28" s="671"/>
      <c r="J28" s="671"/>
      <c r="K28" s="671"/>
      <c r="L28" s="671"/>
      <c r="M28" s="671"/>
      <c r="N28" s="671"/>
      <c r="O28" s="671"/>
      <c r="P28" s="671"/>
      <c r="Q28" s="671"/>
      <c r="R28" s="671"/>
      <c r="S28" s="671"/>
      <c r="T28" s="671"/>
      <c r="U28" s="671"/>
      <c r="V28" s="671"/>
    </row>
    <row r="29" spans="1:24" s="402" customFormat="1">
      <c r="A29" s="401" t="s">
        <v>73</v>
      </c>
      <c r="B29" s="401"/>
      <c r="C29" s="388"/>
      <c r="D29" s="388"/>
      <c r="E29" s="388"/>
      <c r="F29" s="388"/>
      <c r="G29" s="388"/>
      <c r="H29" s="388"/>
      <c r="I29" s="388"/>
      <c r="J29" s="388"/>
      <c r="K29" s="388"/>
      <c r="L29" s="388"/>
      <c r="M29" s="388"/>
      <c r="N29" s="388"/>
      <c r="O29" s="388"/>
      <c r="P29" s="388"/>
      <c r="Q29" s="388"/>
      <c r="R29" s="388"/>
      <c r="S29" s="388"/>
      <c r="T29" s="388"/>
      <c r="U29" s="388"/>
      <c r="V29" s="388"/>
    </row>
    <row r="30" spans="1:24" s="402" customFormat="1" ht="14.25">
      <c r="A30" s="402" t="s">
        <v>426</v>
      </c>
      <c r="B30" s="388"/>
      <c r="C30" s="388"/>
      <c r="D30" s="388"/>
      <c r="E30" s="388"/>
      <c r="F30" s="388"/>
      <c r="G30" s="388"/>
      <c r="H30" s="388"/>
      <c r="I30" s="388"/>
      <c r="J30" s="388"/>
      <c r="K30" s="388"/>
      <c r="L30" s="388"/>
      <c r="M30" s="388"/>
      <c r="N30" s="388"/>
      <c r="O30" s="388"/>
      <c r="P30" s="388"/>
      <c r="Q30" s="388"/>
      <c r="R30" s="388"/>
      <c r="S30" s="388"/>
      <c r="T30" s="388"/>
      <c r="U30" s="388"/>
      <c r="V30" s="388"/>
      <c r="W30" s="388"/>
      <c r="X30" s="388"/>
    </row>
    <row r="31" spans="1:24" s="402" customFormat="1" ht="14.25">
      <c r="A31" s="402" t="s">
        <v>427</v>
      </c>
      <c r="B31" s="388"/>
      <c r="C31" s="388"/>
      <c r="D31" s="388"/>
      <c r="E31" s="388"/>
      <c r="F31" s="388"/>
      <c r="G31" s="388"/>
      <c r="H31" s="388"/>
      <c r="I31" s="388"/>
      <c r="J31" s="388"/>
      <c r="K31" s="388"/>
      <c r="L31" s="388"/>
      <c r="M31" s="388"/>
      <c r="N31" s="388"/>
      <c r="O31" s="388"/>
      <c r="P31" s="388"/>
      <c r="Q31" s="388"/>
      <c r="R31" s="388"/>
      <c r="S31" s="388"/>
      <c r="T31" s="388"/>
      <c r="U31" s="388"/>
      <c r="V31" s="388"/>
      <c r="W31" s="388"/>
      <c r="X31" s="388"/>
    </row>
    <row r="32" spans="1:24" s="402" customFormat="1">
      <c r="A32" s="402" t="s">
        <v>428</v>
      </c>
      <c r="B32" s="388"/>
      <c r="C32" s="388"/>
      <c r="D32" s="388"/>
      <c r="E32" s="388"/>
      <c r="F32" s="388"/>
      <c r="G32" s="388"/>
      <c r="H32" s="388"/>
      <c r="I32" s="388"/>
      <c r="J32" s="388"/>
      <c r="K32" s="388"/>
      <c r="L32" s="388"/>
      <c r="M32" s="388"/>
      <c r="N32" s="388"/>
      <c r="O32" s="388"/>
      <c r="P32" s="388"/>
      <c r="Q32" s="388"/>
      <c r="R32" s="388"/>
      <c r="S32" s="388"/>
      <c r="T32" s="388"/>
      <c r="U32" s="388"/>
      <c r="V32" s="388"/>
      <c r="W32" s="388"/>
      <c r="X32" s="388"/>
    </row>
    <row r="33" spans="1:24" s="402" customFormat="1">
      <c r="A33" s="402" t="s">
        <v>429</v>
      </c>
      <c r="B33" s="388"/>
      <c r="C33" s="388"/>
      <c r="D33" s="388"/>
      <c r="E33" s="388"/>
      <c r="F33" s="388"/>
      <c r="G33" s="388"/>
      <c r="H33" s="388"/>
      <c r="I33" s="388"/>
      <c r="J33" s="388"/>
      <c r="K33" s="388"/>
      <c r="L33" s="388"/>
      <c r="M33" s="388"/>
      <c r="N33" s="388"/>
      <c r="O33" s="388"/>
      <c r="P33" s="388"/>
      <c r="Q33" s="388"/>
      <c r="R33" s="388"/>
      <c r="S33" s="388"/>
      <c r="T33" s="388"/>
      <c r="U33" s="388"/>
      <c r="V33" s="388"/>
      <c r="W33" s="388"/>
      <c r="X33" s="388"/>
    </row>
    <row r="34" spans="1:24" s="402" customFormat="1">
      <c r="A34" s="402" t="s">
        <v>430</v>
      </c>
      <c r="B34" s="388"/>
      <c r="C34" s="388"/>
      <c r="D34" s="388"/>
      <c r="E34" s="388"/>
      <c r="F34" s="388"/>
      <c r="G34" s="388"/>
      <c r="H34" s="388"/>
      <c r="I34" s="388"/>
      <c r="J34" s="388"/>
      <c r="K34" s="388"/>
      <c r="L34" s="388"/>
      <c r="M34" s="388"/>
      <c r="N34" s="388"/>
      <c r="O34" s="388"/>
      <c r="P34" s="388"/>
      <c r="Q34" s="388"/>
      <c r="R34" s="388"/>
      <c r="S34" s="388"/>
      <c r="T34" s="388"/>
      <c r="U34" s="388"/>
      <c r="V34" s="388"/>
      <c r="W34" s="388"/>
      <c r="X34" s="388"/>
    </row>
    <row r="35" spans="1:24" s="402" customFormat="1">
      <c r="A35" s="402" t="s">
        <v>431</v>
      </c>
      <c r="B35" s="388"/>
      <c r="C35" s="388"/>
      <c r="D35" s="388"/>
      <c r="E35" s="388"/>
      <c r="F35" s="388"/>
      <c r="G35" s="388"/>
      <c r="H35" s="388"/>
      <c r="I35" s="388"/>
      <c r="J35" s="388"/>
      <c r="K35" s="388"/>
      <c r="L35" s="388"/>
      <c r="M35" s="388"/>
      <c r="N35" s="388"/>
      <c r="O35" s="388"/>
      <c r="P35" s="388"/>
      <c r="Q35" s="388"/>
      <c r="R35" s="388"/>
      <c r="S35" s="388"/>
      <c r="T35" s="388"/>
      <c r="U35" s="388"/>
      <c r="V35" s="388"/>
      <c r="W35" s="388"/>
      <c r="X35" s="388"/>
    </row>
    <row r="36" spans="1:24" s="402" customFormat="1">
      <c r="A36" s="402" t="s">
        <v>436</v>
      </c>
      <c r="B36" s="388"/>
      <c r="C36" s="388"/>
      <c r="D36" s="388"/>
      <c r="E36" s="388"/>
      <c r="F36" s="388"/>
      <c r="G36" s="388"/>
      <c r="H36" s="388"/>
      <c r="I36" s="388"/>
      <c r="J36" s="388"/>
      <c r="K36" s="388"/>
      <c r="L36" s="388"/>
      <c r="M36" s="388"/>
      <c r="N36" s="388"/>
      <c r="O36" s="388"/>
      <c r="P36" s="388"/>
      <c r="Q36" s="388"/>
      <c r="R36" s="388"/>
      <c r="S36" s="388"/>
      <c r="T36" s="388"/>
      <c r="U36" s="388"/>
      <c r="V36" s="388"/>
      <c r="W36" s="388"/>
      <c r="X36" s="388"/>
    </row>
    <row r="37" spans="1:24" s="402" customFormat="1">
      <c r="B37" s="388"/>
      <c r="C37" s="388"/>
      <c r="D37" s="388"/>
      <c r="E37" s="388"/>
      <c r="F37" s="388"/>
      <c r="G37" s="388"/>
      <c r="H37" s="388"/>
      <c r="I37" s="388"/>
      <c r="J37" s="388"/>
      <c r="K37" s="388"/>
      <c r="L37" s="388"/>
      <c r="M37" s="388"/>
      <c r="N37" s="388"/>
      <c r="O37" s="388"/>
      <c r="P37" s="388"/>
      <c r="Q37" s="388"/>
      <c r="R37" s="388"/>
      <c r="S37" s="388"/>
      <c r="T37" s="388"/>
      <c r="U37" s="388"/>
      <c r="V37" s="388"/>
    </row>
    <row r="38" spans="1:24" s="402" customFormat="1">
      <c r="B38" s="388"/>
      <c r="C38" s="388"/>
      <c r="D38" s="388"/>
      <c r="E38" s="388"/>
      <c r="F38" s="388"/>
      <c r="G38" s="388"/>
      <c r="H38" s="388"/>
      <c r="I38" s="388"/>
      <c r="J38" s="388"/>
      <c r="K38" s="388"/>
      <c r="L38" s="388"/>
      <c r="M38" s="388"/>
      <c r="N38" s="388"/>
      <c r="O38" s="388"/>
      <c r="P38" s="388"/>
      <c r="Q38" s="388"/>
      <c r="R38" s="388"/>
      <c r="S38" s="388"/>
      <c r="T38" s="388"/>
      <c r="U38" s="388"/>
      <c r="V38" s="388"/>
    </row>
    <row r="39" spans="1:24" s="402" customFormat="1">
      <c r="B39" s="388"/>
      <c r="C39" s="388"/>
      <c r="D39" s="388"/>
      <c r="E39" s="388"/>
      <c r="F39" s="388"/>
      <c r="G39" s="388"/>
      <c r="H39" s="388"/>
      <c r="I39" s="388"/>
      <c r="J39" s="388"/>
      <c r="K39" s="388"/>
      <c r="L39" s="388"/>
      <c r="M39" s="388"/>
      <c r="N39" s="388"/>
      <c r="O39" s="388"/>
      <c r="P39" s="388"/>
      <c r="Q39" s="388"/>
      <c r="R39" s="388"/>
      <c r="S39" s="388"/>
      <c r="T39" s="388"/>
      <c r="U39" s="388"/>
      <c r="V39" s="388"/>
    </row>
    <row r="40" spans="1:24" s="402" customFormat="1">
      <c r="B40" s="388"/>
      <c r="C40" s="388"/>
      <c r="D40" s="388"/>
      <c r="E40" s="388"/>
      <c r="F40" s="388"/>
      <c r="G40" s="388"/>
      <c r="H40" s="388"/>
      <c r="I40" s="388"/>
      <c r="J40" s="388"/>
      <c r="K40" s="388"/>
      <c r="L40" s="388"/>
      <c r="M40" s="388"/>
      <c r="N40" s="388"/>
      <c r="O40" s="388"/>
      <c r="P40" s="388"/>
      <c r="Q40" s="388"/>
      <c r="R40" s="388"/>
      <c r="S40" s="388"/>
      <c r="T40" s="388"/>
      <c r="U40" s="388"/>
      <c r="V40" s="388"/>
    </row>
    <row r="41" spans="1:24" s="402" customFormat="1">
      <c r="B41" s="388"/>
      <c r="C41" s="388"/>
      <c r="D41" s="388"/>
      <c r="E41" s="388"/>
      <c r="F41" s="388"/>
      <c r="G41" s="388"/>
      <c r="H41" s="388"/>
      <c r="I41" s="388"/>
      <c r="J41" s="388"/>
      <c r="K41" s="388"/>
      <c r="L41" s="388"/>
      <c r="M41" s="388"/>
      <c r="N41" s="388"/>
      <c r="O41" s="388"/>
      <c r="P41" s="388"/>
      <c r="Q41" s="388"/>
      <c r="R41" s="388"/>
      <c r="S41" s="388"/>
      <c r="T41" s="388"/>
      <c r="U41" s="388"/>
      <c r="V41" s="388"/>
    </row>
    <row r="42" spans="1:24" s="402" customFormat="1">
      <c r="B42" s="388"/>
      <c r="C42" s="388"/>
      <c r="D42" s="388"/>
      <c r="E42" s="388"/>
      <c r="F42" s="388"/>
      <c r="G42" s="388"/>
      <c r="H42" s="388"/>
      <c r="I42" s="388"/>
      <c r="J42" s="388"/>
      <c r="K42" s="388"/>
      <c r="L42" s="388"/>
      <c r="M42" s="388"/>
      <c r="N42" s="388"/>
      <c r="O42" s="388"/>
      <c r="P42" s="388"/>
      <c r="Q42" s="388"/>
      <c r="R42" s="388"/>
      <c r="S42" s="388"/>
      <c r="T42" s="388"/>
      <c r="U42" s="388"/>
      <c r="V42" s="388"/>
    </row>
    <row r="43" spans="1:24" s="402" customFormat="1">
      <c r="B43" s="388"/>
      <c r="C43" s="388"/>
      <c r="D43" s="388"/>
      <c r="E43" s="388"/>
      <c r="F43" s="388"/>
      <c r="G43" s="388"/>
      <c r="H43" s="388"/>
      <c r="I43" s="388"/>
      <c r="J43" s="388"/>
      <c r="K43" s="388"/>
      <c r="L43" s="388"/>
      <c r="M43" s="388"/>
      <c r="N43" s="388"/>
      <c r="O43" s="388"/>
      <c r="P43" s="388"/>
      <c r="Q43" s="388"/>
      <c r="R43" s="388"/>
      <c r="S43" s="388"/>
      <c r="T43" s="388"/>
      <c r="U43" s="388"/>
      <c r="V43" s="388"/>
    </row>
    <row r="44" spans="1:24" s="402" customFormat="1">
      <c r="B44" s="388"/>
      <c r="C44" s="388"/>
      <c r="D44" s="388"/>
      <c r="E44" s="388"/>
      <c r="F44" s="388"/>
      <c r="G44" s="388"/>
      <c r="H44" s="388"/>
      <c r="I44" s="388"/>
      <c r="J44" s="388"/>
      <c r="K44" s="388"/>
      <c r="L44" s="388"/>
      <c r="M44" s="388"/>
      <c r="N44" s="388"/>
      <c r="O44" s="388"/>
      <c r="P44" s="388"/>
      <c r="Q44" s="388"/>
      <c r="R44" s="388"/>
      <c r="S44" s="388"/>
      <c r="T44" s="388"/>
      <c r="U44" s="388"/>
      <c r="V44" s="388"/>
    </row>
    <row r="45" spans="1:24" s="402" customFormat="1">
      <c r="B45" s="388"/>
      <c r="C45" s="388"/>
      <c r="D45" s="388"/>
      <c r="E45" s="388"/>
      <c r="F45" s="388"/>
      <c r="G45" s="388"/>
      <c r="H45" s="388"/>
      <c r="I45" s="388"/>
      <c r="J45" s="388"/>
      <c r="K45" s="388"/>
      <c r="L45" s="388"/>
      <c r="M45" s="388"/>
      <c r="N45" s="388"/>
      <c r="O45" s="388"/>
      <c r="P45" s="388"/>
      <c r="Q45" s="388"/>
      <c r="R45" s="388"/>
      <c r="S45" s="388"/>
      <c r="T45" s="388"/>
      <c r="U45" s="388"/>
      <c r="V45" s="388"/>
    </row>
    <row r="46" spans="1:24" s="402" customFormat="1">
      <c r="B46" s="388"/>
      <c r="C46" s="388"/>
      <c r="D46" s="388"/>
      <c r="E46" s="388"/>
      <c r="F46" s="388"/>
      <c r="G46" s="388"/>
      <c r="H46" s="388"/>
      <c r="I46" s="388"/>
      <c r="J46" s="388"/>
      <c r="K46" s="388"/>
      <c r="L46" s="388"/>
      <c r="M46" s="388"/>
      <c r="N46" s="388"/>
      <c r="O46" s="388"/>
      <c r="P46" s="388"/>
      <c r="Q46" s="388"/>
      <c r="R46" s="388"/>
      <c r="S46" s="388"/>
      <c r="T46" s="388"/>
      <c r="U46" s="388"/>
      <c r="V46" s="388"/>
    </row>
    <row r="47" spans="1:24" s="402" customFormat="1">
      <c r="B47" s="388"/>
      <c r="C47" s="388"/>
      <c r="D47" s="388"/>
      <c r="E47" s="388"/>
      <c r="F47" s="388"/>
      <c r="G47" s="388"/>
      <c r="H47" s="388"/>
      <c r="I47" s="388"/>
      <c r="J47" s="388"/>
      <c r="K47" s="388"/>
      <c r="L47" s="388"/>
      <c r="M47" s="388"/>
      <c r="N47" s="388"/>
      <c r="O47" s="388"/>
      <c r="P47" s="388"/>
      <c r="Q47" s="388"/>
      <c r="R47" s="388"/>
      <c r="S47" s="388"/>
      <c r="T47" s="388"/>
      <c r="U47" s="388"/>
      <c r="V47" s="388"/>
    </row>
    <row r="48" spans="1:24" s="402" customFormat="1">
      <c r="B48" s="388"/>
      <c r="C48" s="388"/>
      <c r="D48" s="388"/>
      <c r="E48" s="388"/>
      <c r="F48" s="388"/>
      <c r="G48" s="388"/>
      <c r="H48" s="388"/>
      <c r="I48" s="388"/>
      <c r="J48" s="388"/>
      <c r="K48" s="388"/>
      <c r="L48" s="388"/>
      <c r="M48" s="388"/>
      <c r="N48" s="388"/>
      <c r="O48" s="388"/>
      <c r="P48" s="388"/>
      <c r="Q48" s="388"/>
      <c r="R48" s="388"/>
      <c r="S48" s="388"/>
      <c r="T48" s="388"/>
      <c r="U48" s="388"/>
      <c r="V48" s="388"/>
    </row>
    <row r="49" spans="2:22" s="402" customFormat="1">
      <c r="B49" s="388"/>
      <c r="C49" s="388"/>
      <c r="D49" s="388"/>
      <c r="E49" s="388"/>
      <c r="F49" s="388"/>
      <c r="G49" s="388"/>
      <c r="H49" s="388"/>
      <c r="I49" s="388"/>
      <c r="J49" s="388"/>
      <c r="K49" s="388"/>
      <c r="L49" s="388"/>
      <c r="M49" s="388"/>
      <c r="N49" s="388"/>
      <c r="O49" s="388"/>
      <c r="P49" s="388"/>
      <c r="Q49" s="388"/>
      <c r="R49" s="388"/>
      <c r="S49" s="388"/>
      <c r="T49" s="388"/>
      <c r="U49" s="388"/>
      <c r="V49" s="388"/>
    </row>
    <row r="50" spans="2:22" s="402" customFormat="1">
      <c r="B50" s="388"/>
      <c r="C50" s="388"/>
      <c r="D50" s="388"/>
      <c r="E50" s="388"/>
      <c r="F50" s="388"/>
      <c r="G50" s="388"/>
      <c r="H50" s="388"/>
      <c r="I50" s="388"/>
      <c r="J50" s="388"/>
      <c r="K50" s="388"/>
      <c r="L50" s="388"/>
      <c r="M50" s="388"/>
      <c r="N50" s="388"/>
      <c r="O50" s="388"/>
      <c r="P50" s="388"/>
      <c r="Q50" s="388"/>
      <c r="R50" s="388"/>
      <c r="S50" s="388"/>
      <c r="T50" s="388"/>
      <c r="U50" s="388"/>
      <c r="V50" s="388"/>
    </row>
    <row r="51" spans="2:22" s="402" customFormat="1">
      <c r="B51" s="388"/>
      <c r="C51" s="388"/>
      <c r="D51" s="388"/>
      <c r="E51" s="388"/>
      <c r="F51" s="388"/>
      <c r="G51" s="388"/>
      <c r="H51" s="388"/>
      <c r="I51" s="388"/>
      <c r="J51" s="388"/>
      <c r="K51" s="388"/>
      <c r="L51" s="388"/>
      <c r="M51" s="388"/>
      <c r="N51" s="388"/>
      <c r="O51" s="388"/>
      <c r="P51" s="388"/>
      <c r="Q51" s="388"/>
      <c r="R51" s="388"/>
      <c r="S51" s="388"/>
      <c r="T51" s="388"/>
      <c r="U51" s="388"/>
      <c r="V51" s="388"/>
    </row>
    <row r="52" spans="2:22" s="402" customFormat="1">
      <c r="B52" s="388"/>
      <c r="C52" s="388"/>
      <c r="D52" s="388"/>
      <c r="E52" s="388"/>
      <c r="F52" s="388"/>
      <c r="G52" s="388"/>
      <c r="H52" s="388"/>
      <c r="I52" s="388"/>
      <c r="J52" s="388"/>
      <c r="K52" s="388"/>
      <c r="L52" s="388"/>
      <c r="M52" s="388"/>
      <c r="N52" s="388"/>
      <c r="O52" s="388"/>
      <c r="P52" s="388"/>
      <c r="Q52" s="388"/>
      <c r="R52" s="388"/>
      <c r="S52" s="388"/>
      <c r="T52" s="388"/>
      <c r="U52" s="388"/>
      <c r="V52" s="388"/>
    </row>
    <row r="53" spans="2:22" s="402" customFormat="1">
      <c r="B53" s="388"/>
      <c r="C53" s="388"/>
      <c r="D53" s="388"/>
      <c r="E53" s="388"/>
      <c r="F53" s="388"/>
      <c r="G53" s="388"/>
      <c r="H53" s="388"/>
      <c r="I53" s="388"/>
      <c r="J53" s="388"/>
      <c r="K53" s="388"/>
      <c r="L53" s="388"/>
      <c r="M53" s="388"/>
      <c r="N53" s="388"/>
      <c r="O53" s="388"/>
      <c r="P53" s="388"/>
      <c r="Q53" s="388"/>
      <c r="R53" s="388"/>
      <c r="S53" s="388"/>
      <c r="T53" s="388"/>
      <c r="U53" s="388"/>
      <c r="V53" s="388"/>
    </row>
    <row r="54" spans="2:22" s="402" customFormat="1">
      <c r="B54" s="388"/>
      <c r="C54" s="388"/>
      <c r="D54" s="388"/>
      <c r="E54" s="388"/>
      <c r="F54" s="388"/>
      <c r="G54" s="388"/>
      <c r="H54" s="388"/>
      <c r="I54" s="388"/>
      <c r="J54" s="388"/>
      <c r="K54" s="388"/>
      <c r="L54" s="388"/>
      <c r="M54" s="388"/>
      <c r="N54" s="388"/>
      <c r="O54" s="388"/>
      <c r="P54" s="388"/>
      <c r="Q54" s="388"/>
      <c r="R54" s="388"/>
      <c r="S54" s="388"/>
      <c r="T54" s="388"/>
      <c r="U54" s="388"/>
      <c r="V54" s="388"/>
    </row>
    <row r="55" spans="2:22" s="402" customFormat="1">
      <c r="B55" s="388"/>
      <c r="C55" s="388"/>
      <c r="D55" s="388"/>
      <c r="E55" s="388"/>
      <c r="F55" s="388"/>
      <c r="G55" s="388"/>
      <c r="H55" s="388"/>
      <c r="I55" s="388"/>
      <c r="J55" s="388"/>
      <c r="K55" s="388"/>
      <c r="L55" s="388"/>
      <c r="M55" s="388"/>
      <c r="N55" s="388"/>
      <c r="O55" s="388"/>
      <c r="P55" s="388"/>
      <c r="Q55" s="388"/>
      <c r="R55" s="388"/>
      <c r="S55" s="388"/>
      <c r="T55" s="388"/>
      <c r="U55" s="388"/>
      <c r="V55" s="388"/>
    </row>
  </sheetData>
  <protectedRanges>
    <protectedRange sqref="B26" name="区域1"/>
  </protectedRanges>
  <phoneticPr fontId="2" type="noConversion"/>
  <pageMargins left="0.75" right="0.75" top="1" bottom="1" header="0.5" footer="0.5"/>
  <pageSetup paperSize="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dimension ref="A1:X54"/>
  <sheetViews>
    <sheetView workbookViewId="0">
      <pane xSplit="2" ySplit="4" topLeftCell="C5" activePane="bottomRight" state="frozen"/>
      <selection pane="topRight" activeCell="C1" sqref="C1"/>
      <selection pane="bottomLeft" activeCell="A5" sqref="A5"/>
      <selection pane="bottomRight" activeCell="B10" sqref="B10"/>
    </sheetView>
  </sheetViews>
  <sheetFormatPr defaultRowHeight="12.75"/>
  <cols>
    <col min="1" max="1" width="20.75" style="17" customWidth="1"/>
    <col min="2" max="2" width="10.125" style="27" customWidth="1"/>
    <col min="3" max="22" width="10.125" style="28" customWidth="1"/>
    <col min="23" max="23" width="9.625" style="17" customWidth="1"/>
    <col min="24" max="16384" width="9" style="17"/>
  </cols>
  <sheetData>
    <row r="1" spans="1:23" ht="20.25" customHeight="1">
      <c r="A1" s="446">
        <f>项目现金流量表!A1</f>
        <v>15</v>
      </c>
      <c r="B1" s="297"/>
      <c r="C1" s="16"/>
      <c r="D1" s="16"/>
      <c r="E1" s="16"/>
      <c r="F1" s="16" t="s">
        <v>644</v>
      </c>
      <c r="G1" s="16"/>
      <c r="H1" s="16"/>
      <c r="I1" s="16"/>
      <c r="J1" s="16"/>
      <c r="K1" s="16"/>
      <c r="L1" s="16"/>
      <c r="M1" s="16"/>
      <c r="N1" s="16"/>
      <c r="O1" s="16"/>
      <c r="P1" s="16"/>
      <c r="Q1" s="16"/>
      <c r="R1" s="16"/>
      <c r="S1" s="16"/>
      <c r="T1" s="16"/>
      <c r="U1" s="16"/>
      <c r="V1" s="16"/>
      <c r="W1" s="32"/>
    </row>
    <row r="2" spans="1:23" s="19" customFormat="1" ht="12.75" customHeight="1">
      <c r="A2" s="18" t="s">
        <v>46</v>
      </c>
      <c r="B2" s="307"/>
      <c r="C2" s="21"/>
      <c r="D2" s="21"/>
      <c r="E2" s="21"/>
      <c r="F2" s="21"/>
      <c r="G2" s="21"/>
      <c r="H2" s="33" t="s">
        <v>62</v>
      </c>
      <c r="I2" s="21"/>
      <c r="J2" s="21"/>
      <c r="K2" s="33" t="s">
        <v>61</v>
      </c>
      <c r="L2" s="21"/>
      <c r="M2" s="21"/>
      <c r="N2" s="21"/>
      <c r="O2" s="21"/>
      <c r="P2" s="21"/>
      <c r="Q2" s="21"/>
      <c r="R2" s="21"/>
      <c r="S2" s="21"/>
      <c r="T2" s="21"/>
      <c r="U2" s="21"/>
      <c r="V2" s="21"/>
    </row>
    <row r="3" spans="1:23" s="21" customFormat="1">
      <c r="A3" s="34" t="s">
        <v>47</v>
      </c>
      <c r="B3" s="20" t="s">
        <v>40</v>
      </c>
      <c r="C3" s="455" t="str">
        <f>项目现金流量表!C3</f>
        <v>第1年1季度</v>
      </c>
      <c r="D3" s="455" t="str">
        <f>项目现金流量表!D3</f>
        <v>第1年2季度</v>
      </c>
      <c r="E3" s="455" t="str">
        <f>项目现金流量表!E3</f>
        <v>第1年3季度</v>
      </c>
      <c r="F3" s="455" t="str">
        <f>项目现金流量表!F3</f>
        <v>第1年4季度</v>
      </c>
      <c r="G3" s="455" t="str">
        <f>项目现金流量表!G3</f>
        <v>第2年1季度</v>
      </c>
      <c r="H3" s="455" t="str">
        <f>项目现金流量表!H3</f>
        <v>第2年2季度</v>
      </c>
      <c r="I3" s="455" t="str">
        <f>项目现金流量表!I3</f>
        <v>第2年3季度</v>
      </c>
      <c r="J3" s="455" t="str">
        <f>项目现金流量表!J3</f>
        <v>第2年4季度</v>
      </c>
      <c r="K3" s="455" t="str">
        <f>项目现金流量表!K3</f>
        <v>第3年1季度</v>
      </c>
      <c r="L3" s="455" t="str">
        <f>项目现金流量表!L3</f>
        <v>第3年2季度</v>
      </c>
      <c r="M3" s="455" t="str">
        <f>项目现金流量表!M3</f>
        <v>第3年3季度</v>
      </c>
      <c r="N3" s="455" t="str">
        <f>项目现金流量表!N3</f>
        <v>第3年4季度</v>
      </c>
      <c r="O3" s="455" t="str">
        <f>项目现金流量表!O3</f>
        <v>第4年1季度</v>
      </c>
      <c r="P3" s="455" t="str">
        <f>项目现金流量表!P3</f>
        <v>第4年2季度</v>
      </c>
      <c r="Q3" s="455" t="str">
        <f>项目现金流量表!Q3</f>
        <v>第4年3季度</v>
      </c>
      <c r="R3" s="455" t="str">
        <f>项目现金流量表!R3</f>
        <v>第4年4季度</v>
      </c>
      <c r="S3" s="455" t="str">
        <f>项目现金流量表!S3</f>
        <v>第5年1季度</v>
      </c>
      <c r="T3" s="455" t="str">
        <f>项目现金流量表!T3</f>
        <v>第5年2季度</v>
      </c>
      <c r="U3" s="455" t="str">
        <f>项目现金流量表!U3</f>
        <v>第5年3季度</v>
      </c>
      <c r="V3" s="455" t="str">
        <f>项目现金流量表!V3</f>
        <v>第5年4季度</v>
      </c>
    </row>
    <row r="4" spans="1:23">
      <c r="A4" s="36" t="s">
        <v>63</v>
      </c>
      <c r="B4" s="115"/>
      <c r="C4" s="308"/>
      <c r="D4" s="308"/>
      <c r="E4" s="308"/>
      <c r="F4" s="308"/>
      <c r="G4" s="308"/>
      <c r="H4" s="309"/>
      <c r="I4" s="309"/>
      <c r="J4" s="309"/>
      <c r="K4" s="309"/>
      <c r="L4" s="37"/>
      <c r="M4" s="37"/>
      <c r="N4" s="37"/>
      <c r="O4" s="37"/>
      <c r="P4" s="37"/>
      <c r="Q4" s="37"/>
      <c r="R4" s="37"/>
      <c r="S4" s="37"/>
      <c r="T4" s="37"/>
      <c r="U4" s="37"/>
      <c r="V4" s="300"/>
    </row>
    <row r="5" spans="1:23" s="72" customFormat="1" ht="15.75" customHeight="1">
      <c r="A5" s="121" t="s">
        <v>645</v>
      </c>
      <c r="B5" s="115">
        <f>SUM(C5:V5)</f>
        <v>335665.88300751883</v>
      </c>
      <c r="C5" s="310">
        <f>开发和销售计划!B26</f>
        <v>0</v>
      </c>
      <c r="D5" s="310">
        <f>开发和销售计划!C26</f>
        <v>0</v>
      </c>
      <c r="E5" s="310">
        <f>开发和销售计划!D26</f>
        <v>0</v>
      </c>
      <c r="F5" s="310">
        <f>开发和销售计划!E26</f>
        <v>0</v>
      </c>
      <c r="G5" s="310">
        <f>开发和销售计划!F26</f>
        <v>60000</v>
      </c>
      <c r="H5" s="310">
        <f>开发和销售计划!G26</f>
        <v>36000</v>
      </c>
      <c r="I5" s="310">
        <f>开发和销售计划!H26</f>
        <v>24000</v>
      </c>
      <c r="J5" s="310">
        <f>开发和销售计划!I26</f>
        <v>56097.407894736847</v>
      </c>
      <c r="K5" s="310">
        <f>开发和销售计划!J26</f>
        <v>33658.44473684211</v>
      </c>
      <c r="L5" s="310">
        <f>开发和销售计划!K26</f>
        <v>22438.963157894737</v>
      </c>
      <c r="M5" s="310">
        <f>开发和销售计划!L26</f>
        <v>51735.533609022561</v>
      </c>
      <c r="N5" s="310">
        <f>开发和销售计划!M26</f>
        <v>31041.320165413537</v>
      </c>
      <c r="O5" s="310">
        <f>开发和销售计划!N26</f>
        <v>20694.213443609027</v>
      </c>
      <c r="P5" s="310">
        <f>开发和销售计划!O26</f>
        <v>0</v>
      </c>
      <c r="Q5" s="310">
        <f>开发和销售计划!P26</f>
        <v>0</v>
      </c>
      <c r="R5" s="310">
        <f>开发和销售计划!Q26</f>
        <v>0</v>
      </c>
      <c r="S5" s="310">
        <f>开发和销售计划!R26</f>
        <v>0</v>
      </c>
      <c r="T5" s="310">
        <f>开发和销售计划!S26</f>
        <v>0</v>
      </c>
      <c r="U5" s="310">
        <f>开发和销售计划!T26</f>
        <v>0</v>
      </c>
      <c r="V5" s="310">
        <f>开发和销售计划!U26</f>
        <v>0</v>
      </c>
    </row>
    <row r="6" spans="1:23" s="72" customFormat="1">
      <c r="A6" s="87" t="s">
        <v>646</v>
      </c>
      <c r="B6" s="115">
        <f>SUM(C6:V6)</f>
        <v>0</v>
      </c>
      <c r="C6" s="115">
        <f>开发和销售计划!B49*假设条件及经济指标!$G$15</f>
        <v>0</v>
      </c>
      <c r="D6" s="115">
        <f>开发和销售计划!C49*假设条件及经济指标!$G$15</f>
        <v>0</v>
      </c>
      <c r="E6" s="115">
        <f>开发和销售计划!D49*假设条件及经济指标!$G$15</f>
        <v>0</v>
      </c>
      <c r="F6" s="115">
        <f>开发和销售计划!E49*假设条件及经济指标!$G$15</f>
        <v>0</v>
      </c>
      <c r="G6" s="115">
        <f>开发和销售计划!F49*假设条件及经济指标!$G$15</f>
        <v>0</v>
      </c>
      <c r="H6" s="115">
        <f>开发和销售计划!G49*假设条件及经济指标!$G$15</f>
        <v>0</v>
      </c>
      <c r="I6" s="115">
        <f>开发和销售计划!H49*假设条件及经济指标!$G$15</f>
        <v>0</v>
      </c>
      <c r="J6" s="115">
        <f>开发和销售计划!I49*假设条件及经济指标!$G$15</f>
        <v>0</v>
      </c>
      <c r="K6" s="115">
        <f>开发和销售计划!J49*假设条件及经济指标!$G$15</f>
        <v>0</v>
      </c>
      <c r="L6" s="115">
        <f>开发和销售计划!K49*假设条件及经济指标!$G$15</f>
        <v>0</v>
      </c>
      <c r="M6" s="115">
        <f>开发和销售计划!L49*假设条件及经济指标!$G$15</f>
        <v>0</v>
      </c>
      <c r="N6" s="115">
        <f>开发和销售计划!M49*假设条件及经济指标!$G$15</f>
        <v>0</v>
      </c>
      <c r="O6" s="115">
        <f>开发和销售计划!N49*假设条件及经济指标!$G$15</f>
        <v>0</v>
      </c>
      <c r="P6" s="115">
        <f>开发和销售计划!O49*假设条件及经济指标!$G$15</f>
        <v>0</v>
      </c>
      <c r="Q6" s="115">
        <f>开发和销售计划!P49*假设条件及经济指标!$G$15</f>
        <v>0</v>
      </c>
      <c r="R6" s="115">
        <f>开发和销售计划!Q49*假设条件及经济指标!$G$15</f>
        <v>0</v>
      </c>
      <c r="S6" s="115">
        <f>开发和销售计划!R49*假设条件及经济指标!$G$15</f>
        <v>0</v>
      </c>
      <c r="T6" s="115">
        <f>开发和销售计划!S49*假设条件及经济指标!$G$15</f>
        <v>0</v>
      </c>
      <c r="U6" s="115">
        <f>开发和销售计划!T49*假设条件及经济指标!$G$15</f>
        <v>0</v>
      </c>
      <c r="V6" s="115">
        <f>开发和销售计划!U49*假设条件及经济指标!$G$15</f>
        <v>0</v>
      </c>
    </row>
    <row r="7" spans="1:23" s="72" customFormat="1">
      <c r="A7" s="87" t="s">
        <v>647</v>
      </c>
      <c r="B7" s="115">
        <f>SUM(C7:V7)</f>
        <v>0</v>
      </c>
      <c r="C7" s="115">
        <f>C6*80%</f>
        <v>0</v>
      </c>
      <c r="D7" s="115">
        <f>D6*80%+C6*20%</f>
        <v>0</v>
      </c>
      <c r="E7" s="115">
        <f t="shared" ref="E7:U7" si="0">E6*80%+D6*20%</f>
        <v>0</v>
      </c>
      <c r="F7" s="115">
        <f t="shared" si="0"/>
        <v>0</v>
      </c>
      <c r="G7" s="115">
        <f t="shared" si="0"/>
        <v>0</v>
      </c>
      <c r="H7" s="115">
        <f t="shared" si="0"/>
        <v>0</v>
      </c>
      <c r="I7" s="115">
        <f t="shared" si="0"/>
        <v>0</v>
      </c>
      <c r="J7" s="115">
        <f t="shared" si="0"/>
        <v>0</v>
      </c>
      <c r="K7" s="115">
        <f t="shared" si="0"/>
        <v>0</v>
      </c>
      <c r="L7" s="115">
        <f t="shared" si="0"/>
        <v>0</v>
      </c>
      <c r="M7" s="115">
        <f t="shared" si="0"/>
        <v>0</v>
      </c>
      <c r="N7" s="115">
        <f t="shared" si="0"/>
        <v>0</v>
      </c>
      <c r="O7" s="115">
        <f t="shared" si="0"/>
        <v>0</v>
      </c>
      <c r="P7" s="115">
        <f t="shared" si="0"/>
        <v>0</v>
      </c>
      <c r="Q7" s="115">
        <f t="shared" si="0"/>
        <v>0</v>
      </c>
      <c r="R7" s="115">
        <f t="shared" si="0"/>
        <v>0</v>
      </c>
      <c r="S7" s="115">
        <f t="shared" si="0"/>
        <v>0</v>
      </c>
      <c r="T7" s="115">
        <f t="shared" si="0"/>
        <v>0</v>
      </c>
      <c r="U7" s="115">
        <f t="shared" si="0"/>
        <v>0</v>
      </c>
      <c r="V7" s="115">
        <f>V6+U6*20%</f>
        <v>0</v>
      </c>
    </row>
    <row r="8" spans="1:23">
      <c r="A8" s="305" t="s">
        <v>67</v>
      </c>
      <c r="B8" s="306">
        <f>SUM(C8:V8)</f>
        <v>0</v>
      </c>
      <c r="C8" s="306">
        <f t="shared" ref="C8:V8" si="1">SUM(C7:C7)</f>
        <v>0</v>
      </c>
      <c r="D8" s="306">
        <f t="shared" si="1"/>
        <v>0</v>
      </c>
      <c r="E8" s="306">
        <f t="shared" si="1"/>
        <v>0</v>
      </c>
      <c r="F8" s="306">
        <f t="shared" si="1"/>
        <v>0</v>
      </c>
      <c r="G8" s="306">
        <f t="shared" si="1"/>
        <v>0</v>
      </c>
      <c r="H8" s="306">
        <f t="shared" si="1"/>
        <v>0</v>
      </c>
      <c r="I8" s="306">
        <f t="shared" si="1"/>
        <v>0</v>
      </c>
      <c r="J8" s="306">
        <f t="shared" si="1"/>
        <v>0</v>
      </c>
      <c r="K8" s="306">
        <f t="shared" si="1"/>
        <v>0</v>
      </c>
      <c r="L8" s="306">
        <f t="shared" si="1"/>
        <v>0</v>
      </c>
      <c r="M8" s="306">
        <f t="shared" si="1"/>
        <v>0</v>
      </c>
      <c r="N8" s="306">
        <f t="shared" si="1"/>
        <v>0</v>
      </c>
      <c r="O8" s="306">
        <f t="shared" si="1"/>
        <v>0</v>
      </c>
      <c r="P8" s="306">
        <f t="shared" si="1"/>
        <v>0</v>
      </c>
      <c r="Q8" s="306">
        <f t="shared" si="1"/>
        <v>0</v>
      </c>
      <c r="R8" s="306">
        <f t="shared" si="1"/>
        <v>0</v>
      </c>
      <c r="S8" s="306">
        <f t="shared" si="1"/>
        <v>0</v>
      </c>
      <c r="T8" s="306">
        <f t="shared" si="1"/>
        <v>0</v>
      </c>
      <c r="U8" s="306">
        <f t="shared" si="1"/>
        <v>0</v>
      </c>
      <c r="V8" s="306">
        <f t="shared" si="1"/>
        <v>0</v>
      </c>
    </row>
    <row r="9" spans="1:23" s="28" customFormat="1">
      <c r="A9" s="40" t="s">
        <v>68</v>
      </c>
      <c r="B9" s="298">
        <f>NPV(经济指标!E15/4,D8:V8)+C8</f>
        <v>0</v>
      </c>
      <c r="C9" s="41"/>
      <c r="D9" s="41"/>
      <c r="E9" s="41"/>
      <c r="F9" s="41"/>
      <c r="G9" s="41"/>
      <c r="H9" s="41"/>
      <c r="I9" s="41"/>
      <c r="J9" s="41"/>
      <c r="K9" s="41"/>
      <c r="L9" s="41"/>
      <c r="M9" s="41"/>
      <c r="N9" s="41"/>
      <c r="O9" s="41"/>
      <c r="P9" s="41"/>
      <c r="Q9" s="41"/>
      <c r="R9" s="41"/>
      <c r="S9" s="41"/>
      <c r="T9" s="41"/>
      <c r="U9" s="41"/>
      <c r="V9" s="31"/>
    </row>
    <row r="10" spans="1:23">
      <c r="A10" s="42" t="s">
        <v>69</v>
      </c>
      <c r="B10" s="299"/>
      <c r="C10" s="311"/>
      <c r="D10" s="311"/>
      <c r="E10" s="311"/>
      <c r="F10" s="311"/>
      <c r="G10" s="311"/>
      <c r="H10" s="311"/>
      <c r="I10" s="311"/>
      <c r="J10" s="311"/>
      <c r="K10" s="311"/>
      <c r="L10" s="43"/>
      <c r="M10" s="43"/>
      <c r="N10" s="43"/>
      <c r="O10" s="43"/>
      <c r="P10" s="43"/>
      <c r="Q10" s="43"/>
      <c r="R10" s="43"/>
      <c r="S10" s="43"/>
      <c r="T10" s="43"/>
      <c r="U10" s="43"/>
      <c r="V10" s="301"/>
    </row>
    <row r="11" spans="1:23">
      <c r="A11" s="38" t="s">
        <v>118</v>
      </c>
      <c r="B11" s="115">
        <f t="shared" ref="B11:B18" si="2">SUM(C11:V11)</f>
        <v>0</v>
      </c>
      <c r="C11" s="110">
        <f>现金流出表!B4*假设条件及经济指标!$G$15</f>
        <v>0</v>
      </c>
      <c r="D11" s="110">
        <f>现金流出表!C4*假设条件及经济指标!$G$15</f>
        <v>0</v>
      </c>
      <c r="E11" s="110">
        <f>现金流出表!D4*假设条件及经济指标!$G$15</f>
        <v>0</v>
      </c>
      <c r="F11" s="110">
        <f>现金流出表!E4*假设条件及经济指标!$G$15</f>
        <v>0</v>
      </c>
      <c r="G11" s="110">
        <f>现金流出表!F4*假设条件及经济指标!$G$15</f>
        <v>0</v>
      </c>
      <c r="H11" s="110">
        <f>现金流出表!G4*假设条件及经济指标!$G$15</f>
        <v>0</v>
      </c>
      <c r="I11" s="110">
        <f>现金流出表!H4*假设条件及经济指标!$G$15</f>
        <v>0</v>
      </c>
      <c r="J11" s="110">
        <f>现金流出表!I4*假设条件及经济指标!$G$15</f>
        <v>0</v>
      </c>
      <c r="K11" s="110">
        <f>现金流出表!J4*假设条件及经济指标!$G$15</f>
        <v>0</v>
      </c>
      <c r="L11" s="110">
        <f>现金流出表!K4*假设条件及经济指标!$G$15</f>
        <v>0</v>
      </c>
      <c r="M11" s="110">
        <f>现金流出表!L4*假设条件及经济指标!$G$15</f>
        <v>0</v>
      </c>
      <c r="N11" s="110">
        <f>现金流出表!M4*假设条件及经济指标!$G$15</f>
        <v>0</v>
      </c>
      <c r="O11" s="110">
        <f>现金流出表!N4*假设条件及经济指标!$G$15</f>
        <v>0</v>
      </c>
      <c r="P11" s="110">
        <f>现金流出表!O4*假设条件及经济指标!$G$15</f>
        <v>0</v>
      </c>
      <c r="Q11" s="110">
        <f>现金流出表!P4*假设条件及经济指标!$G$15</f>
        <v>0</v>
      </c>
      <c r="R11" s="110">
        <f>现金流出表!Q4*假设条件及经济指标!$G$15</f>
        <v>0</v>
      </c>
      <c r="S11" s="110">
        <f>现金流出表!R4*假设条件及经济指标!$G$15</f>
        <v>0</v>
      </c>
      <c r="T11" s="110">
        <f>现金流出表!S4*假设条件及经济指标!$G$15</f>
        <v>0</v>
      </c>
      <c r="U11" s="110">
        <f>现金流出表!T4*假设条件及经济指标!$G$15</f>
        <v>0</v>
      </c>
      <c r="V11" s="110">
        <f>现金流出表!U4*假设条件及经济指标!$G$15</f>
        <v>0</v>
      </c>
    </row>
    <row r="12" spans="1:23">
      <c r="A12" s="38" t="s">
        <v>117</v>
      </c>
      <c r="B12" s="115">
        <f t="shared" si="2"/>
        <v>0</v>
      </c>
      <c r="C12" s="110">
        <f>现金流出表!B5*假设条件及经济指标!$G$15</f>
        <v>0</v>
      </c>
      <c r="D12" s="110">
        <f>现金流出表!C5*假设条件及经济指标!$G$15</f>
        <v>0</v>
      </c>
      <c r="E12" s="110">
        <f>现金流出表!D5*假设条件及经济指标!$G$15</f>
        <v>0</v>
      </c>
      <c r="F12" s="110">
        <f>现金流出表!E5*假设条件及经济指标!$G$15</f>
        <v>0</v>
      </c>
      <c r="G12" s="110">
        <f>现金流出表!F5*假设条件及经济指标!$G$15</f>
        <v>0</v>
      </c>
      <c r="H12" s="110">
        <f>现金流出表!G5*假设条件及经济指标!$G$15</f>
        <v>0</v>
      </c>
      <c r="I12" s="110">
        <f>现金流出表!H5*假设条件及经济指标!$G$15</f>
        <v>0</v>
      </c>
      <c r="J12" s="110">
        <f>现金流出表!I5*假设条件及经济指标!$G$15</f>
        <v>0</v>
      </c>
      <c r="K12" s="110">
        <f>现金流出表!J5*假设条件及经济指标!$G$15</f>
        <v>0</v>
      </c>
      <c r="L12" s="110">
        <f>现金流出表!K5*假设条件及经济指标!$G$15</f>
        <v>0</v>
      </c>
      <c r="M12" s="110">
        <f>现金流出表!L5*假设条件及经济指标!$G$15</f>
        <v>0</v>
      </c>
      <c r="N12" s="110">
        <f>现金流出表!M5*假设条件及经济指标!$G$15</f>
        <v>0</v>
      </c>
      <c r="O12" s="110">
        <f>现金流出表!N5*假设条件及经济指标!$G$15</f>
        <v>0</v>
      </c>
      <c r="P12" s="110">
        <f>现金流出表!O5*假设条件及经济指标!$G$15</f>
        <v>0</v>
      </c>
      <c r="Q12" s="110">
        <f>现金流出表!P5*假设条件及经济指标!$G$15</f>
        <v>0</v>
      </c>
      <c r="R12" s="110">
        <f>现金流出表!Q5*假设条件及经济指标!$G$15</f>
        <v>0</v>
      </c>
      <c r="S12" s="110">
        <f>现金流出表!R5*假设条件及经济指标!$G$15</f>
        <v>0</v>
      </c>
      <c r="T12" s="110">
        <f>现金流出表!S5*假设条件及经济指标!$G$15</f>
        <v>0</v>
      </c>
      <c r="U12" s="110">
        <f>现金流出表!T5*假设条件及经济指标!$G$15</f>
        <v>0</v>
      </c>
      <c r="V12" s="110">
        <f>现金流出表!U5*假设条件及经济指标!$G$15</f>
        <v>0</v>
      </c>
    </row>
    <row r="13" spans="1:23">
      <c r="A13" s="39" t="s">
        <v>119</v>
      </c>
      <c r="B13" s="115">
        <f t="shared" si="2"/>
        <v>0</v>
      </c>
      <c r="C13" s="110">
        <f>现金流出表!B6*假设条件及经济指标!$G$15</f>
        <v>0</v>
      </c>
      <c r="D13" s="110">
        <f>现金流出表!C6*假设条件及经济指标!$G$15</f>
        <v>0</v>
      </c>
      <c r="E13" s="110">
        <f>现金流出表!D6*假设条件及经济指标!$G$15</f>
        <v>0</v>
      </c>
      <c r="F13" s="110">
        <f>现金流出表!E6*假设条件及经济指标!$G$15</f>
        <v>0</v>
      </c>
      <c r="G13" s="110">
        <f>现金流出表!F6*假设条件及经济指标!$G$15</f>
        <v>0</v>
      </c>
      <c r="H13" s="110">
        <f>现金流出表!G6*假设条件及经济指标!$G$15</f>
        <v>0</v>
      </c>
      <c r="I13" s="110">
        <f>现金流出表!H6*假设条件及经济指标!$G$15</f>
        <v>0</v>
      </c>
      <c r="J13" s="110">
        <f>现金流出表!I6*假设条件及经济指标!$G$15</f>
        <v>0</v>
      </c>
      <c r="K13" s="110">
        <f>现金流出表!J6*假设条件及经济指标!$G$15</f>
        <v>0</v>
      </c>
      <c r="L13" s="110">
        <f>现金流出表!K6*假设条件及经济指标!$G$15</f>
        <v>0</v>
      </c>
      <c r="M13" s="110">
        <f>现金流出表!L6*假设条件及经济指标!$G$15</f>
        <v>0</v>
      </c>
      <c r="N13" s="110">
        <f>现金流出表!M6*假设条件及经济指标!$G$15</f>
        <v>0</v>
      </c>
      <c r="O13" s="110">
        <f>现金流出表!N6*假设条件及经济指标!$G$15</f>
        <v>0</v>
      </c>
      <c r="P13" s="110">
        <f>现金流出表!O6*假设条件及经济指标!$G$15</f>
        <v>0</v>
      </c>
      <c r="Q13" s="110">
        <f>现金流出表!P6*假设条件及经济指标!$G$15</f>
        <v>0</v>
      </c>
      <c r="R13" s="110">
        <f>现金流出表!Q6*假设条件及经济指标!$G$15</f>
        <v>0</v>
      </c>
      <c r="S13" s="110">
        <f>现金流出表!R6*假设条件及经济指标!$G$15</f>
        <v>0</v>
      </c>
      <c r="T13" s="110">
        <f>现金流出表!S6*假设条件及经济指标!$G$15</f>
        <v>0</v>
      </c>
      <c r="U13" s="110">
        <f>现金流出表!T6*假设条件及经济指标!$G$15</f>
        <v>0</v>
      </c>
      <c r="V13" s="110">
        <f>现金流出表!U6*假设条件及经济指标!$G$15</f>
        <v>0</v>
      </c>
    </row>
    <row r="14" spans="1:23">
      <c r="A14" s="39" t="s">
        <v>121</v>
      </c>
      <c r="B14" s="115">
        <f t="shared" si="2"/>
        <v>0</v>
      </c>
      <c r="C14" s="110">
        <f>现金流出表!B7*假设条件及经济指标!$G$15</f>
        <v>0</v>
      </c>
      <c r="D14" s="110">
        <f>现金流出表!C7*假设条件及经济指标!$G$15</f>
        <v>0</v>
      </c>
      <c r="E14" s="110">
        <f>现金流出表!D7*假设条件及经济指标!$G$15</f>
        <v>0</v>
      </c>
      <c r="F14" s="110">
        <f>现金流出表!E7*假设条件及经济指标!$G$15</f>
        <v>0</v>
      </c>
      <c r="G14" s="110">
        <f>现金流出表!F7*假设条件及经济指标!$G$15</f>
        <v>0</v>
      </c>
      <c r="H14" s="110">
        <f>现金流出表!G7*假设条件及经济指标!$G$15</f>
        <v>0</v>
      </c>
      <c r="I14" s="110">
        <f>现金流出表!H7*假设条件及经济指标!$G$15</f>
        <v>0</v>
      </c>
      <c r="J14" s="110">
        <f>现金流出表!I7*假设条件及经济指标!$G$15</f>
        <v>0</v>
      </c>
      <c r="K14" s="110">
        <f>现金流出表!J7*假设条件及经济指标!$G$15</f>
        <v>0</v>
      </c>
      <c r="L14" s="110">
        <f>现金流出表!K7*假设条件及经济指标!$G$15</f>
        <v>0</v>
      </c>
      <c r="M14" s="110">
        <f>现金流出表!L7*假设条件及经济指标!$G$15</f>
        <v>0</v>
      </c>
      <c r="N14" s="110">
        <f>现金流出表!M7*假设条件及经济指标!$G$15</f>
        <v>0</v>
      </c>
      <c r="O14" s="110">
        <f>现金流出表!N7*假设条件及经济指标!$G$15</f>
        <v>0</v>
      </c>
      <c r="P14" s="110">
        <f>现金流出表!O7*假设条件及经济指标!$G$15</f>
        <v>0</v>
      </c>
      <c r="Q14" s="110">
        <f>现金流出表!P7*假设条件及经济指标!$G$15</f>
        <v>0</v>
      </c>
      <c r="R14" s="110">
        <f>现金流出表!Q7*假设条件及经济指标!$G$15</f>
        <v>0</v>
      </c>
      <c r="S14" s="110">
        <f>现金流出表!R7*假设条件及经济指标!$G$15</f>
        <v>0</v>
      </c>
      <c r="T14" s="110">
        <f>现金流出表!S7*假设条件及经济指标!$G$15</f>
        <v>0</v>
      </c>
      <c r="U14" s="110">
        <f>现金流出表!T7*假设条件及经济指标!$G$15</f>
        <v>0</v>
      </c>
      <c r="V14" s="110">
        <f>现金流出表!U7*假设条件及经济指标!$G$15</f>
        <v>0</v>
      </c>
    </row>
    <row r="15" spans="1:23">
      <c r="A15" s="30" t="s">
        <v>120</v>
      </c>
      <c r="B15" s="115">
        <f t="shared" si="2"/>
        <v>0</v>
      </c>
      <c r="C15" s="110">
        <f>现金流出表!B8*假设条件及经济指标!$G$15</f>
        <v>0</v>
      </c>
      <c r="D15" s="110">
        <f>现金流出表!C8*假设条件及经济指标!$G$15</f>
        <v>0</v>
      </c>
      <c r="E15" s="110">
        <f>现金流出表!D8*假设条件及经济指标!$G$15</f>
        <v>0</v>
      </c>
      <c r="F15" s="110">
        <f>现金流出表!E8*假设条件及经济指标!$G$15</f>
        <v>0</v>
      </c>
      <c r="G15" s="110">
        <f>现金流出表!F8*假设条件及经济指标!$G$15</f>
        <v>0</v>
      </c>
      <c r="H15" s="110">
        <f>现金流出表!G8*假设条件及经济指标!$G$15</f>
        <v>0</v>
      </c>
      <c r="I15" s="110">
        <f>现金流出表!H8*假设条件及经济指标!$G$15</f>
        <v>0</v>
      </c>
      <c r="J15" s="110">
        <f>现金流出表!I8*假设条件及经济指标!$G$15</f>
        <v>0</v>
      </c>
      <c r="K15" s="110">
        <f>现金流出表!J8*假设条件及经济指标!$G$15</f>
        <v>0</v>
      </c>
      <c r="L15" s="110">
        <f>现金流出表!K8*假设条件及经济指标!$G$15</f>
        <v>0</v>
      </c>
      <c r="M15" s="110">
        <f>现金流出表!L8*假设条件及经济指标!$G$15</f>
        <v>0</v>
      </c>
      <c r="N15" s="110">
        <f>现金流出表!M8*假设条件及经济指标!$G$15</f>
        <v>0</v>
      </c>
      <c r="O15" s="110">
        <f>现金流出表!N8*假设条件及经济指标!$G$15</f>
        <v>0</v>
      </c>
      <c r="P15" s="110">
        <f>现金流出表!O8*假设条件及经济指标!$G$15</f>
        <v>0</v>
      </c>
      <c r="Q15" s="110">
        <f>现金流出表!P8*假设条件及经济指标!$G$15</f>
        <v>0</v>
      </c>
      <c r="R15" s="110">
        <f>现金流出表!Q8*假设条件及经济指标!$G$15</f>
        <v>0</v>
      </c>
      <c r="S15" s="110">
        <f>现金流出表!R8*假设条件及经济指标!$G$15</f>
        <v>0</v>
      </c>
      <c r="T15" s="110">
        <f>现金流出表!S8*假设条件及经济指标!$G$15</f>
        <v>0</v>
      </c>
      <c r="U15" s="110">
        <f>现金流出表!T8*假设条件及经济指标!$G$15</f>
        <v>0</v>
      </c>
      <c r="V15" s="110">
        <f>现金流出表!U8*假设条件及经济指标!$G$15</f>
        <v>0</v>
      </c>
    </row>
    <row r="16" spans="1:23">
      <c r="A16" s="39" t="s">
        <v>285</v>
      </c>
      <c r="B16" s="115">
        <f t="shared" si="2"/>
        <v>0</v>
      </c>
      <c r="C16" s="312">
        <f>现金流出表!B15*假设条件及经济指标!$G$15</f>
        <v>0</v>
      </c>
      <c r="D16" s="312">
        <f>现金流出表!C15*假设条件及经济指标!$G$15</f>
        <v>0</v>
      </c>
      <c r="E16" s="312">
        <f>现金流出表!D15*假设条件及经济指标!$G$15</f>
        <v>0</v>
      </c>
      <c r="F16" s="312">
        <f>现金流出表!E15*假设条件及经济指标!$G$15</f>
        <v>0</v>
      </c>
      <c r="G16" s="312">
        <f>现金流出表!F15*假设条件及经济指标!$G$15</f>
        <v>0</v>
      </c>
      <c r="H16" s="312">
        <f>现金流出表!G15*假设条件及经济指标!$G$15</f>
        <v>0</v>
      </c>
      <c r="I16" s="312">
        <f>现金流出表!H15*假设条件及经济指标!$G$15</f>
        <v>0</v>
      </c>
      <c r="J16" s="312">
        <f>现金流出表!I15*假设条件及经济指标!$G$15</f>
        <v>0</v>
      </c>
      <c r="K16" s="312">
        <f>现金流出表!J15*假设条件及经济指标!$G$15</f>
        <v>0</v>
      </c>
      <c r="L16" s="312">
        <f>现金流出表!K15*假设条件及经济指标!$G$15</f>
        <v>0</v>
      </c>
      <c r="M16" s="312">
        <f>现金流出表!L15*假设条件及经济指标!$G$15</f>
        <v>0</v>
      </c>
      <c r="N16" s="312">
        <f>现金流出表!M15*假设条件及经济指标!$G$15</f>
        <v>0</v>
      </c>
      <c r="O16" s="312">
        <f>现金流出表!N15*假设条件及经济指标!$G$15</f>
        <v>0</v>
      </c>
      <c r="P16" s="312">
        <f>现金流出表!O15*假设条件及经济指标!$G$15</f>
        <v>0</v>
      </c>
      <c r="Q16" s="312">
        <f>现金流出表!P15*假设条件及经济指标!$G$15</f>
        <v>0</v>
      </c>
      <c r="R16" s="312">
        <f>现金流出表!Q15*假设条件及经济指标!$G$15</f>
        <v>0</v>
      </c>
      <c r="S16" s="312">
        <f>现金流出表!R15*假设条件及经济指标!$G$15</f>
        <v>0</v>
      </c>
      <c r="T16" s="312">
        <f>现金流出表!S15*假设条件及经济指标!$G$15</f>
        <v>0</v>
      </c>
      <c r="U16" s="312">
        <f>现金流出表!T15*假设条件及经济指标!$G$15</f>
        <v>0</v>
      </c>
      <c r="V16" s="312">
        <f>现金流出表!U15*假设条件及经济指标!$G$15</f>
        <v>0</v>
      </c>
    </row>
    <row r="17" spans="1:24">
      <c r="A17" s="30" t="s">
        <v>124</v>
      </c>
      <c r="B17" s="115">
        <f t="shared" si="2"/>
        <v>0</v>
      </c>
      <c r="C17" s="312">
        <f>现金流出表!B16*假设条件及经济指标!$G$15</f>
        <v>0</v>
      </c>
      <c r="D17" s="312">
        <f>现金流出表!C16*假设条件及经济指标!$G$15</f>
        <v>0</v>
      </c>
      <c r="E17" s="312">
        <f>现金流出表!D16*假设条件及经济指标!$G$15</f>
        <v>0</v>
      </c>
      <c r="F17" s="312">
        <f>现金流出表!E16*假设条件及经济指标!$G$15</f>
        <v>0</v>
      </c>
      <c r="G17" s="312">
        <f>现金流出表!F16*假设条件及经济指标!$G$15</f>
        <v>0</v>
      </c>
      <c r="H17" s="312">
        <f>现金流出表!G16*假设条件及经济指标!$G$15</f>
        <v>0</v>
      </c>
      <c r="I17" s="312">
        <f>现金流出表!H16*假设条件及经济指标!$G$15</f>
        <v>0</v>
      </c>
      <c r="J17" s="312">
        <f>现金流出表!I16*假设条件及经济指标!$G$15</f>
        <v>0</v>
      </c>
      <c r="K17" s="312">
        <f>现金流出表!J16*假设条件及经济指标!$G$15</f>
        <v>0</v>
      </c>
      <c r="L17" s="312">
        <f>现金流出表!K16*假设条件及经济指标!$G$15</f>
        <v>0</v>
      </c>
      <c r="M17" s="312">
        <f>现金流出表!L16*假设条件及经济指标!$G$15</f>
        <v>0</v>
      </c>
      <c r="N17" s="312">
        <f>现金流出表!M16*假设条件及经济指标!$G$15</f>
        <v>0</v>
      </c>
      <c r="O17" s="312">
        <f>现金流出表!N16*假设条件及经济指标!$G$15</f>
        <v>0</v>
      </c>
      <c r="P17" s="312">
        <f>现金流出表!O16*假设条件及经济指标!$G$15</f>
        <v>0</v>
      </c>
      <c r="Q17" s="312">
        <f>现金流出表!P16*假设条件及经济指标!$G$15</f>
        <v>0</v>
      </c>
      <c r="R17" s="312">
        <f>现金流出表!Q16*假设条件及经济指标!$G$15</f>
        <v>0</v>
      </c>
      <c r="S17" s="312">
        <f>现金流出表!R16*假设条件及经济指标!$G$15</f>
        <v>0</v>
      </c>
      <c r="T17" s="312">
        <f>现金流出表!S16*假设条件及经济指标!$G$15</f>
        <v>0</v>
      </c>
      <c r="U17" s="312">
        <f>现金流出表!T16*假设条件及经济指标!$G$15</f>
        <v>0</v>
      </c>
      <c r="V17" s="312">
        <f>现金流出表!U16*假设条件及经济指标!$G$15</f>
        <v>0</v>
      </c>
    </row>
    <row r="18" spans="1:24" ht="14.25">
      <c r="A18" s="305" t="s">
        <v>70</v>
      </c>
      <c r="B18" s="306">
        <f t="shared" si="2"/>
        <v>0</v>
      </c>
      <c r="C18" s="314">
        <f t="shared" ref="C18:V18" si="3">SUM(C11:C17)</f>
        <v>0</v>
      </c>
      <c r="D18" s="314">
        <f t="shared" si="3"/>
        <v>0</v>
      </c>
      <c r="E18" s="314">
        <f t="shared" si="3"/>
        <v>0</v>
      </c>
      <c r="F18" s="314">
        <f t="shared" si="3"/>
        <v>0</v>
      </c>
      <c r="G18" s="314">
        <f t="shared" si="3"/>
        <v>0</v>
      </c>
      <c r="H18" s="314">
        <f t="shared" si="3"/>
        <v>0</v>
      </c>
      <c r="I18" s="314">
        <f t="shared" si="3"/>
        <v>0</v>
      </c>
      <c r="J18" s="314">
        <f t="shared" si="3"/>
        <v>0</v>
      </c>
      <c r="K18" s="314">
        <f t="shared" si="3"/>
        <v>0</v>
      </c>
      <c r="L18" s="314">
        <f t="shared" si="3"/>
        <v>0</v>
      </c>
      <c r="M18" s="314">
        <f t="shared" si="3"/>
        <v>0</v>
      </c>
      <c r="N18" s="314">
        <f t="shared" si="3"/>
        <v>0</v>
      </c>
      <c r="O18" s="314">
        <f t="shared" si="3"/>
        <v>0</v>
      </c>
      <c r="P18" s="314">
        <f t="shared" si="3"/>
        <v>0</v>
      </c>
      <c r="Q18" s="314">
        <f t="shared" si="3"/>
        <v>0</v>
      </c>
      <c r="R18" s="314">
        <f t="shared" si="3"/>
        <v>0</v>
      </c>
      <c r="S18" s="314">
        <f t="shared" si="3"/>
        <v>0</v>
      </c>
      <c r="T18" s="314">
        <f t="shared" si="3"/>
        <v>0</v>
      </c>
      <c r="U18" s="314">
        <f t="shared" si="3"/>
        <v>0</v>
      </c>
      <c r="V18" s="314">
        <f t="shared" si="3"/>
        <v>0</v>
      </c>
    </row>
    <row r="19" spans="1:24" s="28" customFormat="1">
      <c r="A19" s="39" t="s">
        <v>71</v>
      </c>
      <c r="B19" s="115">
        <f>NPV(经济指标!E15/4,D18:V18)+C18</f>
        <v>0</v>
      </c>
      <c r="C19" s="315"/>
      <c r="D19" s="41"/>
      <c r="E19" s="41"/>
      <c r="F19" s="41"/>
      <c r="G19" s="41"/>
      <c r="H19" s="41"/>
      <c r="I19" s="41"/>
      <c r="J19" s="41"/>
      <c r="K19" s="41"/>
      <c r="L19" s="41"/>
      <c r="M19" s="41"/>
      <c r="N19" s="41"/>
      <c r="O19" s="41"/>
      <c r="P19" s="41"/>
      <c r="Q19" s="41"/>
      <c r="R19" s="41"/>
      <c r="S19" s="41"/>
      <c r="T19" s="41"/>
      <c r="U19" s="41"/>
      <c r="V19" s="31"/>
    </row>
    <row r="20" spans="1:24">
      <c r="A20" s="44" t="s">
        <v>72</v>
      </c>
      <c r="B20" s="115">
        <f>SUM(C20:V20)</f>
        <v>0</v>
      </c>
      <c r="C20" s="308">
        <f t="shared" ref="C20:V20" si="4">C8-C18</f>
        <v>0</v>
      </c>
      <c r="D20" s="308">
        <f t="shared" si="4"/>
        <v>0</v>
      </c>
      <c r="E20" s="308">
        <f t="shared" si="4"/>
        <v>0</v>
      </c>
      <c r="F20" s="308">
        <f t="shared" si="4"/>
        <v>0</v>
      </c>
      <c r="G20" s="308">
        <f t="shared" si="4"/>
        <v>0</v>
      </c>
      <c r="H20" s="308">
        <f t="shared" si="4"/>
        <v>0</v>
      </c>
      <c r="I20" s="308">
        <f t="shared" si="4"/>
        <v>0</v>
      </c>
      <c r="J20" s="308">
        <f t="shared" si="4"/>
        <v>0</v>
      </c>
      <c r="K20" s="308">
        <f t="shared" si="4"/>
        <v>0</v>
      </c>
      <c r="L20" s="308">
        <f t="shared" si="4"/>
        <v>0</v>
      </c>
      <c r="M20" s="308">
        <f t="shared" si="4"/>
        <v>0</v>
      </c>
      <c r="N20" s="308">
        <f t="shared" si="4"/>
        <v>0</v>
      </c>
      <c r="O20" s="308">
        <f t="shared" si="4"/>
        <v>0</v>
      </c>
      <c r="P20" s="308">
        <f t="shared" si="4"/>
        <v>0</v>
      </c>
      <c r="Q20" s="308">
        <f t="shared" si="4"/>
        <v>0</v>
      </c>
      <c r="R20" s="308">
        <f t="shared" si="4"/>
        <v>0</v>
      </c>
      <c r="S20" s="308">
        <f t="shared" si="4"/>
        <v>0</v>
      </c>
      <c r="T20" s="308">
        <f t="shared" si="4"/>
        <v>0</v>
      </c>
      <c r="U20" s="308">
        <f t="shared" si="4"/>
        <v>0</v>
      </c>
      <c r="V20" s="308">
        <f t="shared" si="4"/>
        <v>0</v>
      </c>
    </row>
    <row r="21" spans="1:24">
      <c r="A21" s="44" t="s">
        <v>288</v>
      </c>
      <c r="B21" s="115">
        <f>V21</f>
        <v>0</v>
      </c>
      <c r="C21" s="308">
        <f>C20</f>
        <v>0</v>
      </c>
      <c r="D21" s="308">
        <f>C21+D20</f>
        <v>0</v>
      </c>
      <c r="E21" s="308">
        <f t="shared" ref="E21:V21" si="5">D21+E20</f>
        <v>0</v>
      </c>
      <c r="F21" s="308">
        <f t="shared" si="5"/>
        <v>0</v>
      </c>
      <c r="G21" s="308">
        <f t="shared" si="5"/>
        <v>0</v>
      </c>
      <c r="H21" s="308">
        <f t="shared" si="5"/>
        <v>0</v>
      </c>
      <c r="I21" s="308">
        <f t="shared" si="5"/>
        <v>0</v>
      </c>
      <c r="J21" s="308">
        <f t="shared" si="5"/>
        <v>0</v>
      </c>
      <c r="K21" s="308">
        <f t="shared" si="5"/>
        <v>0</v>
      </c>
      <c r="L21" s="308">
        <f t="shared" si="5"/>
        <v>0</v>
      </c>
      <c r="M21" s="308">
        <f t="shared" si="5"/>
        <v>0</v>
      </c>
      <c r="N21" s="308">
        <f t="shared" si="5"/>
        <v>0</v>
      </c>
      <c r="O21" s="308">
        <f t="shared" si="5"/>
        <v>0</v>
      </c>
      <c r="P21" s="308">
        <f t="shared" si="5"/>
        <v>0</v>
      </c>
      <c r="Q21" s="308">
        <f t="shared" si="5"/>
        <v>0</v>
      </c>
      <c r="R21" s="308">
        <f t="shared" si="5"/>
        <v>0</v>
      </c>
      <c r="S21" s="308">
        <f t="shared" si="5"/>
        <v>0</v>
      </c>
      <c r="T21" s="308">
        <f t="shared" si="5"/>
        <v>0</v>
      </c>
      <c r="U21" s="308">
        <f t="shared" si="5"/>
        <v>0</v>
      </c>
      <c r="V21" s="308">
        <f t="shared" si="5"/>
        <v>0</v>
      </c>
    </row>
    <row r="22" spans="1:24">
      <c r="A22" s="45" t="s">
        <v>638</v>
      </c>
      <c r="B22" s="316">
        <f>IF(假设条件及经济指标!E15&gt;0,IRR(C20:V20)*4,0)</f>
        <v>0</v>
      </c>
      <c r="C22" s="317"/>
      <c r="D22" s="46"/>
      <c r="E22" s="46"/>
      <c r="F22" s="46"/>
      <c r="G22" s="46"/>
      <c r="H22" s="46"/>
      <c r="I22" s="46"/>
      <c r="J22" s="46"/>
      <c r="K22" s="46"/>
      <c r="L22" s="46"/>
      <c r="M22" s="46"/>
      <c r="N22" s="46"/>
      <c r="O22" s="46"/>
      <c r="P22" s="46"/>
      <c r="Q22" s="46"/>
      <c r="R22" s="46"/>
      <c r="S22" s="46"/>
      <c r="T22" s="46"/>
      <c r="U22" s="46"/>
      <c r="V22" s="302"/>
    </row>
    <row r="23" spans="1:24">
      <c r="A23" s="36" t="s">
        <v>639</v>
      </c>
      <c r="B23" s="447">
        <f>MIN(C21:V21)</f>
        <v>0</v>
      </c>
      <c r="C23" s="47"/>
      <c r="D23" s="47"/>
      <c r="E23" s="47"/>
      <c r="F23" s="47"/>
      <c r="G23" s="47"/>
      <c r="H23" s="47"/>
      <c r="I23" s="47"/>
      <c r="J23" s="47"/>
      <c r="K23" s="47"/>
      <c r="L23" s="47"/>
      <c r="M23" s="47"/>
      <c r="N23" s="47"/>
      <c r="O23" s="47"/>
      <c r="P23" s="47"/>
      <c r="Q23" s="47"/>
      <c r="R23" s="47"/>
      <c r="S23" s="47"/>
      <c r="T23" s="47"/>
      <c r="U23" s="47"/>
      <c r="V23" s="303"/>
    </row>
    <row r="24" spans="1:24">
      <c r="A24" s="36" t="s">
        <v>640</v>
      </c>
      <c r="B24" s="447">
        <f>B9-B19</f>
        <v>0</v>
      </c>
      <c r="C24" s="47"/>
      <c r="D24" s="47"/>
      <c r="E24" s="47"/>
      <c r="F24" s="47"/>
      <c r="G24" s="47"/>
      <c r="H24" s="47"/>
      <c r="I24" s="47"/>
      <c r="J24" s="47"/>
      <c r="K24" s="47"/>
      <c r="L24" s="47"/>
      <c r="M24" s="47"/>
      <c r="N24" s="47"/>
      <c r="O24" s="47"/>
      <c r="P24" s="47"/>
      <c r="Q24" s="47"/>
      <c r="R24" s="47"/>
      <c r="S24" s="47"/>
      <c r="T24" s="47"/>
      <c r="U24" s="47"/>
      <c r="V24" s="303"/>
    </row>
    <row r="25" spans="1:24">
      <c r="A25" s="36" t="s">
        <v>641</v>
      </c>
      <c r="B25" s="321"/>
      <c r="C25" s="47"/>
      <c r="D25" s="47"/>
      <c r="E25" s="47"/>
      <c r="F25" s="47"/>
      <c r="G25" s="47"/>
      <c r="H25" s="47"/>
      <c r="I25" s="47"/>
      <c r="J25" s="47"/>
      <c r="K25" s="47"/>
      <c r="L25" s="47"/>
      <c r="M25" s="47"/>
      <c r="N25" s="47"/>
      <c r="O25" s="47"/>
      <c r="P25" s="47"/>
      <c r="Q25" s="47"/>
      <c r="R25" s="47"/>
      <c r="S25" s="47"/>
      <c r="T25" s="47"/>
      <c r="U25" s="47"/>
      <c r="V25" s="303"/>
    </row>
    <row r="26" spans="1:24">
      <c r="A26" s="36" t="s">
        <v>642</v>
      </c>
      <c r="B26" s="318">
        <f>IF(B11=0,0,(NPV(经济指标!E15/4,D11:V11)+C11)/B11)</f>
        <v>0</v>
      </c>
      <c r="C26" s="47"/>
      <c r="D26" s="47"/>
      <c r="E26" s="47"/>
      <c r="F26" s="47"/>
      <c r="G26" s="47"/>
      <c r="H26" s="47"/>
      <c r="I26" s="47"/>
      <c r="J26" s="47"/>
      <c r="K26" s="47"/>
      <c r="L26" s="47"/>
      <c r="M26" s="47"/>
      <c r="N26" s="47"/>
      <c r="O26" s="47"/>
      <c r="P26" s="47"/>
      <c r="Q26" s="47"/>
      <c r="R26" s="47"/>
      <c r="S26" s="47"/>
      <c r="T26" s="47"/>
      <c r="U26" s="47"/>
      <c r="V26" s="303"/>
    </row>
    <row r="27" spans="1:24" s="402" customFormat="1">
      <c r="A27" s="729"/>
      <c r="B27" s="730"/>
      <c r="C27" s="401"/>
      <c r="D27" s="401"/>
      <c r="E27" s="401"/>
      <c r="F27" s="401"/>
      <c r="G27" s="401"/>
      <c r="H27" s="401"/>
      <c r="I27" s="401"/>
      <c r="J27" s="401"/>
      <c r="K27" s="401"/>
      <c r="L27" s="401"/>
      <c r="M27" s="401"/>
      <c r="N27" s="401"/>
      <c r="O27" s="401"/>
      <c r="P27" s="401"/>
      <c r="Q27" s="401"/>
      <c r="R27" s="401"/>
      <c r="S27" s="401"/>
      <c r="T27" s="401"/>
      <c r="U27" s="401"/>
      <c r="V27" s="401"/>
    </row>
    <row r="28" spans="1:24" s="402" customFormat="1">
      <c r="A28" s="401" t="s">
        <v>73</v>
      </c>
      <c r="B28" s="401"/>
      <c r="C28" s="388"/>
      <c r="D28" s="388"/>
      <c r="E28" s="388"/>
      <c r="F28" s="388"/>
      <c r="G28" s="388"/>
      <c r="H28" s="388"/>
      <c r="I28" s="388"/>
      <c r="J28" s="388"/>
      <c r="K28" s="388"/>
      <c r="L28" s="388"/>
      <c r="M28" s="388"/>
      <c r="N28" s="388"/>
      <c r="O28" s="388"/>
      <c r="P28" s="388"/>
      <c r="Q28" s="388"/>
      <c r="R28" s="388"/>
      <c r="S28" s="388"/>
      <c r="T28" s="388"/>
      <c r="U28" s="388"/>
      <c r="V28" s="388"/>
    </row>
    <row r="29" spans="1:24" s="402" customFormat="1" ht="14.25">
      <c r="A29" s="402" t="s">
        <v>426</v>
      </c>
      <c r="B29" s="388"/>
      <c r="C29" s="388"/>
      <c r="D29" s="388"/>
      <c r="E29" s="388"/>
      <c r="F29" s="388"/>
      <c r="G29" s="388"/>
      <c r="H29" s="388"/>
      <c r="I29" s="388"/>
      <c r="J29" s="388"/>
      <c r="K29" s="388"/>
      <c r="L29" s="388"/>
      <c r="M29" s="388"/>
      <c r="N29" s="388"/>
      <c r="O29" s="388"/>
      <c r="P29" s="388"/>
      <c r="Q29" s="388"/>
      <c r="R29" s="388"/>
      <c r="S29" s="388"/>
      <c r="T29" s="388"/>
      <c r="U29" s="388"/>
      <c r="V29" s="388"/>
      <c r="W29" s="388"/>
      <c r="X29" s="388"/>
    </row>
    <row r="30" spans="1:24" s="402" customFormat="1" ht="14.25">
      <c r="A30" s="402" t="s">
        <v>427</v>
      </c>
      <c r="B30" s="388"/>
      <c r="C30" s="388"/>
      <c r="D30" s="388"/>
      <c r="E30" s="388"/>
      <c r="F30" s="388"/>
      <c r="G30" s="388"/>
      <c r="H30" s="388"/>
      <c r="I30" s="388"/>
      <c r="J30" s="388"/>
      <c r="K30" s="388"/>
      <c r="L30" s="388"/>
      <c r="M30" s="388"/>
      <c r="N30" s="388"/>
      <c r="O30" s="388"/>
      <c r="P30" s="388"/>
      <c r="Q30" s="388"/>
      <c r="R30" s="388"/>
      <c r="S30" s="388"/>
      <c r="T30" s="388"/>
      <c r="U30" s="388"/>
      <c r="V30" s="388"/>
      <c r="W30" s="388"/>
      <c r="X30" s="388"/>
    </row>
    <row r="31" spans="1:24" s="402" customFormat="1">
      <c r="A31" s="402" t="s">
        <v>428</v>
      </c>
      <c r="B31" s="388"/>
      <c r="C31" s="388"/>
      <c r="D31" s="388"/>
      <c r="E31" s="388"/>
      <c r="F31" s="388"/>
      <c r="G31" s="388"/>
      <c r="H31" s="388"/>
      <c r="I31" s="388"/>
      <c r="J31" s="388"/>
      <c r="K31" s="388"/>
      <c r="L31" s="388"/>
      <c r="M31" s="388"/>
      <c r="N31" s="388"/>
      <c r="O31" s="388"/>
      <c r="P31" s="388"/>
      <c r="Q31" s="388"/>
      <c r="R31" s="388"/>
      <c r="S31" s="388"/>
      <c r="T31" s="388"/>
      <c r="U31" s="388"/>
      <c r="V31" s="388"/>
      <c r="W31" s="388"/>
      <c r="X31" s="388"/>
    </row>
    <row r="32" spans="1:24" s="402" customFormat="1">
      <c r="A32" s="402" t="s">
        <v>429</v>
      </c>
      <c r="B32" s="388"/>
      <c r="C32" s="388"/>
      <c r="D32" s="388"/>
      <c r="E32" s="388"/>
      <c r="F32" s="388"/>
      <c r="G32" s="388"/>
      <c r="H32" s="388"/>
      <c r="I32" s="388"/>
      <c r="J32" s="388"/>
      <c r="K32" s="388"/>
      <c r="L32" s="388"/>
      <c r="M32" s="388"/>
      <c r="N32" s="388"/>
      <c r="O32" s="388"/>
      <c r="P32" s="388"/>
      <c r="Q32" s="388"/>
      <c r="R32" s="388"/>
      <c r="S32" s="388"/>
      <c r="T32" s="388"/>
      <c r="U32" s="388"/>
      <c r="V32" s="388"/>
      <c r="W32" s="388"/>
      <c r="X32" s="388"/>
    </row>
    <row r="33" spans="1:24" s="402" customFormat="1">
      <c r="A33" s="402" t="s">
        <v>430</v>
      </c>
      <c r="B33" s="388"/>
      <c r="C33" s="388"/>
      <c r="D33" s="388"/>
      <c r="E33" s="388"/>
      <c r="F33" s="388"/>
      <c r="G33" s="388"/>
      <c r="H33" s="388"/>
      <c r="I33" s="388"/>
      <c r="J33" s="388"/>
      <c r="K33" s="388"/>
      <c r="L33" s="388"/>
      <c r="M33" s="388"/>
      <c r="N33" s="388"/>
      <c r="O33" s="388"/>
      <c r="P33" s="388"/>
      <c r="Q33" s="388"/>
      <c r="R33" s="388"/>
      <c r="S33" s="388"/>
      <c r="T33" s="388"/>
      <c r="U33" s="388"/>
      <c r="V33" s="388"/>
      <c r="W33" s="388"/>
      <c r="X33" s="388"/>
    </row>
    <row r="34" spans="1:24" s="402" customFormat="1">
      <c r="A34" s="402" t="s">
        <v>431</v>
      </c>
      <c r="B34" s="388"/>
      <c r="C34" s="388"/>
      <c r="D34" s="388"/>
      <c r="E34" s="388"/>
      <c r="F34" s="388"/>
      <c r="G34" s="388"/>
      <c r="H34" s="388"/>
      <c r="I34" s="388"/>
      <c r="J34" s="388"/>
      <c r="K34" s="388"/>
      <c r="L34" s="388"/>
      <c r="M34" s="388"/>
      <c r="N34" s="388"/>
      <c r="O34" s="388"/>
      <c r="P34" s="388"/>
      <c r="Q34" s="388"/>
      <c r="R34" s="388"/>
      <c r="S34" s="388"/>
      <c r="T34" s="388"/>
      <c r="U34" s="388"/>
      <c r="V34" s="388"/>
      <c r="W34" s="388"/>
      <c r="X34" s="388"/>
    </row>
    <row r="35" spans="1:24" s="402" customFormat="1">
      <c r="A35" s="402" t="s">
        <v>436</v>
      </c>
      <c r="B35" s="388"/>
      <c r="C35" s="388"/>
      <c r="D35" s="388"/>
      <c r="E35" s="388"/>
      <c r="F35" s="388"/>
      <c r="G35" s="388"/>
      <c r="H35" s="388"/>
      <c r="I35" s="388"/>
      <c r="J35" s="388"/>
      <c r="K35" s="388"/>
      <c r="L35" s="388"/>
      <c r="M35" s="388"/>
      <c r="N35" s="388"/>
      <c r="O35" s="388"/>
      <c r="P35" s="388"/>
      <c r="Q35" s="388"/>
      <c r="R35" s="388"/>
      <c r="S35" s="388"/>
      <c r="T35" s="388"/>
      <c r="U35" s="388"/>
      <c r="V35" s="388"/>
      <c r="W35" s="388"/>
      <c r="X35" s="388"/>
    </row>
    <row r="36" spans="1:24" s="402" customFormat="1">
      <c r="B36" s="388"/>
      <c r="C36" s="388"/>
      <c r="D36" s="388"/>
      <c r="E36" s="388"/>
      <c r="F36" s="388"/>
      <c r="G36" s="388"/>
      <c r="H36" s="388"/>
      <c r="I36" s="388"/>
      <c r="J36" s="388"/>
      <c r="K36" s="388"/>
      <c r="L36" s="388"/>
      <c r="M36" s="388"/>
      <c r="N36" s="388"/>
      <c r="O36" s="388"/>
      <c r="P36" s="388"/>
      <c r="Q36" s="388"/>
      <c r="R36" s="388"/>
      <c r="S36" s="388"/>
      <c r="T36" s="388"/>
      <c r="U36" s="388"/>
      <c r="V36" s="388"/>
    </row>
    <row r="37" spans="1:24" s="402" customFormat="1">
      <c r="B37" s="388"/>
      <c r="C37" s="388"/>
      <c r="D37" s="388"/>
      <c r="E37" s="388"/>
      <c r="F37" s="388"/>
      <c r="G37" s="388"/>
      <c r="H37" s="388"/>
      <c r="I37" s="388"/>
      <c r="J37" s="388"/>
      <c r="K37" s="388"/>
      <c r="L37" s="388"/>
      <c r="M37" s="388"/>
      <c r="N37" s="388"/>
      <c r="O37" s="388"/>
      <c r="P37" s="388"/>
      <c r="Q37" s="388"/>
      <c r="R37" s="388"/>
      <c r="S37" s="388"/>
      <c r="T37" s="388"/>
      <c r="U37" s="388"/>
      <c r="V37" s="388"/>
    </row>
    <row r="38" spans="1:24" s="402" customFormat="1">
      <c r="B38" s="388"/>
      <c r="C38" s="388"/>
      <c r="D38" s="388"/>
      <c r="E38" s="388"/>
      <c r="F38" s="388"/>
      <c r="G38" s="388"/>
      <c r="H38" s="388"/>
      <c r="I38" s="388"/>
      <c r="J38" s="388"/>
      <c r="K38" s="388"/>
      <c r="L38" s="388"/>
      <c r="M38" s="388"/>
      <c r="N38" s="388"/>
      <c r="O38" s="388"/>
      <c r="P38" s="388"/>
      <c r="Q38" s="388"/>
      <c r="R38" s="388"/>
      <c r="S38" s="388"/>
      <c r="T38" s="388"/>
      <c r="U38" s="388"/>
      <c r="V38" s="388"/>
    </row>
    <row r="39" spans="1:24" s="402" customFormat="1">
      <c r="B39" s="388"/>
      <c r="C39" s="388"/>
      <c r="D39" s="388"/>
      <c r="E39" s="388"/>
      <c r="F39" s="388"/>
      <c r="G39" s="388"/>
      <c r="H39" s="388"/>
      <c r="I39" s="388"/>
      <c r="J39" s="388"/>
      <c r="K39" s="388"/>
      <c r="L39" s="388"/>
      <c r="M39" s="388"/>
      <c r="N39" s="388"/>
      <c r="O39" s="388"/>
      <c r="P39" s="388"/>
      <c r="Q39" s="388"/>
      <c r="R39" s="388"/>
      <c r="S39" s="388"/>
      <c r="T39" s="388"/>
      <c r="U39" s="388"/>
      <c r="V39" s="388"/>
    </row>
    <row r="40" spans="1:24" s="402" customFormat="1">
      <c r="B40" s="388"/>
      <c r="C40" s="388"/>
      <c r="D40" s="388"/>
      <c r="E40" s="388"/>
      <c r="F40" s="388"/>
      <c r="G40" s="388"/>
      <c r="H40" s="388"/>
      <c r="I40" s="388"/>
      <c r="J40" s="388"/>
      <c r="K40" s="388"/>
      <c r="L40" s="388"/>
      <c r="M40" s="388"/>
      <c r="N40" s="388"/>
      <c r="O40" s="388"/>
      <c r="P40" s="388"/>
      <c r="Q40" s="388"/>
      <c r="R40" s="388"/>
      <c r="S40" s="388"/>
      <c r="T40" s="388"/>
      <c r="U40" s="388"/>
      <c r="V40" s="388"/>
    </row>
    <row r="41" spans="1:24" s="402" customFormat="1">
      <c r="B41" s="388"/>
      <c r="C41" s="388"/>
      <c r="D41" s="388"/>
      <c r="E41" s="388"/>
      <c r="F41" s="388"/>
      <c r="G41" s="388"/>
      <c r="H41" s="388"/>
      <c r="I41" s="388"/>
      <c r="J41" s="388"/>
      <c r="K41" s="388"/>
      <c r="L41" s="388"/>
      <c r="M41" s="388"/>
      <c r="N41" s="388"/>
      <c r="O41" s="388"/>
      <c r="P41" s="388"/>
      <c r="Q41" s="388"/>
      <c r="R41" s="388"/>
      <c r="S41" s="388"/>
      <c r="T41" s="388"/>
      <c r="U41" s="388"/>
      <c r="V41" s="388"/>
    </row>
    <row r="42" spans="1:24" s="402" customFormat="1">
      <c r="B42" s="388"/>
      <c r="C42" s="388"/>
      <c r="D42" s="388"/>
      <c r="E42" s="388"/>
      <c r="F42" s="388"/>
      <c r="G42" s="388"/>
      <c r="H42" s="388"/>
      <c r="I42" s="388"/>
      <c r="J42" s="388"/>
      <c r="K42" s="388"/>
      <c r="L42" s="388"/>
      <c r="M42" s="388"/>
      <c r="N42" s="388"/>
      <c r="O42" s="388"/>
      <c r="P42" s="388"/>
      <c r="Q42" s="388"/>
      <c r="R42" s="388"/>
      <c r="S42" s="388"/>
      <c r="T42" s="388"/>
      <c r="U42" s="388"/>
      <c r="V42" s="388"/>
    </row>
    <row r="43" spans="1:24" s="402" customFormat="1">
      <c r="B43" s="388"/>
      <c r="C43" s="388"/>
      <c r="D43" s="388"/>
      <c r="E43" s="388"/>
      <c r="F43" s="388"/>
      <c r="G43" s="388"/>
      <c r="H43" s="388"/>
      <c r="I43" s="388"/>
      <c r="J43" s="388"/>
      <c r="K43" s="388"/>
      <c r="L43" s="388"/>
      <c r="M43" s="388"/>
      <c r="N43" s="388"/>
      <c r="O43" s="388"/>
      <c r="P43" s="388"/>
      <c r="Q43" s="388"/>
      <c r="R43" s="388"/>
      <c r="S43" s="388"/>
      <c r="T43" s="388"/>
      <c r="U43" s="388"/>
      <c r="V43" s="388"/>
    </row>
    <row r="44" spans="1:24" s="402" customFormat="1">
      <c r="B44" s="388"/>
      <c r="C44" s="388"/>
      <c r="D44" s="388"/>
      <c r="E44" s="388"/>
      <c r="F44" s="388"/>
      <c r="G44" s="388"/>
      <c r="H44" s="388"/>
      <c r="I44" s="388"/>
      <c r="J44" s="388"/>
      <c r="K44" s="388"/>
      <c r="L44" s="388"/>
      <c r="M44" s="388"/>
      <c r="N44" s="388"/>
      <c r="O44" s="388"/>
      <c r="P44" s="388"/>
      <c r="Q44" s="388"/>
      <c r="R44" s="388"/>
      <c r="S44" s="388"/>
      <c r="T44" s="388"/>
      <c r="U44" s="388"/>
      <c r="V44" s="388"/>
    </row>
    <row r="45" spans="1:24" s="402" customFormat="1">
      <c r="B45" s="388"/>
      <c r="C45" s="388"/>
      <c r="D45" s="388"/>
      <c r="E45" s="388"/>
      <c r="F45" s="388"/>
      <c r="G45" s="388"/>
      <c r="H45" s="388"/>
      <c r="I45" s="388"/>
      <c r="J45" s="388"/>
      <c r="K45" s="388"/>
      <c r="L45" s="388"/>
      <c r="M45" s="388"/>
      <c r="N45" s="388"/>
      <c r="O45" s="388"/>
      <c r="P45" s="388"/>
      <c r="Q45" s="388"/>
      <c r="R45" s="388"/>
      <c r="S45" s="388"/>
      <c r="T45" s="388"/>
      <c r="U45" s="388"/>
      <c r="V45" s="388"/>
    </row>
    <row r="46" spans="1:24" s="402" customFormat="1">
      <c r="B46" s="388"/>
      <c r="C46" s="388"/>
      <c r="D46" s="388"/>
      <c r="E46" s="388"/>
      <c r="F46" s="388"/>
      <c r="G46" s="388"/>
      <c r="H46" s="388"/>
      <c r="I46" s="388"/>
      <c r="J46" s="388"/>
      <c r="K46" s="388"/>
      <c r="L46" s="388"/>
      <c r="M46" s="388"/>
      <c r="N46" s="388"/>
      <c r="O46" s="388"/>
      <c r="P46" s="388"/>
      <c r="Q46" s="388"/>
      <c r="R46" s="388"/>
      <c r="S46" s="388"/>
      <c r="T46" s="388"/>
      <c r="U46" s="388"/>
      <c r="V46" s="388"/>
    </row>
    <row r="47" spans="1:24" s="402" customFormat="1">
      <c r="B47" s="388"/>
      <c r="C47" s="388"/>
      <c r="D47" s="388"/>
      <c r="E47" s="388"/>
      <c r="F47" s="388"/>
      <c r="G47" s="388"/>
      <c r="H47" s="388"/>
      <c r="I47" s="388"/>
      <c r="J47" s="388"/>
      <c r="K47" s="388"/>
      <c r="L47" s="388"/>
      <c r="M47" s="388"/>
      <c r="N47" s="388"/>
      <c r="O47" s="388"/>
      <c r="P47" s="388"/>
      <c r="Q47" s="388"/>
      <c r="R47" s="388"/>
      <c r="S47" s="388"/>
      <c r="T47" s="388"/>
      <c r="U47" s="388"/>
      <c r="V47" s="388"/>
    </row>
    <row r="48" spans="1:24" s="402" customFormat="1">
      <c r="B48" s="388"/>
      <c r="C48" s="388"/>
      <c r="D48" s="388"/>
      <c r="E48" s="388"/>
      <c r="F48" s="388"/>
      <c r="G48" s="388"/>
      <c r="H48" s="388"/>
      <c r="I48" s="388"/>
      <c r="J48" s="388"/>
      <c r="K48" s="388"/>
      <c r="L48" s="388"/>
      <c r="M48" s="388"/>
      <c r="N48" s="388"/>
      <c r="O48" s="388"/>
      <c r="P48" s="388"/>
      <c r="Q48" s="388"/>
      <c r="R48" s="388"/>
      <c r="S48" s="388"/>
      <c r="T48" s="388"/>
      <c r="U48" s="388"/>
      <c r="V48" s="388"/>
    </row>
    <row r="49" spans="2:22" s="402" customFormat="1">
      <c r="B49" s="388"/>
      <c r="C49" s="388"/>
      <c r="D49" s="388"/>
      <c r="E49" s="388"/>
      <c r="F49" s="388"/>
      <c r="G49" s="388"/>
      <c r="H49" s="388"/>
      <c r="I49" s="388"/>
      <c r="J49" s="388"/>
      <c r="K49" s="388"/>
      <c r="L49" s="388"/>
      <c r="M49" s="388"/>
      <c r="N49" s="388"/>
      <c r="O49" s="388"/>
      <c r="P49" s="388"/>
      <c r="Q49" s="388"/>
      <c r="R49" s="388"/>
      <c r="S49" s="388"/>
      <c r="T49" s="388"/>
      <c r="U49" s="388"/>
      <c r="V49" s="388"/>
    </row>
    <row r="50" spans="2:22" s="402" customFormat="1">
      <c r="B50" s="388"/>
      <c r="C50" s="388"/>
      <c r="D50" s="388"/>
      <c r="E50" s="388"/>
      <c r="F50" s="388"/>
      <c r="G50" s="388"/>
      <c r="H50" s="388"/>
      <c r="I50" s="388"/>
      <c r="J50" s="388"/>
      <c r="K50" s="388"/>
      <c r="L50" s="388"/>
      <c r="M50" s="388"/>
      <c r="N50" s="388"/>
      <c r="O50" s="388"/>
      <c r="P50" s="388"/>
      <c r="Q50" s="388"/>
      <c r="R50" s="388"/>
      <c r="S50" s="388"/>
      <c r="T50" s="388"/>
      <c r="U50" s="388"/>
      <c r="V50" s="388"/>
    </row>
    <row r="51" spans="2:22" s="402" customFormat="1">
      <c r="B51" s="388"/>
      <c r="C51" s="388"/>
      <c r="D51" s="388"/>
      <c r="E51" s="388"/>
      <c r="F51" s="388"/>
      <c r="G51" s="388"/>
      <c r="H51" s="388"/>
      <c r="I51" s="388"/>
      <c r="J51" s="388"/>
      <c r="K51" s="388"/>
      <c r="L51" s="388"/>
      <c r="M51" s="388"/>
      <c r="N51" s="388"/>
      <c r="O51" s="388"/>
      <c r="P51" s="388"/>
      <c r="Q51" s="388"/>
      <c r="R51" s="388"/>
      <c r="S51" s="388"/>
      <c r="T51" s="388"/>
      <c r="U51" s="388"/>
      <c r="V51" s="388"/>
    </row>
    <row r="52" spans="2:22" s="402" customFormat="1">
      <c r="B52" s="388"/>
      <c r="C52" s="388"/>
      <c r="D52" s="388"/>
      <c r="E52" s="388"/>
      <c r="F52" s="388"/>
      <c r="G52" s="388"/>
      <c r="H52" s="388"/>
      <c r="I52" s="388"/>
      <c r="J52" s="388"/>
      <c r="K52" s="388"/>
      <c r="L52" s="388"/>
      <c r="M52" s="388"/>
      <c r="N52" s="388"/>
      <c r="O52" s="388"/>
      <c r="P52" s="388"/>
      <c r="Q52" s="388"/>
      <c r="R52" s="388"/>
      <c r="S52" s="388"/>
      <c r="T52" s="388"/>
      <c r="U52" s="388"/>
      <c r="V52" s="388"/>
    </row>
    <row r="53" spans="2:22" s="402" customFormat="1">
      <c r="B53" s="388"/>
      <c r="C53" s="388"/>
      <c r="D53" s="388"/>
      <c r="E53" s="388"/>
      <c r="F53" s="388"/>
      <c r="G53" s="388"/>
      <c r="H53" s="388"/>
      <c r="I53" s="388"/>
      <c r="J53" s="388"/>
      <c r="K53" s="388"/>
      <c r="L53" s="388"/>
      <c r="M53" s="388"/>
      <c r="N53" s="388"/>
      <c r="O53" s="388"/>
      <c r="P53" s="388"/>
      <c r="Q53" s="388"/>
      <c r="R53" s="388"/>
      <c r="S53" s="388"/>
      <c r="T53" s="388"/>
      <c r="U53" s="388"/>
      <c r="V53" s="388"/>
    </row>
    <row r="54" spans="2:22" s="402" customFormat="1">
      <c r="B54" s="388"/>
      <c r="C54" s="388"/>
      <c r="D54" s="388"/>
      <c r="E54" s="388"/>
      <c r="F54" s="388"/>
      <c r="G54" s="388"/>
      <c r="H54" s="388"/>
      <c r="I54" s="388"/>
      <c r="J54" s="388"/>
      <c r="K54" s="388"/>
      <c r="L54" s="388"/>
      <c r="M54" s="388"/>
      <c r="N54" s="388"/>
      <c r="O54" s="388"/>
      <c r="P54" s="388"/>
      <c r="Q54" s="388"/>
      <c r="R54" s="388"/>
      <c r="S54" s="388"/>
      <c r="T54" s="388"/>
      <c r="U54" s="388"/>
      <c r="V54" s="388"/>
    </row>
  </sheetData>
  <protectedRanges>
    <protectedRange sqref="B25" name="区域1_1"/>
  </protectedRanges>
  <phoneticPr fontId="2" type="noConversion"/>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sheetPr codeName="Sheet3"/>
  <dimension ref="A1:O56"/>
  <sheetViews>
    <sheetView workbookViewId="0">
      <pane xSplit="1" ySplit="4" topLeftCell="B41" activePane="bottomRight" state="frozen"/>
      <selection pane="topRight" activeCell="B1" sqref="B1"/>
      <selection pane="bottomLeft" activeCell="A5" sqref="A5"/>
      <selection pane="bottomRight" activeCell="C61" sqref="C61"/>
    </sheetView>
  </sheetViews>
  <sheetFormatPr defaultRowHeight="12.75" outlineLevelRow="1"/>
  <cols>
    <col min="1" max="1" width="22" style="17" customWidth="1"/>
    <col min="2" max="2" width="11.625" style="28" customWidth="1"/>
    <col min="3" max="7" width="11.5" style="17" customWidth="1"/>
    <col min="8" max="10" width="11.5" style="17" hidden="1" customWidth="1"/>
    <col min="11" max="11" width="36" style="17" customWidth="1"/>
    <col min="12" max="16384" width="9" style="17"/>
  </cols>
  <sheetData>
    <row r="1" spans="1:11" ht="22.5">
      <c r="A1" s="895" t="s">
        <v>76</v>
      </c>
      <c r="B1" s="895"/>
      <c r="C1" s="895"/>
      <c r="D1" s="895"/>
      <c r="E1" s="895"/>
      <c r="F1" s="895"/>
      <c r="G1" s="895"/>
      <c r="H1" s="895"/>
      <c r="I1" s="895"/>
      <c r="J1" s="895"/>
      <c r="K1" s="895"/>
    </row>
    <row r="2" spans="1:11" ht="17.25" customHeight="1">
      <c r="A2" s="105" t="s">
        <v>46</v>
      </c>
      <c r="D2" s="52" t="s">
        <v>77</v>
      </c>
    </row>
    <row r="3" spans="1:11" s="19" customFormat="1" ht="15.75" customHeight="1">
      <c r="A3" s="896" t="s">
        <v>78</v>
      </c>
      <c r="B3" s="896" t="s">
        <v>40</v>
      </c>
      <c r="C3" s="898" t="s">
        <v>79</v>
      </c>
      <c r="D3" s="899"/>
      <c r="E3" s="899"/>
      <c r="F3" s="899"/>
      <c r="G3" s="899"/>
      <c r="H3" s="899"/>
      <c r="I3" s="67"/>
      <c r="J3" s="67"/>
      <c r="K3" s="896" t="s">
        <v>80</v>
      </c>
    </row>
    <row r="4" spans="1:11" s="21" customFormat="1" ht="15.75" customHeight="1">
      <c r="A4" s="897"/>
      <c r="B4" s="897"/>
      <c r="C4" s="68" t="s">
        <v>664</v>
      </c>
      <c r="D4" s="68" t="s">
        <v>665</v>
      </c>
      <c r="E4" s="68" t="s">
        <v>666</v>
      </c>
      <c r="F4" s="68" t="s">
        <v>667</v>
      </c>
      <c r="G4" s="68" t="s">
        <v>668</v>
      </c>
      <c r="H4" s="29" t="s">
        <v>474</v>
      </c>
      <c r="I4" s="29" t="s">
        <v>475</v>
      </c>
      <c r="J4" s="29" t="s">
        <v>476</v>
      </c>
      <c r="K4" s="897"/>
    </row>
    <row r="5" spans="1:11" ht="15.75" customHeight="1">
      <c r="A5" s="106" t="s">
        <v>681</v>
      </c>
      <c r="B5" s="66">
        <f t="shared" ref="B5:J5" si="0">SUM(B6:B14)</f>
        <v>335665.88300751883</v>
      </c>
      <c r="C5" s="66">
        <f t="shared" si="0"/>
        <v>0</v>
      </c>
      <c r="D5" s="66">
        <f t="shared" si="0"/>
        <v>164877.92631578946</v>
      </c>
      <c r="E5" s="66">
        <f t="shared" si="0"/>
        <v>143885.4792150376</v>
      </c>
      <c r="F5" s="66">
        <f t="shared" si="0"/>
        <v>26902.477476691733</v>
      </c>
      <c r="G5" s="66">
        <f t="shared" si="0"/>
        <v>0</v>
      </c>
      <c r="H5" s="66">
        <f t="shared" si="0"/>
        <v>0</v>
      </c>
      <c r="I5" s="66">
        <f t="shared" si="0"/>
        <v>0</v>
      </c>
      <c r="J5" s="66">
        <f t="shared" si="0"/>
        <v>0</v>
      </c>
      <c r="K5" s="65"/>
    </row>
    <row r="6" spans="1:11" s="72" customFormat="1" ht="15.75" customHeight="1" outlineLevel="1">
      <c r="A6" s="370" t="s">
        <v>31</v>
      </c>
      <c r="B6" s="109">
        <f>SUM(C6:G6)</f>
        <v>0</v>
      </c>
      <c r="C6" s="110">
        <f>开发和销售计划!B17+开发和销售计划!C17+开发和销售计划!D17+开发和销售计划!E17*80%</f>
        <v>0</v>
      </c>
      <c r="D6" s="110">
        <f>开发和销售计划!E17*20%+开发和销售计划!F17+开发和销售计划!G17+开发和销售计划!H17+开发和销售计划!I17*80%</f>
        <v>0</v>
      </c>
      <c r="E6" s="110">
        <f>开发和销售计划!I17*20%+开发和销售计划!J17+开发和销售计划!K17+开发和销售计划!L17+开发和销售计划!M17*80%</f>
        <v>0</v>
      </c>
      <c r="F6" s="110">
        <f>开发和销售计划!M17*20%+开发和销售计划!N17+开发和销售计划!O17+开发和销售计划!P17+开发和销售计划!Q17*80%</f>
        <v>0</v>
      </c>
      <c r="G6" s="110">
        <f>开发和销售计划!Q17*20%+开发和销售计划!R17+开发和销售计划!S17+开发和销售计划!T17+开发和销售计划!U17</f>
        <v>0</v>
      </c>
      <c r="H6" s="110"/>
      <c r="I6" s="110"/>
      <c r="J6" s="110"/>
      <c r="K6" s="26"/>
    </row>
    <row r="7" spans="1:11" s="72" customFormat="1" ht="15.75" customHeight="1" outlineLevel="1">
      <c r="A7" s="370" t="s">
        <v>446</v>
      </c>
      <c r="B7" s="109">
        <f t="shared" ref="B7:B14" si="1">SUM(C7:G7)</f>
        <v>0</v>
      </c>
      <c r="C7" s="110">
        <f>开发和销售计划!B18+开发和销售计划!C18+开发和销售计划!D18+开发和销售计划!E18*80%</f>
        <v>0</v>
      </c>
      <c r="D7" s="110">
        <f>开发和销售计划!E18*20%+开发和销售计划!F18+开发和销售计划!G18+开发和销售计划!H18+开发和销售计划!I18*80%</f>
        <v>0</v>
      </c>
      <c r="E7" s="110">
        <f>开发和销售计划!I18*20%+开发和销售计划!J18+开发和销售计划!K18+开发和销售计划!L18+开发和销售计划!M18*80%</f>
        <v>0</v>
      </c>
      <c r="F7" s="110">
        <f>开发和销售计划!M18*20%+开发和销售计划!N18+开发和销售计划!O18+开发和销售计划!P18+开发和销售计划!Q18*80%</f>
        <v>0</v>
      </c>
      <c r="G7" s="110">
        <f>开发和销售计划!Q18*20%+开发和销售计划!R18+开发和销售计划!S18+开发和销售计划!T18+开发和销售计划!U18</f>
        <v>0</v>
      </c>
      <c r="H7" s="110"/>
      <c r="I7" s="110"/>
      <c r="J7" s="110"/>
      <c r="K7" s="26"/>
    </row>
    <row r="8" spans="1:11" s="72" customFormat="1" ht="15.75" customHeight="1" outlineLevel="1">
      <c r="A8" s="635" t="s">
        <v>658</v>
      </c>
      <c r="B8" s="109">
        <f t="shared" si="1"/>
        <v>138849.73684210528</v>
      </c>
      <c r="C8" s="110">
        <f>开发和销售计划!B19+开发和销售计划!C19+开发和销售计划!D19+开发和销售计划!E19*80%</f>
        <v>0</v>
      </c>
      <c r="D8" s="110">
        <f>开发和销售计划!E19*20%+开发和销售计划!F19+开发和销售计划!G19+开发和销售计划!H19+开发和销售计划!I19*80%</f>
        <v>56000</v>
      </c>
      <c r="E8" s="110">
        <f>开发和销售计划!I19*20%+开发和销售计划!J19+开发和销售计划!K19+开发和销售计划!L19+开发和销售计划!M19*80%</f>
        <v>67548.805263157905</v>
      </c>
      <c r="F8" s="110">
        <f>开发和销售计划!M19*20%+开发和销售计划!N19+开发和销售计划!O19+开发和销售计划!P19+开发和销售计划!Q19*80%</f>
        <v>15300.931578947373</v>
      </c>
      <c r="G8" s="110">
        <f>开发和销售计划!Q19*20%+开发和销售计划!R19+开发和销售计划!S19+开发和销售计划!T19+开发和销售计划!U19</f>
        <v>0</v>
      </c>
      <c r="H8" s="110"/>
      <c r="I8" s="110"/>
      <c r="J8" s="110"/>
      <c r="K8" s="26"/>
    </row>
    <row r="9" spans="1:11" s="72" customFormat="1" ht="15.75" customHeight="1" outlineLevel="1">
      <c r="A9" s="635" t="s">
        <v>659</v>
      </c>
      <c r="B9" s="109">
        <f t="shared" si="1"/>
        <v>97194.815789473694</v>
      </c>
      <c r="C9" s="110">
        <f>开发和销售计划!B20+开发和销售计划!C20+开发和销售计划!D20+开发和销售计划!E20*80%</f>
        <v>0</v>
      </c>
      <c r="D9" s="110">
        <f>开发和销售计划!E20*20%+开发和销售计划!F20+开发和销售计划!G20+开发和销售计划!H20+开发和销售计划!I20*80%</f>
        <v>68877.926315789475</v>
      </c>
      <c r="E9" s="110">
        <f>开发和销售计划!I20*20%+开发和销售计划!J20+开发和销售计划!K20+开发和销售计划!L20+开发和销售计划!M20*80%</f>
        <v>28316.889473684219</v>
      </c>
      <c r="F9" s="110">
        <f>开发和销售计划!M20*20%+开发和销售计划!N20+开发和销售计划!O20+开发和销售计划!P20+开发和销售计划!Q20*80%</f>
        <v>0</v>
      </c>
      <c r="G9" s="110">
        <f>开发和销售计划!Q20*20%+开发和销售计划!R20+开发和销售计划!S20+开发和销售计划!T20+开发和销售计划!U20</f>
        <v>0</v>
      </c>
      <c r="H9" s="110"/>
      <c r="I9" s="110"/>
      <c r="J9" s="110"/>
      <c r="K9" s="26"/>
    </row>
    <row r="10" spans="1:11" s="72" customFormat="1" ht="15.75" customHeight="1" outlineLevel="1">
      <c r="A10" s="370" t="s">
        <v>449</v>
      </c>
      <c r="B10" s="109">
        <f t="shared" si="1"/>
        <v>41654.92105263158</v>
      </c>
      <c r="C10" s="110">
        <f>开发和销售计划!B21+开发和销售计划!C21+开发和销售计划!D21+开发和销售计划!E21*80%</f>
        <v>0</v>
      </c>
      <c r="D10" s="110">
        <f>开发和销售计划!E21*20%+开发和销售计划!F21+开发和销售计划!G21+开发和销售计划!H21+开发和销售计划!I21*80%</f>
        <v>4000</v>
      </c>
      <c r="E10" s="110">
        <f>开发和销售计划!I21*20%+开发和销售计划!J21+开发和销售计划!K21+开发和销售计划!L21+开发和销售计划!M21*80%</f>
        <v>29424.641578947369</v>
      </c>
      <c r="F10" s="110">
        <f>开发和销售计划!M21*20%+开发和销售计划!N21+开发和销售计划!O21+开发和销售计划!P21+开发和销售计划!Q21*80%</f>
        <v>8230.2794736842116</v>
      </c>
      <c r="G10" s="110">
        <f>开发和销售计划!Q21*20%+开发和销售计划!R21+开发和销售计划!S21+开发和销售计划!T21+开发和销售计划!U21</f>
        <v>0</v>
      </c>
      <c r="H10" s="110"/>
      <c r="I10" s="110"/>
      <c r="J10" s="110"/>
      <c r="K10" s="26"/>
    </row>
    <row r="11" spans="1:11" s="72" customFormat="1" ht="15.75" customHeight="1" outlineLevel="1">
      <c r="A11" s="370" t="s">
        <v>450</v>
      </c>
      <c r="B11" s="109">
        <f t="shared" si="1"/>
        <v>0</v>
      </c>
      <c r="C11" s="110">
        <f>开发和销售计划!B22+开发和销售计划!C22+开发和销售计划!D22+开发和销售计划!E22*80%</f>
        <v>0</v>
      </c>
      <c r="D11" s="110">
        <f>开发和销售计划!E22*20%+开发和销售计划!F22+开发和销售计划!G22+开发和销售计划!H22+开发和销售计划!I22*80%</f>
        <v>0</v>
      </c>
      <c r="E11" s="110">
        <f>开发和销售计划!I22*20%+开发和销售计划!J22+开发和销售计划!K22+开发和销售计划!L22+开发和销售计划!M22*80%</f>
        <v>0</v>
      </c>
      <c r="F11" s="110">
        <f>开发和销售计划!M22*20%+开发和销售计划!N22+开发和销售计划!O22+开发和销售计划!P22+开发和销售计划!Q22*80%</f>
        <v>0</v>
      </c>
      <c r="G11" s="110">
        <f>开发和销售计划!Q22*20%+开发和销售计划!R22+开发和销售计划!S22+开发和销售计划!T22+开发和销售计划!U22</f>
        <v>0</v>
      </c>
      <c r="H11" s="110"/>
      <c r="I11" s="110"/>
      <c r="J11" s="110"/>
      <c r="K11" s="26"/>
    </row>
    <row r="12" spans="1:11" s="72" customFormat="1" ht="15.75" customHeight="1" outlineLevel="1">
      <c r="A12" s="370" t="s">
        <v>451</v>
      </c>
      <c r="B12" s="109">
        <f t="shared" si="1"/>
        <v>0</v>
      </c>
      <c r="C12" s="110">
        <f>开发和销售计划!B23+开发和销售计划!C23+开发和销售计划!D23+开发和销售计划!E23*80%</f>
        <v>0</v>
      </c>
      <c r="D12" s="110">
        <f>开发和销售计划!E23*20%+开发和销售计划!F23+开发和销售计划!G23+开发和销售计划!H23+开发和销售计划!I23*80%</f>
        <v>0</v>
      </c>
      <c r="E12" s="110">
        <f>开发和销售计划!I23*20%+开发和销售计划!J23+开发和销售计划!K23+开发和销售计划!L23+开发和销售计划!M23*80%</f>
        <v>0</v>
      </c>
      <c r="F12" s="110">
        <f>开发和销售计划!M23*20%+开发和销售计划!N23+开发和销售计划!O23+开发和销售计划!P23+开发和销售计划!Q23*80%</f>
        <v>0</v>
      </c>
      <c r="G12" s="110">
        <f>开发和销售计划!Q23*20%+开发和销售计划!R23+开发和销售计划!S23+开发和销售计划!T23+开发和销售计划!U23</f>
        <v>0</v>
      </c>
      <c r="H12" s="110"/>
      <c r="I12" s="110"/>
      <c r="J12" s="110"/>
      <c r="K12" s="26"/>
    </row>
    <row r="13" spans="1:11" s="72" customFormat="1" ht="15.75" customHeight="1" outlineLevel="1">
      <c r="A13" s="111" t="s">
        <v>38</v>
      </c>
      <c r="B13" s="109">
        <f t="shared" si="1"/>
        <v>42966.409323308268</v>
      </c>
      <c r="C13" s="110">
        <f>开发和销售计划!B24+开发和销售计划!C24+开发和销售计划!D24+开发和销售计划!E24*80%</f>
        <v>0</v>
      </c>
      <c r="D13" s="110">
        <f>开发和销售计划!E24*20%+开发和销售计划!F24+开发和销售计划!G24+开发和销售计划!H24+开发和销售计划!I24*80%</f>
        <v>21000</v>
      </c>
      <c r="E13" s="110">
        <f>开发和销售计划!I24*20%+开发和销售计划!J24+开发和销售计划!K24+开发和销售计划!L24+开发和销售计划!M24*80%</f>
        <v>18595.142899248116</v>
      </c>
      <c r="F13" s="110">
        <f>开发和销售计划!M24*20%+开发和销售计划!N24+开发和销售计划!O24+开发和销售计划!P24+开发和销售计划!Q24*80%</f>
        <v>3371.2664240601498</v>
      </c>
      <c r="G13" s="110">
        <f>开发和销售计划!Q24*20%+开发和销售计划!R24+开发和销售计划!S24+开发和销售计划!T24+开发和销售计划!U24</f>
        <v>0</v>
      </c>
      <c r="H13" s="110"/>
      <c r="I13" s="110"/>
      <c r="J13" s="110"/>
      <c r="K13" s="26"/>
    </row>
    <row r="14" spans="1:11" s="72" customFormat="1" outlineLevel="1">
      <c r="A14" s="111" t="s">
        <v>43</v>
      </c>
      <c r="B14" s="109">
        <f t="shared" si="1"/>
        <v>15000</v>
      </c>
      <c r="C14" s="110">
        <f>开发和销售计划!B25+开发和销售计划!C25+开发和销售计划!D25+开发和销售计划!E25*80%</f>
        <v>0</v>
      </c>
      <c r="D14" s="110">
        <f>开发和销售计划!E25*20%+开发和销售计划!F25+开发和销售计划!G25+开发和销售计划!H25+开发和销售计划!I25*80%</f>
        <v>15000</v>
      </c>
      <c r="E14" s="110">
        <f>开发和销售计划!I25*20%+开发和销售计划!J25+开发和销售计划!K25+开发和销售计划!L25+开发和销售计划!M25*80%</f>
        <v>0</v>
      </c>
      <c r="F14" s="110">
        <f>开发和销售计划!M25*20%+开发和销售计划!N25+开发和销售计划!O25+开发和销售计划!P25+开发和销售计划!Q25*80%</f>
        <v>0</v>
      </c>
      <c r="G14" s="110">
        <f>开发和销售计划!Q25*20%+开发和销售计划!R25+开发和销售计划!S25+开发和销售计划!T25+开发和销售计划!U25</f>
        <v>0</v>
      </c>
      <c r="H14" s="110"/>
      <c r="I14" s="110"/>
      <c r="J14" s="110"/>
      <c r="K14" s="26"/>
    </row>
    <row r="15" spans="1:11" ht="15.75" customHeight="1">
      <c r="A15" s="107" t="s">
        <v>81</v>
      </c>
      <c r="B15" s="63">
        <f t="shared" ref="B15:J15" si="2">SUM(B16:B24)</f>
        <v>215264.04420641204</v>
      </c>
      <c r="C15" s="63">
        <f t="shared" si="2"/>
        <v>0</v>
      </c>
      <c r="D15" s="63">
        <f t="shared" si="2"/>
        <v>103776.75578947368</v>
      </c>
      <c r="E15" s="63">
        <f t="shared" si="2"/>
        <v>92513.788174375964</v>
      </c>
      <c r="F15" s="63">
        <f t="shared" si="2"/>
        <v>18973.500242562412</v>
      </c>
      <c r="G15" s="63">
        <f t="shared" si="2"/>
        <v>0</v>
      </c>
      <c r="H15" s="64">
        <f t="shared" si="2"/>
        <v>0</v>
      </c>
      <c r="I15" s="64">
        <f t="shared" si="2"/>
        <v>0</v>
      </c>
      <c r="J15" s="64">
        <f t="shared" si="2"/>
        <v>0</v>
      </c>
      <c r="K15" s="65"/>
    </row>
    <row r="16" spans="1:11" s="72" customFormat="1" ht="15.75" customHeight="1" outlineLevel="1">
      <c r="A16" s="370" t="s">
        <v>31</v>
      </c>
      <c r="B16" s="109">
        <f t="shared" ref="B16:B24" si="3">SUM(C16:G16)</f>
        <v>0</v>
      </c>
      <c r="C16" s="110">
        <f>开发和销售计划!B40+开发和销售计划!C40+开发和销售计划!D40+开发和销售计划!E40*80%</f>
        <v>0</v>
      </c>
      <c r="D16" s="110">
        <f>开发和销售计划!E40*20%+开发和销售计划!F40+开发和销售计划!G40+开发和销售计划!H40+开发和销售计划!I40*80%</f>
        <v>0</v>
      </c>
      <c r="E16" s="110">
        <f>开发和销售计划!I40*20%+开发和销售计划!J40+开发和销售计划!K40+开发和销售计划!L40+开发和销售计划!M40*80%</f>
        <v>0</v>
      </c>
      <c r="F16" s="110">
        <f>开发和销售计划!M40*20%+开发和销售计划!N40+开发和销售计划!O40+开发和销售计划!P40+开发和销售计划!Q40*80%</f>
        <v>0</v>
      </c>
      <c r="G16" s="110">
        <f>开发和销售计划!Q40*20%+开发和销售计划!R40+开发和销售计划!S40+开发和销售计划!T40+开发和销售计划!U40</f>
        <v>0</v>
      </c>
      <c r="H16" s="56"/>
      <c r="I16" s="56"/>
      <c r="J16" s="56"/>
      <c r="K16" s="26"/>
    </row>
    <row r="17" spans="1:11" s="72" customFormat="1" ht="15.75" customHeight="1" outlineLevel="1">
      <c r="A17" s="370" t="s">
        <v>446</v>
      </c>
      <c r="B17" s="109">
        <f t="shared" si="3"/>
        <v>0</v>
      </c>
      <c r="C17" s="110">
        <f>开发和销售计划!B41+开发和销售计划!C41+开发和销售计划!D41+开发和销售计划!E41*80%</f>
        <v>0</v>
      </c>
      <c r="D17" s="110">
        <f>开发和销售计划!E41*20%+开发和销售计划!F41+开发和销售计划!G41+开发和销售计划!H41+开发和销售计划!I41*80%</f>
        <v>0</v>
      </c>
      <c r="E17" s="110">
        <f>开发和销售计划!I41*20%+开发和销售计划!J41+开发和销售计划!K41+开发和销售计划!L41+开发和销售计划!M41*80%</f>
        <v>0</v>
      </c>
      <c r="F17" s="110">
        <f>开发和销售计划!M41*20%+开发和销售计划!N41+开发和销售计划!O41+开发和销售计划!P41+开发和销售计划!Q41*80%</f>
        <v>0</v>
      </c>
      <c r="G17" s="110">
        <f>开发和销售计划!Q41*20%+开发和销售计划!R41+开发和销售计划!S41+开发和销售计划!T41+开发和销售计划!U41</f>
        <v>0</v>
      </c>
      <c r="H17" s="56"/>
      <c r="I17" s="56"/>
      <c r="J17" s="56"/>
      <c r="K17" s="26"/>
    </row>
    <row r="18" spans="1:11" s="72" customFormat="1" ht="15.75" customHeight="1" outlineLevel="1">
      <c r="A18" s="635" t="s">
        <v>658</v>
      </c>
      <c r="B18" s="109">
        <f t="shared" si="3"/>
        <v>95013.515507368429</v>
      </c>
      <c r="C18" s="110">
        <f>开发和销售计划!B42+开发和销售计划!C42+开发和销售计划!D42+开发和销售计划!E42*80%</f>
        <v>0</v>
      </c>
      <c r="D18" s="110">
        <f>开发和销售计划!E42*20%+开发和销售计划!F42+开发和销售计划!G42+开发和销售计划!H42+开发和销售计划!I42*80%</f>
        <v>36400</v>
      </c>
      <c r="E18" s="110">
        <f>开发和销售计划!I42*20%+开发和销售计划!J42+开发和销售计划!K42+开发和销售计划!L42+开发和销售计划!M42*80%</f>
        <v>47211.261294736854</v>
      </c>
      <c r="F18" s="110">
        <f>开发和销售计划!M42*20%+开发和销售计划!N42+开发和销售计划!O42+开发和销售计划!P42+开发和销售计划!Q42*80%</f>
        <v>11402.254212631584</v>
      </c>
      <c r="G18" s="110">
        <f>开发和销售计划!Q42*20%+开发和销售计划!R42+开发和销售计划!S42+开发和销售计划!T42+开发和销售计划!U42</f>
        <v>0</v>
      </c>
      <c r="H18" s="56"/>
      <c r="I18" s="56"/>
      <c r="J18" s="56"/>
      <c r="K18" s="26"/>
    </row>
    <row r="19" spans="1:11" s="72" customFormat="1" ht="15.75" customHeight="1" outlineLevel="1">
      <c r="A19" s="635" t="s">
        <v>659</v>
      </c>
      <c r="B19" s="109">
        <f t="shared" si="3"/>
        <v>59449.565052631588</v>
      </c>
      <c r="C19" s="110">
        <f>开发和销售计划!B43+开发和销售计划!C43+开发和销售计划!D43+开发和销售计划!E43*80%</f>
        <v>0</v>
      </c>
      <c r="D19" s="110">
        <f>开发和销售计划!E43*20%+开发和销售计划!F43+开发和销售计划!G43+开发和销售计划!H43+开发和销售计划!I43*80%</f>
        <v>41326.755789473689</v>
      </c>
      <c r="E19" s="110">
        <f>开发和销售计划!I43*20%+开发和销售计划!J43+开发和销售计划!K43+开发和销售计划!L43+开发和销售计划!M43*80%</f>
        <v>18122.809263157898</v>
      </c>
      <c r="F19" s="110">
        <f>开发和销售计划!M43*20%+开发和销售计划!N43+开发和销售计划!O43+开发和销售计划!P43+开发和销售计划!Q43*80%</f>
        <v>0</v>
      </c>
      <c r="G19" s="110">
        <f>开发和销售计划!Q43*20%+开发和销售计划!R43+开发和销售计划!S43+开发和销售计划!T43+开发和销售计划!U43</f>
        <v>0</v>
      </c>
      <c r="H19" s="56"/>
      <c r="I19" s="56"/>
      <c r="J19" s="56"/>
      <c r="K19" s="26"/>
    </row>
    <row r="20" spans="1:11" s="72" customFormat="1" ht="15.75" customHeight="1" outlineLevel="1">
      <c r="A20" s="111" t="s">
        <v>282</v>
      </c>
      <c r="B20" s="109">
        <f t="shared" si="3"/>
        <v>31594.01824084211</v>
      </c>
      <c r="C20" s="110">
        <f>开发和销售计划!B44+开发和销售计划!C44+开发和销售计划!D44+开发和销售计划!E44*80%</f>
        <v>0</v>
      </c>
      <c r="D20" s="110">
        <f>开发和销售计划!E44*20%+开发和销售计划!F44+开发和销售计划!G44+开发和销售计划!H44+开发和销售计划!I44*80%</f>
        <v>2800</v>
      </c>
      <c r="E20" s="110">
        <f>开发和销售计划!I44*20%+开发和销售计划!J44+开发和销售计划!K44+开发和销售计划!L44+开发和销售计划!M44*80%</f>
        <v>22189.029033684215</v>
      </c>
      <c r="F20" s="110">
        <f>开发和销售计划!M44*20%+开发和销售计划!N44+开发和销售计划!O44+开发和销售计划!P44+开发和销售计划!Q44*80%</f>
        <v>6604.9892071578961</v>
      </c>
      <c r="G20" s="110">
        <f>开发和销售计划!Q44*20%+开发和销售计划!R44+开发和销售计划!S44+开发和销售计划!T44+开发和销售计划!U44</f>
        <v>0</v>
      </c>
      <c r="H20" s="56"/>
      <c r="I20" s="56"/>
      <c r="J20" s="56"/>
      <c r="K20" s="26"/>
    </row>
    <row r="21" spans="1:11" s="72" customFormat="1" ht="15.75" customHeight="1" outlineLevel="1">
      <c r="A21" s="111" t="s">
        <v>41</v>
      </c>
      <c r="B21" s="109">
        <f t="shared" si="3"/>
        <v>0</v>
      </c>
      <c r="C21" s="110">
        <f>开发和销售计划!B45+开发和销售计划!C45+开发和销售计划!D45+开发和销售计划!E45*80%</f>
        <v>0</v>
      </c>
      <c r="D21" s="110">
        <f>开发和销售计划!E45*20%+开发和销售计划!F45+开发和销售计划!G45+开发和销售计划!H45+开发和销售计划!I45*80%</f>
        <v>0</v>
      </c>
      <c r="E21" s="110">
        <f>开发和销售计划!I45*20%+开发和销售计划!J45+开发和销售计划!K45+开发和销售计划!L45+开发和销售计划!M45*80%</f>
        <v>0</v>
      </c>
      <c r="F21" s="110">
        <f>开发和销售计划!M45*20%+开发和销售计划!N45+开发和销售计划!O45+开发和销售计划!P45+开发和销售计划!Q45*80%</f>
        <v>0</v>
      </c>
      <c r="G21" s="110">
        <f>开发和销售计划!Q45*20%+开发和销售计划!R45+开发和销售计划!S45+开发和销售计划!T45+开发和销售计划!U45</f>
        <v>0</v>
      </c>
      <c r="H21" s="56"/>
      <c r="I21" s="56"/>
      <c r="J21" s="56"/>
      <c r="K21" s="26"/>
    </row>
    <row r="22" spans="1:11" s="72" customFormat="1" ht="15.75" customHeight="1" outlineLevel="1">
      <c r="A22" s="111" t="s">
        <v>42</v>
      </c>
      <c r="B22" s="109">
        <f t="shared" si="3"/>
        <v>0</v>
      </c>
      <c r="C22" s="110">
        <f>开发和销售计划!B46+开发和销售计划!C46+开发和销售计划!D46+开发和销售计划!E46*80%</f>
        <v>0</v>
      </c>
      <c r="D22" s="110">
        <f>开发和销售计划!E46*20%+开发和销售计划!F46+开发和销售计划!G46+开发和销售计划!H46+开发和销售计划!I46*80%</f>
        <v>0</v>
      </c>
      <c r="E22" s="110">
        <f>开发和销售计划!I46*20%+开发和销售计划!J46+开发和销售计划!K46+开发和销售计划!L46+开发和销售计划!M46*80%</f>
        <v>0</v>
      </c>
      <c r="F22" s="110">
        <f>开发和销售计划!M46*20%+开发和销售计划!N46+开发和销售计划!O46+开发和销售计划!P46+开发和销售计划!Q46*80%</f>
        <v>0</v>
      </c>
      <c r="G22" s="110">
        <f>开发和销售计划!Q46*20%+开发和销售计划!R46+开发和销售计划!S46+开发和销售计划!T46+开发和销售计划!U46</f>
        <v>0</v>
      </c>
      <c r="H22" s="56"/>
      <c r="I22" s="56"/>
      <c r="J22" s="56"/>
      <c r="K22" s="26"/>
    </row>
    <row r="23" spans="1:11" s="72" customFormat="1" ht="15.75" customHeight="1" outlineLevel="1">
      <c r="A23" s="111" t="s">
        <v>38</v>
      </c>
      <c r="B23" s="109">
        <f t="shared" si="3"/>
        <v>11206.945405569924</v>
      </c>
      <c r="C23" s="110">
        <f>开发和销售计划!B47+开发和销售计划!C47+开发和销售计划!D47+开发和销售计划!E47*80%</f>
        <v>0</v>
      </c>
      <c r="D23" s="110">
        <f>开发和销售计划!E47*20%+开发和销售计划!F47+开发和销售计划!G47+开发和销售计划!H47+开发和销售计划!I47*80%</f>
        <v>5250</v>
      </c>
      <c r="E23" s="110">
        <f>开发和销售计划!I47*20%+开发和销售计划!J47+开发和销售计划!K47+开发和销售计划!L47+开发和销售计划!M47*80%</f>
        <v>4990.6885827969927</v>
      </c>
      <c r="F23" s="110">
        <f>开发和销售计划!M47*20%+开发和销售计划!N47+开发和销售计划!O47+开发和销售计划!P47+开发和销售计划!Q47*80%</f>
        <v>966.2568227729322</v>
      </c>
      <c r="G23" s="110">
        <f>开发和销售计划!Q47*20%+开发和销售计划!R47+开发和销售计划!S47+开发和销售计划!T47+开发和销售计划!U47</f>
        <v>0</v>
      </c>
      <c r="H23" s="56"/>
      <c r="I23" s="56"/>
      <c r="J23" s="56"/>
      <c r="K23" s="26"/>
    </row>
    <row r="24" spans="1:11" s="72" customFormat="1" ht="15.75" customHeight="1" outlineLevel="1">
      <c r="A24" s="111" t="s">
        <v>43</v>
      </c>
      <c r="B24" s="109">
        <f t="shared" si="3"/>
        <v>18000</v>
      </c>
      <c r="C24" s="110">
        <f>开发和销售计划!B48+开发和销售计划!C48+开发和销售计划!D48+开发和销售计划!E48*80%</f>
        <v>0</v>
      </c>
      <c r="D24" s="110">
        <f>开发和销售计划!E48*20%+开发和销售计划!F48+开发和销售计划!G48+开发和销售计划!H48+开发和销售计划!I48*80%</f>
        <v>18000</v>
      </c>
      <c r="E24" s="110">
        <f>开发和销售计划!I48*20%+开发和销售计划!J48+开发和销售计划!K48+开发和销售计划!L48+开发和销售计划!M48*80%</f>
        <v>0</v>
      </c>
      <c r="F24" s="110">
        <f>开发和销售计划!M48*20%+开发和销售计划!N48+开发和销售计划!O48+开发和销售计划!P48+开发和销售计划!Q48*80%</f>
        <v>0</v>
      </c>
      <c r="G24" s="110">
        <f>开发和销售计划!Q48*20%+开发和销售计划!R48+开发和销售计划!S48+开发和销售计划!T48+开发和销售计划!U48</f>
        <v>0</v>
      </c>
      <c r="H24" s="56"/>
      <c r="I24" s="56"/>
      <c r="J24" s="56"/>
      <c r="K24" s="26"/>
    </row>
    <row r="25" spans="1:11" ht="15.75" customHeight="1">
      <c r="A25" s="107" t="s">
        <v>74</v>
      </c>
      <c r="B25" s="66">
        <f t="shared" ref="B25:J25" si="4">SUM(B26:B34)</f>
        <v>137193.47183371824</v>
      </c>
      <c r="C25" s="66">
        <f t="shared" si="4"/>
        <v>0</v>
      </c>
      <c r="D25" s="66">
        <f t="shared" si="4"/>
        <v>68424.264881020033</v>
      </c>
      <c r="E25" s="66">
        <f t="shared" si="4"/>
        <v>57858.773078707491</v>
      </c>
      <c r="F25" s="66">
        <f t="shared" si="4"/>
        <v>10910.433873990714</v>
      </c>
      <c r="G25" s="66">
        <f t="shared" si="4"/>
        <v>0</v>
      </c>
      <c r="H25" s="66">
        <f t="shared" si="4"/>
        <v>0</v>
      </c>
      <c r="I25" s="66">
        <f t="shared" si="4"/>
        <v>0</v>
      </c>
      <c r="J25" s="66">
        <f t="shared" si="4"/>
        <v>0</v>
      </c>
      <c r="K25" s="65"/>
    </row>
    <row r="26" spans="1:11" s="72" customFormat="1" ht="15.75" customHeight="1" outlineLevel="1">
      <c r="A26" s="370" t="s">
        <v>31</v>
      </c>
      <c r="B26" s="71">
        <f t="shared" ref="B26:B34" si="5">SUM(C26:G26)</f>
        <v>0</v>
      </c>
      <c r="C26" s="112">
        <f>C6*成本汇总!$N6/10000</f>
        <v>0</v>
      </c>
      <c r="D26" s="112">
        <f>D6*成本汇总!$N6/10000</f>
        <v>0</v>
      </c>
      <c r="E26" s="112">
        <f>E6*成本汇总!$N6/10000</f>
        <v>0</v>
      </c>
      <c r="F26" s="112">
        <f>F6*成本汇总!$N6/10000</f>
        <v>0</v>
      </c>
      <c r="G26" s="112">
        <f>G6*成本汇总!$N6/10000</f>
        <v>0</v>
      </c>
      <c r="H26" s="112">
        <f>H6*[1]成本情况!$K$57/10000</f>
        <v>0</v>
      </c>
      <c r="I26" s="112">
        <f>I6*[1]成本情况!$K$57/10000</f>
        <v>0</v>
      </c>
      <c r="J26" s="112">
        <f>J6*[1]成本情况!$K$57/10000</f>
        <v>0</v>
      </c>
      <c r="K26" s="26"/>
    </row>
    <row r="27" spans="1:11" s="72" customFormat="1" ht="15.75" customHeight="1" outlineLevel="1">
      <c r="A27" s="370" t="s">
        <v>446</v>
      </c>
      <c r="B27" s="71">
        <f t="shared" si="5"/>
        <v>0</v>
      </c>
      <c r="C27" s="112">
        <f>C7*成本汇总!$O6/10000</f>
        <v>0</v>
      </c>
      <c r="D27" s="112">
        <f>D7*成本汇总!$O6/10000</f>
        <v>0</v>
      </c>
      <c r="E27" s="112">
        <f>E7*成本汇总!$O6/10000</f>
        <v>0</v>
      </c>
      <c r="F27" s="112">
        <f>F7*成本汇总!$O6/10000</f>
        <v>0</v>
      </c>
      <c r="G27" s="112">
        <f>G7*成本汇总!$O6/10000</f>
        <v>0</v>
      </c>
      <c r="H27" s="112">
        <f>H7*[1]成本情况!$L$57/10000</f>
        <v>0</v>
      </c>
      <c r="I27" s="112">
        <f>I7*[1]成本情况!$L$57/10000</f>
        <v>0</v>
      </c>
      <c r="J27" s="112">
        <f>J7*[1]成本情况!$L$57/10000</f>
        <v>0</v>
      </c>
      <c r="K27" s="26"/>
    </row>
    <row r="28" spans="1:11" s="72" customFormat="1" ht="15.75" customHeight="1" outlineLevel="1">
      <c r="A28" s="635" t="s">
        <v>658</v>
      </c>
      <c r="B28" s="71">
        <f t="shared" si="5"/>
        <v>63615.625965564948</v>
      </c>
      <c r="C28" s="112">
        <f>C8*成本汇总!$P6/10000</f>
        <v>0</v>
      </c>
      <c r="D28" s="112">
        <f>D8*成本汇总!$P6/10000</f>
        <v>25657.052977513024</v>
      </c>
      <c r="E28" s="112">
        <f>E8*成本汇总!$P6/10000</f>
        <v>30948.272771509874</v>
      </c>
      <c r="F28" s="112">
        <f>F8*成本汇总!$P6/10000</f>
        <v>7010.3002165420503</v>
      </c>
      <c r="G28" s="112">
        <f>G8*成本汇总!$P6/10000</f>
        <v>0</v>
      </c>
      <c r="H28" s="112"/>
      <c r="I28" s="112"/>
      <c r="J28" s="112"/>
      <c r="K28" s="26"/>
    </row>
    <row r="29" spans="1:11" s="72" customFormat="1" ht="15.75" customHeight="1" outlineLevel="1">
      <c r="A29" s="635" t="s">
        <v>659</v>
      </c>
      <c r="B29" s="71">
        <f t="shared" si="5"/>
        <v>44507.424646953616</v>
      </c>
      <c r="C29" s="112">
        <f>C9*成本汇总!$Q6/10000</f>
        <v>0</v>
      </c>
      <c r="D29" s="112">
        <f>D9*成本汇总!$Q6/10000</f>
        <v>31540.562019053996</v>
      </c>
      <c r="E29" s="112">
        <f>E9*成本汇总!$Q6/10000</f>
        <v>12966.862627899622</v>
      </c>
      <c r="F29" s="112">
        <f>F9*成本汇总!$Q6/10000</f>
        <v>0</v>
      </c>
      <c r="G29" s="112">
        <f>G9*成本汇总!$Q6/10000</f>
        <v>0</v>
      </c>
      <c r="H29" s="112"/>
      <c r="I29" s="112"/>
      <c r="J29" s="112"/>
      <c r="K29" s="26"/>
    </row>
    <row r="30" spans="1:11" s="72" customFormat="1" ht="15.75" customHeight="1" outlineLevel="1">
      <c r="A30" s="111" t="s">
        <v>394</v>
      </c>
      <c r="B30" s="71">
        <f t="shared" si="5"/>
        <v>19739.276183170932</v>
      </c>
      <c r="C30" s="112">
        <f>C10*成本汇总!$R6/10000</f>
        <v>0</v>
      </c>
      <c r="D30" s="112">
        <f>D10*成本汇总!$R6/10000</f>
        <v>1895.5048464242752</v>
      </c>
      <c r="E30" s="112">
        <f>E10*成本汇总!$R6/10000</f>
        <v>13943.637679297992</v>
      </c>
      <c r="F30" s="112">
        <f>F10*成本汇总!$R6/10000</f>
        <v>3900.1336574486636</v>
      </c>
      <c r="G30" s="112">
        <f>G10*成本汇总!$R6/10000</f>
        <v>0</v>
      </c>
      <c r="H30" s="112"/>
      <c r="I30" s="112"/>
      <c r="J30" s="112"/>
      <c r="K30" s="26"/>
    </row>
    <row r="31" spans="1:11" s="72" customFormat="1" ht="15.75" customHeight="1" outlineLevel="1">
      <c r="A31" s="111" t="s">
        <v>41</v>
      </c>
      <c r="B31" s="71">
        <f t="shared" si="5"/>
        <v>0</v>
      </c>
      <c r="C31" s="112">
        <f>C11*成本汇总!$S6/10000</f>
        <v>0</v>
      </c>
      <c r="D31" s="112">
        <f>D11*成本汇总!$S6/10000</f>
        <v>0</v>
      </c>
      <c r="E31" s="112">
        <f>E11*成本汇总!$S6/10000</f>
        <v>0</v>
      </c>
      <c r="F31" s="112">
        <f>F11*成本汇总!$S6/10000</f>
        <v>0</v>
      </c>
      <c r="G31" s="112">
        <f>G11*成本汇总!$S6/10000</f>
        <v>0</v>
      </c>
      <c r="H31" s="112"/>
      <c r="I31" s="112"/>
      <c r="J31" s="112"/>
      <c r="K31" s="26"/>
    </row>
    <row r="32" spans="1:11" s="72" customFormat="1" ht="15.75" customHeight="1" outlineLevel="1">
      <c r="A32" s="111" t="s">
        <v>42</v>
      </c>
      <c r="B32" s="71">
        <f t="shared" si="5"/>
        <v>0</v>
      </c>
      <c r="C32" s="112">
        <f>C12*成本汇总!$T6/10000</f>
        <v>0</v>
      </c>
      <c r="D32" s="112">
        <f>D12*成本汇总!$T6/10000</f>
        <v>0</v>
      </c>
      <c r="E32" s="112">
        <f>E12*成本汇总!$T6/10000</f>
        <v>0</v>
      </c>
      <c r="F32" s="112">
        <f>F12*成本汇总!$T6/10000</f>
        <v>0</v>
      </c>
      <c r="G32" s="112">
        <f>G12*成本汇总!$T6/10000</f>
        <v>0</v>
      </c>
      <c r="H32" s="112"/>
      <c r="I32" s="112"/>
      <c r="J32" s="112"/>
      <c r="K32" s="26"/>
    </row>
    <row r="33" spans="1:15" s="72" customFormat="1" ht="15.75" customHeight="1" outlineLevel="1">
      <c r="A33" s="111" t="s">
        <v>38</v>
      </c>
      <c r="B33" s="71">
        <f t="shared" si="5"/>
        <v>0</v>
      </c>
      <c r="C33" s="112">
        <f>C13*成本汇总!$U6/10000</f>
        <v>0</v>
      </c>
      <c r="D33" s="112">
        <f>D13*成本汇总!$U6/10000</f>
        <v>0</v>
      </c>
      <c r="E33" s="112">
        <f>E13*成本汇总!$U6/10000</f>
        <v>0</v>
      </c>
      <c r="F33" s="112">
        <f>F13*成本汇总!$U6/10000</f>
        <v>0</v>
      </c>
      <c r="G33" s="112">
        <f>G13*成本汇总!$U6/10000</f>
        <v>0</v>
      </c>
      <c r="H33" s="112">
        <f>[1]成本情况!$M$57*H12/10000</f>
        <v>0</v>
      </c>
      <c r="I33" s="112">
        <f>[1]成本情况!$M$57*I12/10000</f>
        <v>0</v>
      </c>
      <c r="J33" s="112">
        <f>[1]成本情况!$M$57*J12/10000</f>
        <v>0</v>
      </c>
      <c r="K33" s="26"/>
    </row>
    <row r="34" spans="1:15" s="72" customFormat="1" ht="14.25" customHeight="1" outlineLevel="1">
      <c r="A34" s="111" t="s">
        <v>43</v>
      </c>
      <c r="B34" s="71">
        <f t="shared" si="5"/>
        <v>9331.1450380287461</v>
      </c>
      <c r="C34" s="112">
        <f>C14*成本汇总!$V6/10000</f>
        <v>0</v>
      </c>
      <c r="D34" s="112">
        <f>D14*成本汇总!$V6/10000</f>
        <v>9331.1450380287461</v>
      </c>
      <c r="E34" s="112">
        <f>E14*成本汇总!$V6/10000</f>
        <v>0</v>
      </c>
      <c r="F34" s="112">
        <f>F14*成本汇总!$V6/10000</f>
        <v>0</v>
      </c>
      <c r="G34" s="112">
        <f>G14*成本汇总!$V6/10000</f>
        <v>0</v>
      </c>
      <c r="H34" s="112">
        <f>H14*[1]成本情况!$O$57/10000</f>
        <v>0</v>
      </c>
      <c r="I34" s="112">
        <f>I14*[1]成本情况!$O$57/10000</f>
        <v>0</v>
      </c>
      <c r="J34" s="112">
        <f>J14*[1]成本情况!$O$57/10000</f>
        <v>0</v>
      </c>
      <c r="K34" s="26"/>
    </row>
    <row r="35" spans="1:15" s="72" customFormat="1" ht="15.75" customHeight="1">
      <c r="A35" s="107" t="s">
        <v>75</v>
      </c>
      <c r="B35" s="70">
        <f t="shared" ref="B35:G35" si="6">SUM(B36:B41)</f>
        <v>24304.292066989914</v>
      </c>
      <c r="C35" s="70">
        <f t="shared" si="6"/>
        <v>2191.5842652384722</v>
      </c>
      <c r="D35" s="70">
        <f t="shared" si="6"/>
        <v>9356.2712125986654</v>
      </c>
      <c r="E35" s="70">
        <f t="shared" si="6"/>
        <v>8657.9672204626077</v>
      </c>
      <c r="F35" s="70">
        <f t="shared" si="6"/>
        <v>4098.4693686901664</v>
      </c>
      <c r="G35" s="70">
        <f t="shared" si="6"/>
        <v>0</v>
      </c>
      <c r="H35" s="69">
        <f>SUM(H36:H38)</f>
        <v>0</v>
      </c>
      <c r="I35" s="69">
        <f>SUM(I36:I38)</f>
        <v>0</v>
      </c>
      <c r="J35" s="69">
        <f>SUM(J36:J38)</f>
        <v>0</v>
      </c>
      <c r="K35" s="65"/>
    </row>
    <row r="36" spans="1:15" ht="15.75" customHeight="1" outlineLevel="1">
      <c r="A36" s="54" t="s">
        <v>85</v>
      </c>
      <c r="B36" s="71">
        <f t="shared" ref="B36:B47" si="7">SUM(C36:G36)</f>
        <v>6457.9213261923614</v>
      </c>
      <c r="C36" s="56">
        <f>现金流出表!B9+现金流出表!C9+现金流出表!D9+现金流出表!E9</f>
        <v>1291.5842652384722</v>
      </c>
      <c r="D36" s="56">
        <f>现金流出表!F9+现金流出表!G9+现金流出表!H9+现金流出表!I9</f>
        <v>1722.1123536512964</v>
      </c>
      <c r="E36" s="56">
        <f>现金流出表!J9+现金流出表!K9+现金流出表!L9+现金流出表!M9</f>
        <v>1722.1123536512964</v>
      </c>
      <c r="F36" s="56">
        <f>现金流出表!N9+现金流出表!O9+现金流出表!P9+现金流出表!Q9</f>
        <v>1722.1123536512964</v>
      </c>
      <c r="G36" s="56">
        <f>现金流出表!R9+现金流出表!S9+现金流出表!T9+现金流出表!U9</f>
        <v>0</v>
      </c>
      <c r="H36" s="56"/>
      <c r="I36" s="56"/>
      <c r="J36" s="56"/>
      <c r="K36" s="55"/>
    </row>
    <row r="37" spans="1:15" ht="15.75" customHeight="1" outlineLevel="1">
      <c r="A37" s="57" t="s">
        <v>86</v>
      </c>
      <c r="B37" s="71">
        <f t="shared" si="7"/>
        <v>11839.522431352667</v>
      </c>
      <c r="C37" s="56">
        <f>现金流出表!B10+现金流出表!C10+现金流出表!D10+现金流出表!E10</f>
        <v>0</v>
      </c>
      <c r="D37" s="56">
        <f>现金流出表!F10+现金流出表!G10+现金流出表!H10+现金流出表!I10</f>
        <v>5707.7215684210541</v>
      </c>
      <c r="E37" s="56">
        <f>现金流出表!J10+现金流出表!K10+现金流出表!L10+现金流出表!M10</f>
        <v>5088.2583495906792</v>
      </c>
      <c r="F37" s="56">
        <f>现金流出表!N10+现金流出表!O10+现金流出表!P10+现金流出表!Q10</f>
        <v>1043.5425133409328</v>
      </c>
      <c r="G37" s="56">
        <f>现金流出表!R10+现金流出表!S10+现金流出表!T10+现金流出表!U10</f>
        <v>0</v>
      </c>
      <c r="H37" s="56"/>
      <c r="I37" s="56"/>
      <c r="J37" s="56"/>
      <c r="K37" s="53"/>
    </row>
    <row r="38" spans="1:15" ht="15.75" customHeight="1" outlineLevel="1">
      <c r="A38" s="57" t="s">
        <v>87</v>
      </c>
      <c r="B38" s="71">
        <f t="shared" si="7"/>
        <v>1506.8483094448845</v>
      </c>
      <c r="C38" s="56">
        <f>现金流出表!B11+现金流出表!C11+现金流出表!D11+现金流出表!E11</f>
        <v>0</v>
      </c>
      <c r="D38" s="56">
        <f>现金流出表!F11+现金流出表!G11+现金流出表!H11+现金流出表!I11</f>
        <v>726.43729052631579</v>
      </c>
      <c r="E38" s="56">
        <f>现金流出表!J11+现金流出表!K11+现金流出表!L11+现金流出表!M11</f>
        <v>647.59651722063177</v>
      </c>
      <c r="F38" s="56">
        <f>现金流出表!N11+现金流出表!O11+现金流出表!P11+现金流出表!Q11</f>
        <v>132.81450169793689</v>
      </c>
      <c r="G38" s="56">
        <f>现金流出表!R11+现金流出表!S11+现金流出表!T11+现金流出表!U11</f>
        <v>0</v>
      </c>
      <c r="H38" s="56"/>
      <c r="I38" s="56"/>
      <c r="J38" s="56"/>
      <c r="K38" s="53"/>
    </row>
    <row r="39" spans="1:15" ht="15.75" customHeight="1" outlineLevel="1">
      <c r="A39" s="57" t="s">
        <v>697</v>
      </c>
      <c r="B39" s="71">
        <f t="shared" si="7"/>
        <v>0</v>
      </c>
      <c r="C39" s="56">
        <f>现金流出表!B12+现金流出表!C12+现金流出表!D12+现金流出表!E12</f>
        <v>0</v>
      </c>
      <c r="D39" s="56">
        <f>现金流出表!F12+现金流出表!G12+现金流出表!H12+现金流出表!I12</f>
        <v>0</v>
      </c>
      <c r="E39" s="56">
        <f>现金流出表!J12+现金流出表!K12+现金流出表!L12+现金流出表!M12</f>
        <v>0</v>
      </c>
      <c r="F39" s="56">
        <f>现金流出表!N12+现金流出表!O12+现金流出表!P12+现金流出表!Q12</f>
        <v>0</v>
      </c>
      <c r="G39" s="56">
        <f>现金流出表!R12+现金流出表!S12+现金流出表!T12+现金流出表!U12</f>
        <v>0</v>
      </c>
      <c r="H39" s="56"/>
      <c r="I39" s="56"/>
      <c r="J39" s="56"/>
      <c r="K39" s="53"/>
    </row>
    <row r="40" spans="1:15" ht="15.75" customHeight="1" outlineLevel="1">
      <c r="A40" s="57" t="s">
        <v>696</v>
      </c>
      <c r="B40" s="71">
        <f t="shared" si="7"/>
        <v>0</v>
      </c>
      <c r="C40" s="56">
        <f>现金流出表!B13+现金流出表!C13+现金流出表!D13+现金流出表!E13</f>
        <v>0</v>
      </c>
      <c r="D40" s="56">
        <f>现金流出表!F13+现金流出表!G13+现金流出表!H13+现金流出表!I13</f>
        <v>0</v>
      </c>
      <c r="E40" s="56">
        <f>现金流出表!J13+现金流出表!K13+现金流出表!L13+现金流出表!M13</f>
        <v>0</v>
      </c>
      <c r="F40" s="56">
        <f>现金流出表!N13+现金流出表!O13+现金流出表!P13+现金流出表!Q13</f>
        <v>0</v>
      </c>
      <c r="G40" s="56">
        <f>现金流出表!R13+现金流出表!S13+现金流出表!T13+现金流出表!U13</f>
        <v>0</v>
      </c>
      <c r="H40" s="56"/>
      <c r="I40" s="56"/>
      <c r="J40" s="56"/>
      <c r="K40" s="53"/>
    </row>
    <row r="41" spans="1:15" ht="15.75" customHeight="1" outlineLevel="1">
      <c r="A41" s="57" t="s">
        <v>518</v>
      </c>
      <c r="B41" s="71">
        <f t="shared" si="7"/>
        <v>4500</v>
      </c>
      <c r="C41" s="56">
        <f>现金流出表!B14+现金流出表!C14+现金流出表!D14+现金流出表!E14</f>
        <v>900</v>
      </c>
      <c r="D41" s="56">
        <f>现金流出表!F14+现金流出表!G14+现金流出表!H14+现金流出表!I14</f>
        <v>1200</v>
      </c>
      <c r="E41" s="56">
        <f>现金流出表!J14+现金流出表!K14+现金流出表!L14+现金流出表!M14</f>
        <v>1200</v>
      </c>
      <c r="F41" s="56">
        <f>现金流出表!N14+现金流出表!O14+现金流出表!P14+现金流出表!Q14</f>
        <v>1200</v>
      </c>
      <c r="G41" s="56">
        <f>现金流出表!R14+现金流出表!S14+现金流出表!T14+现金流出表!U14</f>
        <v>0</v>
      </c>
      <c r="H41" s="56"/>
      <c r="I41" s="56"/>
      <c r="J41" s="56"/>
      <c r="K41" s="56"/>
      <c r="L41" s="56">
        <f>现金流出表!N14+现金流出表!O14+现金流出表!P14+现金流出表!Q14</f>
        <v>1200</v>
      </c>
      <c r="M41" s="56">
        <f>现金流出表!R14+现金流出表!S14+现金流出表!T14+现金流出表!U14</f>
        <v>0</v>
      </c>
      <c r="N41" s="56">
        <f>现金流出表!V14+现金流出表!W14+现金流出表!X14+现金流出表!Y14</f>
        <v>4500</v>
      </c>
      <c r="O41" s="56">
        <f>现金流出表!Z14+现金流出表!AA14+现金流出表!AB14+现金流出表!AC14</f>
        <v>0</v>
      </c>
    </row>
    <row r="42" spans="1:15" ht="24.75">
      <c r="A42" s="228" t="s">
        <v>285</v>
      </c>
      <c r="B42" s="70">
        <f t="shared" si="7"/>
        <v>0</v>
      </c>
      <c r="C42" s="69">
        <f>现金流出表!B15+现金流出表!C15+现金流出表!D15+现金流出表!E15</f>
        <v>0</v>
      </c>
      <c r="D42" s="69">
        <f>现金流出表!F15+现金流出表!G15+现金流出表!H15+现金流出表!I15</f>
        <v>0</v>
      </c>
      <c r="E42" s="69">
        <f>现金流出表!J15+现金流出表!K15+现金流出表!L15+现金流出表!M15</f>
        <v>0</v>
      </c>
      <c r="F42" s="69">
        <f>现金流出表!N15+现金流出表!O15+现金流出表!P15+现金流出表!Q15</f>
        <v>0</v>
      </c>
      <c r="G42" s="69">
        <f>现金流出表!R15+现金流出表!S15+现金流出表!T15+现金流出表!U15</f>
        <v>0</v>
      </c>
      <c r="H42" s="69"/>
      <c r="I42" s="69"/>
      <c r="J42" s="69"/>
      <c r="K42" s="65"/>
    </row>
    <row r="43" spans="1:15" ht="15.75" customHeight="1">
      <c r="A43" s="107" t="s">
        <v>113</v>
      </c>
      <c r="B43" s="70">
        <f t="shared" si="7"/>
        <v>53766.280305703913</v>
      </c>
      <c r="C43" s="69">
        <f>C15-C25-C35-C42</f>
        <v>-2191.5842652384722</v>
      </c>
      <c r="D43" s="69">
        <f>D15-D25-D35-D42</f>
        <v>25996.219695854983</v>
      </c>
      <c r="E43" s="69">
        <f>E15-E25-E35-E42</f>
        <v>25997.047875205866</v>
      </c>
      <c r="F43" s="69">
        <f>F15-F25-F35-F42</f>
        <v>3964.5969998815308</v>
      </c>
      <c r="G43" s="69">
        <f>G15-G25-G35-G42</f>
        <v>0</v>
      </c>
      <c r="H43" s="69" t="e">
        <f>#REF!-H35</f>
        <v>#REF!</v>
      </c>
      <c r="I43" s="69" t="e">
        <f>#REF!-I35</f>
        <v>#REF!</v>
      </c>
      <c r="J43" s="69" t="e">
        <f>#REF!-J35</f>
        <v>#REF!</v>
      </c>
      <c r="K43" s="65"/>
    </row>
    <row r="44" spans="1:15" s="72" customFormat="1" ht="15.75" customHeight="1">
      <c r="A44" s="113" t="s">
        <v>114</v>
      </c>
      <c r="B44" s="71">
        <f t="shared" si="7"/>
        <v>8064.942045855586</v>
      </c>
      <c r="C44" s="71">
        <f>IF(C43&lt;=0,0,C43*税费说明表!$B13)</f>
        <v>0</v>
      </c>
      <c r="D44" s="71">
        <f>IF(D43&lt;=0,0,IF(C43&lt;0,(D43+C43)*税费说明表!$B13,D43*税费说明表!$B13))</f>
        <v>3570.6953145924767</v>
      </c>
      <c r="E44" s="71">
        <f>IF(E43&lt;=0,0,IF((C43+D43)&lt;0,(E43+C43+D43)*税费说明表!$B13,E43*税费说明表!$B13))</f>
        <v>3899.5571812808798</v>
      </c>
      <c r="F44" s="71">
        <f>IF(F43&lt;=0,0,IF((D43+E43)&lt;0,(F43+D43+E43)*税费说明表!$B13,F43*税费说明表!$B13))</f>
        <v>594.68954998222955</v>
      </c>
      <c r="G44" s="71">
        <f>IF(G43&lt;=0,0,IF((E43+F43)&lt;0,(G43+E43+F43)*税费说明表!$B13,G43*税费说明表!$B13))</f>
        <v>0</v>
      </c>
      <c r="H44" s="71" t="e">
        <f>H43*[1]税费说明!$B$20</f>
        <v>#REF!</v>
      </c>
      <c r="I44" s="71" t="e">
        <f>I43*[1]税费说明!$B$20</f>
        <v>#REF!</v>
      </c>
      <c r="J44" s="71" t="e">
        <f>J43*[1]税费说明!$B$20</f>
        <v>#REF!</v>
      </c>
      <c r="K44" s="114"/>
    </row>
    <row r="45" spans="1:15" s="72" customFormat="1" ht="15.75" customHeight="1">
      <c r="A45" s="113" t="s">
        <v>82</v>
      </c>
      <c r="B45" s="71">
        <f t="shared" si="7"/>
        <v>45701.338259848315</v>
      </c>
      <c r="C45" s="56">
        <f t="shared" ref="C45:J45" si="8">C43-C44</f>
        <v>-2191.5842652384722</v>
      </c>
      <c r="D45" s="56">
        <f t="shared" si="8"/>
        <v>22425.524381262505</v>
      </c>
      <c r="E45" s="56">
        <f t="shared" si="8"/>
        <v>22097.490693924985</v>
      </c>
      <c r="F45" s="56">
        <f t="shared" si="8"/>
        <v>3369.9074498993014</v>
      </c>
      <c r="G45" s="56">
        <f t="shared" si="8"/>
        <v>0</v>
      </c>
      <c r="H45" s="56" t="e">
        <f t="shared" si="8"/>
        <v>#REF!</v>
      </c>
      <c r="I45" s="56" t="e">
        <f t="shared" si="8"/>
        <v>#REF!</v>
      </c>
      <c r="J45" s="56" t="e">
        <f t="shared" si="8"/>
        <v>#REF!</v>
      </c>
      <c r="K45" s="26"/>
    </row>
    <row r="46" spans="1:15" s="72" customFormat="1" ht="15.75" customHeight="1">
      <c r="A46" s="113" t="s">
        <v>600</v>
      </c>
      <c r="B46" s="71">
        <f t="shared" si="7"/>
        <v>45701.338259848315</v>
      </c>
      <c r="C46" s="56">
        <f>C45*假设条件及经济指标!$E$17+沿海现金流量表!F8</f>
        <v>-2191.5842652384722</v>
      </c>
      <c r="D46" s="56">
        <f>D45*假设条件及经济指标!$E$17+沿海现金流量表!J8</f>
        <v>22425.524381262505</v>
      </c>
      <c r="E46" s="56">
        <f>E45*假设条件及经济指标!$E$17+沿海现金流量表!N8</f>
        <v>22097.490693924985</v>
      </c>
      <c r="F46" s="56">
        <f>F45*假设条件及经济指标!$E$17+沿海现金流量表!R8</f>
        <v>3369.9074498993014</v>
      </c>
      <c r="G46" s="56">
        <f>G45*假设条件及经济指标!$E$17+沿海现金流量表!V8</f>
        <v>0</v>
      </c>
      <c r="H46" s="56"/>
      <c r="I46" s="56"/>
      <c r="J46" s="56"/>
      <c r="K46" s="26"/>
    </row>
    <row r="47" spans="1:15" s="72" customFormat="1" ht="15.75" customHeight="1">
      <c r="A47" s="113" t="s">
        <v>598</v>
      </c>
      <c r="B47" s="71">
        <f t="shared" si="7"/>
        <v>0</v>
      </c>
      <c r="C47" s="56">
        <f>C45*假设条件及经济指标!$E$18</f>
        <v>0</v>
      </c>
      <c r="D47" s="56">
        <f>D45*假设条件及经济指标!$E$18</f>
        <v>0</v>
      </c>
      <c r="E47" s="56">
        <f>E45*假设条件及经济指标!$E$18</f>
        <v>0</v>
      </c>
      <c r="F47" s="56">
        <f>F45*假设条件及经济指标!$E$18</f>
        <v>0</v>
      </c>
      <c r="G47" s="56">
        <f>G45*假设条件及经济指标!$E$18</f>
        <v>0</v>
      </c>
      <c r="H47" s="56" t="e">
        <f>H45*假设条件及经济指标!$G$15</f>
        <v>#REF!</v>
      </c>
      <c r="I47" s="56" t="e">
        <f>I45*假设条件及经济指标!$G$15</f>
        <v>#REF!</v>
      </c>
      <c r="J47" s="56" t="e">
        <f>J45*假设条件及经济指标!$G$15</f>
        <v>#REF!</v>
      </c>
      <c r="K47" s="26"/>
    </row>
    <row r="48" spans="1:15" s="24" customFormat="1" ht="15" customHeight="1">
      <c r="A48" s="108"/>
      <c r="B48" s="58"/>
      <c r="C48" s="59"/>
      <c r="D48" s="59"/>
      <c r="E48" s="59"/>
      <c r="F48" s="59"/>
      <c r="G48" s="59"/>
      <c r="H48" s="59"/>
      <c r="I48" s="59"/>
      <c r="J48" s="59"/>
    </row>
    <row r="49" spans="1:11" ht="15.75" customHeight="1">
      <c r="A49" s="57" t="s">
        <v>606</v>
      </c>
      <c r="B49" s="118">
        <f t="shared" ref="B49:G49" si="9">IF(B5=0,0,B43/B5*10000)</f>
        <v>1601.7797169007958</v>
      </c>
      <c r="C49" s="118">
        <f t="shared" si="9"/>
        <v>0</v>
      </c>
      <c r="D49" s="118">
        <f t="shared" si="9"/>
        <v>1576.6949692261787</v>
      </c>
      <c r="E49" s="118">
        <f t="shared" si="9"/>
        <v>1806.7874546501764</v>
      </c>
      <c r="F49" s="118">
        <f t="shared" si="9"/>
        <v>1473.692154678487</v>
      </c>
      <c r="G49" s="118">
        <f t="shared" si="9"/>
        <v>0</v>
      </c>
      <c r="H49" s="35" t="e">
        <f>#REF!/H5*10000</f>
        <v>#REF!</v>
      </c>
      <c r="I49" s="35" t="e">
        <f>#REF!/I5*10000</f>
        <v>#REF!</v>
      </c>
      <c r="J49" s="35" t="e">
        <f>#REF!/J5*10000</f>
        <v>#REF!</v>
      </c>
      <c r="K49" s="267" t="s">
        <v>115</v>
      </c>
    </row>
    <row r="50" spans="1:11" ht="15.75" customHeight="1">
      <c r="A50" s="57" t="s">
        <v>607</v>
      </c>
      <c r="B50" s="118">
        <f t="shared" ref="B50:G50" si="10">IF(B5=0,0,B45/B5*10000)</f>
        <v>1361.5127593656759</v>
      </c>
      <c r="C50" s="118">
        <f t="shared" si="10"/>
        <v>0</v>
      </c>
      <c r="D50" s="118">
        <f t="shared" si="10"/>
        <v>1360.128968283545</v>
      </c>
      <c r="E50" s="118">
        <f t="shared" si="10"/>
        <v>1535.7693364526499</v>
      </c>
      <c r="F50" s="118">
        <f t="shared" si="10"/>
        <v>1252.6383314767143</v>
      </c>
      <c r="G50" s="118">
        <f t="shared" si="10"/>
        <v>0</v>
      </c>
      <c r="H50" s="35" t="e">
        <f>H45/H5*10000</f>
        <v>#REF!</v>
      </c>
      <c r="I50" s="35" t="e">
        <f>I45/I5*10000</f>
        <v>#REF!</v>
      </c>
      <c r="J50" s="35" t="e">
        <f>J45/J5*10000</f>
        <v>#REF!</v>
      </c>
      <c r="K50" s="267" t="s">
        <v>83</v>
      </c>
    </row>
    <row r="51" spans="1:11" ht="15.75" customHeight="1">
      <c r="A51" s="57" t="s">
        <v>608</v>
      </c>
      <c r="B51" s="119">
        <f t="shared" ref="B51:G51" si="11">IF(B15=0,0,B43/B15)</f>
        <v>0.24976897792623737</v>
      </c>
      <c r="C51" s="119">
        <f t="shared" si="11"/>
        <v>0</v>
      </c>
      <c r="D51" s="119">
        <f t="shared" si="11"/>
        <v>0.25050137189287469</v>
      </c>
      <c r="E51" s="119">
        <f t="shared" si="11"/>
        <v>0.28100727889560584</v>
      </c>
      <c r="F51" s="119">
        <f t="shared" si="11"/>
        <v>0.20895443377326478</v>
      </c>
      <c r="G51" s="119">
        <f t="shared" si="11"/>
        <v>0</v>
      </c>
      <c r="H51" s="60" t="e">
        <f>#REF!/H15</f>
        <v>#REF!</v>
      </c>
      <c r="I51" s="60" t="e">
        <f>#REF!/I15</f>
        <v>#REF!</v>
      </c>
      <c r="J51" s="60" t="e">
        <f>#REF!/J15</f>
        <v>#REF!</v>
      </c>
      <c r="K51" s="267" t="s">
        <v>116</v>
      </c>
    </row>
    <row r="52" spans="1:11" ht="15.75" customHeight="1">
      <c r="A52" s="57" t="s">
        <v>609</v>
      </c>
      <c r="B52" s="119">
        <f t="shared" ref="B52:G52" si="12">IF(B15=0,0,B45/B15)</f>
        <v>0.2123036312373017</v>
      </c>
      <c r="C52" s="119">
        <f t="shared" si="12"/>
        <v>0</v>
      </c>
      <c r="D52" s="119">
        <f t="shared" si="12"/>
        <v>0.21609390475412393</v>
      </c>
      <c r="E52" s="119">
        <f t="shared" si="12"/>
        <v>0.23885618706126494</v>
      </c>
      <c r="F52" s="119">
        <f t="shared" si="12"/>
        <v>0.17761126870727509</v>
      </c>
      <c r="G52" s="119">
        <f t="shared" si="12"/>
        <v>0</v>
      </c>
      <c r="H52" s="60" t="e">
        <f>H45/H15</f>
        <v>#REF!</v>
      </c>
      <c r="I52" s="60" t="e">
        <f>I45/I15</f>
        <v>#REF!</v>
      </c>
      <c r="J52" s="60" t="e">
        <f>J45/J15</f>
        <v>#REF!</v>
      </c>
      <c r="K52" s="267" t="s">
        <v>84</v>
      </c>
    </row>
    <row r="53" spans="1:11" s="62" customFormat="1" ht="24" customHeight="1">
      <c r="A53" s="662" t="s">
        <v>612</v>
      </c>
      <c r="B53" s="120"/>
      <c r="C53" s="120">
        <f>IF((项目现金流量表!F22-项目现金流量表!F21)&gt;0,C45/(项目现金流量表!F22-项目现金流量表!F21),"∞")</f>
        <v>-3.9502805818884629E-2</v>
      </c>
      <c r="D53" s="120">
        <f>IF((项目现金流量表!J22-项目现金流量表!J21)&gt;0,D45/(项目现金流量表!J22-项目现金流量表!J21),"∞")</f>
        <v>2.2739951108757728</v>
      </c>
      <c r="E53" s="120" t="str">
        <f>IF((项目现金流量表!N22-项目现金流量表!N21)&gt;0,E45/(项目现金流量表!N22-项目现金流量表!N21),"∞")</f>
        <v>∞</v>
      </c>
      <c r="F53" s="120" t="str">
        <f>IF((项目现金流量表!R22-项目现金流量表!R21)&gt;0,F45/(项目现金流量表!R22-项目现金流量表!R21),"∞")</f>
        <v>∞</v>
      </c>
      <c r="G53" s="120" t="str">
        <f>IF((项目现金流量表!V22-项目现金流量表!V21)&gt;0,G45/(项目现金流量表!V22-项目现金流量表!V21),"∞")</f>
        <v>∞</v>
      </c>
      <c r="H53" s="61" t="e">
        <f>-H45/([1]现金流量!K22+[1]现金流量!K24)</f>
        <v>#REF!</v>
      </c>
      <c r="I53" s="61" t="e">
        <f>-I45/([1]现金流量!L22+[1]现金流量!L24)</f>
        <v>#REF!</v>
      </c>
      <c r="J53" s="61" t="e">
        <f>-J45/([1]现金流量!M22+[1]现金流量!M24)</f>
        <v>#REF!</v>
      </c>
      <c r="K53" s="268" t="s">
        <v>112</v>
      </c>
    </row>
    <row r="54" spans="1:11" ht="23.25" customHeight="1">
      <c r="A54" s="57" t="s">
        <v>610</v>
      </c>
      <c r="B54" s="270">
        <f>IF(假设条件及经济指标!E13=0,0,B45/假设条件及经济指标!E13)</f>
        <v>1.6926421577721598</v>
      </c>
      <c r="C54" s="266"/>
      <c r="D54" s="266"/>
      <c r="E54" s="266"/>
      <c r="F54" s="266"/>
      <c r="G54" s="266"/>
      <c r="H54" s="53"/>
      <c r="I54" s="53"/>
      <c r="J54" s="53"/>
      <c r="K54" s="269" t="s">
        <v>314</v>
      </c>
    </row>
    <row r="55" spans="1:11" ht="21" customHeight="1">
      <c r="A55" s="660" t="s">
        <v>611</v>
      </c>
      <c r="B55" s="661">
        <f>IF(假设条件及经济指标!E14=0,0,利润测算!B46/假设条件及经济指标!E14)</f>
        <v>1.6926421577721598</v>
      </c>
      <c r="C55" s="65"/>
      <c r="D55" s="65"/>
      <c r="E55" s="65"/>
      <c r="F55" s="65"/>
      <c r="G55" s="65"/>
      <c r="H55" s="53"/>
      <c r="I55" s="53"/>
      <c r="J55" s="53"/>
      <c r="K55" s="53"/>
    </row>
    <row r="56" spans="1:11" ht="21" customHeight="1">
      <c r="A56" s="660" t="s">
        <v>650</v>
      </c>
      <c r="B56" s="661">
        <f>IF(假设条件及经济指标!E15=0,0,利润测算!B47/假设条件及经济指标!E15)</f>
        <v>0</v>
      </c>
      <c r="C56" s="65"/>
      <c r="D56" s="65"/>
      <c r="E56" s="65"/>
      <c r="F56" s="65"/>
      <c r="G56" s="65"/>
      <c r="H56" s="53"/>
      <c r="I56" s="53"/>
      <c r="J56" s="53"/>
      <c r="K56" s="53"/>
    </row>
  </sheetData>
  <mergeCells count="5">
    <mergeCell ref="A1:K1"/>
    <mergeCell ref="A3:A4"/>
    <mergeCell ref="B3:B4"/>
    <mergeCell ref="C3:H3"/>
    <mergeCell ref="K3:K4"/>
  </mergeCells>
  <phoneticPr fontId="2"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dimension ref="A2:AB26"/>
  <sheetViews>
    <sheetView workbookViewId="0">
      <pane xSplit="1" ySplit="2" topLeftCell="B3" activePane="bottomRight" state="frozen"/>
      <selection pane="topRight" activeCell="C1" sqref="C1"/>
      <selection pane="bottomLeft" activeCell="A3" sqref="A3"/>
      <selection pane="bottomRight" activeCell="S22" sqref="S22"/>
    </sheetView>
  </sheetViews>
  <sheetFormatPr defaultRowHeight="15" customHeight="1" outlineLevelRow="1"/>
  <cols>
    <col min="1" max="1" width="29.125" style="50" bestFit="1" customWidth="1"/>
    <col min="2" max="22" width="9.625" style="150" customWidth="1"/>
    <col min="23" max="16384" width="9" style="50"/>
  </cols>
  <sheetData>
    <row r="2" spans="1:28" ht="15" customHeight="1">
      <c r="A2" s="144"/>
      <c r="B2" s="22" t="str">
        <f>项目现金流量表!C3</f>
        <v>第1年1季度</v>
      </c>
      <c r="C2" s="22" t="str">
        <f>项目现金流量表!D3</f>
        <v>第1年2季度</v>
      </c>
      <c r="D2" s="22" t="str">
        <f>项目现金流量表!E3</f>
        <v>第1年3季度</v>
      </c>
      <c r="E2" s="22" t="str">
        <f>项目现金流量表!F3</f>
        <v>第1年4季度</v>
      </c>
      <c r="F2" s="22" t="str">
        <f>项目现金流量表!G3</f>
        <v>第2年1季度</v>
      </c>
      <c r="G2" s="22" t="str">
        <f>项目现金流量表!H3</f>
        <v>第2年2季度</v>
      </c>
      <c r="H2" s="22" t="str">
        <f>项目现金流量表!I3</f>
        <v>第2年3季度</v>
      </c>
      <c r="I2" s="22" t="str">
        <f>项目现金流量表!J3</f>
        <v>第2年4季度</v>
      </c>
      <c r="J2" s="22" t="str">
        <f>项目现金流量表!K3</f>
        <v>第3年1季度</v>
      </c>
      <c r="K2" s="22" t="str">
        <f>项目现金流量表!L3</f>
        <v>第3年2季度</v>
      </c>
      <c r="L2" s="22" t="str">
        <f>项目现金流量表!M3</f>
        <v>第3年3季度</v>
      </c>
      <c r="M2" s="22" t="str">
        <f>项目现金流量表!N3</f>
        <v>第3年4季度</v>
      </c>
      <c r="N2" s="22" t="str">
        <f>项目现金流量表!O3</f>
        <v>第4年1季度</v>
      </c>
      <c r="O2" s="22" t="str">
        <f>项目现金流量表!P3</f>
        <v>第4年2季度</v>
      </c>
      <c r="P2" s="22" t="str">
        <f>项目现金流量表!Q3</f>
        <v>第4年3季度</v>
      </c>
      <c r="Q2" s="22" t="str">
        <f>项目现金流量表!R3</f>
        <v>第4年4季度</v>
      </c>
      <c r="R2" s="22" t="str">
        <f>项目现金流量表!S3</f>
        <v>第5年1季度</v>
      </c>
      <c r="S2" s="22" t="str">
        <f>项目现金流量表!T3</f>
        <v>第5年2季度</v>
      </c>
      <c r="T2" s="22" t="str">
        <f>项目现金流量表!U3</f>
        <v>第5年3季度</v>
      </c>
      <c r="U2" s="22" t="str">
        <f>项目现金流量表!V3</f>
        <v>第5年4季度</v>
      </c>
      <c r="V2" s="149" t="s">
        <v>40</v>
      </c>
    </row>
    <row r="3" spans="1:28" s="51" customFormat="1" ht="15" customHeight="1">
      <c r="A3" s="170" t="s">
        <v>74</v>
      </c>
      <c r="B3" s="145">
        <f>SUM(B4:B7)</f>
        <v>23000</v>
      </c>
      <c r="C3" s="145">
        <f t="shared" ref="C3:U3" si="0">SUM(C4:C7)</f>
        <v>5758.8692529821255</v>
      </c>
      <c r="D3" s="145">
        <f t="shared" si="0"/>
        <v>17264.375780600538</v>
      </c>
      <c r="E3" s="145">
        <f t="shared" si="0"/>
        <v>7264.3757806005406</v>
      </c>
      <c r="F3" s="145">
        <f t="shared" si="0"/>
        <v>11193.145754955371</v>
      </c>
      <c r="G3" s="145">
        <f t="shared" si="0"/>
        <v>6789.649483536863</v>
      </c>
      <c r="H3" s="145">
        <f t="shared" si="0"/>
        <v>16271.349123875962</v>
      </c>
      <c r="I3" s="145">
        <f t="shared" si="0"/>
        <v>10978.169194495542</v>
      </c>
      <c r="J3" s="145">
        <f t="shared" si="0"/>
        <v>14302.0552017626</v>
      </c>
      <c r="K3" s="145">
        <f t="shared" si="0"/>
        <v>5361.3795051009638</v>
      </c>
      <c r="L3" s="145">
        <f t="shared" si="0"/>
        <v>13720.703808439326</v>
      </c>
      <c r="M3" s="145">
        <f t="shared" si="0"/>
        <v>117.07978947368423</v>
      </c>
      <c r="N3" s="145">
        <f t="shared" si="0"/>
        <v>117.07978947368423</v>
      </c>
      <c r="O3" s="145">
        <f t="shared" si="0"/>
        <v>117.07978947368423</v>
      </c>
      <c r="P3" s="145">
        <f t="shared" si="0"/>
        <v>117.07978947368423</v>
      </c>
      <c r="Q3" s="145">
        <f t="shared" si="0"/>
        <v>117.07978947368423</v>
      </c>
      <c r="R3" s="145">
        <f t="shared" si="0"/>
        <v>0</v>
      </c>
      <c r="S3" s="145">
        <f t="shared" si="0"/>
        <v>0</v>
      </c>
      <c r="T3" s="145">
        <f t="shared" si="0"/>
        <v>0</v>
      </c>
      <c r="U3" s="145">
        <f t="shared" si="0"/>
        <v>0</v>
      </c>
      <c r="V3" s="8">
        <f t="shared" ref="V3:V16" si="1">SUM(B3:U3)</f>
        <v>132489.47183371821</v>
      </c>
      <c r="W3" s="48"/>
      <c r="X3" s="48"/>
      <c r="Y3" s="48"/>
      <c r="Z3" s="48"/>
      <c r="AA3" s="48"/>
      <c r="AB3" s="48"/>
    </row>
    <row r="4" spans="1:28" s="51" customFormat="1" ht="26.25" customHeight="1" outlineLevel="1">
      <c r="A4" s="8" t="s">
        <v>422</v>
      </c>
      <c r="B4" s="146">
        <v>23000</v>
      </c>
      <c r="C4" s="146"/>
      <c r="D4" s="146">
        <v>10000</v>
      </c>
      <c r="E4" s="146"/>
      <c r="F4" s="146"/>
      <c r="G4" s="146"/>
      <c r="H4" s="146">
        <v>10000</v>
      </c>
      <c r="I4" s="146"/>
      <c r="J4" s="146">
        <v>7300</v>
      </c>
      <c r="K4" s="146"/>
      <c r="L4" s="146">
        <v>10000</v>
      </c>
      <c r="M4" s="146"/>
      <c r="N4" s="146"/>
      <c r="O4" s="146"/>
      <c r="P4" s="146"/>
      <c r="Q4" s="146"/>
      <c r="R4" s="146"/>
      <c r="S4" s="146"/>
      <c r="T4" s="146"/>
      <c r="U4" s="146"/>
      <c r="V4" s="8">
        <f t="shared" si="1"/>
        <v>60300</v>
      </c>
      <c r="W4" s="48"/>
      <c r="X4" s="48"/>
      <c r="Y4" s="48"/>
      <c r="Z4" s="48"/>
      <c r="AA4" s="48"/>
      <c r="AB4" s="48"/>
    </row>
    <row r="5" spans="1:28" s="51" customFormat="1" ht="15" customHeight="1" outlineLevel="1" collapsed="1">
      <c r="A5" s="8" t="s">
        <v>167</v>
      </c>
      <c r="B5" s="145">
        <f>(开发和销售计划!B5*成本汇总!$N8+开发和销售计划!B6*成本汇总!$O8+开发和销售计划!B8*成本汇总!$Q8+开发和销售计划!B9*成本汇总!$R8+开发和销售计划!B10*成本汇总!$S8+开发和销售计划!B11*成本汇总!$T8+开发和销售计划!B7*成本汇总!$P8+开发和销售计划!B12*成本汇总!$U8+开发和销售计划!B13*成本汇总!$V8)/10000</f>
        <v>0</v>
      </c>
      <c r="C5" s="145">
        <f>(开发和销售计划!C5*成本汇总!$N8+开发和销售计划!C6*成本汇总!$O8+开发和销售计划!C8*成本汇总!$Q8+开发和销售计划!C9*成本汇总!$R8+开发和销售计划!C10*成本汇总!$S8+开发和销售计划!C11*成本汇总!$T8+开发和销售计划!C7*成本汇总!$P8+开发和销售计划!C12*成本汇总!$U8+开发和销售计划!C13*成本汇总!$V8)/10000</f>
        <v>2068.1414679450127</v>
      </c>
      <c r="D5" s="145">
        <f>(开发和销售计划!D5*成本汇总!$N8+开发和销售计划!D6*成本汇总!$O8+开发和销售计划!D8*成本汇总!$Q8+开发和销售计划!D9*成本汇总!$R8+开发和销售计划!D10*成本汇总!$S8+开发和销售计划!D11*成本汇总!$T8+开发和销售计划!D7*成本汇总!$P8+开发和销售计划!D12*成本汇总!$U8+开发和销售计划!D13*成本汇总!$V8)/10000</f>
        <v>0</v>
      </c>
      <c r="E5" s="145">
        <f>(开发和销售计划!E5*成本汇总!$N8+开发和销售计划!E6*成本汇总!$O8+开发和销售计划!E8*成本汇总!$Q8+开发和销售计划!E9*成本汇总!$R8+开发和销售计划!E10*成本汇总!$S8+开发和销售计划!E11*成本汇总!$T8+开发和销售计划!E7*成本汇总!$P8+开发和销售计划!E12*成本汇总!$U8+开发和销售计划!E13*成本汇总!$V8)/10000</f>
        <v>0</v>
      </c>
      <c r="F5" s="145">
        <f>(开发和销售计划!F5*成本汇总!$N8+开发和销售计划!F6*成本汇总!$O8+开发和销售计划!F8*成本汇总!$Q8+开发和销售计划!F9*成本汇总!$R8+开发和销售计划!F10*成本汇总!$S8+开发和销售计划!F11*成本汇总!$T8+开发和销售计划!F7*成本汇总!$P8+开发和销售计划!F12*成本汇总!$U8+开发和销售计划!F13*成本汇总!$V8)/10000</f>
        <v>1914.4059905094023</v>
      </c>
      <c r="G5" s="145">
        <f>(开发和销售计划!G5*成本汇总!$N8+开发和销售计划!G6*成本汇总!$O8+开发和销售计划!G8*成本汇总!$Q8+开发和销售计划!G9*成本汇总!$R8+开发和销售计划!G10*成本汇总!$S8+开发和销售计划!G11*成本汇总!$T8+开发和销售计划!G7*成本汇总!$P8+开发和销售计划!G12*成本汇总!$U8+开发和销售计划!G13*成本汇总!$V8)/10000</f>
        <v>0</v>
      </c>
      <c r="H5" s="145">
        <f>(开发和销售计划!H5*成本汇总!$N8+开发和销售计划!H6*成本汇总!$O8+开发和销售计划!H8*成本汇总!$Q8+开发和销售计划!H9*成本汇总!$R8+开发和销售计划!H10*成本汇总!$S8+开发和销售计划!H11*成本汇总!$T8+开发和销售计划!H7*成本汇总!$P8+开发和销售计划!H12*成本汇总!$U8+开发和销售计划!H13*成本汇总!$V8)/10000</f>
        <v>0</v>
      </c>
      <c r="I5" s="145">
        <f>(开发和销售计划!I5*成本汇总!$N8+开发和销售计划!I6*成本汇总!$O8+开发和销售计划!I8*成本汇总!$Q8+开发和销售计划!I9*成本汇总!$R8+开发和销售计划!I10*成本汇总!$S8+开发和销售计划!I11*成本汇总!$T8+开发和销售计划!I7*成本汇总!$P8+开发和销售计划!I12*成本汇总!$U8+开发和销售计划!I13*成本汇总!$V8)/10000</f>
        <v>1782.6327241360218</v>
      </c>
      <c r="J5" s="145">
        <f>(开发和销售计划!J5*成本汇总!$N8+开发和销售计划!J6*成本汇总!$O8+开发和销售计划!J8*成本汇总!$Q8+开发和销售计划!J9*成本汇总!$R8+开发和销售计划!J10*成本汇总!$S8+开发和销售计划!J11*成本汇总!$T8+开发和销售计划!J7*成本汇总!$P8+开发和销售计划!J12*成本汇总!$U8+开发和销售计划!J13*成本汇总!$V8)/10000</f>
        <v>0</v>
      </c>
      <c r="K5" s="145">
        <f>(开发和销售计划!K5*成本汇总!$N8+开发和销售计划!K6*成本汇总!$O8+开发和销售计划!K8*成本汇总!$Q8+开发和销售计划!K9*成本汇总!$R8+开发和销售计划!K10*成本汇总!$S8+开发和销售计划!K11*成本汇总!$T8+开发和销售计划!K7*成本汇总!$P8+开发和销售计划!K12*成本汇总!$U8+开发和销售计划!K13*成本汇总!$V8)/10000</f>
        <v>0</v>
      </c>
      <c r="L5" s="145">
        <f>(开发和销售计划!L5*成本汇总!$N8+开发和销售计划!L6*成本汇总!$O8+开发和销售计划!L8*成本汇总!$Q8+开发和销售计划!L9*成本汇总!$R8+开发和销售计划!L10*成本汇总!$S8+开发和销售计划!L11*成本汇总!$T8+开发和销售计划!L7*成本汇总!$P8+开发和销售计划!L12*成本汇总!$U8+开发和销售计划!L13*成本汇总!$V8)/10000</f>
        <v>0</v>
      </c>
      <c r="M5" s="145">
        <f>(开发和销售计划!M5*成本汇总!$N8+开发和销售计划!M6*成本汇总!$O8+开发和销售计划!M8*成本汇总!$Q8+开发和销售计划!M9*成本汇总!$R8+开发和销售计划!M10*成本汇总!$S8+开发和销售计划!M11*成本汇总!$T8+开发和销售计划!M7*成本汇总!$P8+开发和销售计划!M12*成本汇总!$U8+开发和销售计划!M13*成本汇总!$V8)/10000</f>
        <v>0</v>
      </c>
      <c r="N5" s="145">
        <f>(开发和销售计划!N5*成本汇总!$N8+开发和销售计划!N6*成本汇总!$O8+开发和销售计划!N8*成本汇总!$Q8+开发和销售计划!N9*成本汇总!$R8+开发和销售计划!N10*成本汇总!$S8+开发和销售计划!N11*成本汇总!$T8+开发和销售计划!N7*成本汇总!$P8+开发和销售计划!N12*成本汇总!$U8+开发和销售计划!N13*成本汇总!$V8)/10000</f>
        <v>0</v>
      </c>
      <c r="O5" s="145">
        <f>(开发和销售计划!O5*成本汇总!$N8+开发和销售计划!O6*成本汇总!$O8+开发和销售计划!O8*成本汇总!$Q8+开发和销售计划!O9*成本汇总!$R8+开发和销售计划!O10*成本汇总!$S8+开发和销售计划!O11*成本汇总!$T8+开发和销售计划!O7*成本汇总!$P8+开发和销售计划!O12*成本汇总!$U8+开发和销售计划!O13*成本汇总!$V8)/10000</f>
        <v>0</v>
      </c>
      <c r="P5" s="145">
        <f>(开发和销售计划!P5*成本汇总!$N8+开发和销售计划!P6*成本汇总!$O8+开发和销售计划!P8*成本汇总!$Q8+开发和销售计划!P9*成本汇总!$R8+开发和销售计划!P10*成本汇总!$S8+开发和销售计划!P11*成本汇总!$T8+开发和销售计划!P7*成本汇总!$P8+开发和销售计划!P12*成本汇总!$U8+开发和销售计划!P13*成本汇总!$V8)/10000</f>
        <v>0</v>
      </c>
      <c r="Q5" s="145">
        <f>(开发和销售计划!Q5*成本汇总!$N8+开发和销售计划!Q6*成本汇总!$O8+开发和销售计划!Q8*成本汇总!$Q8+开发和销售计划!Q9*成本汇总!$R8+开发和销售计划!Q10*成本汇总!$S8+开发和销售计划!Q11*成本汇总!$T8+开发和销售计划!Q7*成本汇总!$P8+开发和销售计划!Q12*成本汇总!$U8+开发和销售计划!Q13*成本汇总!$V8)/10000</f>
        <v>0</v>
      </c>
      <c r="R5" s="145">
        <f>(开发和销售计划!R5*成本汇总!$N8+开发和销售计划!R6*成本汇总!$O8+开发和销售计划!R8*成本汇总!$Q8+开发和销售计划!R9*成本汇总!$R8+开发和销售计划!R10*成本汇总!$S8+开发和销售计划!R11*成本汇总!$T8+开发和销售计划!R7*成本汇总!$P8+开发和销售计划!R12*成本汇总!$U8+开发和销售计划!R13*成本汇总!$V8)/10000</f>
        <v>0</v>
      </c>
      <c r="S5" s="145">
        <f>(开发和销售计划!S5*成本汇总!$N8+开发和销售计划!S6*成本汇总!$O8+开发和销售计划!S8*成本汇总!$Q8+开发和销售计划!S9*成本汇总!$R8+开发和销售计划!S10*成本汇总!$S8+开发和销售计划!S11*成本汇总!$T8+开发和销售计划!S7*成本汇总!$P8+开发和销售计划!S12*成本汇总!$U8+开发和销售计划!S13*成本汇总!$V8)/10000</f>
        <v>0</v>
      </c>
      <c r="T5" s="145">
        <f>(开发和销售计划!T5*成本汇总!$N8+开发和销售计划!T6*成本汇总!$O8+开发和销售计划!T8*成本汇总!$Q8+开发和销售计划!T9*成本汇总!$R8+开发和销售计划!T10*成本汇总!$S8+开发和销售计划!T11*成本汇总!$T8+开发和销售计划!T7*成本汇总!$P8+开发和销售计划!T12*成本汇总!$U8+开发和销售计划!T13*成本汇总!$V8)/10000</f>
        <v>0</v>
      </c>
      <c r="U5" s="145">
        <f>(开发和销售计划!U5*成本汇总!$N8+开发和销售计划!U6*成本汇总!$O8+开发和销售计划!U8*成本汇总!$Q8+开发和销售计划!U9*成本汇总!$R8+开发和销售计划!U10*成本汇总!$S8+开发和销售计划!U11*成本汇总!$T8+开发和销售计划!U7*成本汇总!$P8+开发和销售计划!U12*成本汇总!$U8+开发和销售计划!U13*成本汇总!$V8)/10000</f>
        <v>0</v>
      </c>
      <c r="V5" s="8">
        <f t="shared" si="1"/>
        <v>5765.1801825904367</v>
      </c>
      <c r="W5" s="48"/>
      <c r="X5" s="48"/>
      <c r="Y5" s="48"/>
      <c r="Z5" s="48"/>
      <c r="AA5" s="48"/>
      <c r="AB5" s="48"/>
    </row>
    <row r="6" spans="1:28" s="51" customFormat="1" ht="15" customHeight="1" outlineLevel="1" collapsed="1">
      <c r="A6" s="8" t="s">
        <v>398</v>
      </c>
      <c r="B6" s="145">
        <f>开发和销售计划!B59</f>
        <v>0</v>
      </c>
      <c r="C6" s="145">
        <f>开发和销售计划!C59</f>
        <v>3573.6479955634281</v>
      </c>
      <c r="D6" s="145">
        <f>开发和销售计划!D59</f>
        <v>7147.2959911268563</v>
      </c>
      <c r="E6" s="145">
        <f>开发和销售计划!E59</f>
        <v>7147.2959911268563</v>
      </c>
      <c r="F6" s="145">
        <f>开发和销售计划!F59</f>
        <v>9161.6599749722845</v>
      </c>
      <c r="G6" s="145">
        <f>开发和销售计划!G59</f>
        <v>6672.5696940631788</v>
      </c>
      <c r="H6" s="145">
        <f>开发和销售计划!H59</f>
        <v>6154.2693344022773</v>
      </c>
      <c r="I6" s="145">
        <f>开发和销售计划!I59</f>
        <v>9078.4566808858362</v>
      </c>
      <c r="J6" s="145">
        <f>开发和销售计划!J59</f>
        <v>6884.9754122889153</v>
      </c>
      <c r="K6" s="145">
        <f>开发和销售计划!K59</f>
        <v>5244.2997156272795</v>
      </c>
      <c r="L6" s="145">
        <f>开发和销售计划!L59</f>
        <v>3603.6240189656423</v>
      </c>
      <c r="M6" s="145">
        <f>开发和销售计划!M59</f>
        <v>0</v>
      </c>
      <c r="N6" s="145">
        <f>开发和销售计划!N59</f>
        <v>0</v>
      </c>
      <c r="O6" s="145">
        <f>开发和销售计划!O59</f>
        <v>0</v>
      </c>
      <c r="P6" s="145">
        <f>开发和销售计划!P59</f>
        <v>0</v>
      </c>
      <c r="Q6" s="145">
        <f>开发和销售计划!Q59</f>
        <v>0</v>
      </c>
      <c r="R6" s="145">
        <f>开发和销售计划!R59</f>
        <v>0</v>
      </c>
      <c r="S6" s="145">
        <f>开发和销售计划!S59</f>
        <v>0</v>
      </c>
      <c r="T6" s="145">
        <f>开发和销售计划!T59</f>
        <v>0</v>
      </c>
      <c r="U6" s="145">
        <f>开发和销售计划!U59</f>
        <v>0</v>
      </c>
      <c r="V6" s="8">
        <f t="shared" si="1"/>
        <v>64668.094809022565</v>
      </c>
      <c r="W6" s="48"/>
      <c r="X6" s="48"/>
      <c r="Y6" s="48"/>
      <c r="Z6" s="48"/>
      <c r="AA6" s="48"/>
      <c r="AB6" s="48"/>
    </row>
    <row r="7" spans="1:28" s="51" customFormat="1" ht="15" customHeight="1" outlineLevel="1" collapsed="1">
      <c r="A7" s="8" t="s">
        <v>179</v>
      </c>
      <c r="B7" s="145">
        <f>IF(开发和销售计划!B15=0,0,H20)</f>
        <v>0</v>
      </c>
      <c r="C7" s="145">
        <f>IF(B7=0,IF(开发和销售计划!C15=0,0,$H20),IF(ABS(B7-(投资估算表!G64-投资估算表!G66))&lt;0.001,0,$H20))</f>
        <v>117.07978947368423</v>
      </c>
      <c r="D7" s="145">
        <f>IF(SUM(B7:C7)=0,IF(开发和销售计划!D15=0,0,$H20),IF(ABS(SUM(B7:C7)-(投资估算表!$G64-投资估算表!$G66))&lt;0.001,0,$H20))</f>
        <v>117.07978947368423</v>
      </c>
      <c r="E7" s="145">
        <f>IF(SUM(B7:D7)=0,IF(开发和销售计划!E15=0,0,$H20),IF(ABS(SUM(B7:D7)-(投资估算表!$G64-投资估算表!$G66))&lt;0.001,0,$H20))</f>
        <v>117.07978947368423</v>
      </c>
      <c r="F7" s="145">
        <f>IF(SUM(B7:E7)=0,IF(开发和销售计划!F15=0,0,$H20),IF(ABS(SUM(B7:E7)-(投资估算表!$G64-投资估算表!$G66))&lt;0.001,0,$H20))</f>
        <v>117.07978947368423</v>
      </c>
      <c r="G7" s="145">
        <f>IF(SUM(B7:F7)=0,IF(开发和销售计划!G15=0,0,$H20),IF(ABS(SUM(B7:F7)-(投资估算表!$G64-投资估算表!$G66))&lt;0.001,0,$H20))</f>
        <v>117.07978947368423</v>
      </c>
      <c r="H7" s="145">
        <f>IF(SUM(B7:G7)=0,IF(开发和销售计划!H15=0,0,$H20),IF(ABS(SUM(B7:G7)-(投资估算表!$G64-投资估算表!$G66))&lt;0.001,0,$H20))</f>
        <v>117.07978947368423</v>
      </c>
      <c r="I7" s="145">
        <f>IF(SUM(B7:H7)=0,IF(开发和销售计划!I15=0,0,$H20),IF(ABS(SUM(B7:H7)-(投资估算表!$G64-投资估算表!$G66))&lt;0.001,0,$H20))</f>
        <v>117.07978947368423</v>
      </c>
      <c r="J7" s="145">
        <f>IF(SUM(B7:I7)=0,IF(开发和销售计划!J15=0,0,$H20),IF(ABS(SUM(B7:I7)-(投资估算表!$G64-投资估算表!$G66))&lt;0.001,0,$H20))</f>
        <v>117.07978947368423</v>
      </c>
      <c r="K7" s="145">
        <f>IF(SUM(B7:J7)=0,IF(开发和销售计划!K15=0,0,$H20),IF(ABS(SUM(B7:J7)-(投资估算表!$G64-投资估算表!$G66))&lt;0.001,0,$H20))</f>
        <v>117.07978947368423</v>
      </c>
      <c r="L7" s="145">
        <f>IF(SUM(B7:K7)=0,IF(开发和销售计划!L15=0,0,$H20),IF(ABS(SUM(B7:K7)-(投资估算表!$G64-投资估算表!$G66))&lt;0.001,0,$H20))</f>
        <v>117.07978947368423</v>
      </c>
      <c r="M7" s="145">
        <f>IF(SUM(B7:L7)=0,IF(开发和销售计划!M15=0,0,$H20),IF(ABS(SUM(B7:L7)-(投资估算表!$G64-投资估算表!$G66))&lt;0.001,0,$H20))</f>
        <v>117.07978947368423</v>
      </c>
      <c r="N7" s="145">
        <f>IF(SUM(B7:M7)=0,IF(开发和销售计划!N15=0,0,$H20),IF(ABS(SUM(B7:M7)-(投资估算表!$G64-投资估算表!$G66))&lt;0.001,0,$H20))</f>
        <v>117.07978947368423</v>
      </c>
      <c r="O7" s="145">
        <f>IF(SUM(B7:N7)=0,IF(开发和销售计划!O15=0,0,$H20),IF(ABS(SUM(B7:N7)-(投资估算表!$G64-投资估算表!$G66))&lt;0.001,0,$H20))</f>
        <v>117.07978947368423</v>
      </c>
      <c r="P7" s="145">
        <f>IF(SUM(B7:O7)=0,IF(开发和销售计划!P15=0,0,$H20),IF(ABS(SUM(B7:O7)-(投资估算表!$G64-投资估算表!$G66))&lt;0.001,0,$H20))</f>
        <v>117.07978947368423</v>
      </c>
      <c r="Q7" s="145">
        <f>IF(SUM(B7:P7)=0,IF(开发和销售计划!Q15=0,0,$H20),IF(ABS(SUM(B7:P7)-(投资估算表!$G64-投资估算表!$G66))&lt;0.001,0,$H20))</f>
        <v>117.07978947368423</v>
      </c>
      <c r="R7" s="145">
        <f>IF(SUM(B7:Q7)=0,IF(开发和销售计划!R15=0,0,$H20),IF(ABS(SUM(B7:Q7)-(投资估算表!$G64-投资估算表!$G66))&lt;0.001,0,$H20))</f>
        <v>0</v>
      </c>
      <c r="S7" s="145">
        <f>IF(SUM(B7:R7)=0,IF(开发和销售计划!S15=0,0,$H20),IF(ABS(SUM(B7:R7)-(投资估算表!$G64-投资估算表!$G66))&lt;0.001,0,$H20))</f>
        <v>0</v>
      </c>
      <c r="T7" s="145">
        <f>IF(SUM(B7:S7)=0,IF(开发和销售计划!T15=0,0,$H20),IF(ABS(SUM(B7:S7)-(投资估算表!$G64-投资估算表!$G66))&lt;0.001,0,$H20))</f>
        <v>0</v>
      </c>
      <c r="U7" s="145">
        <f>IF(SUM(B7:T7)=0,IF(开发和销售计划!U15=0,0,$H20),IF(ABS(SUM(B7:T7)-(投资估算表!$G64-投资估算表!$G66))&lt;0.001,0,$H20))</f>
        <v>0</v>
      </c>
      <c r="V7" s="8">
        <f t="shared" si="1"/>
        <v>1756.1968421052641</v>
      </c>
      <c r="W7" s="48"/>
      <c r="X7" s="48"/>
      <c r="Y7" s="48"/>
      <c r="Z7" s="48"/>
      <c r="AA7" s="48"/>
      <c r="AB7" s="48"/>
    </row>
    <row r="8" spans="1:28" s="51" customFormat="1" ht="15" customHeight="1">
      <c r="A8" s="170" t="s">
        <v>75</v>
      </c>
      <c r="B8" s="145">
        <f>SUM(B9:B14)</f>
        <v>0</v>
      </c>
      <c r="C8" s="145">
        <f t="shared" ref="C8:V8" si="2">SUM(C9:C14)</f>
        <v>730.5280884128241</v>
      </c>
      <c r="D8" s="145">
        <f t="shared" si="2"/>
        <v>730.5280884128241</v>
      </c>
      <c r="E8" s="145">
        <f t="shared" si="2"/>
        <v>730.5280884128241</v>
      </c>
      <c r="F8" s="145">
        <f t="shared" si="2"/>
        <v>2658.728088412824</v>
      </c>
      <c r="G8" s="145">
        <f t="shared" si="2"/>
        <v>2369.4980884128245</v>
      </c>
      <c r="H8" s="145">
        <f t="shared" si="2"/>
        <v>1791.0380884128242</v>
      </c>
      <c r="I8" s="145">
        <f t="shared" si="2"/>
        <v>2537.006947360193</v>
      </c>
      <c r="J8" s="145">
        <f t="shared" si="2"/>
        <v>2179.5937437475613</v>
      </c>
      <c r="K8" s="145">
        <f t="shared" si="2"/>
        <v>1689.0414506275611</v>
      </c>
      <c r="L8" s="145">
        <f t="shared" si="2"/>
        <v>2609.6684843659082</v>
      </c>
      <c r="M8" s="145">
        <f t="shared" si="2"/>
        <v>2179.6635417215766</v>
      </c>
      <c r="N8" s="145">
        <f t="shared" si="2"/>
        <v>1722.7596576195228</v>
      </c>
      <c r="O8" s="145">
        <f t="shared" si="2"/>
        <v>914.65353424499506</v>
      </c>
      <c r="P8" s="145">
        <f t="shared" si="2"/>
        <v>730.5280884128241</v>
      </c>
      <c r="Q8" s="145">
        <f t="shared" si="2"/>
        <v>730.5280884128241</v>
      </c>
      <c r="R8" s="145">
        <f t="shared" si="2"/>
        <v>0</v>
      </c>
      <c r="S8" s="145">
        <f t="shared" si="2"/>
        <v>0</v>
      </c>
      <c r="T8" s="145">
        <f t="shared" si="2"/>
        <v>0</v>
      </c>
      <c r="U8" s="145">
        <f t="shared" si="2"/>
        <v>0</v>
      </c>
      <c r="V8" s="8">
        <f t="shared" si="2"/>
        <v>24304.292066989914</v>
      </c>
      <c r="W8" s="48"/>
      <c r="X8" s="48"/>
      <c r="Y8" s="48"/>
      <c r="Z8" s="48"/>
      <c r="AA8" s="48"/>
      <c r="AB8" s="48"/>
    </row>
    <row r="9" spans="1:28" s="51" customFormat="1" ht="15" customHeight="1" outlineLevel="1">
      <c r="A9" s="29" t="s">
        <v>123</v>
      </c>
      <c r="B9" s="145">
        <f t="shared" ref="B9:U9" si="3">IF(B7=0,0,$C22)</f>
        <v>0</v>
      </c>
      <c r="C9" s="145">
        <f t="shared" si="3"/>
        <v>430.5280884128241</v>
      </c>
      <c r="D9" s="145">
        <f t="shared" si="3"/>
        <v>430.5280884128241</v>
      </c>
      <c r="E9" s="145">
        <f t="shared" si="3"/>
        <v>430.5280884128241</v>
      </c>
      <c r="F9" s="145">
        <f t="shared" si="3"/>
        <v>430.5280884128241</v>
      </c>
      <c r="G9" s="145">
        <f t="shared" si="3"/>
        <v>430.5280884128241</v>
      </c>
      <c r="H9" s="145">
        <f t="shared" si="3"/>
        <v>430.5280884128241</v>
      </c>
      <c r="I9" s="145">
        <f t="shared" si="3"/>
        <v>430.5280884128241</v>
      </c>
      <c r="J9" s="145">
        <f t="shared" si="3"/>
        <v>430.5280884128241</v>
      </c>
      <c r="K9" s="145">
        <f t="shared" si="3"/>
        <v>430.5280884128241</v>
      </c>
      <c r="L9" s="145">
        <f t="shared" si="3"/>
        <v>430.5280884128241</v>
      </c>
      <c r="M9" s="145">
        <f t="shared" si="3"/>
        <v>430.5280884128241</v>
      </c>
      <c r="N9" s="145">
        <f t="shared" si="3"/>
        <v>430.5280884128241</v>
      </c>
      <c r="O9" s="145">
        <f t="shared" si="3"/>
        <v>430.5280884128241</v>
      </c>
      <c r="P9" s="145">
        <f t="shared" si="3"/>
        <v>430.5280884128241</v>
      </c>
      <c r="Q9" s="145">
        <f t="shared" si="3"/>
        <v>430.5280884128241</v>
      </c>
      <c r="R9" s="145">
        <f t="shared" si="3"/>
        <v>0</v>
      </c>
      <c r="S9" s="145">
        <f t="shared" si="3"/>
        <v>0</v>
      </c>
      <c r="T9" s="145">
        <f t="shared" si="3"/>
        <v>0</v>
      </c>
      <c r="U9" s="145">
        <f t="shared" si="3"/>
        <v>0</v>
      </c>
      <c r="V9" s="8">
        <f t="shared" si="1"/>
        <v>6457.9213261923624</v>
      </c>
      <c r="W9" s="48"/>
      <c r="X9" s="48"/>
      <c r="Y9" s="48"/>
      <c r="Z9" s="48"/>
      <c r="AA9" s="48"/>
      <c r="AB9" s="48"/>
    </row>
    <row r="10" spans="1:28" s="51" customFormat="1" ht="15" customHeight="1" outlineLevel="1" collapsed="1">
      <c r="A10" s="68" t="s">
        <v>86</v>
      </c>
      <c r="B10" s="145">
        <f>项目现金流量表!C7*税费说明表!$B10</f>
        <v>0</v>
      </c>
      <c r="C10" s="145">
        <f>项目现金流量表!D7*税费说明表!$B10</f>
        <v>0</v>
      </c>
      <c r="D10" s="145">
        <f>项目现金流量表!E7*税费说明表!$B10</f>
        <v>0</v>
      </c>
      <c r="E10" s="145">
        <f>项目现金流量表!F7*税费说明表!$B10</f>
        <v>0</v>
      </c>
      <c r="F10" s="145">
        <f>项目现金流量表!G7*税费说明表!$B10</f>
        <v>1710.5000000000002</v>
      </c>
      <c r="G10" s="145">
        <f>项目现金流量表!H7*税费说明表!$B10</f>
        <v>1453.9250000000002</v>
      </c>
      <c r="H10" s="145">
        <f>项目现金流量表!I7*税费说明表!$B10</f>
        <v>940.77500000000009</v>
      </c>
      <c r="I10" s="145">
        <f>项目现金流量表!J7*税费说明表!$B10</f>
        <v>1602.5215684210532</v>
      </c>
      <c r="J10" s="145">
        <f>项目现金流量表!K7*税费说明表!$B10</f>
        <v>1285.4614684421053</v>
      </c>
      <c r="K10" s="145">
        <f>项目现金流量表!L7*税费说明表!$B10</f>
        <v>850.29411164210546</v>
      </c>
      <c r="L10" s="145">
        <f>项目现金流量表!M7*税费说明表!$B10</f>
        <v>1666.979383506768</v>
      </c>
      <c r="M10" s="145">
        <f>项目现金流量表!N7*税费说明表!$B10</f>
        <v>1285.5233859996999</v>
      </c>
      <c r="N10" s="145">
        <f>项目现金流量表!O7*税费说明表!$B10</f>
        <v>880.20542429626505</v>
      </c>
      <c r="O10" s="145">
        <f>项目现金流量表!P7*税费说明表!$B10</f>
        <v>163.33708904466778</v>
      </c>
      <c r="P10" s="145">
        <f>项目现金流量表!Q7*税费说明表!$B10</f>
        <v>0</v>
      </c>
      <c r="Q10" s="145">
        <f>项目现金流量表!R7*税费说明表!$B10</f>
        <v>0</v>
      </c>
      <c r="R10" s="145">
        <f>项目现金流量表!S7*税费说明表!$B10</f>
        <v>0</v>
      </c>
      <c r="S10" s="145">
        <f>项目现金流量表!T7*税费说明表!$B10</f>
        <v>0</v>
      </c>
      <c r="T10" s="145">
        <f>项目现金流量表!U7*税费说明表!$B10</f>
        <v>0</v>
      </c>
      <c r="U10" s="145">
        <f>项目现金流量表!V7*税费说明表!$B10</f>
        <v>0</v>
      </c>
      <c r="V10" s="8">
        <f t="shared" si="1"/>
        <v>11839.522431352667</v>
      </c>
      <c r="W10" s="48"/>
      <c r="X10" s="48"/>
      <c r="Y10" s="48"/>
      <c r="Z10" s="48"/>
      <c r="AA10" s="48"/>
      <c r="AB10" s="48"/>
    </row>
    <row r="11" spans="1:28" s="51" customFormat="1" ht="15" customHeight="1" outlineLevel="1" collapsed="1">
      <c r="A11" s="68" t="s">
        <v>87</v>
      </c>
      <c r="B11" s="145">
        <f>项目现金流量表!C7*税费说明表!$B11</f>
        <v>0</v>
      </c>
      <c r="C11" s="145">
        <f>项目现金流量表!D7*税费说明表!$B11</f>
        <v>0</v>
      </c>
      <c r="D11" s="145">
        <f>项目现金流量表!E7*税费说明表!$B11</f>
        <v>0</v>
      </c>
      <c r="E11" s="145">
        <f>项目现金流量表!F7*税费说明表!$B11</f>
        <v>0</v>
      </c>
      <c r="F11" s="145">
        <f>项目现金流量表!G7*税费说明表!$B11</f>
        <v>217.70000000000002</v>
      </c>
      <c r="G11" s="145">
        <f>项目现金流量表!H7*税费说明表!$B11</f>
        <v>185.04500000000002</v>
      </c>
      <c r="H11" s="145">
        <f>项目现金流量表!I7*税费说明表!$B11</f>
        <v>119.735</v>
      </c>
      <c r="I11" s="145">
        <f>项目现金流量表!J7*税费说明表!$B11</f>
        <v>203.95729052631583</v>
      </c>
      <c r="J11" s="145">
        <f>项目现金流量表!K7*税费说明表!$B11</f>
        <v>163.60418689263159</v>
      </c>
      <c r="K11" s="145">
        <f>项目现金流量表!L7*税费说明表!$B11</f>
        <v>108.21925057263159</v>
      </c>
      <c r="L11" s="145">
        <f>项目现金流量表!M7*税费说明表!$B11</f>
        <v>212.16101244631591</v>
      </c>
      <c r="M11" s="145">
        <f>项目现金流量表!N7*税费说明表!$B11</f>
        <v>163.61206730905269</v>
      </c>
      <c r="N11" s="145">
        <f>项目现金流量表!O7*税费说明表!$B11</f>
        <v>112.02614491043373</v>
      </c>
      <c r="O11" s="145">
        <f>项目现金流量表!P7*税费说明表!$B11</f>
        <v>20.788356787503169</v>
      </c>
      <c r="P11" s="145">
        <f>项目现金流量表!Q7*税费说明表!$B11</f>
        <v>0</v>
      </c>
      <c r="Q11" s="145">
        <f>项目现金流量表!R7*税费说明表!$B11</f>
        <v>0</v>
      </c>
      <c r="R11" s="145">
        <f>项目现金流量表!S7*税费说明表!$B11</f>
        <v>0</v>
      </c>
      <c r="S11" s="145">
        <f>项目现金流量表!T7*税费说明表!$B11</f>
        <v>0</v>
      </c>
      <c r="T11" s="145">
        <f>项目现金流量表!U7*税费说明表!$B11</f>
        <v>0</v>
      </c>
      <c r="U11" s="145">
        <f>项目现金流量表!V7*税费说明表!$B11</f>
        <v>0</v>
      </c>
      <c r="V11" s="8">
        <f t="shared" si="1"/>
        <v>1506.8483094448843</v>
      </c>
      <c r="W11" s="48"/>
      <c r="X11" s="48"/>
      <c r="Y11" s="48"/>
      <c r="Z11" s="48"/>
      <c r="AA11" s="48"/>
      <c r="AB11" s="48"/>
    </row>
    <row r="12" spans="1:28" s="51" customFormat="1" ht="15" customHeight="1">
      <c r="A12" s="29" t="s">
        <v>122</v>
      </c>
      <c r="B12" s="147"/>
      <c r="C12" s="145"/>
      <c r="D12" s="145"/>
      <c r="E12" s="145"/>
      <c r="F12" s="145"/>
      <c r="G12" s="145"/>
      <c r="H12" s="145"/>
      <c r="I12" s="145"/>
      <c r="J12" s="145"/>
      <c r="K12" s="145"/>
      <c r="L12" s="145"/>
      <c r="M12" s="145"/>
      <c r="N12" s="145"/>
      <c r="O12" s="145"/>
      <c r="P12" s="145"/>
      <c r="Q12" s="145"/>
      <c r="R12" s="145"/>
      <c r="S12" s="145"/>
      <c r="T12" s="145"/>
      <c r="U12" s="145"/>
      <c r="V12" s="8">
        <f t="shared" si="1"/>
        <v>0</v>
      </c>
      <c r="W12" s="48"/>
      <c r="X12" s="48"/>
      <c r="Y12" s="48"/>
      <c r="Z12" s="48"/>
      <c r="AA12" s="48"/>
      <c r="AB12" s="48"/>
    </row>
    <row r="13" spans="1:28" s="51" customFormat="1" ht="15" customHeight="1">
      <c r="A13" s="68" t="s">
        <v>696</v>
      </c>
      <c r="B13" s="147"/>
      <c r="C13" s="145"/>
      <c r="D13" s="145"/>
      <c r="E13" s="145">
        <f>SUM(项目现金流量表!C12:F14)*假设条件及经济指标!$E$16</f>
        <v>0</v>
      </c>
      <c r="F13" s="145"/>
      <c r="G13" s="145"/>
      <c r="H13" s="145"/>
      <c r="I13" s="145">
        <f>SUM(项目现金流量表!G12:J14)*假设条件及经济指标!$E$16</f>
        <v>0</v>
      </c>
      <c r="J13" s="145"/>
      <c r="K13" s="145"/>
      <c r="L13" s="145"/>
      <c r="M13" s="145">
        <f>SUM(项目现金流量表!K12:N14)*假设条件及经济指标!$E$16</f>
        <v>0</v>
      </c>
      <c r="N13" s="145"/>
      <c r="O13" s="145"/>
      <c r="P13" s="145"/>
      <c r="Q13" s="145">
        <f>SUM(项目现金流量表!O12:R14)*假设条件及经济指标!$E$16</f>
        <v>0</v>
      </c>
      <c r="R13" s="145"/>
      <c r="S13" s="145"/>
      <c r="T13" s="145"/>
      <c r="U13" s="145">
        <f>SUM(项目现金流量表!S12:V14)*假设条件及经济指标!$E$16</f>
        <v>0</v>
      </c>
      <c r="V13" s="8">
        <f t="shared" si="1"/>
        <v>0</v>
      </c>
      <c r="W13" s="48"/>
      <c r="X13" s="48"/>
      <c r="Y13" s="48"/>
      <c r="Z13" s="48"/>
      <c r="AA13" s="48"/>
      <c r="AB13" s="48"/>
    </row>
    <row r="14" spans="1:28" s="51" customFormat="1" ht="15" customHeight="1">
      <c r="A14" s="68" t="s">
        <v>518</v>
      </c>
      <c r="B14" s="145">
        <f>IF(B7=0,0,假设条件及经济指标!$E$28*3)</f>
        <v>0</v>
      </c>
      <c r="C14" s="145">
        <f>IF(C7=0,0,假设条件及经济指标!$E$28*3)</f>
        <v>300</v>
      </c>
      <c r="D14" s="145">
        <f>IF(D7=0,0,假设条件及经济指标!$E$28*3)</f>
        <v>300</v>
      </c>
      <c r="E14" s="145">
        <f>IF(E7=0,0,假设条件及经济指标!$E$28*3)</f>
        <v>300</v>
      </c>
      <c r="F14" s="145">
        <f>IF(F7=0,0,假设条件及经济指标!$E$28*3)</f>
        <v>300</v>
      </c>
      <c r="G14" s="145">
        <f>IF(G7=0,0,假设条件及经济指标!$E$28*3)</f>
        <v>300</v>
      </c>
      <c r="H14" s="145">
        <f>IF(H7=0,0,假设条件及经济指标!$E$28*3)</f>
        <v>300</v>
      </c>
      <c r="I14" s="145">
        <f>IF(I7=0,0,假设条件及经济指标!$E$28*3)</f>
        <v>300</v>
      </c>
      <c r="J14" s="145">
        <f>IF(J7=0,0,假设条件及经济指标!$E$28*3)</f>
        <v>300</v>
      </c>
      <c r="K14" s="145">
        <f>IF(K7=0,0,假设条件及经济指标!$E$28*3)</f>
        <v>300</v>
      </c>
      <c r="L14" s="145">
        <f>IF(L7=0,0,假设条件及经济指标!$E$28*3)</f>
        <v>300</v>
      </c>
      <c r="M14" s="145">
        <f>IF(M7=0,0,假设条件及经济指标!$E$28*3)</f>
        <v>300</v>
      </c>
      <c r="N14" s="145">
        <f>IF(N7=0,0,假设条件及经济指标!$E$28*3)</f>
        <v>300</v>
      </c>
      <c r="O14" s="145">
        <f>IF(O7=0,0,假设条件及经济指标!$E$28*3)</f>
        <v>300</v>
      </c>
      <c r="P14" s="145">
        <f>IF(P7=0,0,假设条件及经济指标!$E$28*3)</f>
        <v>300</v>
      </c>
      <c r="Q14" s="145">
        <f>IF(Q7=0,0,假设条件及经济指标!$E$28*3)</f>
        <v>300</v>
      </c>
      <c r="R14" s="145">
        <f>IF(R7=0,0,假设条件及经济指标!$E$28*3)</f>
        <v>0</v>
      </c>
      <c r="S14" s="145">
        <f>IF(S7=0,0,假设条件及经济指标!$E$28*3)</f>
        <v>0</v>
      </c>
      <c r="T14" s="145">
        <f>IF(T7=0,0,假设条件及经济指标!$E$28*3)</f>
        <v>0</v>
      </c>
      <c r="U14" s="145">
        <f>IF(U7=0,0,假设条件及经济指标!$E$28*3)</f>
        <v>0</v>
      </c>
      <c r="V14" s="8">
        <f t="shared" si="1"/>
        <v>4500</v>
      </c>
      <c r="W14" s="48"/>
      <c r="X14" s="48"/>
      <c r="Y14" s="48"/>
      <c r="Z14" s="48"/>
      <c r="AA14" s="48"/>
      <c r="AB14" s="48"/>
    </row>
    <row r="15" spans="1:28" s="51" customFormat="1" ht="15" customHeight="1">
      <c r="A15" s="171" t="s">
        <v>178</v>
      </c>
      <c r="B15" s="145">
        <f t="shared" ref="B15:U15" si="4">IF(B7=0,0,$G24)</f>
        <v>0</v>
      </c>
      <c r="C15" s="145">
        <f t="shared" si="4"/>
        <v>0</v>
      </c>
      <c r="D15" s="145">
        <f t="shared" si="4"/>
        <v>0</v>
      </c>
      <c r="E15" s="145">
        <f t="shared" si="4"/>
        <v>0</v>
      </c>
      <c r="F15" s="145">
        <f t="shared" si="4"/>
        <v>0</v>
      </c>
      <c r="G15" s="145">
        <f t="shared" si="4"/>
        <v>0</v>
      </c>
      <c r="H15" s="145">
        <f t="shared" si="4"/>
        <v>0</v>
      </c>
      <c r="I15" s="145">
        <f t="shared" si="4"/>
        <v>0</v>
      </c>
      <c r="J15" s="145">
        <f t="shared" si="4"/>
        <v>0</v>
      </c>
      <c r="K15" s="145">
        <f t="shared" si="4"/>
        <v>0</v>
      </c>
      <c r="L15" s="145">
        <f t="shared" si="4"/>
        <v>0</v>
      </c>
      <c r="M15" s="145">
        <f t="shared" si="4"/>
        <v>0</v>
      </c>
      <c r="N15" s="145">
        <f t="shared" si="4"/>
        <v>0</v>
      </c>
      <c r="O15" s="145">
        <f t="shared" si="4"/>
        <v>0</v>
      </c>
      <c r="P15" s="145">
        <f t="shared" si="4"/>
        <v>0</v>
      </c>
      <c r="Q15" s="145">
        <f t="shared" si="4"/>
        <v>0</v>
      </c>
      <c r="R15" s="145">
        <f t="shared" si="4"/>
        <v>0</v>
      </c>
      <c r="S15" s="145">
        <f t="shared" si="4"/>
        <v>0</v>
      </c>
      <c r="T15" s="145">
        <f t="shared" si="4"/>
        <v>0</v>
      </c>
      <c r="U15" s="145">
        <f t="shared" si="4"/>
        <v>0</v>
      </c>
      <c r="V15" s="8">
        <f t="shared" si="1"/>
        <v>0</v>
      </c>
      <c r="W15" s="48"/>
      <c r="X15" s="48"/>
      <c r="Y15" s="48"/>
      <c r="Z15" s="48"/>
      <c r="AA15" s="48"/>
      <c r="AB15" s="48"/>
    </row>
    <row r="16" spans="1:28" s="230" customFormat="1" ht="15" customHeight="1">
      <c r="A16" s="229" t="s">
        <v>125</v>
      </c>
      <c r="B16" s="151">
        <f>IF(利润测算!$C15=0,0,项目现金流量表!C7*15%*税费说明表!$B13)</f>
        <v>0</v>
      </c>
      <c r="C16" s="151">
        <f>IF(利润测算!$C15=0,0,项目现金流量表!D7*15%*税费说明表!$B13)</f>
        <v>0</v>
      </c>
      <c r="D16" s="151">
        <f>IF(利润测算!$C15=0,0,项目现金流量表!E7*15%*税费说明表!$B13)</f>
        <v>0</v>
      </c>
      <c r="E16" s="151">
        <f>IF(利润测算!$C15=0,0,利润测算!C44-现金流出表!B16-现金流出表!C16-现金流出表!D16)</f>
        <v>0</v>
      </c>
      <c r="F16" s="151">
        <f>IF(利润测算!$D15=0,0,项目现金流量表!G7*15%*税费说明表!$B13)</f>
        <v>699.75</v>
      </c>
      <c r="G16" s="151">
        <f>IF(利润测算!$D15=0,0,项目现金流量表!H7*15%*税费说明表!$B13)</f>
        <v>594.78750000000002</v>
      </c>
      <c r="H16" s="151">
        <f>IF(利润测算!$D15=0,0,项目现金流量表!I7*15%*税费说明表!$B13)</f>
        <v>384.86250000000001</v>
      </c>
      <c r="I16" s="151">
        <f>IF(利润测算!$D15=0,0,利润测算!D44-现金流出表!F16-现金流出表!G16-现金流出表!H16)</f>
        <v>1891.2953145924769</v>
      </c>
      <c r="J16" s="151">
        <f>IF(利润测算!$E15=0,0,项目现金流量表!K7*15%*税费说明表!$B13)</f>
        <v>525.87060072631573</v>
      </c>
      <c r="K16" s="151">
        <f>IF(利润测算!$E15=0,0,项目现金流量表!L7*15%*税费说明表!$B13)</f>
        <v>347.84759112631576</v>
      </c>
      <c r="L16" s="151">
        <f>IF(利润测算!$E15=0,0,项目现金流量表!M7*15%*税费说明表!$B13)</f>
        <v>681.94611143458678</v>
      </c>
      <c r="M16" s="151">
        <f>IF(利润测算!$E15=0,0,利润测算!E44-现金流出表!J16-现金流出表!K16-现金流出表!L16)</f>
        <v>2343.8928779936614</v>
      </c>
      <c r="N16" s="151">
        <f>IF(利润测算!$F15=0,0,项目现金流量表!O7*15%*税费说明表!$B13)</f>
        <v>360.08403721210834</v>
      </c>
      <c r="O16" s="151">
        <f>IF(利润测算!$F15=0,0,项目现金流量表!P7*15%*税费说明表!$B13)</f>
        <v>66.819718245545886</v>
      </c>
      <c r="P16" s="151">
        <f>IF(利润测算!$F15=0,0,项目现金流量表!Q7*15%*税费说明表!$B13)</f>
        <v>0</v>
      </c>
      <c r="Q16" s="151">
        <f>IF(利润测算!$F15=0,0,利润测算!F44-现金流出表!N16-现金流出表!O16-现金流出表!P16)</f>
        <v>167.78579452457532</v>
      </c>
      <c r="R16" s="151">
        <f>IF(利润测算!$G15=0,0,项目现金流量表!S7*15%*税费说明表!$B13)</f>
        <v>0</v>
      </c>
      <c r="S16" s="151">
        <f>IF(利润测算!$G15=0,0,项目现金流量表!T7*15%*税费说明表!$B13)</f>
        <v>0</v>
      </c>
      <c r="T16" s="151">
        <f>IF(利润测算!$G15=0,0,项目现金流量表!U7*15%*税费说明表!$B13)</f>
        <v>0</v>
      </c>
      <c r="U16" s="151">
        <f>IF(利润测算!$G15=0,0,利润测算!G44-现金流出表!R16-现金流出表!S16-现金流出表!T16)</f>
        <v>0</v>
      </c>
      <c r="V16" s="8">
        <f t="shared" si="1"/>
        <v>8064.942045855586</v>
      </c>
    </row>
    <row r="17" spans="1:22" ht="15" customHeight="1">
      <c r="A17" s="144"/>
      <c r="B17" s="151"/>
      <c r="C17" s="151"/>
      <c r="D17" s="151"/>
      <c r="E17" s="151"/>
      <c r="F17" s="151"/>
      <c r="G17" s="151"/>
      <c r="H17" s="151"/>
      <c r="I17" s="151"/>
      <c r="J17" s="151"/>
      <c r="K17" s="151"/>
      <c r="L17" s="151"/>
      <c r="M17" s="151"/>
      <c r="N17" s="151"/>
      <c r="O17" s="151"/>
      <c r="P17" s="151"/>
      <c r="Q17" s="151"/>
      <c r="R17" s="151"/>
      <c r="S17" s="151"/>
      <c r="T17" s="151"/>
      <c r="U17" s="151"/>
      <c r="V17" s="8"/>
    </row>
    <row r="19" spans="1:22" ht="15" customHeight="1">
      <c r="A19" s="169" t="s">
        <v>284</v>
      </c>
      <c r="B19" s="167"/>
      <c r="C19" s="167"/>
      <c r="D19" s="167"/>
      <c r="E19" s="167"/>
      <c r="F19" s="167"/>
      <c r="G19" s="167"/>
      <c r="H19" s="167"/>
      <c r="I19" s="167"/>
      <c r="J19" s="167"/>
      <c r="K19" s="167"/>
    </row>
    <row r="20" spans="1:22" ht="15" customHeight="1">
      <c r="A20" s="166" t="s">
        <v>739</v>
      </c>
      <c r="B20" s="167"/>
      <c r="C20" s="167"/>
      <c r="D20" s="167"/>
      <c r="E20" s="167"/>
      <c r="F20" s="167"/>
      <c r="G20" s="167"/>
      <c r="H20" s="227">
        <f>(投资估算表!G64-投资估算表!G66)/项目现金流量表!A1</f>
        <v>117.07978947368423</v>
      </c>
      <c r="I20" s="167"/>
      <c r="J20" s="167"/>
      <c r="K20" s="167"/>
    </row>
    <row r="21" spans="1:22" ht="15" customHeight="1">
      <c r="A21" s="168" t="s">
        <v>740</v>
      </c>
      <c r="B21" s="166"/>
      <c r="C21" s="167"/>
      <c r="D21" s="167"/>
      <c r="E21" s="167"/>
      <c r="F21" s="167"/>
      <c r="G21" s="167"/>
      <c r="H21" s="167"/>
      <c r="I21" s="167"/>
      <c r="J21" s="167"/>
      <c r="K21" s="167"/>
    </row>
    <row r="22" spans="1:22" ht="15" customHeight="1">
      <c r="A22" s="166" t="s">
        <v>741</v>
      </c>
      <c r="B22" s="167"/>
      <c r="C22" s="172">
        <f>成本汇总!C15/项目现金流量表!A1</f>
        <v>430.5280884128241</v>
      </c>
      <c r="D22" s="167"/>
      <c r="E22" s="167"/>
      <c r="F22" s="166"/>
      <c r="G22" s="167"/>
      <c r="H22" s="167"/>
      <c r="I22" s="167"/>
      <c r="J22" s="167"/>
      <c r="K22" s="167"/>
    </row>
    <row r="23" spans="1:22" ht="15" customHeight="1">
      <c r="A23" s="168" t="s">
        <v>742</v>
      </c>
      <c r="B23" s="167"/>
      <c r="C23" s="167"/>
      <c r="D23" s="167"/>
      <c r="E23" s="167"/>
      <c r="F23" s="167"/>
      <c r="G23" s="167"/>
      <c r="H23" s="167"/>
      <c r="I23" s="167"/>
      <c r="J23" s="167"/>
      <c r="K23" s="167"/>
    </row>
    <row r="24" spans="1:22" ht="15" customHeight="1">
      <c r="A24" s="166" t="s">
        <v>743</v>
      </c>
      <c r="B24" s="167"/>
      <c r="C24" s="172"/>
      <c r="D24" s="167"/>
      <c r="E24" s="167"/>
      <c r="G24" s="226">
        <f>成本汇总!C20/项目现金流量表!A1</f>
        <v>0</v>
      </c>
      <c r="H24" s="167"/>
      <c r="I24" s="167"/>
      <c r="J24" s="167"/>
      <c r="K24" s="167"/>
    </row>
    <row r="25" spans="1:22" ht="15" customHeight="1">
      <c r="A25" s="168" t="s">
        <v>744</v>
      </c>
      <c r="B25" s="167"/>
      <c r="C25" s="167"/>
      <c r="D25" s="167"/>
      <c r="E25" s="167"/>
      <c r="F25" s="167"/>
      <c r="G25" s="167"/>
      <c r="H25" s="167"/>
      <c r="I25" s="167"/>
      <c r="J25" s="167"/>
      <c r="K25" s="167"/>
    </row>
    <row r="26" spans="1:22" ht="15" customHeight="1">
      <c r="A26" s="169" t="s">
        <v>745</v>
      </c>
      <c r="B26" s="167"/>
      <c r="C26" s="167"/>
      <c r="D26" s="167"/>
      <c r="E26" s="167"/>
      <c r="F26" s="167"/>
      <c r="G26" s="167"/>
      <c r="H26" s="167"/>
      <c r="I26" s="167"/>
      <c r="J26" s="167"/>
      <c r="K26" s="167"/>
    </row>
  </sheetData>
  <protectedRanges>
    <protectedRange sqref="M4:U4" name="区域1"/>
    <protectedRange sqref="B4:L4" name="区域1_1"/>
  </protectedRanges>
  <phoneticPr fontId="2" type="noConversion"/>
  <pageMargins left="0.75" right="0.75" top="1" bottom="1" header="0.5" footer="0.5"/>
  <pageSetup paperSize="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dimension ref="A1:F25"/>
  <sheetViews>
    <sheetView workbookViewId="0">
      <selection activeCell="I26" sqref="I26"/>
    </sheetView>
  </sheetViews>
  <sheetFormatPr defaultRowHeight="12.75"/>
  <cols>
    <col min="1" max="1" width="16.375" style="271" customWidth="1"/>
    <col min="2" max="2" width="10.625" style="271" customWidth="1"/>
    <col min="3" max="3" width="10.25" style="271" customWidth="1"/>
    <col min="4" max="4" width="10" style="271" customWidth="1"/>
    <col min="5" max="5" width="10.375" style="271" customWidth="1"/>
    <col min="6" max="6" width="9.75" style="271" customWidth="1"/>
    <col min="7" max="16384" width="9" style="271"/>
  </cols>
  <sheetData>
    <row r="1" spans="1:6" ht="22.5">
      <c r="A1" s="734" t="s">
        <v>434</v>
      </c>
      <c r="B1" s="734"/>
      <c r="C1" s="734"/>
      <c r="D1" s="734"/>
      <c r="E1" s="734"/>
      <c r="F1" s="734"/>
    </row>
    <row r="2" spans="1:6" ht="12.75" customHeight="1">
      <c r="A2" s="272"/>
      <c r="B2" s="273"/>
      <c r="C2" s="125"/>
      <c r="D2" s="33" t="s">
        <v>61</v>
      </c>
      <c r="E2" s="33"/>
      <c r="F2" s="33" t="s">
        <v>62</v>
      </c>
    </row>
    <row r="3" spans="1:6" ht="17.25" customHeight="1">
      <c r="A3" s="274" t="s">
        <v>317</v>
      </c>
      <c r="B3" s="274" t="s">
        <v>318</v>
      </c>
      <c r="C3" s="274" t="s">
        <v>318</v>
      </c>
      <c r="D3" s="274" t="s">
        <v>318</v>
      </c>
      <c r="E3" s="274" t="s">
        <v>318</v>
      </c>
      <c r="F3" s="275" t="s">
        <v>318</v>
      </c>
    </row>
    <row r="4" spans="1:6" ht="17.25" customHeight="1">
      <c r="A4" s="276" t="s">
        <v>319</v>
      </c>
      <c r="B4" s="277" t="s">
        <v>320</v>
      </c>
      <c r="C4" s="277" t="s">
        <v>321</v>
      </c>
      <c r="D4" s="277" t="s">
        <v>322</v>
      </c>
      <c r="E4" s="278" t="s">
        <v>323</v>
      </c>
      <c r="F4" s="278" t="s">
        <v>324</v>
      </c>
    </row>
    <row r="5" spans="1:6" ht="17.25" customHeight="1">
      <c r="A5" s="279" t="s">
        <v>325</v>
      </c>
      <c r="B5" s="280">
        <f>开发和销售计划!V37</f>
        <v>6413.045087504177</v>
      </c>
      <c r="C5" s="281">
        <f>$B5*0.95</f>
        <v>6092.3928331289681</v>
      </c>
      <c r="D5" s="281">
        <f>$B5*0.9</f>
        <v>5771.7405787537591</v>
      </c>
      <c r="E5" s="281">
        <f>$B5*1.05</f>
        <v>6733.6973418793859</v>
      </c>
      <c r="F5" s="281">
        <f>$B5*1.1</f>
        <v>7054.3495962545949</v>
      </c>
    </row>
    <row r="6" spans="1:6" ht="15.95" customHeight="1">
      <c r="A6" s="282" t="s">
        <v>326</v>
      </c>
      <c r="B6" s="283">
        <f>开发和销售计划!V49</f>
        <v>215264.04420641204</v>
      </c>
      <c r="C6" s="281">
        <f>$B6*0.95</f>
        <v>204500.84199609142</v>
      </c>
      <c r="D6" s="281">
        <f>$B6*0.9</f>
        <v>193737.63978577085</v>
      </c>
      <c r="E6" s="281">
        <f>$B6*1.05</f>
        <v>226027.24641673267</v>
      </c>
      <c r="F6" s="281">
        <f>$B6*1.1</f>
        <v>236790.44862705327</v>
      </c>
    </row>
    <row r="7" spans="1:6" ht="15.95" customHeight="1">
      <c r="A7" s="282" t="s">
        <v>335</v>
      </c>
      <c r="B7" s="283">
        <f>利润测算!B43</f>
        <v>53766.280305703913</v>
      </c>
      <c r="C7" s="284">
        <f>C6*(1-税费说明表!$B10-税费说明表!$B11)-利润测算!$B25-利润测算!$B36-利润测算!$B41-利润测算!$B42</f>
        <v>43670.39663242313</v>
      </c>
      <c r="D7" s="284">
        <f>D6*(1-税费说明表!$B10-税费说明表!$B11)-利润测算!$B25-利润测算!$B36-利润测算!$B41-利润测算!$B42</f>
        <v>33574.512959142448</v>
      </c>
      <c r="E7" s="284">
        <f>E6*(1-税费说明表!$B10-税费说明表!$B11)-利润测算!$B25-利润测算!$B36-利润测算!$B41-利润测算!$B42</f>
        <v>63862.163978984638</v>
      </c>
      <c r="F7" s="284">
        <f>F6*(1-税费说明表!$B10-税费说明表!$B11)-利润测算!$B25-利润测算!$B36-利润测算!$B41-利润测算!$B42</f>
        <v>73958.047652265348</v>
      </c>
    </row>
    <row r="8" spans="1:6" ht="15.95" customHeight="1">
      <c r="A8" s="282" t="s">
        <v>327</v>
      </c>
      <c r="B8" s="283">
        <f>利润测算!B45</f>
        <v>45701.338259848315</v>
      </c>
      <c r="C8" s="284">
        <f>C7*(1-税费说明表!$B13)</f>
        <v>37119.837137559662</v>
      </c>
      <c r="D8" s="284">
        <f>D7*(1-税费说明表!$B13)</f>
        <v>28538.336015271081</v>
      </c>
      <c r="E8" s="284">
        <f>E7*(1-税费说明表!$B13)</f>
        <v>54282.839382136939</v>
      </c>
      <c r="F8" s="284">
        <f>F7*(1-税费说明表!$B13)</f>
        <v>62864.340504425541</v>
      </c>
    </row>
    <row r="9" spans="1:6" ht="15.95" customHeight="1">
      <c r="A9" s="285" t="s">
        <v>328</v>
      </c>
      <c r="B9" s="283">
        <f>利润测算!B50</f>
        <v>1361.5127593656759</v>
      </c>
      <c r="C9" s="284">
        <f>IF(利润测算!$B5=0,0,C8/利润测算!$B5*10000)</f>
        <v>1105.856716952321</v>
      </c>
      <c r="D9" s="284">
        <f>IF(利润测算!$B5=0,0,D8/利润测算!$B5*10000)</f>
        <v>850.20067453896797</v>
      </c>
      <c r="E9" s="284">
        <f>IF(利润测算!$B5=0,0,E8/利润测算!$B5*10000)</f>
        <v>1617.1688017790302</v>
      </c>
      <c r="F9" s="284">
        <f>IF(利润测算!$B5=0,0,F8/利润测算!$B5*10000)</f>
        <v>1872.824844192384</v>
      </c>
    </row>
    <row r="10" spans="1:6" ht="15.95" customHeight="1">
      <c r="A10" s="282" t="s">
        <v>329</v>
      </c>
      <c r="B10" s="286">
        <f>利润测算!B51</f>
        <v>0.24976897792623737</v>
      </c>
      <c r="C10" s="287">
        <f>IF(C6=0,0,C7/C6)</f>
        <v>0.21354629255393381</v>
      </c>
      <c r="D10" s="287">
        <f>IF(D6=0,0,D7/D6)</f>
        <v>0.17329886436248587</v>
      </c>
      <c r="E10" s="287">
        <f>IF(E6=0,0,E7/E6)</f>
        <v>0.28254188373927364</v>
      </c>
      <c r="F10" s="287">
        <f>IF(F6=0,0,F7/F6)</f>
        <v>0.31233543447839751</v>
      </c>
    </row>
    <row r="11" spans="1:6" ht="15.95" customHeight="1">
      <c r="A11" s="282" t="s">
        <v>330</v>
      </c>
      <c r="B11" s="288">
        <f>利润测算!B52</f>
        <v>0.2123036312373017</v>
      </c>
      <c r="C11" s="289">
        <f>IF(C8=0,0,C8/C6)</f>
        <v>0.18151434867084373</v>
      </c>
      <c r="D11" s="289">
        <f>IF(D8=0,0,D8/D6)</f>
        <v>0.14730403470811299</v>
      </c>
      <c r="E11" s="289">
        <f>IF(E8=0,0,E8/E6)</f>
        <v>0.24016060117838259</v>
      </c>
      <c r="F11" s="289">
        <f>IF(F8=0,0,F8/F6)</f>
        <v>0.26548511930663787</v>
      </c>
    </row>
    <row r="12" spans="1:6" ht="15.95" customHeight="1">
      <c r="A12" s="290" t="s">
        <v>331</v>
      </c>
      <c r="B12" s="291">
        <v>1</v>
      </c>
      <c r="C12" s="292">
        <f>-(C11-$B$11)/$B$11/5%</f>
        <v>2.9004951433961432</v>
      </c>
      <c r="D12" s="292">
        <f>-(D11-$B$11)/$B$11/10%</f>
        <v>3.0616337624736913</v>
      </c>
      <c r="E12" s="292">
        <f>(E11-$B$11)/$B$11/5%</f>
        <v>2.6242575106917365</v>
      </c>
      <c r="F12" s="292">
        <f>(F11-$B$11)/$B$11/10%</f>
        <v>2.5049730783875632</v>
      </c>
    </row>
    <row r="13" spans="1:6" ht="17.25" customHeight="1">
      <c r="A13" s="274" t="s">
        <v>332</v>
      </c>
      <c r="B13" s="275" t="s">
        <v>333</v>
      </c>
      <c r="C13" s="275" t="s">
        <v>333</v>
      </c>
      <c r="D13" s="275" t="s">
        <v>333</v>
      </c>
      <c r="E13" s="275" t="s">
        <v>333</v>
      </c>
      <c r="F13" s="275" t="s">
        <v>333</v>
      </c>
    </row>
    <row r="14" spans="1:6" ht="15.95" customHeight="1">
      <c r="A14" s="276" t="s">
        <v>319</v>
      </c>
      <c r="B14" s="278" t="s">
        <v>320</v>
      </c>
      <c r="C14" s="277" t="s">
        <v>321</v>
      </c>
      <c r="D14" s="277" t="s">
        <v>322</v>
      </c>
      <c r="E14" s="278" t="s">
        <v>323</v>
      </c>
      <c r="F14" s="278" t="s">
        <v>324</v>
      </c>
    </row>
    <row r="15" spans="1:6" ht="15.95" customHeight="1">
      <c r="A15" s="279" t="s">
        <v>336</v>
      </c>
      <c r="B15" s="280">
        <f>成本汇总!C7</f>
        <v>62484</v>
      </c>
      <c r="C15" s="281">
        <f>B15*0.95</f>
        <v>59359.799999999996</v>
      </c>
      <c r="D15" s="281">
        <f>B15*0.9</f>
        <v>56235.6</v>
      </c>
      <c r="E15" s="281">
        <f>B15*1.05</f>
        <v>65608.2</v>
      </c>
      <c r="F15" s="281">
        <f>B15*1.1</f>
        <v>68732.400000000009</v>
      </c>
    </row>
    <row r="16" spans="1:6" ht="15.95" customHeight="1">
      <c r="A16" s="293" t="s">
        <v>334</v>
      </c>
      <c r="B16" s="280">
        <f>成本汇总!C23</f>
        <v>161497.76390070817</v>
      </c>
      <c r="C16" s="281">
        <f>$B16-$B15+C15</f>
        <v>158373.56390070816</v>
      </c>
      <c r="D16" s="281">
        <f>$B16-$B15+D15</f>
        <v>155249.36390070818</v>
      </c>
      <c r="E16" s="281">
        <f>$B16-$B15+E15</f>
        <v>164621.96390070819</v>
      </c>
      <c r="F16" s="281">
        <f>$B16-$B15+F15</f>
        <v>167746.1639007082</v>
      </c>
    </row>
    <row r="17" spans="1:6" ht="15.95" customHeight="1">
      <c r="A17" s="282" t="s">
        <v>337</v>
      </c>
      <c r="B17" s="280">
        <f>B7</f>
        <v>53766.280305703913</v>
      </c>
      <c r="C17" s="281">
        <f>利润测算!$B15-敏感性分析!C16</f>
        <v>56890.480305703881</v>
      </c>
      <c r="D17" s="281">
        <f>利润测算!$B15-敏感性分析!D16</f>
        <v>60014.680305703863</v>
      </c>
      <c r="E17" s="281">
        <f>利润测算!$B15-敏感性分析!E16</f>
        <v>50642.080305703857</v>
      </c>
      <c r="F17" s="281">
        <f>利润测算!$B15-敏感性分析!F16</f>
        <v>47517.880305703846</v>
      </c>
    </row>
    <row r="18" spans="1:6" ht="15.95" customHeight="1">
      <c r="A18" s="282" t="s">
        <v>327</v>
      </c>
      <c r="B18" s="280">
        <f>B8</f>
        <v>45701.338259848315</v>
      </c>
      <c r="C18" s="284">
        <f>C17*(1-税费说明表!$B13)</f>
        <v>48356.9082598483</v>
      </c>
      <c r="D18" s="284">
        <f>D17*(1-税费说明表!$B13)</f>
        <v>51012.478259848285</v>
      </c>
      <c r="E18" s="284">
        <f>E17*(1-税费说明表!$B13)</f>
        <v>43045.768259848279</v>
      </c>
      <c r="F18" s="284">
        <f>F17*(1-税费说明表!$B13)</f>
        <v>40390.198259848265</v>
      </c>
    </row>
    <row r="19" spans="1:6" ht="15.95" customHeight="1">
      <c r="A19" s="294" t="s">
        <v>328</v>
      </c>
      <c r="B19" s="280">
        <f>B9</f>
        <v>1361.5127593656759</v>
      </c>
      <c r="C19" s="281">
        <f>IF(利润测算!$B5=0,0,C18/利润测算!$B5*10000)</f>
        <v>1440.6262509188375</v>
      </c>
      <c r="D19" s="281">
        <f>IF(利润测算!$B5=0,0,D18/利润测算!$B5*10000)</f>
        <v>1519.7397424719991</v>
      </c>
      <c r="E19" s="281">
        <f>IF(利润测算!$B5=0,0,E18/利润测算!$B5*10000)</f>
        <v>1282.3992678125128</v>
      </c>
      <c r="F19" s="281">
        <f>IF(利润测算!$B5=0,0,F18/利润测算!$B5*10000)</f>
        <v>1203.2857762593505</v>
      </c>
    </row>
    <row r="20" spans="1:6" ht="15.95" customHeight="1">
      <c r="A20" s="282" t="s">
        <v>329</v>
      </c>
      <c r="B20" s="442">
        <f>B10</f>
        <v>0.24976897792623737</v>
      </c>
      <c r="C20" s="287">
        <f t="shared" ref="C20:F21" si="0">IF($B$6=0,0,C17/$B$6)</f>
        <v>0.26428231670288993</v>
      </c>
      <c r="D20" s="287">
        <f t="shared" si="0"/>
        <v>0.27879565547954255</v>
      </c>
      <c r="E20" s="287">
        <f t="shared" si="0"/>
        <v>0.23525563914958442</v>
      </c>
      <c r="F20" s="287">
        <f t="shared" si="0"/>
        <v>0.22074230037293166</v>
      </c>
    </row>
    <row r="21" spans="1:6" ht="15.95" customHeight="1">
      <c r="A21" s="282" t="s">
        <v>330</v>
      </c>
      <c r="B21" s="442">
        <f>B11</f>
        <v>0.2123036312373017</v>
      </c>
      <c r="C21" s="287">
        <f t="shared" si="0"/>
        <v>0.22463996919745643</v>
      </c>
      <c r="D21" s="287">
        <f t="shared" si="0"/>
        <v>0.23697630715761114</v>
      </c>
      <c r="E21" s="287">
        <f t="shared" si="0"/>
        <v>0.19996729327714674</v>
      </c>
      <c r="F21" s="287">
        <f t="shared" si="0"/>
        <v>0.18763095531699189</v>
      </c>
    </row>
    <row r="22" spans="1:6" ht="15.95" customHeight="1">
      <c r="A22" s="290" t="s">
        <v>331</v>
      </c>
      <c r="B22" s="291">
        <v>1</v>
      </c>
      <c r="C22" s="292">
        <f>(C21-$B$21)/$B$21/5%</f>
        <v>1.1621410230488083</v>
      </c>
      <c r="D22" s="292">
        <f>(D21-$B$21)/$B$21/10%</f>
        <v>1.1621410230488067</v>
      </c>
      <c r="E22" s="292">
        <f>-(E21-$B$21)/$B$21/5%</f>
        <v>1.1621410230488292</v>
      </c>
      <c r="F22" s="292">
        <f>-(F21-$B$21)/$B$21/10%</f>
        <v>1.1621410230488238</v>
      </c>
    </row>
    <row r="23" spans="1:6">
      <c r="A23" s="125"/>
      <c r="B23" s="125"/>
      <c r="C23" s="125"/>
      <c r="D23" s="125"/>
      <c r="E23" s="125"/>
      <c r="F23" s="125"/>
    </row>
    <row r="24" spans="1:6">
      <c r="A24" s="125"/>
      <c r="B24" s="125"/>
      <c r="C24" s="125"/>
      <c r="D24" s="125"/>
      <c r="E24" s="125"/>
      <c r="F24" s="125"/>
    </row>
    <row r="25" spans="1:6">
      <c r="A25" s="125"/>
      <c r="B25" s="125"/>
      <c r="C25" s="125"/>
      <c r="D25" s="125"/>
      <c r="E25" s="125"/>
      <c r="F25" s="125"/>
    </row>
  </sheetData>
  <mergeCells count="1">
    <mergeCell ref="A1:F1"/>
  </mergeCells>
  <phoneticPr fontId="2" type="noConversion"/>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dimension ref="A1:J18"/>
  <sheetViews>
    <sheetView workbookViewId="0">
      <selection activeCell="A19" sqref="A19"/>
    </sheetView>
  </sheetViews>
  <sheetFormatPr defaultRowHeight="12.75"/>
  <cols>
    <col min="1" max="1" width="24" style="74" customWidth="1"/>
    <col min="2" max="2" width="8.375" style="75" customWidth="1"/>
    <col min="3" max="3" width="15.625" style="76" customWidth="1"/>
    <col min="4" max="4" width="14" style="74" customWidth="1"/>
    <col min="5" max="5" width="32.5" style="74" customWidth="1"/>
    <col min="6" max="16384" width="9" style="73"/>
  </cols>
  <sheetData>
    <row r="1" spans="1:10" ht="22.5" customHeight="1">
      <c r="A1" s="903" t="s">
        <v>88</v>
      </c>
      <c r="B1" s="903"/>
      <c r="C1" s="903"/>
      <c r="D1" s="903"/>
      <c r="E1" s="903"/>
    </row>
    <row r="2" spans="1:10" ht="15.75" customHeight="1">
      <c r="E2" s="75" t="s">
        <v>89</v>
      </c>
      <c r="F2" s="74"/>
      <c r="G2" s="74"/>
      <c r="H2" s="74"/>
      <c r="I2" s="74"/>
      <c r="J2" s="74"/>
    </row>
    <row r="3" spans="1:10">
      <c r="A3" s="77" t="s">
        <v>90</v>
      </c>
      <c r="B3" s="77"/>
      <c r="C3" s="77"/>
      <c r="D3" s="77"/>
      <c r="E3" s="78"/>
      <c r="F3" s="79"/>
      <c r="G3" s="79"/>
      <c r="H3" s="79"/>
      <c r="I3" s="79"/>
      <c r="J3" s="79"/>
    </row>
    <row r="4" spans="1:10">
      <c r="A4" s="80" t="s">
        <v>91</v>
      </c>
      <c r="B4" s="904"/>
      <c r="C4" s="905"/>
      <c r="D4" s="905"/>
      <c r="E4" s="906"/>
      <c r="F4" s="79"/>
      <c r="G4" s="79"/>
      <c r="H4" s="79"/>
      <c r="I4" s="79"/>
      <c r="J4" s="79"/>
    </row>
    <row r="5" spans="1:10" s="82" customFormat="1" ht="14.25" customHeight="1">
      <c r="A5" s="907" t="s">
        <v>92</v>
      </c>
      <c r="B5" s="909" t="s">
        <v>93</v>
      </c>
      <c r="C5" s="911" t="s">
        <v>94</v>
      </c>
      <c r="D5" s="912" t="s">
        <v>95</v>
      </c>
      <c r="E5" s="909" t="s">
        <v>96</v>
      </c>
      <c r="F5" s="81"/>
      <c r="G5" s="81"/>
      <c r="H5" s="81"/>
      <c r="I5" s="81"/>
      <c r="J5" s="81"/>
    </row>
    <row r="6" spans="1:10" s="84" customFormat="1" ht="12">
      <c r="A6" s="908"/>
      <c r="B6" s="910"/>
      <c r="C6" s="911"/>
      <c r="D6" s="913"/>
      <c r="E6" s="914"/>
      <c r="F6" s="83"/>
      <c r="G6" s="83"/>
      <c r="H6" s="83"/>
      <c r="I6" s="83"/>
      <c r="J6" s="83"/>
    </row>
    <row r="7" spans="1:10">
      <c r="A7" s="85" t="s">
        <v>97</v>
      </c>
      <c r="B7" s="441">
        <v>0.05</v>
      </c>
      <c r="C7" s="86" t="s">
        <v>98</v>
      </c>
      <c r="D7" s="87">
        <f>项目现金流量表!B6*税费说明表!B7</f>
        <v>10763.202210320602</v>
      </c>
      <c r="E7" s="88" t="s">
        <v>338</v>
      </c>
      <c r="F7" s="79"/>
      <c r="G7" s="79"/>
      <c r="H7" s="79"/>
      <c r="I7" s="79"/>
      <c r="J7" s="79"/>
    </row>
    <row r="8" spans="1:10">
      <c r="A8" s="85" t="s">
        <v>99</v>
      </c>
      <c r="B8" s="441">
        <v>0.06</v>
      </c>
      <c r="C8" s="89" t="s">
        <v>100</v>
      </c>
      <c r="D8" s="87">
        <f>D7*B8</f>
        <v>645.7921326192361</v>
      </c>
      <c r="E8" s="91"/>
      <c r="F8" s="79"/>
      <c r="G8" s="79"/>
      <c r="H8" s="79"/>
      <c r="I8" s="79"/>
      <c r="J8" s="79"/>
    </row>
    <row r="9" spans="1:10">
      <c r="A9" s="85" t="s">
        <v>101</v>
      </c>
      <c r="B9" s="441">
        <v>0.04</v>
      </c>
      <c r="C9" s="89" t="s">
        <v>100</v>
      </c>
      <c r="D9" s="87">
        <f>D7*B9</f>
        <v>430.5280884128241</v>
      </c>
      <c r="E9" s="91"/>
      <c r="F9" s="79"/>
      <c r="G9" s="79"/>
      <c r="H9" s="79"/>
      <c r="I9" s="79"/>
      <c r="J9" s="79"/>
    </row>
    <row r="10" spans="1:10">
      <c r="A10" s="92" t="s">
        <v>102</v>
      </c>
      <c r="B10" s="93">
        <f>B7*(1+B8+B9)</f>
        <v>5.5000000000000007E-2</v>
      </c>
      <c r="C10" s="89"/>
      <c r="D10" s="87">
        <f>D7+D8+D9</f>
        <v>11839.522431352661</v>
      </c>
      <c r="E10" s="91"/>
      <c r="F10" s="79"/>
      <c r="G10" s="79"/>
      <c r="H10" s="79"/>
      <c r="I10" s="79"/>
      <c r="J10" s="79"/>
    </row>
    <row r="11" spans="1:10">
      <c r="A11" s="85" t="s">
        <v>103</v>
      </c>
      <c r="B11" s="441">
        <v>7.0000000000000001E-3</v>
      </c>
      <c r="C11" s="86" t="s">
        <v>104</v>
      </c>
      <c r="D11" s="225">
        <f>项目现金流量表!B8*税费说明表!B11</f>
        <v>1506.8483094448843</v>
      </c>
      <c r="E11" s="88" t="s">
        <v>339</v>
      </c>
      <c r="F11" s="79"/>
      <c r="G11" s="79"/>
      <c r="H11" s="79"/>
      <c r="I11" s="79"/>
      <c r="J11" s="79"/>
    </row>
    <row r="12" spans="1:10">
      <c r="A12" s="85" t="s">
        <v>105</v>
      </c>
      <c r="B12" s="441">
        <v>0.03</v>
      </c>
      <c r="C12" s="86" t="s">
        <v>106</v>
      </c>
      <c r="D12" s="94"/>
      <c r="E12" s="90" t="s">
        <v>421</v>
      </c>
      <c r="F12" s="79"/>
      <c r="G12" s="79"/>
      <c r="H12" s="79"/>
      <c r="I12" s="79"/>
      <c r="J12" s="79"/>
    </row>
    <row r="13" spans="1:10">
      <c r="A13" s="95" t="s">
        <v>107</v>
      </c>
      <c r="B13" s="441">
        <v>0.15</v>
      </c>
      <c r="C13" s="86" t="s">
        <v>108</v>
      </c>
      <c r="D13" s="96">
        <f>利润测算!B44</f>
        <v>8064.942045855586</v>
      </c>
      <c r="E13" s="86" t="s">
        <v>283</v>
      </c>
    </row>
    <row r="14" spans="1:10">
      <c r="A14" s="97" t="s">
        <v>109</v>
      </c>
      <c r="B14" s="98"/>
      <c r="C14" s="99"/>
      <c r="D14" s="100"/>
      <c r="E14" s="100"/>
    </row>
    <row r="15" spans="1:10">
      <c r="A15" s="101" t="s">
        <v>110</v>
      </c>
      <c r="B15" s="900"/>
      <c r="C15" s="901"/>
      <c r="D15" s="901"/>
      <c r="E15" s="902"/>
    </row>
    <row r="16" spans="1:10">
      <c r="A16" s="101" t="s">
        <v>111</v>
      </c>
      <c r="B16" s="900"/>
      <c r="C16" s="901"/>
      <c r="D16" s="901"/>
      <c r="E16" s="902"/>
    </row>
    <row r="17" spans="1:5">
      <c r="A17" s="102"/>
      <c r="B17" s="103"/>
      <c r="C17" s="104"/>
      <c r="D17" s="103"/>
      <c r="E17" s="75"/>
    </row>
    <row r="18" spans="1:5">
      <c r="A18" s="102"/>
    </row>
  </sheetData>
  <protectedRanges>
    <protectedRange sqref="B4 B7:B9 B11:B12 B13 B15:E16" name="区域1"/>
  </protectedRanges>
  <mergeCells count="9">
    <mergeCell ref="B15:E15"/>
    <mergeCell ref="B16:E16"/>
    <mergeCell ref="A1:E1"/>
    <mergeCell ref="B4:E4"/>
    <mergeCell ref="A5:A6"/>
    <mergeCell ref="B5:B6"/>
    <mergeCell ref="C5:C6"/>
    <mergeCell ref="D5:D6"/>
    <mergeCell ref="E5:E6"/>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CD175"/>
  <sheetViews>
    <sheetView topLeftCell="I1" workbookViewId="0">
      <pane ySplit="2" topLeftCell="A3" activePane="bottomLeft" state="frozen"/>
      <selection pane="bottomLeft" activeCell="F20" sqref="F20"/>
    </sheetView>
  </sheetViews>
  <sheetFormatPr defaultRowHeight="13.5"/>
  <cols>
    <col min="1" max="1" width="1.25" style="498" customWidth="1"/>
    <col min="2" max="2" width="2.625" style="498" customWidth="1"/>
    <col min="3" max="3" width="26.25" style="500" customWidth="1"/>
    <col min="4" max="4" width="12.625" style="510" customWidth="1"/>
    <col min="5" max="5" width="12.625" style="558" customWidth="1"/>
    <col min="6" max="8" width="12.625" style="500" customWidth="1"/>
    <col min="9" max="9" width="2.375" style="500" customWidth="1"/>
    <col min="10" max="10" width="2" style="500" customWidth="1"/>
    <col min="11" max="11" width="2.375" style="498" customWidth="1"/>
    <col min="12" max="12" width="23.375" style="498" customWidth="1"/>
    <col min="13" max="13" width="12.75" style="498" bestFit="1" customWidth="1"/>
    <col min="14" max="14" width="8.375" style="498" customWidth="1"/>
    <col min="15" max="15" width="37.125" style="498" customWidth="1"/>
    <col min="16" max="16" width="3.5" style="498" customWidth="1"/>
    <col min="17" max="82" width="9" style="498"/>
    <col min="83" max="16384" width="9" style="500"/>
  </cols>
  <sheetData>
    <row r="1" spans="2:20" ht="5.25" customHeight="1"/>
    <row r="2" spans="2:20" ht="18.75">
      <c r="B2" s="571"/>
      <c r="C2" s="574" t="s">
        <v>574</v>
      </c>
      <c r="D2" s="572"/>
      <c r="E2" s="573"/>
      <c r="F2" s="571"/>
      <c r="G2" s="571"/>
      <c r="H2" s="571"/>
      <c r="I2" s="571"/>
      <c r="J2" s="498"/>
      <c r="K2" s="571"/>
      <c r="L2" s="574" t="s">
        <v>657</v>
      </c>
      <c r="M2" s="572"/>
      <c r="N2" s="573"/>
      <c r="O2" s="571"/>
      <c r="P2" s="571"/>
      <c r="Q2" s="571"/>
      <c r="R2" s="571"/>
    </row>
    <row r="3" spans="2:20" ht="15.75" customHeight="1" thickBot="1">
      <c r="C3" s="570"/>
      <c r="D3" s="499"/>
      <c r="E3" s="546"/>
      <c r="F3" s="498"/>
      <c r="G3" s="498"/>
      <c r="H3" s="498"/>
      <c r="M3" s="499"/>
      <c r="N3" s="546"/>
    </row>
    <row r="4" spans="2:20" ht="8.25" customHeight="1" thickTop="1">
      <c r="B4" s="532"/>
      <c r="C4" s="533"/>
      <c r="D4" s="534"/>
      <c r="E4" s="547"/>
      <c r="F4" s="533"/>
      <c r="G4" s="533"/>
      <c r="H4" s="533"/>
      <c r="I4" s="535"/>
      <c r="J4" s="501"/>
      <c r="K4" s="532"/>
      <c r="L4" s="533"/>
      <c r="M4" s="534"/>
      <c r="N4" s="547"/>
      <c r="O4" s="533"/>
      <c r="P4" s="533"/>
      <c r="Q4" s="533"/>
      <c r="R4" s="535"/>
    </row>
    <row r="5" spans="2:20" ht="15.75" customHeight="1" thickBot="1">
      <c r="B5" s="536"/>
      <c r="C5" s="531" t="s">
        <v>534</v>
      </c>
      <c r="D5" s="502"/>
      <c r="E5" s="548"/>
      <c r="F5" s="501"/>
      <c r="G5" s="501"/>
      <c r="H5" s="501"/>
      <c r="I5" s="537"/>
      <c r="J5" s="501"/>
      <c r="K5" s="536"/>
      <c r="L5" s="531" t="s">
        <v>593</v>
      </c>
      <c r="M5" s="502"/>
      <c r="N5" s="548"/>
      <c r="O5" s="501"/>
      <c r="P5" s="501"/>
      <c r="Q5" s="501"/>
      <c r="R5" s="537"/>
    </row>
    <row r="6" spans="2:20" ht="16.5" customHeight="1" thickBot="1">
      <c r="B6" s="536"/>
      <c r="C6" s="514" t="s">
        <v>535</v>
      </c>
      <c r="D6" s="514"/>
      <c r="E6" s="549">
        <f>规划指标!D3</f>
        <v>87391.7</v>
      </c>
      <c r="F6" s="514"/>
      <c r="G6" s="514"/>
      <c r="H6" s="501"/>
      <c r="I6" s="537"/>
      <c r="J6" s="501"/>
      <c r="K6" s="536"/>
      <c r="L6" s="607" t="s">
        <v>592</v>
      </c>
      <c r="M6" s="607"/>
      <c r="N6" s="607"/>
      <c r="O6" s="616">
        <f>60300/规划指标!D5*10000</f>
        <v>1971.4196460958453</v>
      </c>
      <c r="P6" s="618" t="s">
        <v>594</v>
      </c>
      <c r="Q6" s="617"/>
      <c r="R6" s="537"/>
      <c r="S6" s="579"/>
      <c r="T6" s="579"/>
    </row>
    <row r="7" spans="2:20">
      <c r="B7" s="536"/>
      <c r="C7" s="507" t="s">
        <v>536</v>
      </c>
      <c r="D7" s="507"/>
      <c r="E7" s="550">
        <f>规划指标!F4</f>
        <v>3.5</v>
      </c>
      <c r="F7" s="507"/>
      <c r="G7" s="507"/>
      <c r="H7" s="501"/>
      <c r="I7" s="537"/>
      <c r="J7" s="501"/>
      <c r="K7" s="536"/>
      <c r="L7" s="608" t="s">
        <v>649</v>
      </c>
      <c r="M7" s="608"/>
      <c r="N7" s="608"/>
      <c r="O7" s="731">
        <v>1.1078311024875622</v>
      </c>
      <c r="P7" s="612"/>
      <c r="Q7" s="507"/>
      <c r="R7" s="537"/>
      <c r="S7" s="579"/>
      <c r="T7" s="579"/>
    </row>
    <row r="8" spans="2:20">
      <c r="B8" s="536"/>
      <c r="C8" s="507" t="s">
        <v>537</v>
      </c>
      <c r="D8" s="507"/>
      <c r="E8" s="551">
        <f>规划指标!D5</f>
        <v>305870.95</v>
      </c>
      <c r="F8" s="507"/>
      <c r="G8" s="507"/>
      <c r="H8" s="501"/>
      <c r="I8" s="537"/>
      <c r="J8" s="501"/>
      <c r="K8" s="536"/>
      <c r="L8" s="608" t="s">
        <v>684</v>
      </c>
      <c r="M8" s="608"/>
      <c r="N8" s="608"/>
      <c r="O8" s="731">
        <v>0</v>
      </c>
      <c r="P8" s="612"/>
      <c r="Q8" s="507"/>
      <c r="R8" s="537"/>
      <c r="S8" s="579"/>
      <c r="T8" s="579"/>
    </row>
    <row r="9" spans="2:20">
      <c r="B9" s="536"/>
      <c r="C9" s="507" t="s">
        <v>538</v>
      </c>
      <c r="D9" s="507"/>
      <c r="E9" s="551">
        <f>规划指标!F5</f>
        <v>85932.818646616535</v>
      </c>
      <c r="F9" s="507"/>
      <c r="G9" s="507"/>
      <c r="H9" s="501"/>
      <c r="I9" s="537"/>
      <c r="J9" s="501"/>
      <c r="K9" s="536"/>
      <c r="L9" s="507" t="s">
        <v>648</v>
      </c>
      <c r="M9" s="506"/>
      <c r="N9" s="517"/>
      <c r="O9" s="732">
        <v>1.2782666567164178</v>
      </c>
      <c r="P9" s="507"/>
      <c r="Q9" s="507"/>
      <c r="R9" s="537"/>
      <c r="S9" s="579"/>
      <c r="T9" s="579"/>
    </row>
    <row r="10" spans="2:20" ht="15.75" thickBot="1">
      <c r="B10" s="536"/>
      <c r="C10" s="520" t="s">
        <v>539</v>
      </c>
      <c r="D10" s="520"/>
      <c r="E10" s="552">
        <f>成本汇总!M5</f>
        <v>292699.47368421056</v>
      </c>
      <c r="F10" s="519" t="s">
        <v>686</v>
      </c>
      <c r="G10" s="520"/>
      <c r="H10" s="501"/>
      <c r="I10" s="537"/>
      <c r="J10" s="501"/>
      <c r="K10" s="536"/>
      <c r="L10" s="608" t="s">
        <v>590</v>
      </c>
      <c r="M10" s="608"/>
      <c r="N10" s="608"/>
      <c r="O10" s="610">
        <f>E57</f>
        <v>4811.2653706033816</v>
      </c>
      <c r="P10" s="507"/>
      <c r="Q10" s="507"/>
      <c r="R10" s="537"/>
      <c r="S10" s="579"/>
      <c r="T10" s="579"/>
    </row>
    <row r="11" spans="2:20" ht="15.75" thickBot="1">
      <c r="B11" s="536"/>
      <c r="C11" s="501"/>
      <c r="D11" s="502"/>
      <c r="E11" s="548"/>
      <c r="F11" s="501"/>
      <c r="G11" s="501"/>
      <c r="H11" s="501"/>
      <c r="I11" s="537"/>
      <c r="J11" s="501"/>
      <c r="K11" s="536"/>
      <c r="L11" s="609" t="s">
        <v>591</v>
      </c>
      <c r="M11" s="609"/>
      <c r="N11" s="609"/>
      <c r="O11" s="611">
        <f>E58</f>
        <v>5517.5283326592471</v>
      </c>
      <c r="P11" s="520"/>
      <c r="Q11" s="520"/>
      <c r="R11" s="537"/>
      <c r="S11" s="579"/>
      <c r="T11" s="579"/>
    </row>
    <row r="12" spans="2:20" ht="14.25" thickBot="1">
      <c r="B12" s="536"/>
      <c r="C12" s="531" t="s">
        <v>588</v>
      </c>
      <c r="D12" s="502"/>
      <c r="E12" s="548"/>
      <c r="F12" s="501"/>
      <c r="G12" s="501"/>
      <c r="H12" s="501"/>
      <c r="I12" s="537"/>
      <c r="J12" s="501"/>
      <c r="K12" s="536"/>
      <c r="L12" s="501"/>
      <c r="M12" s="502"/>
      <c r="N12" s="548"/>
      <c r="O12" s="501"/>
      <c r="P12" s="501"/>
      <c r="Q12" s="501"/>
      <c r="R12" s="537"/>
      <c r="S12" s="579"/>
      <c r="T12" s="579"/>
    </row>
    <row r="13" spans="2:20" ht="14.25" thickBot="1">
      <c r="B13" s="536"/>
      <c r="C13" s="514" t="s">
        <v>589</v>
      </c>
      <c r="D13" s="512"/>
      <c r="E13" s="674">
        <v>27000</v>
      </c>
      <c r="F13" s="514"/>
      <c r="G13" s="514"/>
      <c r="H13" s="501"/>
      <c r="I13" s="537"/>
      <c r="J13" s="501"/>
      <c r="K13" s="536"/>
      <c r="L13" s="531" t="s">
        <v>601</v>
      </c>
      <c r="M13" s="501"/>
      <c r="N13" s="501"/>
      <c r="O13" s="501"/>
      <c r="P13" s="501"/>
      <c r="Q13" s="501"/>
      <c r="R13" s="537"/>
      <c r="S13" s="579"/>
      <c r="T13" s="579"/>
    </row>
    <row r="14" spans="2:20" ht="15.75" thickBot="1">
      <c r="B14" s="536"/>
      <c r="C14" s="594" t="s">
        <v>599</v>
      </c>
      <c r="D14" s="595"/>
      <c r="E14" s="575">
        <f>E13*G14</f>
        <v>27000</v>
      </c>
      <c r="F14" s="594" t="s">
        <v>596</v>
      </c>
      <c r="G14" s="625">
        <f>1-G15</f>
        <v>1</v>
      </c>
      <c r="H14" s="501"/>
      <c r="I14" s="537"/>
      <c r="J14" s="501"/>
      <c r="K14" s="536"/>
      <c r="L14" s="580" t="s">
        <v>576</v>
      </c>
      <c r="M14" s="581"/>
      <c r="N14" s="581"/>
      <c r="O14" s="582"/>
      <c r="P14" s="613"/>
      <c r="Q14" s="613"/>
      <c r="R14" s="537"/>
      <c r="S14" s="579"/>
      <c r="T14" s="579"/>
    </row>
    <row r="15" spans="2:20" ht="15.75" thickBot="1">
      <c r="B15" s="536"/>
      <c r="C15" s="594" t="s">
        <v>597</v>
      </c>
      <c r="D15" s="595"/>
      <c r="E15" s="675">
        <f>E13*G15</f>
        <v>0</v>
      </c>
      <c r="F15" s="594" t="s">
        <v>596</v>
      </c>
      <c r="G15" s="656"/>
      <c r="H15" s="501"/>
      <c r="I15" s="537"/>
      <c r="J15" s="501"/>
      <c r="K15" s="536"/>
      <c r="L15" s="592" t="s">
        <v>584</v>
      </c>
      <c r="M15" s="587">
        <f>经济指标!B5</f>
        <v>0.41011030566490986</v>
      </c>
      <c r="N15" s="587"/>
      <c r="O15" s="583" t="s">
        <v>129</v>
      </c>
      <c r="P15" s="507"/>
      <c r="Q15" s="507"/>
      <c r="R15" s="537"/>
      <c r="S15" s="579"/>
      <c r="T15" s="579"/>
    </row>
    <row r="16" spans="2:20" ht="15.75" thickBot="1">
      <c r="B16" s="536"/>
      <c r="C16" s="594" t="s">
        <v>694</v>
      </c>
      <c r="D16" s="595"/>
      <c r="E16" s="676">
        <v>0</v>
      </c>
      <c r="F16" s="668"/>
      <c r="G16" s="666"/>
      <c r="H16" s="501"/>
      <c r="I16" s="537"/>
      <c r="J16" s="501"/>
      <c r="K16" s="536"/>
      <c r="L16" s="592" t="s">
        <v>583</v>
      </c>
      <c r="M16" s="587">
        <f>经济指标!B6</f>
        <v>0.2123036312373017</v>
      </c>
      <c r="N16" s="587"/>
      <c r="O16" s="583" t="s">
        <v>581</v>
      </c>
      <c r="P16" s="507"/>
      <c r="Q16" s="507"/>
      <c r="R16" s="537"/>
      <c r="S16" s="579"/>
      <c r="T16" s="579"/>
    </row>
    <row r="17" spans="2:20" ht="15.75" thickBot="1">
      <c r="B17" s="536"/>
      <c r="C17" s="594" t="s">
        <v>630</v>
      </c>
      <c r="D17" s="595"/>
      <c r="E17" s="665">
        <f>G14</f>
        <v>1</v>
      </c>
      <c r="F17" s="594"/>
      <c r="G17" s="667"/>
      <c r="H17" s="501"/>
      <c r="I17" s="537"/>
      <c r="J17" s="501"/>
      <c r="K17" s="536"/>
      <c r="L17" s="593" t="s">
        <v>310</v>
      </c>
      <c r="M17" s="587">
        <f>经济指标!B7</f>
        <v>1.6926421577721598</v>
      </c>
      <c r="N17" s="591"/>
      <c r="O17" s="586" t="s">
        <v>313</v>
      </c>
      <c r="P17" s="614"/>
      <c r="Q17" s="614"/>
      <c r="R17" s="537"/>
      <c r="S17" s="579"/>
      <c r="T17" s="579"/>
    </row>
    <row r="18" spans="2:20" ht="15">
      <c r="B18" s="536"/>
      <c r="C18" s="594" t="s">
        <v>631</v>
      </c>
      <c r="D18" s="595"/>
      <c r="E18" s="665">
        <f>G15</f>
        <v>0</v>
      </c>
      <c r="F18" s="594"/>
      <c r="G18" s="667"/>
      <c r="H18" s="501"/>
      <c r="I18" s="537"/>
      <c r="J18" s="501"/>
      <c r="K18" s="536"/>
      <c r="L18" s="580" t="s">
        <v>577</v>
      </c>
      <c r="M18" s="588"/>
      <c r="N18" s="588"/>
      <c r="O18" s="582"/>
      <c r="P18" s="613"/>
      <c r="Q18" s="613"/>
      <c r="R18" s="537"/>
      <c r="S18" s="579"/>
      <c r="T18" s="579"/>
    </row>
    <row r="19" spans="2:20" ht="15.75">
      <c r="B19" s="536"/>
      <c r="C19" s="594" t="s">
        <v>540</v>
      </c>
      <c r="D19" s="595"/>
      <c r="E19" s="710">
        <v>0.1</v>
      </c>
      <c r="F19" s="594"/>
      <c r="G19" s="507"/>
      <c r="H19" s="501"/>
      <c r="I19" s="537"/>
      <c r="J19" s="501"/>
      <c r="K19" s="536"/>
      <c r="L19" s="592" t="s">
        <v>614</v>
      </c>
      <c r="M19" s="589">
        <f>经济指标!B9</f>
        <v>1361.5127593656759</v>
      </c>
      <c r="N19" s="589"/>
      <c r="O19" s="584" t="s">
        <v>578</v>
      </c>
      <c r="P19" s="507"/>
      <c r="Q19" s="507"/>
      <c r="R19" s="537"/>
      <c r="S19" s="579"/>
      <c r="T19" s="579"/>
    </row>
    <row r="20" spans="2:20" ht="15">
      <c r="B20" s="536"/>
      <c r="C20" s="507" t="s">
        <v>632</v>
      </c>
      <c r="D20" s="506"/>
      <c r="E20" s="711">
        <v>0.08</v>
      </c>
      <c r="F20" s="507"/>
      <c r="G20" s="507"/>
      <c r="H20" s="501"/>
      <c r="I20" s="537"/>
      <c r="J20" s="501"/>
      <c r="K20" s="536"/>
      <c r="L20" s="501" t="s">
        <v>587</v>
      </c>
      <c r="M20" s="590">
        <f>利润测算!B45</f>
        <v>45701.338259848315</v>
      </c>
      <c r="N20" s="606"/>
      <c r="O20" s="501" t="s">
        <v>629</v>
      </c>
      <c r="P20" s="507"/>
      <c r="Q20" s="507"/>
      <c r="R20" s="537"/>
      <c r="S20" s="579"/>
      <c r="T20" s="579"/>
    </row>
    <row r="21" spans="2:20" ht="15">
      <c r="B21" s="536"/>
      <c r="C21" s="507" t="s">
        <v>541</v>
      </c>
      <c r="D21" s="506"/>
      <c r="E21" s="711">
        <v>0.08</v>
      </c>
      <c r="F21" s="507"/>
      <c r="G21" s="507"/>
      <c r="H21" s="501"/>
      <c r="I21" s="537"/>
      <c r="J21" s="501"/>
      <c r="K21" s="536"/>
      <c r="L21" s="583" t="s">
        <v>585</v>
      </c>
      <c r="M21" s="587">
        <f>经济指标!B11</f>
        <v>0.24976897792623737</v>
      </c>
      <c r="N21" s="589"/>
      <c r="O21" s="583" t="s">
        <v>579</v>
      </c>
      <c r="P21" s="507"/>
      <c r="Q21" s="507"/>
      <c r="R21" s="537"/>
      <c r="S21" s="579"/>
      <c r="T21" s="579"/>
    </row>
    <row r="22" spans="2:20" ht="15.75" thickBot="1">
      <c r="B22" s="536"/>
      <c r="C22" s="520" t="s">
        <v>685</v>
      </c>
      <c r="D22" s="530"/>
      <c r="E22" s="712">
        <v>0.12</v>
      </c>
      <c r="F22" s="520"/>
      <c r="G22" s="520"/>
      <c r="H22" s="501"/>
      <c r="I22" s="537"/>
      <c r="J22" s="501"/>
      <c r="K22" s="536"/>
      <c r="L22" s="583" t="s">
        <v>582</v>
      </c>
      <c r="M22" s="587">
        <f>经济指标!B12</f>
        <v>0.45137124207257595</v>
      </c>
      <c r="N22" s="587"/>
      <c r="O22" s="583" t="s">
        <v>580</v>
      </c>
      <c r="P22" s="507"/>
      <c r="Q22" s="507"/>
      <c r="R22" s="537"/>
      <c r="S22" s="579"/>
      <c r="T22" s="579"/>
    </row>
    <row r="23" spans="2:20" ht="15.75" thickBot="1">
      <c r="B23" s="536"/>
      <c r="C23" s="501"/>
      <c r="D23" s="502"/>
      <c r="E23" s="562"/>
      <c r="F23" s="501"/>
      <c r="G23" s="501"/>
      <c r="H23" s="501"/>
      <c r="I23" s="537"/>
      <c r="J23" s="501"/>
      <c r="K23" s="536"/>
      <c r="L23" s="585" t="s">
        <v>586</v>
      </c>
      <c r="M23" s="615">
        <f>经济指标!B13</f>
        <v>-55479.205079421678</v>
      </c>
      <c r="N23" s="615"/>
      <c r="O23" s="585" t="s">
        <v>343</v>
      </c>
      <c r="P23" s="520"/>
      <c r="Q23" s="520"/>
      <c r="R23" s="537"/>
    </row>
    <row r="24" spans="2:20" ht="15.75" thickBot="1">
      <c r="B24" s="536"/>
      <c r="C24" s="531" t="s">
        <v>542</v>
      </c>
      <c r="D24" s="502"/>
      <c r="E24" s="548"/>
      <c r="F24" s="501"/>
      <c r="G24" s="501"/>
      <c r="H24" s="501"/>
      <c r="I24" s="537"/>
      <c r="J24" s="501"/>
      <c r="K24" s="536"/>
      <c r="L24" s="623"/>
      <c r="M24" s="624"/>
      <c r="N24" s="624"/>
      <c r="O24" s="623"/>
      <c r="P24" s="501"/>
      <c r="Q24" s="501"/>
      <c r="R24" s="537"/>
    </row>
    <row r="25" spans="2:20" ht="15.75" customHeight="1" thickBot="1">
      <c r="B25" s="536"/>
      <c r="C25" s="692" t="s">
        <v>575</v>
      </c>
      <c r="D25" s="692"/>
      <c r="E25" s="549">
        <f>O6</f>
        <v>1971.4196460958453</v>
      </c>
      <c r="F25" s="518"/>
      <c r="G25" s="518"/>
      <c r="H25" s="548"/>
      <c r="I25" s="537"/>
      <c r="J25" s="501"/>
      <c r="K25" s="536"/>
      <c r="L25" s="531" t="s">
        <v>603</v>
      </c>
      <c r="M25" s="501"/>
      <c r="N25" s="501"/>
      <c r="O25" s="501"/>
      <c r="P25" s="501"/>
      <c r="Q25" s="501"/>
      <c r="R25" s="537"/>
    </row>
    <row r="26" spans="2:20" ht="15">
      <c r="B26" s="536"/>
      <c r="C26" s="693" t="s">
        <v>543</v>
      </c>
      <c r="D26" s="693"/>
      <c r="E26" s="575">
        <f>投资估算表!H6</f>
        <v>2134.7493117604008</v>
      </c>
      <c r="F26" s="578" t="s">
        <v>544</v>
      </c>
      <c r="G26" s="517"/>
      <c r="H26" s="548"/>
      <c r="I26" s="537"/>
      <c r="J26" s="501"/>
      <c r="K26" s="536"/>
      <c r="L26" s="580" t="s">
        <v>576</v>
      </c>
      <c r="M26" s="581"/>
      <c r="N26" s="581"/>
      <c r="O26" s="582"/>
      <c r="P26" s="613"/>
      <c r="Q26" s="613"/>
      <c r="R26" s="537"/>
    </row>
    <row r="27" spans="2:20" ht="15">
      <c r="B27" s="536"/>
      <c r="C27" s="693" t="s">
        <v>545</v>
      </c>
      <c r="D27" s="693"/>
      <c r="E27" s="551">
        <f>投资估算表!G6</f>
        <v>62484</v>
      </c>
      <c r="F27" s="517"/>
      <c r="G27" s="517"/>
      <c r="H27" s="548"/>
      <c r="I27" s="537"/>
      <c r="J27" s="501"/>
      <c r="K27" s="536"/>
      <c r="L27" s="592" t="s">
        <v>584</v>
      </c>
      <c r="M27" s="587">
        <f>经济指标!B19</f>
        <v>0.41011030566490986</v>
      </c>
      <c r="N27" s="587"/>
      <c r="O27" s="583" t="s">
        <v>129</v>
      </c>
      <c r="P27" s="507"/>
      <c r="Q27" s="507"/>
      <c r="R27" s="537"/>
    </row>
    <row r="28" spans="2:20" ht="15.75" thickBot="1">
      <c r="B28" s="536"/>
      <c r="C28" s="561" t="s">
        <v>546</v>
      </c>
      <c r="D28" s="561"/>
      <c r="E28" s="563">
        <v>100</v>
      </c>
      <c r="F28" s="561"/>
      <c r="G28" s="561"/>
      <c r="H28" s="548"/>
      <c r="I28" s="537"/>
      <c r="J28" s="501"/>
      <c r="K28" s="536"/>
      <c r="L28" s="593" t="s">
        <v>310</v>
      </c>
      <c r="M28" s="587">
        <f>经济指标!B20</f>
        <v>1.6926421577721598</v>
      </c>
      <c r="N28" s="591"/>
      <c r="O28" s="586" t="s">
        <v>613</v>
      </c>
      <c r="P28" s="614"/>
      <c r="Q28" s="614"/>
      <c r="R28" s="537"/>
    </row>
    <row r="29" spans="2:20" ht="15">
      <c r="B29" s="536"/>
      <c r="C29" s="561" t="s">
        <v>669</v>
      </c>
      <c r="D29" s="561"/>
      <c r="E29" s="713">
        <v>0.03</v>
      </c>
      <c r="F29" s="563" t="s">
        <v>662</v>
      </c>
      <c r="G29" s="561"/>
      <c r="H29" s="548"/>
      <c r="I29" s="537"/>
      <c r="J29" s="501"/>
      <c r="K29" s="536"/>
      <c r="L29" s="580" t="s">
        <v>577</v>
      </c>
      <c r="M29" s="588"/>
      <c r="N29" s="588"/>
      <c r="O29" s="582"/>
      <c r="P29" s="613"/>
      <c r="Q29" s="613"/>
      <c r="R29" s="537"/>
    </row>
    <row r="30" spans="2:20" ht="15">
      <c r="B30" s="536"/>
      <c r="C30" s="561" t="s">
        <v>670</v>
      </c>
      <c r="D30" s="561"/>
      <c r="E30" s="723">
        <v>0.5</v>
      </c>
      <c r="F30" s="563"/>
      <c r="G30" s="561"/>
      <c r="H30" s="548"/>
      <c r="I30" s="537"/>
      <c r="J30" s="501"/>
      <c r="K30" s="536"/>
      <c r="L30" s="501" t="s">
        <v>587</v>
      </c>
      <c r="M30" s="590">
        <f>经济指标!B22</f>
        <v>45701.338259848315</v>
      </c>
      <c r="N30" s="606"/>
      <c r="O30" s="501" t="s">
        <v>628</v>
      </c>
      <c r="P30" s="507"/>
      <c r="Q30" s="507"/>
      <c r="R30" s="537"/>
    </row>
    <row r="31" spans="2:20" ht="15.75" thickBot="1">
      <c r="B31" s="536"/>
      <c r="C31" s="691" t="s">
        <v>547</v>
      </c>
      <c r="D31" s="691"/>
      <c r="E31" s="690" t="s">
        <v>661</v>
      </c>
      <c r="F31" s="519"/>
      <c r="G31" s="519"/>
      <c r="H31" s="548"/>
      <c r="I31" s="537"/>
      <c r="J31" s="501"/>
      <c r="K31" s="536"/>
      <c r="L31" s="585" t="s">
        <v>582</v>
      </c>
      <c r="M31" s="664">
        <f>经济指标!B23</f>
        <v>0.45137124207257595</v>
      </c>
      <c r="N31" s="664"/>
      <c r="O31" s="585" t="s">
        <v>627</v>
      </c>
      <c r="P31" s="520"/>
      <c r="Q31" s="520"/>
      <c r="R31" s="537"/>
    </row>
    <row r="32" spans="2:20" ht="16.5" customHeight="1">
      <c r="B32" s="536"/>
      <c r="C32" s="498"/>
      <c r="D32" s="499"/>
      <c r="E32" s="546"/>
      <c r="F32" s="498"/>
      <c r="G32" s="498"/>
      <c r="H32" s="548"/>
      <c r="I32" s="537"/>
      <c r="J32" s="501"/>
      <c r="K32" s="536"/>
      <c r="L32" s="623"/>
      <c r="M32" s="677"/>
      <c r="N32" s="677"/>
      <c r="O32" s="623"/>
      <c r="P32" s="501"/>
      <c r="Q32" s="501"/>
      <c r="R32" s="537"/>
    </row>
    <row r="33" spans="2:18" ht="14.25" thickBot="1">
      <c r="B33" s="536"/>
      <c r="C33" s="545" t="s">
        <v>548</v>
      </c>
      <c r="D33" s="515"/>
      <c r="E33" s="545"/>
      <c r="F33" s="529"/>
      <c r="G33" s="529"/>
      <c r="H33" s="501"/>
      <c r="I33" s="537"/>
      <c r="J33" s="501"/>
      <c r="K33" s="536"/>
      <c r="L33" s="531" t="s">
        <v>651</v>
      </c>
      <c r="M33" s="501"/>
      <c r="N33" s="501"/>
      <c r="O33" s="501"/>
      <c r="P33" s="501"/>
      <c r="Q33" s="501"/>
      <c r="R33" s="537"/>
    </row>
    <row r="34" spans="2:18" ht="15" customHeight="1">
      <c r="B34" s="536"/>
      <c r="C34" s="523" t="s">
        <v>549</v>
      </c>
      <c r="D34" s="511"/>
      <c r="E34" s="556" t="s">
        <v>550</v>
      </c>
      <c r="F34" s="513" t="s">
        <v>551</v>
      </c>
      <c r="G34" s="513"/>
      <c r="H34" s="501"/>
      <c r="I34" s="537"/>
      <c r="J34" s="501"/>
      <c r="K34" s="536"/>
      <c r="L34" s="580" t="s">
        <v>576</v>
      </c>
      <c r="M34" s="581"/>
      <c r="N34" s="581"/>
      <c r="O34" s="582"/>
      <c r="P34" s="613"/>
      <c r="Q34" s="613"/>
      <c r="R34" s="537"/>
    </row>
    <row r="35" spans="2:18" ht="14.25" customHeight="1">
      <c r="B35" s="536"/>
      <c r="C35" s="718" t="s">
        <v>691</v>
      </c>
      <c r="D35" s="719"/>
      <c r="E35" s="721"/>
      <c r="F35" s="722"/>
      <c r="G35" s="720"/>
      <c r="H35" s="538"/>
      <c r="I35" s="537"/>
      <c r="J35" s="501"/>
      <c r="K35" s="536"/>
      <c r="L35" s="592" t="s">
        <v>584</v>
      </c>
      <c r="M35" s="587">
        <f>经济指标!B27</f>
        <v>0</v>
      </c>
      <c r="N35" s="587"/>
      <c r="O35" s="583" t="s">
        <v>129</v>
      </c>
      <c r="P35" s="507"/>
      <c r="Q35" s="507"/>
      <c r="R35" s="537"/>
    </row>
    <row r="36" spans="2:18" ht="14.25" customHeight="1" thickBot="1">
      <c r="B36" s="536"/>
      <c r="C36" s="597" t="s">
        <v>552</v>
      </c>
      <c r="D36" s="598"/>
      <c r="E36" s="714"/>
      <c r="F36" s="716"/>
      <c r="G36" s="600"/>
      <c r="H36" s="501"/>
      <c r="I36" s="537"/>
      <c r="J36" s="501"/>
      <c r="K36" s="536"/>
      <c r="L36" s="593" t="s">
        <v>310</v>
      </c>
      <c r="M36" s="587">
        <f>经济指标!B28</f>
        <v>0</v>
      </c>
      <c r="N36" s="591"/>
      <c r="O36" s="586" t="s">
        <v>613</v>
      </c>
      <c r="P36" s="614"/>
      <c r="Q36" s="614"/>
      <c r="R36" s="537"/>
    </row>
    <row r="37" spans="2:18" ht="15">
      <c r="B37" s="536"/>
      <c r="C37" s="597" t="s">
        <v>389</v>
      </c>
      <c r="D37" s="598"/>
      <c r="E37" s="714"/>
      <c r="F37" s="716"/>
      <c r="G37" s="600"/>
      <c r="H37" s="501"/>
      <c r="I37" s="537"/>
      <c r="J37" s="501"/>
      <c r="K37" s="536"/>
      <c r="L37" s="580" t="s">
        <v>577</v>
      </c>
      <c r="M37" s="588"/>
      <c r="N37" s="588"/>
      <c r="O37" s="582"/>
      <c r="P37" s="613"/>
      <c r="Q37" s="613"/>
      <c r="R37" s="537"/>
    </row>
    <row r="38" spans="2:18" ht="15">
      <c r="B38" s="536"/>
      <c r="C38" s="597" t="s">
        <v>659</v>
      </c>
      <c r="D38" s="598"/>
      <c r="E38" s="714"/>
      <c r="F38" s="716"/>
      <c r="G38" s="600"/>
      <c r="H38" s="501"/>
      <c r="I38" s="537"/>
      <c r="J38" s="501"/>
      <c r="K38" s="536"/>
      <c r="L38" s="501" t="s">
        <v>587</v>
      </c>
      <c r="M38" s="589">
        <f>经济指标!B30</f>
        <v>0</v>
      </c>
      <c r="N38" s="606"/>
      <c r="O38" s="501" t="s">
        <v>628</v>
      </c>
      <c r="P38" s="507"/>
      <c r="Q38" s="507"/>
      <c r="R38" s="537"/>
    </row>
    <row r="39" spans="2:18" ht="14.25" customHeight="1" thickBot="1">
      <c r="B39" s="536"/>
      <c r="C39" s="599" t="s">
        <v>553</v>
      </c>
      <c r="D39" s="601"/>
      <c r="E39" s="714"/>
      <c r="F39" s="716"/>
      <c r="G39" s="600"/>
      <c r="H39" s="501"/>
      <c r="I39" s="537"/>
      <c r="J39" s="501"/>
      <c r="K39" s="536"/>
      <c r="L39" s="585" t="s">
        <v>582</v>
      </c>
      <c r="M39" s="664">
        <f>经济指标!B31</f>
        <v>0</v>
      </c>
      <c r="N39" s="664"/>
      <c r="O39" s="585" t="s">
        <v>627</v>
      </c>
      <c r="P39" s="520"/>
      <c r="Q39" s="520"/>
      <c r="R39" s="537"/>
    </row>
    <row r="40" spans="2:18" ht="14.25" customHeight="1" thickBot="1">
      <c r="B40" s="536"/>
      <c r="C40" s="599" t="s">
        <v>554</v>
      </c>
      <c r="D40" s="601"/>
      <c r="E40" s="714"/>
      <c r="F40" s="716"/>
      <c r="G40" s="600"/>
      <c r="H40" s="501"/>
      <c r="I40" s="537"/>
      <c r="J40" s="501"/>
      <c r="K40" s="539"/>
      <c r="L40" s="540"/>
      <c r="M40" s="540"/>
      <c r="N40" s="540"/>
      <c r="O40" s="540"/>
      <c r="P40" s="540"/>
      <c r="Q40" s="540"/>
      <c r="R40" s="542"/>
    </row>
    <row r="41" spans="2:18" ht="14.25" customHeight="1" thickTop="1">
      <c r="B41" s="536"/>
      <c r="C41" s="599" t="s">
        <v>42</v>
      </c>
      <c r="D41" s="601"/>
      <c r="E41" s="714"/>
      <c r="F41" s="716"/>
      <c r="G41" s="600"/>
      <c r="H41" s="501"/>
      <c r="I41" s="537"/>
      <c r="J41" s="501"/>
      <c r="L41" s="623"/>
      <c r="M41" s="677"/>
      <c r="N41" s="677"/>
      <c r="O41" s="623"/>
      <c r="P41" s="501"/>
      <c r="Q41" s="501"/>
    </row>
    <row r="42" spans="2:18" ht="14.25" customHeight="1">
      <c r="B42" s="536"/>
      <c r="C42" s="599" t="s">
        <v>555</v>
      </c>
      <c r="D42" s="601"/>
      <c r="E42" s="714"/>
      <c r="F42" s="717"/>
      <c r="G42" s="602"/>
      <c r="H42" s="501"/>
      <c r="I42" s="537"/>
      <c r="J42" s="501"/>
      <c r="L42" s="623"/>
      <c r="M42" s="677"/>
      <c r="N42" s="677"/>
      <c r="O42" s="623"/>
      <c r="P42" s="501"/>
      <c r="Q42" s="501"/>
    </row>
    <row r="43" spans="2:18" ht="14.25" customHeight="1">
      <c r="B43" s="536"/>
      <c r="C43" s="599" t="s">
        <v>556</v>
      </c>
      <c r="D43" s="601"/>
      <c r="E43" s="714"/>
      <c r="F43" s="717"/>
      <c r="G43" s="602"/>
      <c r="H43" s="501"/>
      <c r="I43" s="537"/>
      <c r="J43" s="501"/>
    </row>
    <row r="44" spans="2:18" ht="15" customHeight="1" thickBot="1">
      <c r="B44" s="536"/>
      <c r="C44" s="603" t="s">
        <v>557</v>
      </c>
      <c r="D44" s="604"/>
      <c r="E44" s="715"/>
      <c r="F44" s="605"/>
      <c r="G44" s="605"/>
      <c r="H44" s="501"/>
      <c r="I44" s="537"/>
      <c r="J44" s="501"/>
      <c r="K44" s="501"/>
      <c r="L44" s="501"/>
      <c r="M44" s="624"/>
      <c r="N44" s="606"/>
      <c r="O44" s="501"/>
      <c r="P44" s="501"/>
    </row>
    <row r="45" spans="2:18" ht="15" customHeight="1">
      <c r="B45" s="536"/>
      <c r="C45" s="509"/>
      <c r="D45" s="508"/>
      <c r="E45" s="557"/>
      <c r="F45" s="501"/>
      <c r="G45" s="501"/>
      <c r="H45" s="501"/>
      <c r="I45" s="537"/>
      <c r="J45" s="501"/>
      <c r="K45" s="501"/>
      <c r="L45" s="623"/>
      <c r="M45" s="677"/>
      <c r="N45" s="684"/>
      <c r="O45" s="623"/>
      <c r="P45" s="501"/>
    </row>
    <row r="46" spans="2:18" ht="15.75" thickBot="1">
      <c r="B46" s="536"/>
      <c r="C46" s="596" t="s">
        <v>558</v>
      </c>
      <c r="D46" s="502"/>
      <c r="E46" s="548"/>
      <c r="F46" s="501"/>
      <c r="G46" s="501"/>
      <c r="H46" s="501"/>
      <c r="I46" s="537"/>
      <c r="J46" s="501"/>
      <c r="K46" s="501"/>
      <c r="L46" s="623"/>
      <c r="M46" s="677"/>
      <c r="N46" s="677"/>
      <c r="O46" s="623"/>
      <c r="P46" s="501"/>
    </row>
    <row r="47" spans="2:18" ht="27">
      <c r="B47" s="536"/>
      <c r="C47" s="564" t="s">
        <v>549</v>
      </c>
      <c r="D47" s="521" t="s">
        <v>559</v>
      </c>
      <c r="E47" s="522" t="s">
        <v>560</v>
      </c>
      <c r="F47" s="522" t="s">
        <v>561</v>
      </c>
      <c r="G47" s="522" t="s">
        <v>562</v>
      </c>
      <c r="H47" s="522" t="s">
        <v>563</v>
      </c>
      <c r="I47" s="537"/>
      <c r="J47" s="501"/>
      <c r="K47" s="501"/>
      <c r="L47" s="623"/>
      <c r="M47" s="624"/>
      <c r="N47" s="624"/>
      <c r="O47" s="623"/>
      <c r="P47" s="501"/>
    </row>
    <row r="48" spans="2:18" ht="15">
      <c r="B48" s="536"/>
      <c r="C48" s="718" t="s">
        <v>691</v>
      </c>
      <c r="D48" s="516">
        <f>投资估算表!E87</f>
        <v>0</v>
      </c>
      <c r="E48" s="516">
        <f>投资估算表!H87</f>
        <v>0</v>
      </c>
      <c r="F48" s="516">
        <f>投资估算表!I87</f>
        <v>0</v>
      </c>
      <c r="G48" s="516">
        <f>投资估算表!F87</f>
        <v>0</v>
      </c>
      <c r="H48" s="516">
        <f>投资估算表!G87</f>
        <v>0</v>
      </c>
      <c r="I48" s="537"/>
      <c r="J48" s="501"/>
      <c r="K48" s="501"/>
      <c r="L48" s="623"/>
      <c r="M48" s="684"/>
      <c r="N48" s="684"/>
      <c r="O48" s="623"/>
      <c r="P48" s="501"/>
    </row>
    <row r="49" spans="2:16" ht="15">
      <c r="B49" s="536"/>
      <c r="C49" s="559" t="s">
        <v>552</v>
      </c>
      <c r="D49" s="516">
        <f>投资估算表!E88</f>
        <v>0</v>
      </c>
      <c r="E49" s="516">
        <f>投资估算表!H88</f>
        <v>0</v>
      </c>
      <c r="F49" s="516">
        <f>投资估算表!I88</f>
        <v>0</v>
      </c>
      <c r="G49" s="516">
        <f>投资估算表!F88</f>
        <v>0</v>
      </c>
      <c r="H49" s="516">
        <f>投资估算表!G88</f>
        <v>0</v>
      </c>
      <c r="I49" s="537"/>
      <c r="J49" s="501"/>
      <c r="K49" s="501"/>
      <c r="L49" s="623"/>
      <c r="M49" s="684"/>
      <c r="N49" s="684"/>
      <c r="O49" s="623"/>
      <c r="P49" s="501"/>
    </row>
    <row r="50" spans="2:16">
      <c r="B50" s="536"/>
      <c r="C50" s="597" t="s">
        <v>389</v>
      </c>
      <c r="D50" s="516">
        <f>投资估算表!E89</f>
        <v>138849.73684210528</v>
      </c>
      <c r="E50" s="516">
        <f>投资估算表!H89</f>
        <v>5411.9663048562561</v>
      </c>
      <c r="F50" s="516">
        <f>投资估算表!I89</f>
        <v>75145.009722763207</v>
      </c>
      <c r="G50" s="516">
        <f>投资估算表!F89</f>
        <v>6842.9020946157234</v>
      </c>
      <c r="H50" s="516">
        <f>投资估算表!G89</f>
        <v>95013.515507368429</v>
      </c>
      <c r="I50" s="537"/>
      <c r="J50" s="501"/>
      <c r="K50" s="501"/>
      <c r="L50" s="501"/>
      <c r="M50" s="501"/>
      <c r="N50" s="501"/>
      <c r="O50" s="501"/>
      <c r="P50" s="501"/>
    </row>
    <row r="51" spans="2:16">
      <c r="B51" s="536"/>
      <c r="C51" s="597" t="s">
        <v>659</v>
      </c>
      <c r="D51" s="516">
        <f>投资估算表!E90</f>
        <v>97194.815789473709</v>
      </c>
      <c r="E51" s="516">
        <f>投资估算表!H90</f>
        <v>5409.5470884864471</v>
      </c>
      <c r="F51" s="516">
        <f>投资估算表!I90</f>
        <v>52577.993276992405</v>
      </c>
      <c r="G51" s="516">
        <f>投资估算表!F90</f>
        <v>6116.5366248957935</v>
      </c>
      <c r="H51" s="516">
        <f>投资估算表!G90</f>
        <v>59449.565052631588</v>
      </c>
      <c r="I51" s="537"/>
      <c r="J51" s="501"/>
      <c r="K51" s="501"/>
      <c r="L51" s="501"/>
      <c r="M51" s="501"/>
      <c r="N51" s="501"/>
      <c r="O51" s="501"/>
      <c r="P51" s="501"/>
    </row>
    <row r="52" spans="2:16">
      <c r="B52" s="536"/>
      <c r="C52" s="559" t="s">
        <v>553</v>
      </c>
      <c r="D52" s="516">
        <f>投资估算表!E91</f>
        <v>41654.92105263158</v>
      </c>
      <c r="E52" s="516">
        <f>投资估算表!H91</f>
        <v>5569.1118177896178</v>
      </c>
      <c r="F52" s="516">
        <f>投资估算表!I91</f>
        <v>23198.091310330408</v>
      </c>
      <c r="G52" s="516">
        <f>投资估算表!F91</f>
        <v>7584.7024655076457</v>
      </c>
      <c r="H52" s="516">
        <f>投资估算表!G91</f>
        <v>31594.01824084211</v>
      </c>
      <c r="I52" s="537"/>
      <c r="J52" s="501"/>
      <c r="K52" s="501"/>
      <c r="L52" s="501"/>
      <c r="M52" s="501"/>
      <c r="N52" s="501"/>
      <c r="O52" s="501"/>
      <c r="P52" s="501"/>
    </row>
    <row r="53" spans="2:16" ht="14.25">
      <c r="B53" s="536"/>
      <c r="C53" s="559" t="s">
        <v>554</v>
      </c>
      <c r="D53" s="516">
        <f>投资估算表!E92</f>
        <v>0</v>
      </c>
      <c r="E53" s="516">
        <f>投资估算表!H92</f>
        <v>0</v>
      </c>
      <c r="F53" s="516">
        <f>投资估算表!I92</f>
        <v>0</v>
      </c>
      <c r="G53" s="516">
        <f>投资估算表!F92</f>
        <v>0</v>
      </c>
      <c r="H53" s="516">
        <f>投资估算表!G92</f>
        <v>0</v>
      </c>
      <c r="I53" s="537"/>
      <c r="J53" s="501"/>
      <c r="K53" s="501"/>
      <c r="L53" s="686"/>
      <c r="M53" s="501"/>
      <c r="N53" s="501"/>
      <c r="O53" s="548"/>
      <c r="P53" s="501"/>
    </row>
    <row r="54" spans="2:16">
      <c r="B54" s="536"/>
      <c r="C54" s="599" t="s">
        <v>42</v>
      </c>
      <c r="D54" s="516">
        <f>投资估算表!E93</f>
        <v>0</v>
      </c>
      <c r="E54" s="516">
        <f>投资估算表!H93</f>
        <v>0</v>
      </c>
      <c r="F54" s="516">
        <f>投资估算表!I93</f>
        <v>0</v>
      </c>
      <c r="G54" s="516">
        <f>投资估算表!F93</f>
        <v>0</v>
      </c>
      <c r="H54" s="516">
        <f>投资估算表!G93</f>
        <v>0</v>
      </c>
      <c r="I54" s="537"/>
      <c r="J54" s="501"/>
      <c r="K54" s="501"/>
      <c r="L54" s="501"/>
      <c r="M54" s="501"/>
      <c r="N54" s="501"/>
      <c r="O54" s="501"/>
      <c r="P54" s="501"/>
    </row>
    <row r="55" spans="2:16">
      <c r="B55" s="536"/>
      <c r="C55" s="559" t="s">
        <v>555</v>
      </c>
      <c r="D55" s="516">
        <f>投资估算表!E94</f>
        <v>42966.409323308268</v>
      </c>
      <c r="E55" s="516">
        <f>投资估算表!H94</f>
        <v>0</v>
      </c>
      <c r="F55" s="516">
        <f>投资估算表!I94</f>
        <v>0</v>
      </c>
      <c r="G55" s="516">
        <f>投资估算表!F94</f>
        <v>2608.3039244078559</v>
      </c>
      <c r="H55" s="516">
        <f>投资估算表!G94</f>
        <v>11206.945405569924</v>
      </c>
      <c r="I55" s="537"/>
      <c r="J55" s="501"/>
      <c r="K55" s="501"/>
      <c r="L55" s="501"/>
      <c r="M55" s="501"/>
      <c r="N55" s="501"/>
      <c r="O55" s="501"/>
      <c r="P55" s="501"/>
    </row>
    <row r="56" spans="2:16" ht="14.25" thickBot="1">
      <c r="B56" s="536"/>
      <c r="C56" s="559" t="s">
        <v>556</v>
      </c>
      <c r="D56" s="516">
        <f>投资估算表!E95</f>
        <v>15000</v>
      </c>
      <c r="E56" s="569">
        <f>投资估算表!H95</f>
        <v>7051.1130604147611</v>
      </c>
      <c r="F56" s="516">
        <f>投资估算表!I95</f>
        <v>10576.669590622141</v>
      </c>
      <c r="G56" s="569">
        <f>投资估算表!F95</f>
        <v>12000</v>
      </c>
      <c r="H56" s="516">
        <f>投资估算表!G95</f>
        <v>18000</v>
      </c>
      <c r="I56" s="537"/>
      <c r="J56" s="501"/>
      <c r="K56" s="501"/>
      <c r="L56" s="681"/>
      <c r="M56" s="681"/>
      <c r="N56" s="681"/>
      <c r="O56" s="682"/>
      <c r="P56" s="501"/>
    </row>
    <row r="57" spans="2:16">
      <c r="B57" s="536"/>
      <c r="C57" s="565" t="s">
        <v>564</v>
      </c>
      <c r="D57" s="566">
        <f>投资估算表!E96</f>
        <v>335665.88300751883</v>
      </c>
      <c r="E57" s="576">
        <f>投资估算表!H96</f>
        <v>4811.2653706033816</v>
      </c>
      <c r="F57" s="566">
        <f>投资估算表!I96</f>
        <v>161497.76390070815</v>
      </c>
      <c r="G57" s="576">
        <f>投资估算表!F96</f>
        <v>6413.045087504177</v>
      </c>
      <c r="H57" s="566">
        <f>投资估算表!G96</f>
        <v>215264.04420641204</v>
      </c>
      <c r="I57" s="537"/>
      <c r="J57" s="501"/>
      <c r="K57" s="501"/>
      <c r="L57" s="681"/>
      <c r="M57" s="681"/>
      <c r="N57" s="681"/>
      <c r="O57" s="682"/>
      <c r="P57" s="501"/>
    </row>
    <row r="58" spans="2:16" ht="14.25" thickBot="1">
      <c r="B58" s="536"/>
      <c r="C58" s="567" t="s">
        <v>565</v>
      </c>
      <c r="D58" s="568">
        <f>投资估算表!E97</f>
        <v>292699.47368421056</v>
      </c>
      <c r="E58" s="577">
        <f>投资估算表!H97</f>
        <v>5517.5283326592471</v>
      </c>
      <c r="F58" s="568">
        <f>投资估算表!I97</f>
        <v>161497.76390070815</v>
      </c>
      <c r="G58" s="577">
        <f>投资估算表!F97</f>
        <v>7354.4390598617019</v>
      </c>
      <c r="H58" s="568">
        <f>投资估算表!G97</f>
        <v>215264.04420641204</v>
      </c>
      <c r="I58" s="537"/>
      <c r="J58" s="501"/>
      <c r="K58" s="501"/>
      <c r="L58" s="681"/>
      <c r="M58" s="681"/>
      <c r="N58" s="681"/>
      <c r="O58" s="682"/>
      <c r="P58" s="501"/>
    </row>
    <row r="59" spans="2:16">
      <c r="B59" s="536"/>
      <c r="C59" s="498"/>
      <c r="D59" s="498"/>
      <c r="E59" s="498"/>
      <c r="F59" s="498"/>
      <c r="G59" s="498"/>
      <c r="H59" s="498"/>
      <c r="I59" s="537"/>
      <c r="J59" s="501"/>
      <c r="K59" s="501"/>
      <c r="L59" s="681"/>
      <c r="M59" s="681"/>
      <c r="N59" s="681"/>
      <c r="O59" s="682"/>
      <c r="P59" s="501"/>
    </row>
    <row r="60" spans="2:16" ht="14.25" thickBot="1">
      <c r="B60" s="536"/>
      <c r="C60" s="531" t="s">
        <v>566</v>
      </c>
      <c r="D60" s="502"/>
      <c r="E60" s="548"/>
      <c r="F60" s="501"/>
      <c r="G60" s="501"/>
      <c r="H60" s="498"/>
      <c r="I60" s="537"/>
      <c r="J60" s="501"/>
      <c r="K60" s="501"/>
      <c r="L60" s="501"/>
      <c r="M60" s="501"/>
      <c r="N60" s="501"/>
      <c r="O60" s="501"/>
      <c r="P60" s="501"/>
    </row>
    <row r="61" spans="2:16">
      <c r="B61" s="536"/>
      <c r="C61" s="524" t="s">
        <v>567</v>
      </c>
      <c r="D61" s="525"/>
      <c r="E61" s="553">
        <f>税费说明表!B10</f>
        <v>5.5000000000000007E-2</v>
      </c>
      <c r="F61" s="544" t="s">
        <v>568</v>
      </c>
      <c r="G61" s="525"/>
      <c r="H61" s="498"/>
      <c r="I61" s="537"/>
      <c r="J61" s="501"/>
      <c r="K61" s="501"/>
      <c r="L61" s="531"/>
      <c r="M61" s="501"/>
      <c r="N61" s="501"/>
      <c r="O61" s="501"/>
      <c r="P61" s="501"/>
    </row>
    <row r="62" spans="2:16">
      <c r="B62" s="536"/>
      <c r="C62" s="503" t="s">
        <v>569</v>
      </c>
      <c r="D62" s="504"/>
      <c r="E62" s="554">
        <f>税费说明表!B11</f>
        <v>7.0000000000000001E-3</v>
      </c>
      <c r="F62" s="543" t="s">
        <v>568</v>
      </c>
      <c r="G62" s="505"/>
      <c r="H62" s="498"/>
      <c r="I62" s="537"/>
      <c r="J62" s="501"/>
      <c r="K62" s="501"/>
      <c r="L62" s="501"/>
      <c r="M62" s="501"/>
      <c r="N62" s="501"/>
      <c r="O62" s="501"/>
      <c r="P62" s="501"/>
    </row>
    <row r="63" spans="2:16" ht="15">
      <c r="B63" s="536"/>
      <c r="C63" s="503" t="s">
        <v>570</v>
      </c>
      <c r="D63" s="504"/>
      <c r="E63" s="554">
        <f>税费说明表!B12</f>
        <v>0.03</v>
      </c>
      <c r="F63" s="503" t="s">
        <v>571</v>
      </c>
      <c r="G63" s="503"/>
      <c r="H63" s="498"/>
      <c r="I63" s="537"/>
      <c r="J63" s="501"/>
      <c r="K63" s="501"/>
      <c r="L63" s="687"/>
      <c r="M63" s="688"/>
      <c r="N63" s="688"/>
      <c r="O63" s="623"/>
      <c r="P63" s="501"/>
    </row>
    <row r="64" spans="2:16" ht="15.75" thickBot="1">
      <c r="B64" s="536"/>
      <c r="C64" s="526" t="s">
        <v>572</v>
      </c>
      <c r="D64" s="527"/>
      <c r="E64" s="555">
        <f>税费说明表!B13</f>
        <v>0.15</v>
      </c>
      <c r="F64" s="526" t="s">
        <v>573</v>
      </c>
      <c r="G64" s="528"/>
      <c r="H64" s="498"/>
      <c r="I64" s="537"/>
      <c r="J64" s="501"/>
      <c r="K64" s="501"/>
      <c r="L64" s="683"/>
      <c r="M64" s="677"/>
      <c r="N64" s="677"/>
      <c r="O64" s="623"/>
      <c r="P64" s="501"/>
    </row>
    <row r="65" spans="2:16" ht="15.75" thickBot="1">
      <c r="B65" s="539"/>
      <c r="C65" s="540"/>
      <c r="D65" s="541"/>
      <c r="E65" s="560"/>
      <c r="F65" s="540"/>
      <c r="G65" s="540"/>
      <c r="H65" s="540"/>
      <c r="I65" s="542"/>
      <c r="J65" s="501"/>
      <c r="K65" s="501"/>
      <c r="L65" s="683"/>
      <c r="M65" s="677"/>
      <c r="N65" s="677"/>
      <c r="O65" s="623"/>
      <c r="P65" s="501"/>
    </row>
    <row r="66" spans="2:16" ht="14.25" customHeight="1" thickTop="1">
      <c r="C66" s="498"/>
      <c r="D66" s="499"/>
      <c r="E66" s="546"/>
      <c r="F66" s="498"/>
      <c r="G66" s="498"/>
      <c r="H66" s="498"/>
      <c r="I66" s="498"/>
      <c r="J66" s="501"/>
      <c r="K66" s="501"/>
      <c r="L66" s="683"/>
      <c r="M66" s="677"/>
      <c r="N66" s="677"/>
      <c r="O66" s="623"/>
      <c r="P66" s="501"/>
    </row>
    <row r="67" spans="2:16" ht="15">
      <c r="C67" s="498"/>
      <c r="D67" s="499"/>
      <c r="E67" s="546"/>
      <c r="F67" s="498"/>
      <c r="G67" s="498"/>
      <c r="H67" s="498"/>
      <c r="I67" s="498"/>
      <c r="J67" s="498"/>
      <c r="K67" s="501"/>
      <c r="L67" s="687"/>
      <c r="M67" s="677"/>
      <c r="N67" s="677"/>
      <c r="O67" s="623"/>
      <c r="P67" s="501"/>
    </row>
    <row r="68" spans="2:16" ht="15">
      <c r="C68" s="498"/>
      <c r="D68" s="499"/>
      <c r="E68" s="546"/>
      <c r="F68" s="498"/>
      <c r="G68" s="498"/>
      <c r="H68" s="498"/>
      <c r="I68" s="498"/>
      <c r="J68" s="498"/>
      <c r="K68" s="501"/>
      <c r="L68" s="683"/>
      <c r="M68" s="684"/>
      <c r="N68" s="684"/>
      <c r="O68" s="685"/>
      <c r="P68" s="501"/>
    </row>
    <row r="69" spans="2:16" ht="15">
      <c r="C69" s="498"/>
      <c r="D69" s="499"/>
      <c r="E69" s="546"/>
      <c r="F69" s="498"/>
      <c r="G69" s="498"/>
      <c r="H69" s="498"/>
      <c r="I69" s="498"/>
      <c r="J69" s="498"/>
      <c r="K69" s="501"/>
      <c r="L69" s="501"/>
      <c r="M69" s="624"/>
      <c r="N69" s="606"/>
      <c r="O69" s="501"/>
      <c r="P69" s="501"/>
    </row>
    <row r="70" spans="2:16" ht="15">
      <c r="C70" s="498"/>
      <c r="D70" s="499"/>
      <c r="E70" s="546"/>
      <c r="F70" s="498"/>
      <c r="G70" s="498"/>
      <c r="H70" s="498"/>
      <c r="I70" s="498"/>
      <c r="J70" s="498"/>
      <c r="K70" s="501"/>
      <c r="L70" s="623"/>
      <c r="M70" s="677"/>
      <c r="N70" s="684"/>
      <c r="O70" s="623"/>
      <c r="P70" s="501"/>
    </row>
    <row r="71" spans="2:16" ht="15">
      <c r="C71" s="498"/>
      <c r="D71" s="499"/>
      <c r="E71" s="546"/>
      <c r="F71" s="498"/>
      <c r="G71" s="498"/>
      <c r="H71" s="498"/>
      <c r="I71" s="498"/>
      <c r="J71" s="498"/>
      <c r="K71" s="501"/>
      <c r="L71" s="623"/>
      <c r="M71" s="677"/>
      <c r="N71" s="677"/>
      <c r="O71" s="623"/>
      <c r="P71" s="501"/>
    </row>
    <row r="72" spans="2:16" ht="15">
      <c r="C72" s="498"/>
      <c r="D72" s="499"/>
      <c r="E72" s="546"/>
      <c r="F72" s="498"/>
      <c r="G72" s="498"/>
      <c r="H72" s="498"/>
      <c r="I72" s="498"/>
      <c r="J72" s="498"/>
      <c r="K72" s="501"/>
      <c r="L72" s="623"/>
      <c r="M72" s="624"/>
      <c r="N72" s="624"/>
      <c r="O72" s="623"/>
      <c r="P72" s="501"/>
    </row>
    <row r="73" spans="2:16" ht="15">
      <c r="C73" s="498"/>
      <c r="D73" s="499"/>
      <c r="E73" s="546"/>
      <c r="F73" s="498"/>
      <c r="G73" s="498"/>
      <c r="H73" s="498"/>
      <c r="I73" s="498"/>
      <c r="J73" s="498"/>
      <c r="K73" s="501"/>
      <c r="L73" s="623"/>
      <c r="M73" s="684"/>
      <c r="N73" s="684"/>
      <c r="O73" s="623"/>
      <c r="P73" s="501"/>
    </row>
    <row r="74" spans="2:16">
      <c r="C74" s="498"/>
      <c r="D74" s="499"/>
      <c r="E74" s="546"/>
      <c r="F74" s="498"/>
      <c r="G74" s="498"/>
      <c r="H74" s="498"/>
      <c r="I74" s="498"/>
      <c r="J74" s="498"/>
      <c r="K74" s="501"/>
      <c r="L74" s="501"/>
      <c r="M74" s="501"/>
      <c r="N74" s="501"/>
      <c r="O74" s="501"/>
      <c r="P74" s="501"/>
    </row>
    <row r="75" spans="2:16">
      <c r="C75" s="498"/>
      <c r="D75" s="499"/>
      <c r="E75" s="546"/>
      <c r="F75" s="498"/>
      <c r="G75" s="498"/>
      <c r="H75" s="498"/>
      <c r="I75" s="498"/>
      <c r="J75" s="498"/>
    </row>
    <row r="76" spans="2:16">
      <c r="C76" s="498"/>
      <c r="D76" s="499"/>
      <c r="E76" s="546"/>
      <c r="F76" s="498"/>
      <c r="G76" s="498"/>
      <c r="H76" s="498"/>
      <c r="I76" s="498"/>
      <c r="J76" s="498"/>
    </row>
    <row r="77" spans="2:16">
      <c r="C77" s="498"/>
      <c r="D77" s="499"/>
      <c r="E77" s="546"/>
      <c r="F77" s="498"/>
      <c r="G77" s="498"/>
      <c r="H77" s="498"/>
      <c r="I77" s="498"/>
      <c r="J77" s="498"/>
    </row>
    <row r="78" spans="2:16">
      <c r="C78" s="498"/>
      <c r="D78" s="499"/>
      <c r="E78" s="546"/>
      <c r="F78" s="498"/>
      <c r="G78" s="498"/>
      <c r="H78" s="498"/>
      <c r="I78" s="498"/>
      <c r="J78" s="498"/>
    </row>
    <row r="79" spans="2:16">
      <c r="C79" s="498"/>
      <c r="D79" s="499"/>
      <c r="E79" s="546"/>
      <c r="F79" s="498"/>
      <c r="G79" s="498"/>
      <c r="H79" s="498"/>
      <c r="I79" s="498"/>
      <c r="J79" s="498"/>
    </row>
    <row r="80" spans="2:16">
      <c r="C80" s="498"/>
      <c r="D80" s="499"/>
      <c r="E80" s="546"/>
      <c r="F80" s="498"/>
      <c r="G80" s="498"/>
      <c r="H80" s="498"/>
      <c r="I80" s="498"/>
      <c r="J80" s="498"/>
    </row>
    <row r="81" spans="4:5" s="498" customFormat="1">
      <c r="D81" s="499"/>
      <c r="E81" s="546"/>
    </row>
    <row r="82" spans="4:5" s="498" customFormat="1">
      <c r="D82" s="499"/>
      <c r="E82" s="546"/>
    </row>
    <row r="83" spans="4:5" s="498" customFormat="1">
      <c r="D83" s="499"/>
      <c r="E83" s="546"/>
    </row>
    <row r="84" spans="4:5" s="498" customFormat="1">
      <c r="D84" s="499"/>
      <c r="E84" s="546"/>
    </row>
    <row r="85" spans="4:5" s="498" customFormat="1">
      <c r="D85" s="499"/>
      <c r="E85" s="546"/>
    </row>
    <row r="86" spans="4:5" s="498" customFormat="1">
      <c r="D86" s="499"/>
      <c r="E86" s="546"/>
    </row>
    <row r="87" spans="4:5" s="498" customFormat="1">
      <c r="D87" s="499"/>
      <c r="E87" s="546"/>
    </row>
    <row r="88" spans="4:5" s="498" customFormat="1">
      <c r="D88" s="499"/>
      <c r="E88" s="546"/>
    </row>
    <row r="89" spans="4:5" s="498" customFormat="1">
      <c r="D89" s="499"/>
      <c r="E89" s="546"/>
    </row>
    <row r="90" spans="4:5" s="498" customFormat="1">
      <c r="D90" s="499"/>
      <c r="E90" s="546"/>
    </row>
    <row r="91" spans="4:5" s="498" customFormat="1">
      <c r="D91" s="499"/>
      <c r="E91" s="546"/>
    </row>
    <row r="92" spans="4:5" s="498" customFormat="1">
      <c r="D92" s="499"/>
      <c r="E92" s="546"/>
    </row>
    <row r="93" spans="4:5" s="498" customFormat="1">
      <c r="D93" s="499"/>
      <c r="E93" s="546"/>
    </row>
    <row r="94" spans="4:5" s="498" customFormat="1">
      <c r="D94" s="499"/>
      <c r="E94" s="546"/>
    </row>
    <row r="95" spans="4:5" s="498" customFormat="1">
      <c r="D95" s="499"/>
      <c r="E95" s="546"/>
    </row>
    <row r="96" spans="4:5" s="498" customFormat="1">
      <c r="D96" s="499"/>
      <c r="E96" s="546"/>
    </row>
    <row r="97" spans="4:5" s="498" customFormat="1">
      <c r="D97" s="499"/>
      <c r="E97" s="546"/>
    </row>
    <row r="98" spans="4:5" s="498" customFormat="1">
      <c r="D98" s="499"/>
      <c r="E98" s="546"/>
    </row>
    <row r="99" spans="4:5" s="498" customFormat="1">
      <c r="D99" s="499"/>
      <c r="E99" s="546"/>
    </row>
    <row r="100" spans="4:5" s="498" customFormat="1">
      <c r="D100" s="499"/>
      <c r="E100" s="546"/>
    </row>
    <row r="101" spans="4:5" s="498" customFormat="1">
      <c r="D101" s="499"/>
      <c r="E101" s="546"/>
    </row>
    <row r="102" spans="4:5" s="498" customFormat="1">
      <c r="D102" s="499"/>
      <c r="E102" s="546"/>
    </row>
    <row r="103" spans="4:5" s="498" customFormat="1">
      <c r="D103" s="499"/>
      <c r="E103" s="546"/>
    </row>
    <row r="104" spans="4:5" s="498" customFormat="1">
      <c r="D104" s="499"/>
      <c r="E104" s="546"/>
    </row>
    <row r="105" spans="4:5" s="498" customFormat="1">
      <c r="D105" s="499"/>
      <c r="E105" s="546"/>
    </row>
    <row r="106" spans="4:5" s="498" customFormat="1">
      <c r="D106" s="499"/>
      <c r="E106" s="546"/>
    </row>
    <row r="107" spans="4:5" s="498" customFormat="1">
      <c r="D107" s="499"/>
      <c r="E107" s="546"/>
    </row>
    <row r="108" spans="4:5" s="498" customFormat="1"/>
    <row r="109" spans="4:5" s="498" customFormat="1"/>
    <row r="110" spans="4:5" s="498" customFormat="1"/>
    <row r="111" spans="4:5" s="498" customFormat="1"/>
    <row r="112" spans="4:5" s="498" customFormat="1"/>
    <row r="113" spans="4:5" s="498" customFormat="1"/>
    <row r="114" spans="4:5" s="498" customFormat="1"/>
    <row r="115" spans="4:5" s="498" customFormat="1"/>
    <row r="116" spans="4:5" s="498" customFormat="1">
      <c r="D116" s="499"/>
      <c r="E116" s="546"/>
    </row>
    <row r="117" spans="4:5" s="498" customFormat="1">
      <c r="D117" s="499"/>
      <c r="E117" s="546"/>
    </row>
    <row r="118" spans="4:5" s="498" customFormat="1">
      <c r="D118" s="499"/>
      <c r="E118" s="546"/>
    </row>
    <row r="119" spans="4:5" s="498" customFormat="1">
      <c r="D119" s="499"/>
      <c r="E119" s="546"/>
    </row>
    <row r="120" spans="4:5" s="498" customFormat="1">
      <c r="D120" s="499"/>
      <c r="E120" s="546"/>
    </row>
    <row r="121" spans="4:5" s="498" customFormat="1">
      <c r="D121" s="499"/>
      <c r="E121" s="546"/>
    </row>
    <row r="122" spans="4:5" s="498" customFormat="1">
      <c r="D122" s="499"/>
      <c r="E122" s="546"/>
    </row>
    <row r="123" spans="4:5" s="498" customFormat="1">
      <c r="D123" s="499"/>
      <c r="E123" s="546"/>
    </row>
    <row r="124" spans="4:5" s="498" customFormat="1">
      <c r="D124" s="499"/>
      <c r="E124" s="546"/>
    </row>
    <row r="125" spans="4:5" s="498" customFormat="1">
      <c r="D125" s="499"/>
      <c r="E125" s="546"/>
    </row>
    <row r="126" spans="4:5" s="498" customFormat="1">
      <c r="D126" s="499"/>
      <c r="E126" s="546"/>
    </row>
    <row r="127" spans="4:5" s="498" customFormat="1">
      <c r="D127" s="499"/>
      <c r="E127" s="546"/>
    </row>
    <row r="128" spans="4:5" s="498" customFormat="1">
      <c r="D128" s="499"/>
      <c r="E128" s="546"/>
    </row>
    <row r="129" spans="4:5" s="498" customFormat="1">
      <c r="D129" s="499"/>
      <c r="E129" s="546"/>
    </row>
    <row r="130" spans="4:5" s="498" customFormat="1">
      <c r="D130" s="499"/>
      <c r="E130" s="546"/>
    </row>
    <row r="131" spans="4:5" s="498" customFormat="1">
      <c r="D131" s="499"/>
      <c r="E131" s="546"/>
    </row>
    <row r="132" spans="4:5" s="498" customFormat="1">
      <c r="D132" s="499"/>
      <c r="E132" s="546"/>
    </row>
    <row r="133" spans="4:5" s="498" customFormat="1">
      <c r="D133" s="499"/>
      <c r="E133" s="546"/>
    </row>
    <row r="134" spans="4:5" s="498" customFormat="1">
      <c r="D134" s="499"/>
      <c r="E134" s="546"/>
    </row>
    <row r="135" spans="4:5" s="498" customFormat="1">
      <c r="D135" s="499"/>
      <c r="E135" s="546"/>
    </row>
    <row r="136" spans="4:5" s="498" customFormat="1">
      <c r="D136" s="499"/>
      <c r="E136" s="546"/>
    </row>
    <row r="137" spans="4:5" s="498" customFormat="1">
      <c r="D137" s="499"/>
      <c r="E137" s="546"/>
    </row>
    <row r="138" spans="4:5" s="498" customFormat="1">
      <c r="D138" s="499"/>
      <c r="E138" s="546"/>
    </row>
    <row r="139" spans="4:5" s="498" customFormat="1">
      <c r="D139" s="499"/>
      <c r="E139" s="546"/>
    </row>
    <row r="140" spans="4:5" s="498" customFormat="1">
      <c r="D140" s="499"/>
      <c r="E140" s="546"/>
    </row>
    <row r="141" spans="4:5" s="498" customFormat="1">
      <c r="D141" s="499"/>
      <c r="E141" s="546"/>
    </row>
    <row r="142" spans="4:5" s="498" customFormat="1">
      <c r="D142" s="499"/>
      <c r="E142" s="546"/>
    </row>
    <row r="143" spans="4:5" s="498" customFormat="1">
      <c r="D143" s="499"/>
      <c r="E143" s="546"/>
    </row>
    <row r="144" spans="4:5" s="498" customFormat="1">
      <c r="D144" s="499"/>
      <c r="E144" s="546"/>
    </row>
    <row r="145" spans="4:5" s="498" customFormat="1">
      <c r="D145" s="499"/>
      <c r="E145" s="546"/>
    </row>
    <row r="146" spans="4:5" s="498" customFormat="1">
      <c r="D146" s="499"/>
      <c r="E146" s="546"/>
    </row>
    <row r="147" spans="4:5" s="498" customFormat="1">
      <c r="D147" s="499"/>
      <c r="E147" s="546"/>
    </row>
    <row r="148" spans="4:5" s="498" customFormat="1">
      <c r="D148" s="499"/>
      <c r="E148" s="546"/>
    </row>
    <row r="149" spans="4:5" s="498" customFormat="1">
      <c r="D149" s="499"/>
      <c r="E149" s="546"/>
    </row>
    <row r="150" spans="4:5" s="498" customFormat="1">
      <c r="D150" s="499"/>
      <c r="E150" s="546"/>
    </row>
    <row r="151" spans="4:5" s="498" customFormat="1">
      <c r="D151" s="499"/>
      <c r="E151" s="546"/>
    </row>
    <row r="152" spans="4:5" s="498" customFormat="1">
      <c r="D152" s="499"/>
      <c r="E152" s="546"/>
    </row>
    <row r="153" spans="4:5" s="498" customFormat="1">
      <c r="D153" s="499"/>
      <c r="E153" s="546"/>
    </row>
    <row r="154" spans="4:5" s="498" customFormat="1">
      <c r="D154" s="499"/>
      <c r="E154" s="546"/>
    </row>
    <row r="155" spans="4:5" s="498" customFormat="1">
      <c r="D155" s="499"/>
      <c r="E155" s="546"/>
    </row>
    <row r="156" spans="4:5" s="498" customFormat="1">
      <c r="D156" s="499"/>
      <c r="E156" s="546"/>
    </row>
    <row r="157" spans="4:5" s="498" customFormat="1">
      <c r="D157" s="499"/>
      <c r="E157" s="546"/>
    </row>
    <row r="158" spans="4:5" s="498" customFormat="1">
      <c r="D158" s="499"/>
      <c r="E158" s="546"/>
    </row>
    <row r="159" spans="4:5" s="498" customFormat="1">
      <c r="D159" s="499"/>
      <c r="E159" s="546"/>
    </row>
    <row r="160" spans="4:5" s="498" customFormat="1">
      <c r="D160" s="499"/>
      <c r="E160" s="546"/>
    </row>
    <row r="161" spans="4:5" s="498" customFormat="1">
      <c r="D161" s="499"/>
      <c r="E161" s="546"/>
    </row>
    <row r="162" spans="4:5" s="498" customFormat="1">
      <c r="D162" s="499"/>
      <c r="E162" s="546"/>
    </row>
    <row r="163" spans="4:5" s="498" customFormat="1">
      <c r="D163" s="499"/>
      <c r="E163" s="546"/>
    </row>
    <row r="164" spans="4:5" s="498" customFormat="1">
      <c r="D164" s="499"/>
      <c r="E164" s="546"/>
    </row>
    <row r="165" spans="4:5" s="498" customFormat="1">
      <c r="D165" s="499"/>
      <c r="E165" s="546"/>
    </row>
    <row r="166" spans="4:5" s="498" customFormat="1">
      <c r="D166" s="499"/>
      <c r="E166" s="546"/>
    </row>
    <row r="167" spans="4:5" s="498" customFormat="1">
      <c r="D167" s="499"/>
      <c r="E167" s="546"/>
    </row>
    <row r="168" spans="4:5" s="498" customFormat="1">
      <c r="D168" s="499"/>
      <c r="E168" s="546"/>
    </row>
    <row r="169" spans="4:5" s="498" customFormat="1">
      <c r="D169" s="499"/>
      <c r="E169" s="546"/>
    </row>
    <row r="170" spans="4:5" s="498" customFormat="1">
      <c r="D170" s="499"/>
      <c r="E170" s="546"/>
    </row>
    <row r="171" spans="4:5" s="498" customFormat="1">
      <c r="D171" s="499"/>
      <c r="E171" s="546"/>
    </row>
    <row r="172" spans="4:5" s="498" customFormat="1">
      <c r="D172" s="499"/>
      <c r="E172" s="546"/>
    </row>
    <row r="173" spans="4:5" s="498" customFormat="1">
      <c r="D173" s="499"/>
      <c r="E173" s="546"/>
    </row>
    <row r="174" spans="4:5" s="498" customFormat="1">
      <c r="D174" s="499"/>
      <c r="E174" s="546"/>
    </row>
    <row r="175" spans="4:5" s="498" customFormat="1">
      <c r="D175" s="499"/>
      <c r="E175" s="546"/>
    </row>
  </sheetData>
  <protectedRanges>
    <protectedRange sqref="O6" name="区域1"/>
  </protectedRanges>
  <phoneticPr fontId="2"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dimension ref="A1:AC21"/>
  <sheetViews>
    <sheetView workbookViewId="0">
      <selection activeCell="D26" sqref="D26"/>
    </sheetView>
  </sheetViews>
  <sheetFormatPr defaultRowHeight="14.25"/>
  <cols>
    <col min="1" max="1" width="11.375" bestFit="1" customWidth="1"/>
    <col min="2" max="8" width="10.75" bestFit="1" customWidth="1"/>
    <col min="9" max="9" width="10.625" customWidth="1"/>
    <col min="10" max="12" width="12.625" customWidth="1"/>
    <col min="13" max="14" width="10.625" customWidth="1"/>
  </cols>
  <sheetData>
    <row r="1" spans="1:29" s="458" customFormat="1">
      <c r="A1" s="145" t="s">
        <v>477</v>
      </c>
      <c r="B1" s="459" t="s">
        <v>478</v>
      </c>
      <c r="C1" s="459" t="s">
        <v>479</v>
      </c>
      <c r="D1" s="459" t="s">
        <v>480</v>
      </c>
      <c r="E1" s="459" t="s">
        <v>481</v>
      </c>
      <c r="F1" s="459" t="s">
        <v>482</v>
      </c>
      <c r="G1" s="459" t="s">
        <v>483</v>
      </c>
      <c r="H1" s="459" t="s">
        <v>40</v>
      </c>
      <c r="J1" s="145" t="s">
        <v>524</v>
      </c>
      <c r="K1" s="450" t="s">
        <v>525</v>
      </c>
      <c r="L1" s="450" t="s">
        <v>526</v>
      </c>
    </row>
    <row r="2" spans="1:29" s="458" customFormat="1">
      <c r="A2" s="145" t="s">
        <v>395</v>
      </c>
      <c r="B2" s="459"/>
      <c r="C2" s="459"/>
      <c r="D2" s="459"/>
      <c r="E2" s="459"/>
      <c r="F2" s="459"/>
      <c r="G2" s="459"/>
      <c r="H2" s="459"/>
      <c r="J2" s="145" t="s">
        <v>527</v>
      </c>
      <c r="K2" s="450"/>
      <c r="L2" s="497"/>
      <c r="N2" s="698"/>
      <c r="O2" s="699"/>
      <c r="P2" s="699"/>
      <c r="Q2" s="699"/>
      <c r="R2" s="699"/>
      <c r="S2" s="699"/>
      <c r="T2" s="699"/>
      <c r="U2" s="699"/>
      <c r="V2" s="699"/>
      <c r="W2" s="699"/>
      <c r="X2" s="699"/>
      <c r="Y2" s="699"/>
      <c r="Z2" s="699"/>
      <c r="AA2" s="700"/>
      <c r="AB2" s="700"/>
      <c r="AC2" s="700"/>
    </row>
    <row r="3" spans="1:29" s="458" customFormat="1">
      <c r="A3" s="145" t="s">
        <v>679</v>
      </c>
      <c r="B3" s="459"/>
      <c r="C3" s="459"/>
      <c r="D3" s="459"/>
      <c r="E3" s="459"/>
      <c r="F3" s="459"/>
      <c r="G3" s="459"/>
      <c r="H3" s="459"/>
      <c r="J3" s="145" t="s">
        <v>679</v>
      </c>
      <c r="K3" s="450"/>
      <c r="L3" s="497"/>
      <c r="N3" s="495"/>
      <c r="O3" s="701"/>
      <c r="P3" s="701"/>
      <c r="Q3" s="701"/>
      <c r="R3" s="701"/>
      <c r="S3" s="701"/>
      <c r="T3" s="701"/>
      <c r="U3" s="701"/>
      <c r="V3" s="701"/>
      <c r="W3" s="701"/>
      <c r="X3" s="701"/>
      <c r="Y3" s="701"/>
      <c r="Z3" s="702"/>
      <c r="AA3" s="700"/>
      <c r="AB3" s="700"/>
      <c r="AC3" s="700"/>
    </row>
    <row r="4" spans="1:29" s="458" customFormat="1">
      <c r="A4" s="145" t="s">
        <v>680</v>
      </c>
      <c r="B4" s="459"/>
      <c r="C4" s="459"/>
      <c r="D4" s="459"/>
      <c r="E4" s="459"/>
      <c r="F4" s="459"/>
      <c r="G4" s="459"/>
      <c r="H4" s="459"/>
      <c r="J4" s="145" t="s">
        <v>680</v>
      </c>
      <c r="K4" s="450"/>
      <c r="L4" s="497"/>
      <c r="N4" s="495"/>
      <c r="O4" s="701"/>
      <c r="P4" s="701"/>
      <c r="Q4" s="701"/>
      <c r="R4" s="701"/>
      <c r="S4" s="701"/>
      <c r="T4" s="701"/>
      <c r="U4" s="701"/>
      <c r="V4" s="701"/>
      <c r="W4" s="701"/>
      <c r="X4" s="701"/>
      <c r="Y4" s="701"/>
      <c r="Z4" s="702"/>
      <c r="AA4" s="700"/>
      <c r="AB4" s="700"/>
      <c r="AC4" s="700"/>
    </row>
    <row r="5" spans="1:29" s="458" customFormat="1">
      <c r="A5" s="459" t="s">
        <v>282</v>
      </c>
      <c r="B5" s="459"/>
      <c r="C5" s="459"/>
      <c r="D5" s="459"/>
      <c r="E5" s="459"/>
      <c r="F5" s="459"/>
      <c r="G5" s="459"/>
      <c r="H5" s="459"/>
      <c r="J5" s="459" t="s">
        <v>528</v>
      </c>
      <c r="K5" s="450"/>
      <c r="L5" s="497"/>
      <c r="N5" s="495"/>
      <c r="O5" s="701"/>
      <c r="P5" s="701"/>
      <c r="Q5" s="701"/>
      <c r="R5" s="701"/>
      <c r="S5" s="701"/>
      <c r="T5" s="701"/>
      <c r="U5" s="701"/>
      <c r="V5" s="701"/>
      <c r="W5" s="701"/>
      <c r="X5" s="701"/>
      <c r="Y5" s="701"/>
      <c r="Z5" s="702"/>
      <c r="AA5" s="700"/>
      <c r="AB5" s="700"/>
      <c r="AC5" s="700"/>
    </row>
    <row r="6" spans="1:29" s="458" customFormat="1">
      <c r="A6" s="459" t="s">
        <v>41</v>
      </c>
      <c r="B6" s="459"/>
      <c r="C6" s="459"/>
      <c r="D6" s="459"/>
      <c r="E6" s="459"/>
      <c r="F6" s="459"/>
      <c r="G6" s="459"/>
      <c r="H6" s="459"/>
      <c r="J6" s="459" t="s">
        <v>529</v>
      </c>
      <c r="K6" s="450"/>
      <c r="L6" s="497"/>
      <c r="N6" s="495"/>
      <c r="O6" s="701"/>
      <c r="P6" s="701"/>
      <c r="Q6" s="701"/>
      <c r="R6" s="701"/>
      <c r="S6" s="701"/>
      <c r="T6" s="701"/>
      <c r="U6" s="701"/>
      <c r="V6" s="701"/>
      <c r="W6" s="701"/>
      <c r="X6" s="701"/>
      <c r="Y6" s="701"/>
      <c r="Z6" s="702"/>
      <c r="AA6" s="700"/>
      <c r="AB6" s="700"/>
      <c r="AC6" s="700"/>
    </row>
    <row r="7" spans="1:29" s="458" customFormat="1">
      <c r="A7" s="459" t="s">
        <v>520</v>
      </c>
      <c r="B7" s="459"/>
      <c r="C7" s="459"/>
      <c r="D7" s="459"/>
      <c r="E7" s="459"/>
      <c r="F7" s="459"/>
      <c r="G7" s="459"/>
      <c r="H7" s="459"/>
      <c r="J7" s="459" t="s">
        <v>530</v>
      </c>
      <c r="K7" s="450"/>
      <c r="L7" s="450"/>
      <c r="N7" s="495"/>
      <c r="O7" s="701"/>
      <c r="P7" s="701"/>
      <c r="Q7" s="701"/>
      <c r="R7" s="701"/>
      <c r="S7" s="701"/>
      <c r="T7" s="701"/>
      <c r="U7" s="701"/>
      <c r="V7" s="701"/>
      <c r="W7" s="701"/>
      <c r="X7" s="701"/>
      <c r="Y7" s="701"/>
      <c r="Z7" s="702"/>
      <c r="AA7" s="700"/>
      <c r="AB7" s="700"/>
      <c r="AC7" s="700"/>
    </row>
    <row r="8" spans="1:29" s="458" customFormat="1">
      <c r="A8" s="459" t="s">
        <v>43</v>
      </c>
      <c r="B8" s="459"/>
      <c r="C8" s="459"/>
      <c r="D8" s="459"/>
      <c r="E8" s="459"/>
      <c r="F8" s="459"/>
      <c r="G8" s="459"/>
      <c r="H8" s="459"/>
      <c r="J8" s="459" t="s">
        <v>59</v>
      </c>
      <c r="K8" s="450"/>
      <c r="L8" s="450"/>
      <c r="N8" s="699"/>
      <c r="O8" s="701"/>
      <c r="P8" s="701"/>
      <c r="Q8" s="701"/>
      <c r="R8" s="701"/>
      <c r="S8" s="701"/>
      <c r="T8" s="701"/>
      <c r="U8" s="701"/>
      <c r="V8" s="701"/>
      <c r="W8" s="701"/>
      <c r="X8" s="701"/>
      <c r="Y8" s="701"/>
      <c r="Z8" s="702"/>
      <c r="AA8" s="700"/>
      <c r="AB8" s="700"/>
      <c r="AC8" s="700"/>
    </row>
    <row r="9" spans="1:29">
      <c r="A9" s="459" t="s">
        <v>40</v>
      </c>
      <c r="B9" s="490"/>
      <c r="C9" s="490"/>
      <c r="D9" s="490"/>
      <c r="E9" s="490"/>
      <c r="F9" s="490"/>
      <c r="G9" s="490"/>
      <c r="H9" s="490"/>
      <c r="N9" s="699"/>
      <c r="O9" s="701"/>
      <c r="P9" s="701"/>
      <c r="Q9" s="701"/>
      <c r="R9" s="701"/>
      <c r="S9" s="701"/>
      <c r="T9" s="701"/>
      <c r="U9" s="701"/>
      <c r="V9" s="701"/>
      <c r="W9" s="701"/>
      <c r="X9" s="701"/>
      <c r="Y9" s="701"/>
      <c r="Z9" s="702"/>
      <c r="AA9" s="703"/>
      <c r="AB9" s="703"/>
      <c r="AC9" s="703"/>
    </row>
    <row r="10" spans="1:29" ht="15" thickBot="1">
      <c r="N10" s="699"/>
      <c r="O10" s="701"/>
      <c r="P10" s="701"/>
      <c r="Q10" s="701"/>
      <c r="R10" s="701"/>
      <c r="S10" s="701"/>
      <c r="T10" s="701"/>
      <c r="U10" s="701"/>
      <c r="V10" s="701"/>
      <c r="W10" s="701"/>
      <c r="X10" s="701"/>
      <c r="Y10" s="701"/>
      <c r="Z10" s="702"/>
      <c r="AA10" s="703"/>
      <c r="AB10" s="703"/>
      <c r="AC10" s="703"/>
    </row>
    <row r="11" spans="1:29">
      <c r="A11" s="705" t="s">
        <v>671</v>
      </c>
      <c r="B11" s="706" t="s">
        <v>672</v>
      </c>
      <c r="C11" s="706" t="s">
        <v>479</v>
      </c>
      <c r="D11" s="706" t="s">
        <v>480</v>
      </c>
      <c r="E11" s="706" t="s">
        <v>481</v>
      </c>
      <c r="F11" s="706" t="s">
        <v>482</v>
      </c>
      <c r="G11" s="706" t="s">
        <v>483</v>
      </c>
      <c r="H11" s="706" t="s">
        <v>673</v>
      </c>
      <c r="N11" s="698"/>
      <c r="O11" s="704"/>
      <c r="P11" s="704"/>
      <c r="Q11" s="704"/>
      <c r="R11" s="704"/>
      <c r="S11" s="704"/>
      <c r="T11" s="704"/>
      <c r="U11" s="704"/>
      <c r="V11" s="704"/>
      <c r="W11" s="704"/>
      <c r="X11" s="704"/>
      <c r="Y11" s="704"/>
      <c r="Z11" s="702"/>
      <c r="AA11" s="703"/>
      <c r="AB11" s="703"/>
      <c r="AC11" s="703"/>
    </row>
    <row r="12" spans="1:29">
      <c r="A12" s="707" t="s">
        <v>674</v>
      </c>
      <c r="B12" s="708"/>
      <c r="C12" s="708"/>
      <c r="D12" s="708"/>
      <c r="E12" s="708"/>
      <c r="F12" s="708"/>
      <c r="G12" s="708"/>
      <c r="H12" s="708"/>
    </row>
    <row r="13" spans="1:29">
      <c r="A13" s="707" t="s">
        <v>679</v>
      </c>
      <c r="B13" s="708"/>
      <c r="C13" s="708"/>
      <c r="D13" s="708"/>
      <c r="E13" s="708"/>
      <c r="F13" s="708"/>
      <c r="G13" s="708"/>
      <c r="H13" s="708"/>
    </row>
    <row r="14" spans="1:29" ht="15.95" customHeight="1">
      <c r="A14" s="707" t="s">
        <v>659</v>
      </c>
      <c r="B14" s="708"/>
      <c r="C14" s="708"/>
      <c r="D14" s="708"/>
      <c r="E14" s="708"/>
      <c r="F14" s="708"/>
      <c r="G14" s="708"/>
      <c r="H14" s="708"/>
    </row>
    <row r="15" spans="1:29" ht="15.95" customHeight="1">
      <c r="A15" s="708" t="s">
        <v>675</v>
      </c>
      <c r="B15" s="708"/>
      <c r="C15" s="708"/>
      <c r="D15" s="708"/>
      <c r="E15" s="708"/>
      <c r="F15" s="708"/>
      <c r="G15" s="708"/>
      <c r="H15" s="708"/>
    </row>
    <row r="16" spans="1:29" ht="15.95" customHeight="1">
      <c r="A16" s="708" t="s">
        <v>676</v>
      </c>
      <c r="B16" s="708"/>
      <c r="C16" s="708"/>
      <c r="D16" s="708"/>
      <c r="E16" s="708"/>
      <c r="F16" s="708"/>
      <c r="G16" s="708"/>
      <c r="H16" s="708"/>
    </row>
    <row r="17" spans="1:8" ht="15.95" customHeight="1">
      <c r="A17" s="708" t="s">
        <v>677</v>
      </c>
      <c r="B17" s="708"/>
      <c r="C17" s="708"/>
      <c r="D17" s="708"/>
      <c r="E17" s="708"/>
      <c r="F17" s="708"/>
      <c r="G17" s="708"/>
      <c r="H17" s="708"/>
    </row>
    <row r="18" spans="1:8" ht="15.95" customHeight="1">
      <c r="A18" s="708" t="s">
        <v>678</v>
      </c>
      <c r="B18" s="708"/>
      <c r="C18" s="708"/>
      <c r="D18" s="708"/>
      <c r="E18" s="708"/>
      <c r="F18" s="708"/>
      <c r="G18" s="708"/>
      <c r="H18" s="708"/>
    </row>
    <row r="19" spans="1:8" ht="15.95" customHeight="1" thickBot="1">
      <c r="A19" s="709" t="s">
        <v>673</v>
      </c>
      <c r="B19" s="709"/>
      <c r="C19" s="709"/>
      <c r="D19" s="709"/>
      <c r="E19" s="709"/>
      <c r="F19" s="709"/>
      <c r="G19" s="709"/>
      <c r="H19" s="709"/>
    </row>
    <row r="20" spans="1:8" ht="15.95" customHeight="1"/>
    <row r="21" spans="1:8" ht="15.95" customHeight="1"/>
  </sheetData>
  <protectedRanges>
    <protectedRange sqref="S3 T3:T10 R3:R10 X3:X10 V3:V10" name="区域1_7"/>
    <protectedRange sqref="O3:O10" name="区域1_2_2"/>
    <protectedRange sqref="P3:Q10" name="区域1_1_1"/>
    <protectedRange sqref="S4:S10" name="区域1_3_1"/>
    <protectedRange sqref="U3:U10" name="区域1_4_1"/>
    <protectedRange sqref="W3:W10" name="区域1_5_1"/>
    <protectedRange sqref="Y3:Y10" name="区域1_6_1"/>
  </protectedRanges>
  <phoneticPr fontId="2" type="noConversion"/>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dimension ref="B2:AE30"/>
  <sheetViews>
    <sheetView workbookViewId="0">
      <selection activeCell="H33" sqref="H33"/>
    </sheetView>
  </sheetViews>
  <sheetFormatPr defaultRowHeight="14.25"/>
  <cols>
    <col min="3" max="3" width="11" customWidth="1"/>
    <col min="4" max="4" width="11.875" customWidth="1"/>
    <col min="5" max="5" width="11.25" customWidth="1"/>
    <col min="6" max="6" width="12.125" customWidth="1"/>
    <col min="9" max="9" width="18.625" customWidth="1"/>
    <col min="10" max="10" width="15.125" customWidth="1"/>
    <col min="11" max="11" width="22.625" customWidth="1"/>
    <col min="13" max="13" width="13.25" customWidth="1"/>
    <col min="14" max="21" width="7.625" customWidth="1"/>
    <col min="22" max="22" width="11.375" bestFit="1" customWidth="1"/>
    <col min="23" max="31" width="10.625" customWidth="1"/>
  </cols>
  <sheetData>
    <row r="2" spans="2:21" ht="20.100000000000001" customHeight="1">
      <c r="B2" s="916" t="s">
        <v>484</v>
      </c>
      <c r="C2" s="916"/>
      <c r="D2" s="460" t="s">
        <v>485</v>
      </c>
      <c r="E2" s="461" t="s">
        <v>486</v>
      </c>
      <c r="F2" s="460" t="s">
        <v>487</v>
      </c>
      <c r="M2" s="465" t="s">
        <v>316</v>
      </c>
      <c r="N2" s="450"/>
      <c r="O2" s="450"/>
      <c r="P2" s="450"/>
      <c r="Q2" s="450"/>
      <c r="R2" s="450"/>
      <c r="S2" s="450"/>
      <c r="T2" s="450"/>
      <c r="U2" s="450"/>
    </row>
    <row r="3" spans="2:21" ht="20.100000000000001" customHeight="1">
      <c r="B3" s="917" t="s">
        <v>488</v>
      </c>
      <c r="C3" s="370" t="s">
        <v>446</v>
      </c>
      <c r="D3" s="462">
        <f>投资估算表!F88</f>
        <v>0</v>
      </c>
      <c r="E3" s="462">
        <f>投资估算表!G88</f>
        <v>0</v>
      </c>
      <c r="F3" s="917" t="s">
        <v>521</v>
      </c>
      <c r="M3" s="465" t="s">
        <v>516</v>
      </c>
      <c r="N3" s="466"/>
      <c r="O3" s="466"/>
      <c r="P3" s="466"/>
      <c r="Q3" s="466"/>
      <c r="R3" s="466"/>
      <c r="S3" s="466"/>
      <c r="T3" s="466"/>
      <c r="U3" s="466"/>
    </row>
    <row r="4" spans="2:21" ht="20.100000000000001" customHeight="1">
      <c r="B4" s="918"/>
      <c r="C4" s="370" t="s">
        <v>447</v>
      </c>
      <c r="D4" s="462">
        <f>投资估算表!F89</f>
        <v>6842.9020946157234</v>
      </c>
      <c r="E4" s="462">
        <f>投资估算表!G89</f>
        <v>95013.515507368429</v>
      </c>
      <c r="F4" s="918"/>
      <c r="M4" s="465" t="s">
        <v>514</v>
      </c>
      <c r="N4" s="466"/>
      <c r="O4" s="466"/>
      <c r="P4" s="466"/>
      <c r="Q4" s="466"/>
      <c r="R4" s="466"/>
      <c r="S4" s="466"/>
      <c r="T4" s="466"/>
      <c r="U4" s="466"/>
    </row>
    <row r="5" spans="2:21" ht="20.100000000000001" customHeight="1">
      <c r="B5" s="918"/>
      <c r="C5" s="370" t="s">
        <v>448</v>
      </c>
      <c r="D5" s="462">
        <f>投资估算表!F90</f>
        <v>6116.5366248957935</v>
      </c>
      <c r="E5" s="462">
        <f>投资估算表!G90</f>
        <v>59449.565052631588</v>
      </c>
      <c r="F5" s="918"/>
      <c r="M5" s="465" t="s">
        <v>515</v>
      </c>
      <c r="N5" s="466"/>
      <c r="O5" s="466"/>
      <c r="P5" s="466"/>
      <c r="Q5" s="466"/>
      <c r="R5" s="466"/>
      <c r="S5" s="466"/>
      <c r="T5" s="466"/>
      <c r="U5" s="466"/>
    </row>
    <row r="6" spans="2:21">
      <c r="B6" s="918"/>
      <c r="C6" s="370" t="s">
        <v>449</v>
      </c>
      <c r="D6" s="462">
        <f>投资估算表!F91</f>
        <v>7584.7024655076457</v>
      </c>
      <c r="E6" s="462">
        <f>投资估算表!G91</f>
        <v>31594.01824084211</v>
      </c>
      <c r="F6" s="918"/>
    </row>
    <row r="7" spans="2:21">
      <c r="B7" s="918"/>
      <c r="C7" s="370" t="s">
        <v>450</v>
      </c>
      <c r="D7" s="462">
        <f>投资估算表!F92</f>
        <v>0</v>
      </c>
      <c r="E7" s="462">
        <f>投资估算表!G92</f>
        <v>0</v>
      </c>
      <c r="F7" s="918"/>
    </row>
    <row r="8" spans="2:21">
      <c r="B8" s="918"/>
      <c r="C8" s="495" t="s">
        <v>519</v>
      </c>
      <c r="D8" s="462">
        <f>投资估算表!F94</f>
        <v>2608.3039244078559</v>
      </c>
      <c r="E8" s="462">
        <f>投资估算表!G94</f>
        <v>11206.945405569924</v>
      </c>
      <c r="F8" s="918"/>
    </row>
    <row r="9" spans="2:21">
      <c r="B9" s="918"/>
      <c r="C9" s="460" t="s">
        <v>489</v>
      </c>
      <c r="D9" s="462">
        <f>投资估算表!F95</f>
        <v>12000</v>
      </c>
      <c r="E9" s="462">
        <f>投资估算表!G95</f>
        <v>18000</v>
      </c>
      <c r="F9" s="918"/>
    </row>
    <row r="10" spans="2:21">
      <c r="B10" s="919"/>
      <c r="C10" s="460" t="s">
        <v>490</v>
      </c>
      <c r="D10" s="462">
        <f>投资估算表!F97</f>
        <v>7354.4390598617019</v>
      </c>
      <c r="E10" s="462">
        <f>SUM(E3:E9)</f>
        <v>215264.04420641204</v>
      </c>
      <c r="F10" s="919"/>
      <c r="H10" s="494"/>
      <c r="I10" s="494" t="s">
        <v>484</v>
      </c>
      <c r="J10" s="494" t="s">
        <v>501</v>
      </c>
      <c r="K10" s="494" t="s">
        <v>502</v>
      </c>
    </row>
    <row r="11" spans="2:21">
      <c r="B11" s="916" t="s">
        <v>491</v>
      </c>
      <c r="C11" s="916"/>
      <c r="D11" s="920">
        <f>投资估算表!F79</f>
        <v>137193.47183371827</v>
      </c>
      <c r="E11" s="920"/>
      <c r="F11" s="460"/>
      <c r="H11" s="491">
        <v>1</v>
      </c>
      <c r="I11" s="491" t="s">
        <v>491</v>
      </c>
      <c r="J11" s="492">
        <f>成本汇总!C6</f>
        <v>137193.47183371827</v>
      </c>
      <c r="K11" s="492">
        <f>成本汇总!M6</f>
        <v>4687.1786309303179</v>
      </c>
    </row>
    <row r="12" spans="2:21">
      <c r="B12" s="916" t="s">
        <v>492</v>
      </c>
      <c r="C12" s="916"/>
      <c r="D12" s="920">
        <f>投资估算表!F80</f>
        <v>24304.29206698991</v>
      </c>
      <c r="E12" s="920"/>
      <c r="F12" s="460"/>
      <c r="H12" s="463">
        <v>1.1000000000000001</v>
      </c>
      <c r="I12" s="463" t="s">
        <v>503</v>
      </c>
      <c r="J12" s="464">
        <f>成本汇总!C7</f>
        <v>62484</v>
      </c>
      <c r="K12" s="464">
        <f>成本汇总!M7</f>
        <v>2134.7493117604008</v>
      </c>
    </row>
    <row r="13" spans="2:21">
      <c r="B13" s="916" t="s">
        <v>493</v>
      </c>
      <c r="C13" s="916"/>
      <c r="D13" s="920">
        <f>投资估算表!F82</f>
        <v>161497.76390070817</v>
      </c>
      <c r="E13" s="920"/>
      <c r="F13" s="460"/>
      <c r="H13" s="463">
        <v>1.2</v>
      </c>
      <c r="I13" s="463" t="s">
        <v>504</v>
      </c>
      <c r="J13" s="464">
        <f>成本汇总!C8</f>
        <v>5765.1801825904367</v>
      </c>
      <c r="K13" s="464">
        <f>成本汇总!M8</f>
        <v>196.96585409000122</v>
      </c>
    </row>
    <row r="14" spans="2:21">
      <c r="B14" s="916" t="s">
        <v>494</v>
      </c>
      <c r="C14" s="916"/>
      <c r="D14" s="920">
        <f>利润测算!B43</f>
        <v>53766.280305703913</v>
      </c>
      <c r="E14" s="920"/>
      <c r="F14" s="460"/>
      <c r="H14" s="463">
        <v>1.3</v>
      </c>
      <c r="I14" s="463" t="s">
        <v>505</v>
      </c>
      <c r="J14" s="464">
        <f>成本汇总!C9</f>
        <v>52155.192309022561</v>
      </c>
      <c r="K14" s="464">
        <f>成本汇总!M9</f>
        <v>1781.8683324757897</v>
      </c>
    </row>
    <row r="15" spans="2:21">
      <c r="B15" s="916" t="s">
        <v>495</v>
      </c>
      <c r="C15" s="916"/>
      <c r="D15" s="920">
        <f>利润测算!B45</f>
        <v>45701.338259848315</v>
      </c>
      <c r="E15" s="920"/>
      <c r="F15" s="460"/>
      <c r="H15" s="463">
        <v>1.4</v>
      </c>
      <c r="I15" s="463" t="s">
        <v>506</v>
      </c>
      <c r="J15" s="464">
        <f>成本汇总!C10</f>
        <v>7610.186315789475</v>
      </c>
      <c r="K15" s="464">
        <f>成本汇总!M10</f>
        <v>260</v>
      </c>
    </row>
    <row r="16" spans="2:21">
      <c r="B16" s="916" t="s">
        <v>496</v>
      </c>
      <c r="C16" s="916"/>
      <c r="D16" s="921">
        <f>利润测算!B51</f>
        <v>0.24976897792623737</v>
      </c>
      <c r="E16" s="921"/>
      <c r="F16" s="460"/>
      <c r="H16" s="463">
        <v>1.5</v>
      </c>
      <c r="I16" s="463" t="s">
        <v>507</v>
      </c>
      <c r="J16" s="464">
        <f>成本汇总!C11</f>
        <v>2926.9947368421053</v>
      </c>
      <c r="K16" s="464">
        <f>成本汇总!M11</f>
        <v>99.999999999999986</v>
      </c>
    </row>
    <row r="17" spans="2:31">
      <c r="B17" s="916" t="s">
        <v>497</v>
      </c>
      <c r="C17" s="916"/>
      <c r="D17" s="921">
        <f>利润测算!B52</f>
        <v>0.2123036312373017</v>
      </c>
      <c r="E17" s="921"/>
      <c r="F17" s="460"/>
      <c r="H17" s="463">
        <v>1.6</v>
      </c>
      <c r="I17" s="463" t="s">
        <v>508</v>
      </c>
      <c r="J17" s="464">
        <f>成本汇总!C12</f>
        <v>1975.7214473684214</v>
      </c>
      <c r="K17" s="464">
        <f>成本汇总!M12</f>
        <v>67.500000000000014</v>
      </c>
    </row>
    <row r="18" spans="2:31">
      <c r="B18" s="916" t="s">
        <v>498</v>
      </c>
      <c r="C18" s="916"/>
      <c r="D18" s="921">
        <f>经济指标!B7</f>
        <v>1.6926421577721598</v>
      </c>
      <c r="E18" s="921"/>
      <c r="F18" s="460"/>
      <c r="H18" s="463">
        <v>1.7</v>
      </c>
      <c r="I18" s="463" t="s">
        <v>509</v>
      </c>
      <c r="J18" s="464">
        <f>成本汇总!C13</f>
        <v>4276.1968421052634</v>
      </c>
      <c r="K18" s="464">
        <f>成本汇总!M13</f>
        <v>146.09513260412601</v>
      </c>
    </row>
    <row r="19" spans="2:31">
      <c r="B19" s="916" t="s">
        <v>499</v>
      </c>
      <c r="C19" s="916"/>
      <c r="D19" s="921">
        <f>经济指标!B5</f>
        <v>0.41011030566490986</v>
      </c>
      <c r="E19" s="921"/>
      <c r="F19" s="460"/>
      <c r="H19" s="493">
        <v>2</v>
      </c>
      <c r="I19" s="491" t="s">
        <v>492</v>
      </c>
      <c r="J19" s="492">
        <f>成本汇总!C14</f>
        <v>24304.29206698991</v>
      </c>
      <c r="K19" s="492">
        <f>成本汇总!M14</f>
        <v>830.34970172893031</v>
      </c>
    </row>
    <row r="20" spans="2:31">
      <c r="B20" s="916" t="s">
        <v>500</v>
      </c>
      <c r="C20" s="916"/>
      <c r="D20" s="920">
        <f>资金需求分析表!C17</f>
        <v>0</v>
      </c>
      <c r="E20" s="920"/>
      <c r="F20" s="460"/>
      <c r="H20" s="463">
        <v>2.1</v>
      </c>
      <c r="I20" s="463" t="s">
        <v>510</v>
      </c>
      <c r="J20" s="464">
        <f>成本汇总!C15</f>
        <v>6457.9213261923614</v>
      </c>
      <c r="K20" s="464">
        <f>成本汇总!M15</f>
        <v>220.63317179585107</v>
      </c>
    </row>
    <row r="21" spans="2:31">
      <c r="B21" s="916" t="s">
        <v>523</v>
      </c>
      <c r="C21" s="916"/>
      <c r="D21" s="920">
        <f>经济指标!B13</f>
        <v>-55479.205079421678</v>
      </c>
      <c r="E21" s="920"/>
      <c r="F21" s="460"/>
      <c r="H21" s="463">
        <v>2.2000000000000002</v>
      </c>
      <c r="I21" s="463" t="s">
        <v>511</v>
      </c>
      <c r="J21" s="464">
        <f>成本汇总!C16</f>
        <v>0</v>
      </c>
      <c r="K21" s="464">
        <f>成本汇总!M16</f>
        <v>0</v>
      </c>
    </row>
    <row r="22" spans="2:31">
      <c r="B22" s="915" t="s">
        <v>522</v>
      </c>
      <c r="C22" s="915"/>
      <c r="D22" s="915" t="str">
        <f>经济指标!B14</f>
        <v>第3年2季度</v>
      </c>
      <c r="E22" s="915"/>
      <c r="F22" s="496"/>
      <c r="H22" s="463">
        <v>2.2999999999999998</v>
      </c>
      <c r="I22" s="463" t="s">
        <v>595</v>
      </c>
      <c r="J22" s="464">
        <f>成本汇总!C18</f>
        <v>4500</v>
      </c>
      <c r="K22" s="464"/>
      <c r="V22" s="251"/>
      <c r="W22" s="251"/>
      <c r="X22" s="251"/>
      <c r="Y22" s="251"/>
      <c r="Z22" s="251"/>
      <c r="AA22" s="251"/>
      <c r="AB22" s="251"/>
      <c r="AC22" s="251"/>
      <c r="AD22" s="251"/>
      <c r="AE22" s="251"/>
    </row>
    <row r="23" spans="2:31">
      <c r="H23" s="463">
        <v>2.4</v>
      </c>
      <c r="I23" s="463" t="s">
        <v>512</v>
      </c>
      <c r="J23" s="464">
        <f>成本汇总!C19</f>
        <v>13346.370740797549</v>
      </c>
      <c r="K23" s="464">
        <f>成本汇总!M19</f>
        <v>455.9752217114256</v>
      </c>
      <c r="V23" s="252" t="str">
        <f>资金需求分析表!B15</f>
        <v>资金缺口</v>
      </c>
      <c r="W23" s="489"/>
      <c r="X23" s="489"/>
      <c r="Y23" s="489"/>
      <c r="Z23" s="489"/>
      <c r="AA23" s="489"/>
      <c r="AB23" s="489"/>
      <c r="AC23" s="489"/>
      <c r="AD23" s="489"/>
      <c r="AE23" s="489"/>
    </row>
    <row r="24" spans="2:31">
      <c r="H24" s="491"/>
      <c r="I24" s="491" t="s">
        <v>513</v>
      </c>
      <c r="J24" s="492">
        <f>成本汇总!C23</f>
        <v>161497.76390070817</v>
      </c>
      <c r="K24" s="492">
        <f>成本汇总!M23</f>
        <v>5517.528332659248</v>
      </c>
      <c r="V24" s="252" t="str">
        <f>资金需求分析表!B26</f>
        <v>资金组织净流量</v>
      </c>
      <c r="W24" s="489"/>
      <c r="X24" s="489"/>
      <c r="Y24" s="489"/>
      <c r="Z24" s="489"/>
      <c r="AA24" s="489"/>
      <c r="AB24" s="489"/>
      <c r="AC24" s="489"/>
      <c r="AD24" s="489"/>
      <c r="AE24" s="489"/>
    </row>
    <row r="25" spans="2:31">
      <c r="V25" s="488" t="str">
        <f>资金需求分析表!B17</f>
        <v>自有资金</v>
      </c>
      <c r="W25" s="487"/>
      <c r="X25" s="487"/>
      <c r="Y25" s="487"/>
      <c r="Z25" s="487"/>
      <c r="AA25" s="487"/>
      <c r="AB25" s="487"/>
      <c r="AC25" s="487"/>
      <c r="AD25" s="487"/>
      <c r="AE25" s="487"/>
    </row>
    <row r="26" spans="2:31">
      <c r="V26" s="488" t="str">
        <f>资金需求分析表!B18</f>
        <v>策略联盟（合作方）</v>
      </c>
      <c r="W26" s="487"/>
      <c r="X26" s="487"/>
      <c r="Y26" s="487"/>
      <c r="Z26" s="487"/>
      <c r="AA26" s="487"/>
      <c r="AB26" s="487"/>
      <c r="AC26" s="487"/>
      <c r="AD26" s="487"/>
      <c r="AE26" s="487"/>
    </row>
    <row r="27" spans="2:31">
      <c r="V27" s="488" t="str">
        <f>资金需求分析表!B19</f>
        <v>夹层融资</v>
      </c>
      <c r="W27" s="487"/>
      <c r="X27" s="487"/>
      <c r="Y27" s="487"/>
      <c r="Z27" s="487"/>
      <c r="AA27" s="487"/>
      <c r="AB27" s="487"/>
      <c r="AC27" s="487"/>
      <c r="AD27" s="487"/>
      <c r="AE27" s="487"/>
    </row>
    <row r="28" spans="2:31">
      <c r="V28" s="488" t="str">
        <f>资金需求分析表!B20</f>
        <v>银行贷款</v>
      </c>
      <c r="W28" s="487"/>
      <c r="X28" s="487"/>
      <c r="Y28" s="487"/>
      <c r="Z28" s="487"/>
      <c r="AA28" s="487"/>
      <c r="AB28" s="487"/>
      <c r="AC28" s="487"/>
      <c r="AD28" s="487"/>
      <c r="AE28" s="487"/>
    </row>
    <row r="29" spans="2:31">
      <c r="V29" s="488" t="str">
        <f>资金需求分析表!B31</f>
        <v>盈余资金</v>
      </c>
      <c r="W29" s="487"/>
      <c r="X29" s="487"/>
      <c r="Y29" s="487"/>
      <c r="Z29" s="487"/>
      <c r="AA29" s="487"/>
      <c r="AB29" s="487"/>
      <c r="AC29" s="487"/>
      <c r="AD29" s="487"/>
      <c r="AE29" s="487"/>
    </row>
    <row r="30" spans="2:31">
      <c r="V30" s="252" t="str">
        <f>资金需求分析表!B32</f>
        <v>累计盈余资金</v>
      </c>
      <c r="W30" s="489"/>
      <c r="X30" s="489"/>
      <c r="Y30" s="489"/>
      <c r="Z30" s="489"/>
      <c r="AA30" s="489"/>
      <c r="AB30" s="489"/>
      <c r="AC30" s="489"/>
      <c r="AD30" s="489"/>
      <c r="AE30" s="489"/>
    </row>
  </sheetData>
  <mergeCells count="27">
    <mergeCell ref="F3:F10"/>
    <mergeCell ref="B20:C20"/>
    <mergeCell ref="D20:E20"/>
    <mergeCell ref="B21:C21"/>
    <mergeCell ref="D21:E21"/>
    <mergeCell ref="B18:C18"/>
    <mergeCell ref="D18:E18"/>
    <mergeCell ref="B19:C19"/>
    <mergeCell ref="D19:E19"/>
    <mergeCell ref="B16:C16"/>
    <mergeCell ref="D16:E16"/>
    <mergeCell ref="B17:C17"/>
    <mergeCell ref="D17:E17"/>
    <mergeCell ref="B14:C14"/>
    <mergeCell ref="D14:E14"/>
    <mergeCell ref="B15:C15"/>
    <mergeCell ref="D15:E15"/>
    <mergeCell ref="B22:C22"/>
    <mergeCell ref="D22:E22"/>
    <mergeCell ref="B2:C2"/>
    <mergeCell ref="B3:B10"/>
    <mergeCell ref="B11:C11"/>
    <mergeCell ref="D11:E11"/>
    <mergeCell ref="B12:C12"/>
    <mergeCell ref="D12:E12"/>
    <mergeCell ref="B13:C13"/>
    <mergeCell ref="D13:E13"/>
  </mergeCells>
  <phoneticPr fontId="2"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I37"/>
  <sheetViews>
    <sheetView tabSelected="1" workbookViewId="0">
      <pane xSplit="1" ySplit="3" topLeftCell="B4" activePane="bottomRight" state="frozen"/>
      <selection pane="topRight" activeCell="B1" sqref="B1"/>
      <selection pane="bottomLeft" activeCell="A4" sqref="A4"/>
      <selection pane="bottomRight" activeCell="L24" sqref="L24"/>
    </sheetView>
  </sheetViews>
  <sheetFormatPr defaultRowHeight="12.75"/>
  <cols>
    <col min="1" max="1" width="15.5" style="125" customWidth="1"/>
    <col min="2" max="2" width="10.25" style="125" customWidth="1"/>
    <col min="3" max="4" width="9.125" style="125" customWidth="1"/>
    <col min="5" max="5" width="13.625" style="125" customWidth="1"/>
    <col min="6" max="7" width="10.25" style="125" customWidth="1"/>
    <col min="8" max="8" width="9.625" style="125" customWidth="1"/>
    <col min="9" max="9" width="8" style="125" customWidth="1"/>
    <col min="10" max="16384" width="9" style="125"/>
  </cols>
  <sheetData>
    <row r="1" spans="1:9" ht="24" customHeight="1">
      <c r="A1" s="734" t="s">
        <v>140</v>
      </c>
      <c r="B1" s="734"/>
      <c r="C1" s="734"/>
      <c r="D1" s="734"/>
      <c r="E1" s="734"/>
      <c r="F1" s="734"/>
    </row>
    <row r="2" spans="1:9" ht="6.75" customHeight="1"/>
    <row r="3" spans="1:9" ht="15" customHeight="1">
      <c r="A3" s="395" t="s">
        <v>141</v>
      </c>
      <c r="B3" s="395" t="s">
        <v>160</v>
      </c>
      <c r="C3" s="395" t="s">
        <v>159</v>
      </c>
      <c r="D3" s="395" t="s">
        <v>142</v>
      </c>
      <c r="E3" s="395" t="s">
        <v>143</v>
      </c>
      <c r="F3" s="395" t="s">
        <v>144</v>
      </c>
      <c r="G3" s="395" t="s">
        <v>145</v>
      </c>
      <c r="H3" s="395" t="s">
        <v>146</v>
      </c>
      <c r="I3" s="395" t="s">
        <v>147</v>
      </c>
    </row>
    <row r="4" spans="1:9" ht="15" customHeight="1">
      <c r="A4" s="128" t="s">
        <v>9</v>
      </c>
      <c r="B4" s="129">
        <f>规划指标!H5</f>
        <v>335665.88300751883</v>
      </c>
      <c r="C4" s="130">
        <f>成本汇总!C5+规划指标!E30</f>
        <v>335665.88300751883</v>
      </c>
      <c r="D4" s="131"/>
      <c r="E4" s="130">
        <f>开发和销售计划!V26</f>
        <v>335665.88300751883</v>
      </c>
      <c r="F4" s="130">
        <f>项目现金流量表!B5</f>
        <v>335665.88300751883</v>
      </c>
      <c r="G4" s="130">
        <f>利润测算!B5</f>
        <v>335665.88300751883</v>
      </c>
      <c r="H4" s="396">
        <f>4*B4-C4-E4-F4-G4</f>
        <v>0</v>
      </c>
      <c r="I4" s="132"/>
    </row>
    <row r="5" spans="1:9" ht="15" customHeight="1">
      <c r="A5" s="22" t="s">
        <v>53</v>
      </c>
      <c r="B5" s="129">
        <f>规划指标!E8</f>
        <v>0</v>
      </c>
      <c r="C5" s="130">
        <f>成本汇总!D5</f>
        <v>0</v>
      </c>
      <c r="D5" s="131"/>
      <c r="E5" s="130">
        <f>开发和销售计划!V17</f>
        <v>0</v>
      </c>
      <c r="F5" s="130"/>
      <c r="G5" s="130">
        <f>利润测算!B6</f>
        <v>0</v>
      </c>
      <c r="H5" s="396">
        <f t="shared" ref="H5:H13" si="0">3*B5-C5-E5-G5</f>
        <v>0</v>
      </c>
      <c r="I5" s="132"/>
    </row>
    <row r="6" spans="1:9" ht="15" customHeight="1">
      <c r="A6" s="22" t="s">
        <v>54</v>
      </c>
      <c r="B6" s="129">
        <f>规划指标!E9</f>
        <v>0</v>
      </c>
      <c r="C6" s="130">
        <f>成本汇总!E5</f>
        <v>0</v>
      </c>
      <c r="D6" s="131"/>
      <c r="E6" s="130">
        <f>开发和销售计划!V18</f>
        <v>0</v>
      </c>
      <c r="F6" s="130"/>
      <c r="G6" s="130">
        <f>利润测算!B7</f>
        <v>0</v>
      </c>
      <c r="H6" s="396">
        <f t="shared" si="0"/>
        <v>0</v>
      </c>
      <c r="I6" s="132"/>
    </row>
    <row r="7" spans="1:9" ht="15" customHeight="1">
      <c r="A7" s="23" t="s">
        <v>389</v>
      </c>
      <c r="B7" s="127">
        <f>规划指标!E10</f>
        <v>138849.73684210528</v>
      </c>
      <c r="C7" s="131">
        <f>成本汇总!F5</f>
        <v>138849.73684210528</v>
      </c>
      <c r="D7" s="131"/>
      <c r="E7" s="130">
        <f>开发和销售计划!V19</f>
        <v>138849.73684210528</v>
      </c>
      <c r="F7" s="131"/>
      <c r="G7" s="130">
        <f>利润测算!B8</f>
        <v>138849.73684210528</v>
      </c>
      <c r="H7" s="396">
        <f>3*B7-C7-E7-G7</f>
        <v>0</v>
      </c>
      <c r="I7" s="132"/>
    </row>
    <row r="8" spans="1:9" ht="15" customHeight="1">
      <c r="A8" s="22" t="s">
        <v>55</v>
      </c>
      <c r="B8" s="129">
        <f>规划指标!E11</f>
        <v>97194.815789473694</v>
      </c>
      <c r="C8" s="130">
        <f>成本汇总!G5</f>
        <v>97194.815789473694</v>
      </c>
      <c r="D8" s="131"/>
      <c r="E8" s="130">
        <f>开发和销售计划!V20</f>
        <v>97194.815789473709</v>
      </c>
      <c r="F8" s="131"/>
      <c r="G8" s="130">
        <f>利润测算!B9</f>
        <v>97194.815789473694</v>
      </c>
      <c r="H8" s="396">
        <f t="shared" si="0"/>
        <v>0</v>
      </c>
      <c r="I8" s="132"/>
    </row>
    <row r="9" spans="1:9" ht="15" customHeight="1">
      <c r="A9" s="23" t="s">
        <v>56</v>
      </c>
      <c r="B9" s="129">
        <f>规划指标!E12</f>
        <v>41654.92105263158</v>
      </c>
      <c r="C9" s="130">
        <f>成本汇总!H5</f>
        <v>41654.92105263158</v>
      </c>
      <c r="D9" s="131"/>
      <c r="E9" s="130">
        <f>开发和销售计划!V21</f>
        <v>41654.92105263158</v>
      </c>
      <c r="F9" s="131"/>
      <c r="G9" s="130">
        <f>利润测算!B10</f>
        <v>41654.92105263158</v>
      </c>
      <c r="H9" s="396">
        <f t="shared" si="0"/>
        <v>0</v>
      </c>
      <c r="I9" s="132"/>
    </row>
    <row r="10" spans="1:9" ht="15" customHeight="1">
      <c r="A10" s="23" t="s">
        <v>57</v>
      </c>
      <c r="B10" s="129">
        <f>规划指标!E13</f>
        <v>0</v>
      </c>
      <c r="C10" s="130">
        <f>成本汇总!I5</f>
        <v>0</v>
      </c>
      <c r="D10" s="131"/>
      <c r="E10" s="130">
        <f>开发和销售计划!V22</f>
        <v>0</v>
      </c>
      <c r="F10" s="131"/>
      <c r="G10" s="130">
        <f>利润测算!B11</f>
        <v>0</v>
      </c>
      <c r="H10" s="396">
        <f t="shared" si="0"/>
        <v>0</v>
      </c>
      <c r="I10" s="132"/>
    </row>
    <row r="11" spans="1:9" ht="15" customHeight="1">
      <c r="A11" s="23" t="s">
        <v>58</v>
      </c>
      <c r="B11" s="129">
        <f>规划指标!E14</f>
        <v>0</v>
      </c>
      <c r="C11" s="130">
        <f>成本汇总!J5</f>
        <v>0</v>
      </c>
      <c r="D11" s="131"/>
      <c r="E11" s="130">
        <f>开发和销售计划!V23</f>
        <v>0</v>
      </c>
      <c r="F11" s="131"/>
      <c r="G11" s="130">
        <f>利润测算!B12</f>
        <v>0</v>
      </c>
      <c r="H11" s="396">
        <f t="shared" si="0"/>
        <v>0</v>
      </c>
      <c r="I11" s="132"/>
    </row>
    <row r="12" spans="1:9" ht="15" customHeight="1">
      <c r="A12" s="23" t="s">
        <v>60</v>
      </c>
      <c r="B12" s="127">
        <f>规划指标!E30</f>
        <v>42966.409323308268</v>
      </c>
      <c r="C12" s="131"/>
      <c r="D12" s="131"/>
      <c r="E12" s="130">
        <f>开发和销售计划!V24</f>
        <v>42966.409323308268</v>
      </c>
      <c r="F12" s="131"/>
      <c r="G12" s="130">
        <f>利润测算!B13</f>
        <v>42966.409323308268</v>
      </c>
      <c r="H12" s="396">
        <f>2*B12-E12-G12</f>
        <v>0</v>
      </c>
      <c r="I12" s="132"/>
    </row>
    <row r="13" spans="1:9" ht="15" customHeight="1">
      <c r="A13" s="23" t="s">
        <v>59</v>
      </c>
      <c r="B13" s="127">
        <f>规划指标!E16</f>
        <v>15000</v>
      </c>
      <c r="C13" s="131">
        <f>成本汇总!L5</f>
        <v>15000</v>
      </c>
      <c r="D13" s="131"/>
      <c r="E13" s="130">
        <f>开发和销售计划!V25</f>
        <v>15000</v>
      </c>
      <c r="F13" s="131"/>
      <c r="G13" s="130">
        <f>利润测算!B14</f>
        <v>15000</v>
      </c>
      <c r="H13" s="396">
        <f t="shared" si="0"/>
        <v>0</v>
      </c>
      <c r="I13" s="132"/>
    </row>
    <row r="14" spans="1:9" ht="15" customHeight="1">
      <c r="A14" s="133" t="s">
        <v>148</v>
      </c>
      <c r="B14" s="133"/>
      <c r="C14" s="131"/>
      <c r="D14" s="131"/>
      <c r="E14" s="130">
        <f>开发和销售计划!V49</f>
        <v>215264.04420641204</v>
      </c>
      <c r="F14" s="130">
        <f>项目现金流量表!B6</f>
        <v>215264.04420641201</v>
      </c>
      <c r="G14" s="130">
        <f>利润测算!B15</f>
        <v>215264.04420641204</v>
      </c>
      <c r="H14" s="396">
        <f>E14*2-F14-G14</f>
        <v>0</v>
      </c>
      <c r="I14" s="132"/>
    </row>
    <row r="15" spans="1:9" ht="15" customHeight="1">
      <c r="A15" s="22" t="s">
        <v>53</v>
      </c>
      <c r="B15" s="126"/>
      <c r="C15" s="131"/>
      <c r="D15" s="131"/>
      <c r="E15" s="130">
        <f>开发和销售计划!V40</f>
        <v>0</v>
      </c>
      <c r="F15" s="131"/>
      <c r="G15" s="130">
        <f>利润测算!B16</f>
        <v>0</v>
      </c>
      <c r="H15" s="396">
        <f>E15-G15</f>
        <v>0</v>
      </c>
      <c r="I15" s="132"/>
    </row>
    <row r="16" spans="1:9" ht="15" customHeight="1">
      <c r="A16" s="22" t="s">
        <v>54</v>
      </c>
      <c r="B16" s="126"/>
      <c r="C16" s="131"/>
      <c r="D16" s="131"/>
      <c r="E16" s="130">
        <f>开发和销售计划!V41</f>
        <v>0</v>
      </c>
      <c r="F16" s="131"/>
      <c r="G16" s="130">
        <f>利润测算!B17</f>
        <v>0</v>
      </c>
      <c r="H16" s="396">
        <f t="shared" ref="H16:H23" si="1">E16-G16</f>
        <v>0</v>
      </c>
      <c r="I16" s="132"/>
    </row>
    <row r="17" spans="1:9" ht="15" customHeight="1">
      <c r="A17" s="23" t="s">
        <v>389</v>
      </c>
      <c r="B17" s="126"/>
      <c r="C17" s="131"/>
      <c r="D17" s="131"/>
      <c r="E17" s="130">
        <f>开发和销售计划!V42</f>
        <v>95013.515507368429</v>
      </c>
      <c r="F17" s="131"/>
      <c r="G17" s="130">
        <f>利润测算!B18</f>
        <v>95013.515507368429</v>
      </c>
      <c r="H17" s="396">
        <f>E17-G17</f>
        <v>0</v>
      </c>
      <c r="I17" s="132"/>
    </row>
    <row r="18" spans="1:9" ht="15" customHeight="1">
      <c r="A18" s="22" t="s">
        <v>55</v>
      </c>
      <c r="B18" s="126"/>
      <c r="C18" s="131"/>
      <c r="D18" s="131"/>
      <c r="E18" s="130">
        <f>开发和销售计划!V43</f>
        <v>59449.565052631588</v>
      </c>
      <c r="F18" s="131"/>
      <c r="G18" s="130">
        <f>利润测算!B19</f>
        <v>59449.565052631588</v>
      </c>
      <c r="H18" s="396">
        <f t="shared" si="1"/>
        <v>0</v>
      </c>
      <c r="I18" s="132"/>
    </row>
    <row r="19" spans="1:9" ht="15" customHeight="1">
      <c r="A19" s="23" t="s">
        <v>56</v>
      </c>
      <c r="B19" s="126"/>
      <c r="C19" s="131"/>
      <c r="D19" s="131"/>
      <c r="E19" s="130">
        <f>开发和销售计划!V44</f>
        <v>31594.01824084211</v>
      </c>
      <c r="F19" s="131"/>
      <c r="G19" s="130">
        <f>利润测算!B20</f>
        <v>31594.01824084211</v>
      </c>
      <c r="H19" s="396">
        <f t="shared" si="1"/>
        <v>0</v>
      </c>
      <c r="I19" s="132"/>
    </row>
    <row r="20" spans="1:9" ht="15" customHeight="1">
      <c r="A20" s="23" t="s">
        <v>57</v>
      </c>
      <c r="B20" s="126"/>
      <c r="C20" s="131"/>
      <c r="D20" s="131"/>
      <c r="E20" s="130">
        <f>开发和销售计划!V45</f>
        <v>0</v>
      </c>
      <c r="F20" s="131"/>
      <c r="G20" s="130">
        <f>利润测算!B21</f>
        <v>0</v>
      </c>
      <c r="H20" s="396">
        <f t="shared" si="1"/>
        <v>0</v>
      </c>
      <c r="I20" s="132"/>
    </row>
    <row r="21" spans="1:9" ht="15" customHeight="1">
      <c r="A21" s="23" t="s">
        <v>58</v>
      </c>
      <c r="B21" s="126"/>
      <c r="C21" s="131"/>
      <c r="D21" s="131"/>
      <c r="E21" s="130">
        <f>开发和销售计划!V46</f>
        <v>0</v>
      </c>
      <c r="F21" s="131"/>
      <c r="G21" s="130">
        <f>利润测算!B22</f>
        <v>0</v>
      </c>
      <c r="H21" s="396">
        <f t="shared" si="1"/>
        <v>0</v>
      </c>
      <c r="I21" s="132"/>
    </row>
    <row r="22" spans="1:9" ht="15" customHeight="1">
      <c r="A22" s="23" t="s">
        <v>60</v>
      </c>
      <c r="B22" s="126"/>
      <c r="C22" s="131"/>
      <c r="D22" s="131"/>
      <c r="E22" s="130">
        <f>开发和销售计划!V47</f>
        <v>11206.945405569924</v>
      </c>
      <c r="F22" s="131"/>
      <c r="G22" s="130">
        <f>利润测算!B23</f>
        <v>11206.945405569924</v>
      </c>
      <c r="H22" s="396">
        <f t="shared" si="1"/>
        <v>0</v>
      </c>
      <c r="I22" s="132"/>
    </row>
    <row r="23" spans="1:9" ht="15" customHeight="1">
      <c r="A23" s="23" t="s">
        <v>59</v>
      </c>
      <c r="B23" s="126"/>
      <c r="C23" s="131"/>
      <c r="D23" s="131"/>
      <c r="E23" s="130">
        <f>开发和销售计划!V48</f>
        <v>18000</v>
      </c>
      <c r="F23" s="131"/>
      <c r="G23" s="130">
        <f>利润测算!B24</f>
        <v>18000</v>
      </c>
      <c r="H23" s="396">
        <f t="shared" si="1"/>
        <v>0</v>
      </c>
      <c r="I23" s="132"/>
    </row>
    <row r="24" spans="1:9" ht="15" customHeight="1">
      <c r="A24" s="128" t="s">
        <v>149</v>
      </c>
      <c r="B24" s="128"/>
      <c r="C24" s="130">
        <f>成本汇总!C23</f>
        <v>161497.76390070817</v>
      </c>
      <c r="D24" s="131"/>
      <c r="E24" s="131"/>
      <c r="F24" s="152">
        <f>F34+F36-F30</f>
        <v>161497.76390070815</v>
      </c>
      <c r="G24" s="152">
        <f>勾稽关系!G26+勾稽关系!G27+G29</f>
        <v>161497.76390070815</v>
      </c>
      <c r="H24" s="143">
        <f>2*C24-F24-G24</f>
        <v>0</v>
      </c>
      <c r="I24" s="131"/>
    </row>
    <row r="25" spans="1:9" ht="15" customHeight="1">
      <c r="A25" s="134" t="s">
        <v>150</v>
      </c>
      <c r="B25" s="135"/>
      <c r="C25" s="130">
        <f>成本汇总!C7</f>
        <v>62484</v>
      </c>
      <c r="D25" s="131"/>
      <c r="E25" s="131"/>
      <c r="F25" s="130">
        <f>项目现金流量表!B11+投资估算表!G17</f>
        <v>62484</v>
      </c>
      <c r="G25" s="131"/>
      <c r="H25" s="397">
        <f>C25-F25</f>
        <v>0</v>
      </c>
      <c r="I25" s="132"/>
    </row>
    <row r="26" spans="1:9" ht="15" customHeight="1">
      <c r="A26" s="134" t="s">
        <v>10</v>
      </c>
      <c r="B26" s="136"/>
      <c r="C26" s="130">
        <f>成本汇总!C6</f>
        <v>137193.47183371827</v>
      </c>
      <c r="D26" s="131"/>
      <c r="E26" s="131"/>
      <c r="F26" s="131"/>
      <c r="G26" s="130">
        <f>利润测算!B25</f>
        <v>137193.47183371824</v>
      </c>
      <c r="H26" s="143">
        <f>C26-G26</f>
        <v>0</v>
      </c>
      <c r="I26" s="132"/>
    </row>
    <row r="27" spans="1:9" ht="15" customHeight="1">
      <c r="A27" s="134" t="s">
        <v>30</v>
      </c>
      <c r="B27" s="136"/>
      <c r="C27" s="130">
        <f>成本汇总!C14</f>
        <v>24304.29206698991</v>
      </c>
      <c r="D27" s="131"/>
      <c r="E27" s="131"/>
      <c r="F27" s="130">
        <f>项目现金流量表!B15</f>
        <v>24304.292066989903</v>
      </c>
      <c r="G27" s="130">
        <f>利润测算!B35</f>
        <v>24304.292066989914</v>
      </c>
      <c r="H27" s="396">
        <f>C27*2-F27-G27</f>
        <v>0</v>
      </c>
      <c r="I27" s="132"/>
    </row>
    <row r="28" spans="1:9" ht="15" customHeight="1">
      <c r="A28" s="398" t="s">
        <v>151</v>
      </c>
      <c r="B28" s="137"/>
      <c r="C28" s="131"/>
      <c r="D28" s="130">
        <f>税费说明表!D10</f>
        <v>11839.522431352661</v>
      </c>
      <c r="E28" s="131"/>
      <c r="F28" s="130"/>
      <c r="G28" s="130">
        <f>利润测算!B37</f>
        <v>11839.522431352667</v>
      </c>
      <c r="H28" s="397">
        <f>D28-G28</f>
        <v>0</v>
      </c>
      <c r="I28" s="132"/>
    </row>
    <row r="29" spans="1:9" ht="15" customHeight="1">
      <c r="A29" s="398" t="s">
        <v>178</v>
      </c>
      <c r="B29" s="137"/>
      <c r="C29" s="131">
        <f>成本汇总!C20</f>
        <v>0</v>
      </c>
      <c r="D29" s="130"/>
      <c r="E29" s="131"/>
      <c r="F29" s="130">
        <f>项目现金流量表!B16</f>
        <v>0</v>
      </c>
      <c r="G29" s="130">
        <f>利润测算!B42</f>
        <v>0</v>
      </c>
      <c r="H29" s="397">
        <f>C29*2-F29-G29</f>
        <v>0</v>
      </c>
      <c r="I29" s="132"/>
    </row>
    <row r="30" spans="1:9" ht="15" customHeight="1">
      <c r="A30" s="399" t="s">
        <v>152</v>
      </c>
      <c r="B30" s="138"/>
      <c r="C30" s="131"/>
      <c r="D30" s="130">
        <f>税费说明表!D13</f>
        <v>8064.942045855586</v>
      </c>
      <c r="E30" s="131"/>
      <c r="F30" s="130">
        <f>项目现金流量表!B17</f>
        <v>8064.942045855586</v>
      </c>
      <c r="G30" s="130">
        <f>利润测算!B44</f>
        <v>8064.942045855586</v>
      </c>
      <c r="H30" s="396">
        <f>D30*2-F30-G30</f>
        <v>0</v>
      </c>
      <c r="I30" s="132"/>
    </row>
    <row r="31" spans="1:9" ht="15" customHeight="1">
      <c r="A31" s="398" t="s">
        <v>161</v>
      </c>
      <c r="B31" s="137"/>
      <c r="C31" s="131"/>
      <c r="D31" s="131"/>
      <c r="E31" s="131"/>
      <c r="F31" s="394">
        <f>F32+F30</f>
        <v>53766.280305703905</v>
      </c>
      <c r="G31" s="152">
        <f>利润测算!B43</f>
        <v>53766.280305703913</v>
      </c>
      <c r="H31" s="397">
        <f>F31-G31</f>
        <v>0</v>
      </c>
      <c r="I31" s="132"/>
    </row>
    <row r="32" spans="1:9" ht="15" customHeight="1">
      <c r="A32" s="139" t="s">
        <v>153</v>
      </c>
      <c r="B32" s="140"/>
      <c r="C32" s="131"/>
      <c r="D32" s="131"/>
      <c r="E32" s="131"/>
      <c r="F32" s="152">
        <f>F35-F36</f>
        <v>45701.338259848322</v>
      </c>
      <c r="G32" s="152">
        <f>利润测算!B45</f>
        <v>45701.338259848315</v>
      </c>
      <c r="H32" s="397">
        <f>F32-G32</f>
        <v>0</v>
      </c>
      <c r="I32" s="132"/>
    </row>
    <row r="33" spans="1:9" ht="15" customHeight="1">
      <c r="A33" s="22" t="s">
        <v>154</v>
      </c>
      <c r="B33" s="126"/>
      <c r="C33" s="132"/>
      <c r="D33" s="132"/>
      <c r="E33" s="132"/>
      <c r="F33" s="141">
        <f>项目现金流量表!B8</f>
        <v>215264.04420641204</v>
      </c>
      <c r="G33" s="152">
        <f>利润测算!B15</f>
        <v>215264.04420641204</v>
      </c>
      <c r="H33" s="397">
        <f>F33-G33</f>
        <v>0</v>
      </c>
      <c r="I33" s="132"/>
    </row>
    <row r="34" spans="1:9" ht="15" customHeight="1">
      <c r="A34" s="22" t="s">
        <v>155</v>
      </c>
      <c r="B34" s="126"/>
      <c r="C34" s="132"/>
      <c r="D34" s="132"/>
      <c r="E34" s="132"/>
      <c r="F34" s="142">
        <f>项目现金流量表!B18</f>
        <v>164858.70594656374</v>
      </c>
      <c r="G34" s="152">
        <f>G26+G27+G30+G29</f>
        <v>169562.70594656374</v>
      </c>
      <c r="H34" s="397">
        <f>F34+F36-G34</f>
        <v>0</v>
      </c>
      <c r="I34" s="132"/>
    </row>
    <row r="35" spans="1:9" ht="15" customHeight="1">
      <c r="A35" s="22" t="s">
        <v>156</v>
      </c>
      <c r="B35" s="126"/>
      <c r="C35" s="132"/>
      <c r="D35" s="132"/>
      <c r="E35" s="132"/>
      <c r="F35" s="142">
        <f>项目现金流量表!B21</f>
        <v>50405.338259848322</v>
      </c>
      <c r="G35" s="132"/>
      <c r="H35" s="397"/>
      <c r="I35" s="132"/>
    </row>
    <row r="36" spans="1:9" ht="15" customHeight="1">
      <c r="A36" s="22" t="s">
        <v>157</v>
      </c>
      <c r="B36" s="126"/>
      <c r="C36" s="142">
        <f>投资估算表!G17+投资估算表!G66+投资估算表!G70</f>
        <v>4704</v>
      </c>
      <c r="D36" s="132"/>
      <c r="E36" s="132"/>
      <c r="F36" s="142">
        <f>项目现金流量表!B22</f>
        <v>4704</v>
      </c>
      <c r="G36" s="132"/>
      <c r="H36" s="143">
        <f>C36-F36</f>
        <v>0</v>
      </c>
      <c r="I36" s="132"/>
    </row>
    <row r="37" spans="1:9">
      <c r="A37" s="735" t="s">
        <v>158</v>
      </c>
      <c r="B37" s="736"/>
      <c r="C37" s="736"/>
      <c r="D37" s="736"/>
      <c r="E37" s="736"/>
      <c r="F37" s="736"/>
      <c r="G37" s="737"/>
      <c r="H37" s="143">
        <f>SUM(H4:H36)</f>
        <v>0</v>
      </c>
      <c r="I37" s="132"/>
    </row>
  </sheetData>
  <mergeCells count="2">
    <mergeCell ref="A1:F1"/>
    <mergeCell ref="A37:G37"/>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K39"/>
  <sheetViews>
    <sheetView workbookViewId="0">
      <selection activeCell="J16" sqref="J16"/>
    </sheetView>
  </sheetViews>
  <sheetFormatPr defaultRowHeight="20.100000000000001" customHeight="1"/>
  <cols>
    <col min="1" max="1" width="21" style="117" customWidth="1"/>
    <col min="2" max="2" width="11.625" style="116" customWidth="1"/>
    <col min="3" max="3" width="13.875" style="117" customWidth="1"/>
    <col min="4" max="4" width="15.375" style="117" customWidth="1"/>
    <col min="5" max="8" width="11.625" style="117" customWidth="1"/>
    <col min="9" max="16384" width="9" style="117"/>
  </cols>
  <sheetData>
    <row r="1" spans="1:11" ht="18.75" customHeight="1">
      <c r="A1" s="747" t="s">
        <v>316</v>
      </c>
      <c r="B1" s="748"/>
      <c r="C1" s="748"/>
      <c r="D1" s="748"/>
      <c r="E1" s="748"/>
      <c r="F1" s="369" t="s">
        <v>352</v>
      </c>
    </row>
    <row r="2" spans="1:11" ht="17.25" customHeight="1">
      <c r="A2" s="663" t="s">
        <v>315</v>
      </c>
      <c r="B2" s="749"/>
      <c r="C2" s="750"/>
      <c r="D2" s="750"/>
      <c r="E2" s="750"/>
      <c r="F2" s="750"/>
      <c r="G2" s="750"/>
      <c r="H2" s="751"/>
    </row>
    <row r="3" spans="1:11" s="349" customFormat="1" ht="20.100000000000001" customHeight="1">
      <c r="A3" s="659" t="s">
        <v>604</v>
      </c>
      <c r="B3" s="348" t="s">
        <v>126</v>
      </c>
      <c r="C3" s="744" t="s">
        <v>423</v>
      </c>
      <c r="D3" s="744"/>
      <c r="E3" s="744" t="s">
        <v>127</v>
      </c>
      <c r="F3" s="744"/>
      <c r="G3" s="744"/>
      <c r="H3" s="744"/>
    </row>
    <row r="4" spans="1:11" ht="17.25" customHeight="1">
      <c r="A4" s="360" t="s">
        <v>128</v>
      </c>
      <c r="B4" s="361"/>
      <c r="C4" s="741"/>
      <c r="D4" s="742"/>
      <c r="E4" s="741"/>
      <c r="F4" s="743"/>
      <c r="G4" s="743"/>
      <c r="H4" s="742"/>
      <c r="I4" s="351"/>
      <c r="J4" s="351"/>
      <c r="K4" s="351"/>
    </row>
    <row r="5" spans="1:11" ht="20.100000000000001" customHeight="1">
      <c r="A5" s="352" t="s">
        <v>616</v>
      </c>
      <c r="B5" s="350">
        <f>项目现金流量表!B23</f>
        <v>0.41011030566490986</v>
      </c>
      <c r="C5" s="738" t="s">
        <v>129</v>
      </c>
      <c r="D5" s="739"/>
      <c r="E5" s="738"/>
      <c r="F5" s="740"/>
      <c r="G5" s="740"/>
      <c r="H5" s="739"/>
    </row>
    <row r="6" spans="1:11" ht="19.5" customHeight="1">
      <c r="A6" s="352" t="s">
        <v>617</v>
      </c>
      <c r="B6" s="350">
        <f>利润测算!B52</f>
        <v>0.2123036312373017</v>
      </c>
      <c r="C6" s="738" t="s">
        <v>312</v>
      </c>
      <c r="D6" s="739"/>
      <c r="E6" s="738" t="s">
        <v>136</v>
      </c>
      <c r="F6" s="740"/>
      <c r="G6" s="740"/>
      <c r="H6" s="739"/>
    </row>
    <row r="7" spans="1:11" ht="19.5" customHeight="1">
      <c r="A7" s="352" t="s">
        <v>344</v>
      </c>
      <c r="B7" s="350">
        <f>利润测算!B54</f>
        <v>1.6926421577721598</v>
      </c>
      <c r="C7" s="738" t="s">
        <v>313</v>
      </c>
      <c r="D7" s="739"/>
      <c r="E7" s="738"/>
      <c r="F7" s="740"/>
      <c r="G7" s="740"/>
      <c r="H7" s="739"/>
    </row>
    <row r="8" spans="1:11" ht="17.25" customHeight="1">
      <c r="A8" s="360" t="s">
        <v>130</v>
      </c>
      <c r="B8" s="361"/>
      <c r="C8" s="741"/>
      <c r="D8" s="742"/>
      <c r="E8" s="741"/>
      <c r="F8" s="743"/>
      <c r="G8" s="743"/>
      <c r="H8" s="742"/>
      <c r="I8" s="351"/>
      <c r="J8" s="351"/>
      <c r="K8" s="351"/>
    </row>
    <row r="9" spans="1:11" ht="17.25" customHeight="1">
      <c r="A9" s="352" t="s">
        <v>615</v>
      </c>
      <c r="B9" s="353">
        <f>利润测算!B50</f>
        <v>1361.5127593656759</v>
      </c>
      <c r="C9" s="745" t="s">
        <v>131</v>
      </c>
      <c r="D9" s="746"/>
      <c r="E9" s="738"/>
      <c r="F9" s="740"/>
      <c r="G9" s="740"/>
      <c r="H9" s="739"/>
    </row>
    <row r="10" spans="1:11" ht="17.25" customHeight="1">
      <c r="A10" s="352" t="s">
        <v>618</v>
      </c>
      <c r="B10" s="353">
        <f>利润测算!B45</f>
        <v>45701.338259848315</v>
      </c>
      <c r="C10" s="738" t="s">
        <v>619</v>
      </c>
      <c r="D10" s="739"/>
      <c r="E10" s="621"/>
      <c r="F10" s="620"/>
      <c r="G10" s="620"/>
      <c r="H10" s="619"/>
    </row>
    <row r="11" spans="1:11" ht="15.75" customHeight="1">
      <c r="A11" s="354" t="s">
        <v>621</v>
      </c>
      <c r="B11" s="350">
        <f>利润测算!B51</f>
        <v>0.24976897792623737</v>
      </c>
      <c r="C11" s="738" t="s">
        <v>137</v>
      </c>
      <c r="D11" s="739"/>
      <c r="E11" s="738" t="s">
        <v>138</v>
      </c>
      <c r="F11" s="740"/>
      <c r="G11" s="740"/>
      <c r="H11" s="739"/>
      <c r="I11" s="351"/>
      <c r="J11" s="351"/>
      <c r="K11" s="351"/>
    </row>
    <row r="12" spans="1:11" ht="15.75" customHeight="1">
      <c r="A12" s="445" t="s">
        <v>622</v>
      </c>
      <c r="B12" s="350">
        <f>B7/项目现金流量表!A1*4</f>
        <v>0.45137124207257595</v>
      </c>
      <c r="C12" s="738" t="s">
        <v>737</v>
      </c>
      <c r="D12" s="739"/>
      <c r="E12" s="738"/>
      <c r="F12" s="740"/>
      <c r="G12" s="740"/>
      <c r="H12" s="739"/>
      <c r="I12" s="351"/>
      <c r="J12" s="351"/>
      <c r="K12" s="351"/>
    </row>
    <row r="13" spans="1:11" ht="16.5" customHeight="1">
      <c r="A13" s="354" t="s">
        <v>623</v>
      </c>
      <c r="B13" s="443">
        <f>项目现金流量表!B24</f>
        <v>-55479.205079421678</v>
      </c>
      <c r="C13" s="738" t="s">
        <v>424</v>
      </c>
      <c r="D13" s="739"/>
      <c r="E13" s="738" t="s">
        <v>343</v>
      </c>
      <c r="F13" s="740"/>
      <c r="G13" s="740"/>
      <c r="H13" s="739"/>
    </row>
    <row r="14" spans="1:11" ht="16.5" customHeight="1">
      <c r="A14" s="354" t="s">
        <v>624</v>
      </c>
      <c r="B14" s="443" t="str">
        <f>项目现金流量表!B26</f>
        <v>第3年2季度</v>
      </c>
      <c r="C14" s="738" t="s">
        <v>425</v>
      </c>
      <c r="D14" s="739"/>
      <c r="E14" s="738"/>
      <c r="F14" s="740"/>
      <c r="G14" s="740"/>
      <c r="H14" s="739"/>
    </row>
    <row r="15" spans="1:11" ht="17.25" customHeight="1">
      <c r="A15" s="354" t="s">
        <v>625</v>
      </c>
      <c r="B15" s="350">
        <f>项目现金流量表!B27</f>
        <v>0.9111865108743834</v>
      </c>
      <c r="C15" s="744" t="s">
        <v>132</v>
      </c>
      <c r="D15" s="744"/>
      <c r="E15" s="752">
        <f>假设条件及经济指标!E19</f>
        <v>0.1</v>
      </c>
      <c r="F15" s="752"/>
      <c r="G15" s="752"/>
      <c r="H15" s="752"/>
    </row>
    <row r="16" spans="1:11" ht="16.5" customHeight="1">
      <c r="A16" s="657" t="s">
        <v>626</v>
      </c>
      <c r="B16" s="658"/>
      <c r="C16" s="658"/>
      <c r="D16" s="658"/>
      <c r="E16" s="658"/>
      <c r="F16" s="658"/>
      <c r="G16" s="658"/>
      <c r="H16" s="658"/>
    </row>
    <row r="17" spans="1:8" ht="16.5" customHeight="1">
      <c r="A17" s="659" t="s">
        <v>605</v>
      </c>
      <c r="B17" s="348" t="s">
        <v>126</v>
      </c>
      <c r="C17" s="744" t="s">
        <v>423</v>
      </c>
      <c r="D17" s="744"/>
      <c r="E17" s="744" t="s">
        <v>127</v>
      </c>
      <c r="F17" s="744"/>
      <c r="G17" s="744"/>
      <c r="H17" s="744"/>
    </row>
    <row r="18" spans="1:8" ht="16.5" customHeight="1">
      <c r="A18" s="360" t="s">
        <v>128</v>
      </c>
      <c r="B18" s="361"/>
      <c r="C18" s="741"/>
      <c r="D18" s="742"/>
      <c r="E18" s="741"/>
      <c r="F18" s="743"/>
      <c r="G18" s="743"/>
      <c r="H18" s="742"/>
    </row>
    <row r="19" spans="1:8" ht="16.5" customHeight="1">
      <c r="A19" s="352" t="s">
        <v>616</v>
      </c>
      <c r="B19" s="350">
        <f>沿海现金流量表!B23</f>
        <v>0.41011030566490986</v>
      </c>
      <c r="C19" s="738" t="s">
        <v>129</v>
      </c>
      <c r="D19" s="739"/>
      <c r="E19" s="738"/>
      <c r="F19" s="740"/>
      <c r="G19" s="740"/>
      <c r="H19" s="739"/>
    </row>
    <row r="20" spans="1:8" ht="16.5" customHeight="1">
      <c r="A20" s="352" t="s">
        <v>652</v>
      </c>
      <c r="B20" s="350">
        <f>利润测算!B55</f>
        <v>1.6926421577721598</v>
      </c>
      <c r="C20" s="738" t="s">
        <v>613</v>
      </c>
      <c r="D20" s="739"/>
      <c r="E20" s="738"/>
      <c r="F20" s="740"/>
      <c r="G20" s="740"/>
      <c r="H20" s="739"/>
    </row>
    <row r="21" spans="1:8" ht="16.5" customHeight="1">
      <c r="A21" s="360" t="s">
        <v>130</v>
      </c>
      <c r="B21" s="361"/>
      <c r="C21" s="741"/>
      <c r="D21" s="742"/>
      <c r="E21" s="741"/>
      <c r="F21" s="743"/>
      <c r="G21" s="743"/>
      <c r="H21" s="742"/>
    </row>
    <row r="22" spans="1:8" ht="16.5" customHeight="1">
      <c r="A22" s="352" t="s">
        <v>653</v>
      </c>
      <c r="B22" s="353">
        <f>利润测算!B46</f>
        <v>45701.338259848315</v>
      </c>
      <c r="C22" s="738" t="s">
        <v>620</v>
      </c>
      <c r="D22" s="739"/>
      <c r="E22" s="621"/>
      <c r="F22" s="620"/>
      <c r="G22" s="620"/>
      <c r="H22" s="619"/>
    </row>
    <row r="23" spans="1:8" ht="16.5" customHeight="1">
      <c r="A23" s="445" t="s">
        <v>654</v>
      </c>
      <c r="B23" s="350">
        <f>B20/项目现金流量表!A1*4</f>
        <v>0.45137124207257595</v>
      </c>
      <c r="C23" s="738" t="s">
        <v>738</v>
      </c>
      <c r="D23" s="739"/>
      <c r="E23" s="738"/>
      <c r="F23" s="740"/>
      <c r="G23" s="740"/>
      <c r="H23" s="739"/>
    </row>
    <row r="24" spans="1:8" ht="16.5" customHeight="1">
      <c r="A24" s="678"/>
      <c r="B24" s="679"/>
      <c r="C24" s="680"/>
      <c r="D24" s="680"/>
      <c r="E24" s="680"/>
      <c r="F24" s="680"/>
      <c r="G24" s="680"/>
      <c r="H24" s="680"/>
    </row>
    <row r="25" spans="1:8" ht="16.5" customHeight="1">
      <c r="A25" s="659" t="s">
        <v>656</v>
      </c>
      <c r="B25" s="348" t="s">
        <v>126</v>
      </c>
      <c r="C25" s="738" t="s">
        <v>423</v>
      </c>
      <c r="D25" s="739"/>
      <c r="E25" s="738" t="s">
        <v>127</v>
      </c>
      <c r="F25" s="740"/>
      <c r="G25" s="740"/>
      <c r="H25" s="739"/>
    </row>
    <row r="26" spans="1:8" ht="16.5" customHeight="1">
      <c r="A26" s="360" t="s">
        <v>128</v>
      </c>
      <c r="B26" s="361"/>
      <c r="C26" s="741"/>
      <c r="D26" s="742"/>
      <c r="E26" s="741"/>
      <c r="F26" s="743"/>
      <c r="G26" s="743"/>
      <c r="H26" s="742"/>
    </row>
    <row r="27" spans="1:8" ht="16.5" customHeight="1">
      <c r="A27" s="352" t="s">
        <v>616</v>
      </c>
      <c r="B27" s="350">
        <f>合作方现金流量表!B22</f>
        <v>0</v>
      </c>
      <c r="C27" s="738" t="s">
        <v>129</v>
      </c>
      <c r="D27" s="739"/>
      <c r="E27" s="738"/>
      <c r="F27" s="740"/>
      <c r="G27" s="740"/>
      <c r="H27" s="739"/>
    </row>
    <row r="28" spans="1:8" ht="16.5" customHeight="1">
      <c r="A28" s="352" t="s">
        <v>652</v>
      </c>
      <c r="B28" s="350">
        <f>利润测算!B56</f>
        <v>0</v>
      </c>
      <c r="C28" s="738" t="s">
        <v>613</v>
      </c>
      <c r="D28" s="739"/>
      <c r="E28" s="738"/>
      <c r="F28" s="740"/>
      <c r="G28" s="740"/>
      <c r="H28" s="739"/>
    </row>
    <row r="29" spans="1:8" ht="16.5" customHeight="1">
      <c r="A29" s="360" t="s">
        <v>130</v>
      </c>
      <c r="B29" s="361"/>
      <c r="C29" s="741"/>
      <c r="D29" s="742"/>
      <c r="E29" s="741"/>
      <c r="F29" s="743"/>
      <c r="G29" s="743"/>
      <c r="H29" s="742"/>
    </row>
    <row r="30" spans="1:8" ht="16.5" customHeight="1">
      <c r="A30" s="352" t="s">
        <v>655</v>
      </c>
      <c r="B30" s="353">
        <f>利润测算!B47</f>
        <v>0</v>
      </c>
      <c r="C30" s="738" t="s">
        <v>620</v>
      </c>
      <c r="D30" s="739"/>
      <c r="E30" s="621"/>
      <c r="F30" s="620"/>
      <c r="G30" s="620"/>
      <c r="H30" s="619"/>
    </row>
    <row r="31" spans="1:8" ht="16.5" customHeight="1">
      <c r="A31" s="445" t="s">
        <v>654</v>
      </c>
      <c r="B31" s="350">
        <f>B28/项目现金流量表!A1*4</f>
        <v>0</v>
      </c>
      <c r="C31" s="738" t="s">
        <v>738</v>
      </c>
      <c r="D31" s="739"/>
      <c r="E31" s="738"/>
      <c r="F31" s="740"/>
      <c r="G31" s="740"/>
      <c r="H31" s="739"/>
    </row>
    <row r="32" spans="1:8" ht="20.100000000000001" customHeight="1">
      <c r="A32" s="355" t="s">
        <v>133</v>
      </c>
    </row>
    <row r="33" spans="1:6" ht="15.75" customHeight="1">
      <c r="B33" s="116" t="s">
        <v>134</v>
      </c>
    </row>
    <row r="34" spans="1:6" ht="17.25" customHeight="1">
      <c r="B34" s="356" t="s">
        <v>309</v>
      </c>
    </row>
    <row r="35" spans="1:6" ht="17.25" customHeight="1">
      <c r="B35" s="357" t="s">
        <v>345</v>
      </c>
    </row>
    <row r="36" spans="1:6" ht="21.75" customHeight="1">
      <c r="A36" s="407" t="s">
        <v>311</v>
      </c>
      <c r="E36" s="406" t="s">
        <v>346</v>
      </c>
      <c r="F36" s="358" t="s">
        <v>135</v>
      </c>
    </row>
    <row r="37" spans="1:6" ht="17.25" customHeight="1"/>
    <row r="38" spans="1:6" ht="20.100000000000001" customHeight="1">
      <c r="B38" s="359"/>
    </row>
    <row r="39" spans="1:6" ht="20.100000000000001" customHeight="1">
      <c r="B39" s="117"/>
    </row>
  </sheetData>
  <protectedRanges>
    <protectedRange sqref="B2 E15 A36 E36" name="区域1"/>
  </protectedRanges>
  <mergeCells count="53">
    <mergeCell ref="C5:D5"/>
    <mergeCell ref="C15:D15"/>
    <mergeCell ref="E9:H9"/>
    <mergeCell ref="E11:H11"/>
    <mergeCell ref="E13:H13"/>
    <mergeCell ref="E15:H15"/>
    <mergeCell ref="E12:H12"/>
    <mergeCell ref="E14:H14"/>
    <mergeCell ref="C14:D14"/>
    <mergeCell ref="C8:D8"/>
    <mergeCell ref="A1:E1"/>
    <mergeCell ref="B2:H2"/>
    <mergeCell ref="E8:H8"/>
    <mergeCell ref="C6:D6"/>
    <mergeCell ref="C3:D3"/>
    <mergeCell ref="C4:D4"/>
    <mergeCell ref="E3:H3"/>
    <mergeCell ref="E4:H4"/>
    <mergeCell ref="E5:H5"/>
    <mergeCell ref="E6:H6"/>
    <mergeCell ref="E20:H20"/>
    <mergeCell ref="E7:H7"/>
    <mergeCell ref="C7:D7"/>
    <mergeCell ref="C17:D17"/>
    <mergeCell ref="E17:H17"/>
    <mergeCell ref="C10:D10"/>
    <mergeCell ref="C13:D13"/>
    <mergeCell ref="C12:D12"/>
    <mergeCell ref="C11:D11"/>
    <mergeCell ref="C9:D9"/>
    <mergeCell ref="C22:D22"/>
    <mergeCell ref="C25:D25"/>
    <mergeCell ref="E25:H25"/>
    <mergeCell ref="C21:D21"/>
    <mergeCell ref="C18:D18"/>
    <mergeCell ref="E18:H18"/>
    <mergeCell ref="C19:D19"/>
    <mergeCell ref="E19:H19"/>
    <mergeCell ref="E21:H21"/>
    <mergeCell ref="C20:D20"/>
    <mergeCell ref="C26:D26"/>
    <mergeCell ref="E26:H26"/>
    <mergeCell ref="C27:D27"/>
    <mergeCell ref="E27:H27"/>
    <mergeCell ref="C23:D23"/>
    <mergeCell ref="E23:H23"/>
    <mergeCell ref="C30:D30"/>
    <mergeCell ref="C31:D31"/>
    <mergeCell ref="E31:H31"/>
    <mergeCell ref="C28:D28"/>
    <mergeCell ref="E28:H28"/>
    <mergeCell ref="C29:D29"/>
    <mergeCell ref="E29:H29"/>
  </mergeCells>
  <phoneticPr fontId="2"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sheetPr codeName="Sheet1"/>
  <dimension ref="A1:H33"/>
  <sheetViews>
    <sheetView workbookViewId="0">
      <selection activeCell="K15" sqref="K15"/>
    </sheetView>
  </sheetViews>
  <sheetFormatPr defaultRowHeight="14.25"/>
  <cols>
    <col min="1" max="1" width="9" style="628"/>
    <col min="2" max="2" width="4.875" style="628" customWidth="1"/>
    <col min="3" max="3" width="17.5" style="628" customWidth="1"/>
    <col min="4" max="4" width="9" style="628"/>
    <col min="5" max="5" width="16.75" style="628" bestFit="1" customWidth="1"/>
    <col min="6" max="6" width="9.125" style="628" customWidth="1"/>
    <col min="7" max="7" width="10.625" style="628" customWidth="1"/>
    <col min="8" max="16384" width="9" style="628"/>
  </cols>
  <sheetData>
    <row r="1" spans="2:8">
      <c r="B1" s="153" t="s">
        <v>692</v>
      </c>
    </row>
    <row r="2" spans="2:8" ht="20.25">
      <c r="B2" s="755" t="s">
        <v>39</v>
      </c>
      <c r="C2" s="755"/>
      <c r="D2" s="755"/>
      <c r="E2" s="755"/>
      <c r="F2" s="755"/>
      <c r="G2" s="626" t="s">
        <v>387</v>
      </c>
      <c r="H2" s="627" t="s">
        <v>388</v>
      </c>
    </row>
    <row r="3" spans="2:8" ht="15">
      <c r="B3" s="759" t="s">
        <v>393</v>
      </c>
      <c r="C3" s="760"/>
      <c r="D3" s="754">
        <f>项目开发强度计算器!C2</f>
        <v>87391.7</v>
      </c>
      <c r="E3" s="754"/>
      <c r="F3" s="754"/>
      <c r="G3" s="126" t="s">
        <v>354</v>
      </c>
      <c r="H3" s="629">
        <f>项目开发强度计算器!C5</f>
        <v>0.31647722859923599</v>
      </c>
    </row>
    <row r="4" spans="2:8" ht="15" customHeight="1">
      <c r="B4" s="761" t="s">
        <v>355</v>
      </c>
      <c r="C4" s="762"/>
      <c r="D4" s="630">
        <f>项目开发强度计算器!C6</f>
        <v>391803.76864661655</v>
      </c>
      <c r="E4" s="631" t="s">
        <v>392</v>
      </c>
      <c r="F4" s="622">
        <f>项目开发强度计算器!C3</f>
        <v>3.5</v>
      </c>
      <c r="G4" s="126" t="s">
        <v>414</v>
      </c>
      <c r="H4" s="632">
        <f>项目开发强度计算器!C4</f>
        <v>0.33352277140076408</v>
      </c>
    </row>
    <row r="5" spans="2:8" ht="15" customHeight="1">
      <c r="B5" s="764" t="s">
        <v>356</v>
      </c>
      <c r="C5" s="765"/>
      <c r="D5" s="630">
        <f>项目开发强度计算器!C7</f>
        <v>305870.95</v>
      </c>
      <c r="E5" s="633" t="s">
        <v>357</v>
      </c>
      <c r="F5" s="634">
        <f>项目开发强度计算器!C20</f>
        <v>85932.818646616535</v>
      </c>
      <c r="G5" s="126" t="s">
        <v>358</v>
      </c>
      <c r="H5" s="30">
        <f>E15+E16+E30</f>
        <v>335665.88300751883</v>
      </c>
    </row>
    <row r="6" spans="2:8" ht="6" customHeight="1">
      <c r="B6" s="757"/>
      <c r="C6" s="757"/>
      <c r="D6" s="757"/>
      <c r="E6" s="757"/>
      <c r="F6" s="757"/>
      <c r="G6" s="758"/>
      <c r="H6" s="758"/>
    </row>
    <row r="7" spans="2:8" ht="15.75" customHeight="1">
      <c r="B7" s="753" t="s">
        <v>359</v>
      </c>
      <c r="C7" s="763"/>
      <c r="D7" s="636" t="s">
        <v>360</v>
      </c>
      <c r="E7" s="636" t="s">
        <v>361</v>
      </c>
      <c r="F7" s="636" t="s">
        <v>362</v>
      </c>
      <c r="G7" s="636" t="s">
        <v>363</v>
      </c>
      <c r="H7" s="636" t="s">
        <v>364</v>
      </c>
    </row>
    <row r="8" spans="2:8" ht="14.25" customHeight="1">
      <c r="B8" s="753" t="s">
        <v>365</v>
      </c>
      <c r="C8" s="635" t="s">
        <v>31</v>
      </c>
      <c r="D8" s="638">
        <f>项目开发强度计算器!D10</f>
        <v>0</v>
      </c>
      <c r="E8" s="694"/>
      <c r="F8" s="639">
        <f t="shared" ref="F8:F14" si="0">IF(D$15=0,0,D8/D$15)</f>
        <v>0</v>
      </c>
      <c r="G8" s="694"/>
      <c r="H8" s="640">
        <f>IF(G8=0,0,E8/G8)</f>
        <v>0</v>
      </c>
    </row>
    <row r="9" spans="2:8">
      <c r="B9" s="763"/>
      <c r="C9" s="635" t="s">
        <v>446</v>
      </c>
      <c r="D9" s="638">
        <f>项目开发强度计算器!D11</f>
        <v>0</v>
      </c>
      <c r="E9" s="694"/>
      <c r="F9" s="639">
        <f t="shared" si="0"/>
        <v>0</v>
      </c>
      <c r="G9" s="694"/>
      <c r="H9" s="640">
        <f t="shared" ref="H9:H14" si="1">IF(G9=0,0,E9/G9)</f>
        <v>0</v>
      </c>
    </row>
    <row r="10" spans="2:8">
      <c r="B10" s="763"/>
      <c r="C10" s="635" t="s">
        <v>658</v>
      </c>
      <c r="D10" s="638">
        <f>项目开发强度计算器!D12</f>
        <v>138849.73684210528</v>
      </c>
      <c r="E10" s="694">
        <f>D10</f>
        <v>138849.73684210528</v>
      </c>
      <c r="F10" s="639">
        <f t="shared" si="0"/>
        <v>0.5</v>
      </c>
      <c r="G10" s="694">
        <v>90</v>
      </c>
      <c r="H10" s="640">
        <f t="shared" si="1"/>
        <v>1542.7748538011697</v>
      </c>
    </row>
    <row r="11" spans="2:8" ht="14.25" customHeight="1">
      <c r="B11" s="763"/>
      <c r="C11" s="635" t="s">
        <v>659</v>
      </c>
      <c r="D11" s="638">
        <f>项目开发强度计算器!D13</f>
        <v>97194.815789473694</v>
      </c>
      <c r="E11" s="694">
        <f>D11</f>
        <v>97194.815789473694</v>
      </c>
      <c r="F11" s="639">
        <f t="shared" si="0"/>
        <v>0.35</v>
      </c>
      <c r="G11" s="694">
        <v>85</v>
      </c>
      <c r="H11" s="640">
        <f t="shared" si="1"/>
        <v>1143.4684210526316</v>
      </c>
    </row>
    <row r="12" spans="2:8" ht="14.25" customHeight="1">
      <c r="B12" s="763"/>
      <c r="C12" s="635" t="s">
        <v>449</v>
      </c>
      <c r="D12" s="638">
        <f>项目开发强度计算器!D14</f>
        <v>41654.92105263158</v>
      </c>
      <c r="E12" s="694">
        <f>D12</f>
        <v>41654.92105263158</v>
      </c>
      <c r="F12" s="639">
        <f t="shared" si="0"/>
        <v>0.15</v>
      </c>
      <c r="G12" s="694">
        <v>140</v>
      </c>
      <c r="H12" s="640">
        <f t="shared" si="1"/>
        <v>297.53515037593985</v>
      </c>
    </row>
    <row r="13" spans="2:8" ht="14.25" customHeight="1">
      <c r="B13" s="763"/>
      <c r="C13" s="635" t="s">
        <v>450</v>
      </c>
      <c r="D13" s="638">
        <f>项目开发强度计算器!D15</f>
        <v>0</v>
      </c>
      <c r="E13" s="694"/>
      <c r="F13" s="639">
        <f t="shared" si="0"/>
        <v>0</v>
      </c>
      <c r="G13" s="694"/>
      <c r="H13" s="640">
        <f t="shared" si="1"/>
        <v>0</v>
      </c>
    </row>
    <row r="14" spans="2:8" ht="14.25" customHeight="1">
      <c r="B14" s="763"/>
      <c r="C14" s="635" t="s">
        <v>451</v>
      </c>
      <c r="D14" s="638">
        <f>项目开发强度计算器!D16</f>
        <v>0</v>
      </c>
      <c r="E14" s="694"/>
      <c r="F14" s="639">
        <f t="shared" si="0"/>
        <v>0</v>
      </c>
      <c r="G14" s="694"/>
      <c r="H14" s="640">
        <f t="shared" si="1"/>
        <v>0</v>
      </c>
    </row>
    <row r="15" spans="2:8" ht="14.25" customHeight="1">
      <c r="B15" s="763"/>
      <c r="C15" s="641" t="s">
        <v>67</v>
      </c>
      <c r="D15" s="642">
        <f>SUM(D8:D14)</f>
        <v>277699.47368421056</v>
      </c>
      <c r="E15" s="642">
        <f>SUM(E8:E14)</f>
        <v>277699.47368421056</v>
      </c>
      <c r="F15" s="639">
        <f>SUM(F8:F14)</f>
        <v>1</v>
      </c>
      <c r="G15" s="694"/>
      <c r="H15" s="642">
        <f>SUM(H8:H14)</f>
        <v>2983.7784252297411</v>
      </c>
    </row>
    <row r="16" spans="2:8" ht="14.25" customHeight="1">
      <c r="B16" s="635" t="s">
        <v>43</v>
      </c>
      <c r="C16" s="635" t="s">
        <v>43</v>
      </c>
      <c r="D16" s="479">
        <v>15000</v>
      </c>
      <c r="E16" s="694">
        <f>D16</f>
        <v>15000</v>
      </c>
      <c r="F16" s="639"/>
      <c r="G16" s="638"/>
      <c r="H16" s="638"/>
    </row>
    <row r="17" spans="2:8" ht="15" customHeight="1">
      <c r="B17" s="753" t="s">
        <v>390</v>
      </c>
      <c r="C17" s="643" t="s">
        <v>452</v>
      </c>
      <c r="D17" s="644"/>
      <c r="E17" s="638"/>
      <c r="F17" s="645"/>
      <c r="G17" s="132"/>
      <c r="H17" s="132"/>
    </row>
    <row r="18" spans="2:8" ht="15" customHeight="1">
      <c r="B18" s="753"/>
      <c r="C18" s="643" t="s">
        <v>453</v>
      </c>
      <c r="D18" s="644"/>
      <c r="E18" s="638"/>
      <c r="F18" s="645"/>
      <c r="G18" s="132"/>
      <c r="H18" s="132"/>
    </row>
    <row r="19" spans="2:8" ht="15" customHeight="1">
      <c r="B19" s="753"/>
      <c r="C19" s="643" t="s">
        <v>454</v>
      </c>
      <c r="D19" s="644"/>
      <c r="E19" s="638"/>
      <c r="F19" s="645"/>
      <c r="G19" s="132"/>
      <c r="H19" s="132"/>
    </row>
    <row r="20" spans="2:8" ht="15" customHeight="1">
      <c r="B20" s="753"/>
      <c r="C20" s="643" t="s">
        <v>455</v>
      </c>
      <c r="D20" s="644"/>
      <c r="E20" s="638"/>
      <c r="F20" s="645"/>
      <c r="G20" s="132"/>
      <c r="H20" s="132"/>
    </row>
    <row r="21" spans="2:8" ht="15" customHeight="1">
      <c r="B21" s="753"/>
      <c r="C21" s="643" t="s">
        <v>456</v>
      </c>
      <c r="D21" s="644"/>
      <c r="E21" s="638"/>
      <c r="F21" s="645"/>
      <c r="G21" s="132"/>
      <c r="H21" s="132"/>
    </row>
    <row r="22" spans="2:8" ht="15" customHeight="1">
      <c r="B22" s="753"/>
      <c r="C22" s="643" t="s">
        <v>457</v>
      </c>
      <c r="D22" s="644"/>
      <c r="E22" s="638"/>
      <c r="F22" s="645"/>
      <c r="G22" s="132"/>
      <c r="H22" s="132"/>
    </row>
    <row r="23" spans="2:8" ht="15">
      <c r="B23" s="753"/>
      <c r="C23" s="643" t="s">
        <v>458</v>
      </c>
      <c r="D23" s="644"/>
      <c r="E23" s="638"/>
      <c r="F23" s="645"/>
      <c r="G23" s="132"/>
      <c r="H23" s="132"/>
    </row>
    <row r="24" spans="2:8" ht="15" customHeight="1">
      <c r="B24" s="753"/>
      <c r="C24" s="643" t="s">
        <v>459</v>
      </c>
      <c r="D24" s="644"/>
      <c r="E24" s="638"/>
      <c r="F24" s="645"/>
      <c r="G24" s="132"/>
      <c r="H24" s="132"/>
    </row>
    <row r="25" spans="2:8" ht="15" customHeight="1">
      <c r="B25" s="753"/>
      <c r="C25" s="643" t="s">
        <v>460</v>
      </c>
      <c r="D25" s="644"/>
      <c r="E25" s="638"/>
      <c r="F25" s="645"/>
      <c r="G25" s="132"/>
      <c r="H25" s="132"/>
    </row>
    <row r="26" spans="2:8" ht="15" customHeight="1">
      <c r="B26" s="753"/>
      <c r="C26" s="641" t="s">
        <v>67</v>
      </c>
      <c r="D26" s="642">
        <f>项目开发强度计算器!C18</f>
        <v>13171.476315789476</v>
      </c>
      <c r="E26" s="642"/>
      <c r="F26" s="645"/>
      <c r="G26" s="132"/>
      <c r="H26" s="132"/>
    </row>
    <row r="27" spans="2:8" ht="15" customHeight="1">
      <c r="B27" s="756" t="s">
        <v>663</v>
      </c>
      <c r="C27" s="637"/>
      <c r="D27" s="636" t="s">
        <v>360</v>
      </c>
      <c r="E27" s="636" t="s">
        <v>361</v>
      </c>
      <c r="F27" s="636"/>
      <c r="G27" s="636"/>
      <c r="H27" s="646" t="s">
        <v>366</v>
      </c>
    </row>
    <row r="28" spans="2:8" ht="15">
      <c r="B28" s="756"/>
      <c r="C28" s="647" t="s">
        <v>660</v>
      </c>
      <c r="D28" s="648">
        <f>项目开发强度计算器!C20</f>
        <v>85932.818646616535</v>
      </c>
      <c r="E28" s="695">
        <f>D28*假设条件及经济指标!E30</f>
        <v>42966.409323308268</v>
      </c>
      <c r="F28" s="649"/>
      <c r="G28" s="650"/>
      <c r="H28" s="650">
        <f>D28/38</f>
        <v>2261.3899643846457</v>
      </c>
    </row>
    <row r="29" spans="2:8" ht="15">
      <c r="B29" s="756"/>
      <c r="C29" s="647"/>
      <c r="D29" s="634"/>
      <c r="E29" s="649"/>
      <c r="F29" s="650"/>
      <c r="G29" s="650"/>
      <c r="H29" s="650"/>
    </row>
    <row r="30" spans="2:8" s="651" customFormat="1" ht="15.75">
      <c r="B30" s="756"/>
      <c r="C30" s="641" t="s">
        <v>67</v>
      </c>
      <c r="D30" s="652">
        <f>SUM(D28:D29)</f>
        <v>85932.818646616535</v>
      </c>
      <c r="E30" s="652">
        <f>SUM(E28:E29)</f>
        <v>42966.409323308268</v>
      </c>
      <c r="F30" s="652"/>
      <c r="G30" s="652"/>
      <c r="H30" s="652">
        <f>SUM(H28:H29)</f>
        <v>2261.3899643846457</v>
      </c>
    </row>
    <row r="31" spans="2:8" s="651" customFormat="1" ht="15.75">
      <c r="B31" s="653"/>
      <c r="C31" s="654"/>
      <c r="D31" s="655"/>
      <c r="E31" s="655"/>
      <c r="F31" s="655"/>
      <c r="G31" s="655"/>
      <c r="H31" s="655"/>
    </row>
    <row r="32" spans="2:8">
      <c r="B32" s="273"/>
    </row>
    <row r="33" spans="1:1">
      <c r="A33" s="273"/>
    </row>
  </sheetData>
  <protectedRanges>
    <protectedRange sqref="E28:E29 G8:G14 E16 E8:E14" name="区域1"/>
    <protectedRange sqref="D16" name="区域1_1"/>
    <protectedRange sqref="D17:D25" name="区域1_2"/>
    <protectedRange sqref="H3:H4" name="区域1_3"/>
  </protectedRanges>
  <mergeCells count="10">
    <mergeCell ref="B17:B26"/>
    <mergeCell ref="D3:F3"/>
    <mergeCell ref="B2:F2"/>
    <mergeCell ref="B27:B30"/>
    <mergeCell ref="B6:H6"/>
    <mergeCell ref="B3:C3"/>
    <mergeCell ref="B4:C4"/>
    <mergeCell ref="B8:B15"/>
    <mergeCell ref="B5:C5"/>
    <mergeCell ref="B7:C7"/>
  </mergeCells>
  <phoneticPr fontId="2" type="noConversion"/>
  <pageMargins left="0.75" right="0.75" top="1" bottom="1" header="0.5" footer="0.5"/>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P69"/>
  <sheetViews>
    <sheetView workbookViewId="0">
      <selection activeCell="E27" sqref="E27"/>
    </sheetView>
  </sheetViews>
  <sheetFormatPr defaultRowHeight="14.25"/>
  <cols>
    <col min="1" max="1" width="3.75" bestFit="1" customWidth="1"/>
    <col min="2" max="2" width="25.5" customWidth="1"/>
    <col min="3" max="3" width="24.25" customWidth="1"/>
    <col min="4" max="4" width="22.375" customWidth="1"/>
    <col min="5" max="5" width="10.75" customWidth="1"/>
    <col min="6" max="6" width="16.125" customWidth="1"/>
    <col min="7" max="16" width="9" style="391"/>
  </cols>
  <sheetData>
    <row r="1" spans="1:6" ht="21.75" customHeight="1">
      <c r="A1" s="797" t="s">
        <v>347</v>
      </c>
      <c r="B1" s="798"/>
      <c r="C1" s="798"/>
      <c r="D1" s="798"/>
      <c r="E1" s="798"/>
      <c r="F1" s="799"/>
    </row>
    <row r="2" spans="1:6">
      <c r="A2" s="800" t="s">
        <v>353</v>
      </c>
      <c r="B2" s="801"/>
      <c r="C2" s="372">
        <v>87391.7</v>
      </c>
      <c r="D2" s="345" t="s">
        <v>348</v>
      </c>
      <c r="E2" s="802"/>
      <c r="F2" s="802"/>
    </row>
    <row r="3" spans="1:6">
      <c r="A3" s="767" t="s">
        <v>349</v>
      </c>
      <c r="B3" s="768"/>
      <c r="C3" s="372">
        <v>3.5</v>
      </c>
      <c r="D3" s="373" t="s">
        <v>350</v>
      </c>
      <c r="E3" s="803">
        <v>0.8</v>
      </c>
      <c r="F3" s="803"/>
    </row>
    <row r="4" spans="1:6">
      <c r="A4" s="767" t="s">
        <v>351</v>
      </c>
      <c r="B4" s="768"/>
      <c r="C4" s="374">
        <f>(C18/1.7+D15/2.5+D16/2.5+D10/5+D14/5+D11/9.25+D12/15+D13/25.5)/C2</f>
        <v>0.33352277140076408</v>
      </c>
      <c r="D4" s="375" t="s">
        <v>367</v>
      </c>
      <c r="E4" s="795">
        <f>规划指标!H15</f>
        <v>2983.7784252297411</v>
      </c>
      <c r="F4" s="796"/>
    </row>
    <row r="5" spans="1:6">
      <c r="A5" s="773" t="s">
        <v>368</v>
      </c>
      <c r="B5" s="774"/>
      <c r="C5" s="374">
        <f>1-C4-35%</f>
        <v>0.31647722859923599</v>
      </c>
      <c r="D5" s="768" t="s">
        <v>369</v>
      </c>
      <c r="E5" s="376" t="s">
        <v>370</v>
      </c>
      <c r="F5" s="377">
        <f>E4*E3*10%</f>
        <v>238.70227401837928</v>
      </c>
    </row>
    <row r="6" spans="1:6">
      <c r="A6" s="767" t="s">
        <v>371</v>
      </c>
      <c r="B6" s="768"/>
      <c r="C6" s="378">
        <f>C7+C20</f>
        <v>391803.76864661655</v>
      </c>
      <c r="D6" s="768"/>
      <c r="E6" s="379" t="s">
        <v>372</v>
      </c>
      <c r="F6" s="377">
        <f>E4*E3-F5</f>
        <v>2148.3204661654136</v>
      </c>
    </row>
    <row r="7" spans="1:6">
      <c r="A7" s="785" t="s">
        <v>373</v>
      </c>
      <c r="B7" s="786"/>
      <c r="C7" s="787">
        <f>C2*C3</f>
        <v>305870.95</v>
      </c>
      <c r="D7" s="788"/>
      <c r="E7" s="788"/>
      <c r="F7" s="789"/>
    </row>
    <row r="8" spans="1:6">
      <c r="A8" s="767" t="s">
        <v>374</v>
      </c>
      <c r="B8" s="768"/>
      <c r="C8" s="769">
        <f>C7-C18-C17</f>
        <v>277699.47368421056</v>
      </c>
      <c r="D8" s="769"/>
      <c r="E8" s="769"/>
      <c r="F8" s="770"/>
    </row>
    <row r="9" spans="1:6">
      <c r="A9" s="771" t="s">
        <v>375</v>
      </c>
      <c r="B9" s="380" t="s">
        <v>376</v>
      </c>
      <c r="C9" s="381" t="s">
        <v>377</v>
      </c>
      <c r="D9" s="381" t="s">
        <v>378</v>
      </c>
      <c r="E9" s="381" t="s">
        <v>403</v>
      </c>
      <c r="F9" s="382" t="s">
        <v>379</v>
      </c>
    </row>
    <row r="10" spans="1:6">
      <c r="A10" s="772"/>
      <c r="B10" s="129" t="s">
        <v>380</v>
      </c>
      <c r="C10" s="384"/>
      <c r="D10" s="378">
        <f>C8*C10</f>
        <v>0</v>
      </c>
      <c r="E10" s="411">
        <f>D10/5/220</f>
        <v>0</v>
      </c>
      <c r="F10" s="385"/>
    </row>
    <row r="11" spans="1:6">
      <c r="A11" s="772"/>
      <c r="B11" s="129" t="s">
        <v>381</v>
      </c>
      <c r="C11" s="384"/>
      <c r="D11" s="378">
        <f>C8*C11</f>
        <v>0</v>
      </c>
      <c r="E11" s="411">
        <f>D11/9.25/260</f>
        <v>0</v>
      </c>
      <c r="F11" s="385"/>
    </row>
    <row r="12" spans="1:6">
      <c r="A12" s="772"/>
      <c r="B12" s="129" t="s">
        <v>382</v>
      </c>
      <c r="C12" s="384">
        <v>0.5</v>
      </c>
      <c r="D12" s="378">
        <f>C8*C12</f>
        <v>138849.73684210528</v>
      </c>
      <c r="E12" s="411">
        <f>D12/15/350</f>
        <v>26.44756892230577</v>
      </c>
      <c r="F12" s="385"/>
    </row>
    <row r="13" spans="1:6">
      <c r="A13" s="772"/>
      <c r="B13" s="129" t="s">
        <v>383</v>
      </c>
      <c r="C13" s="386">
        <v>0.35</v>
      </c>
      <c r="D13" s="378">
        <f>C8*C13</f>
        <v>97194.815789473694</v>
      </c>
      <c r="E13" s="411">
        <f>D13/25.5/550</f>
        <v>6.9301116427432223</v>
      </c>
      <c r="F13" s="385"/>
    </row>
    <row r="14" spans="1:6">
      <c r="A14" s="383"/>
      <c r="B14" s="129" t="s">
        <v>282</v>
      </c>
      <c r="C14" s="384">
        <v>0.15</v>
      </c>
      <c r="D14" s="378">
        <f>C8*C14</f>
        <v>41654.92105263158</v>
      </c>
      <c r="E14" s="411">
        <f>D14/5/220</f>
        <v>37.868110047846891</v>
      </c>
      <c r="F14" s="385"/>
    </row>
    <row r="15" spans="1:6">
      <c r="A15" s="383"/>
      <c r="B15" s="387" t="s">
        <v>41</v>
      </c>
      <c r="C15" s="384"/>
      <c r="D15" s="378">
        <f>C8*C15</f>
        <v>0</v>
      </c>
      <c r="E15" s="411">
        <f>D15/2.5/80</f>
        <v>0</v>
      </c>
      <c r="F15" s="385"/>
    </row>
    <row r="16" spans="1:6">
      <c r="A16" s="383"/>
      <c r="B16" s="387" t="s">
        <v>42</v>
      </c>
      <c r="C16" s="384"/>
      <c r="D16" s="378">
        <f>C8*C16</f>
        <v>0</v>
      </c>
      <c r="E16" s="411">
        <f>D16/2.5/80</f>
        <v>0</v>
      </c>
      <c r="F16" s="385"/>
    </row>
    <row r="17" spans="1:6">
      <c r="A17" s="773" t="s">
        <v>391</v>
      </c>
      <c r="B17" s="774"/>
      <c r="C17" s="782">
        <f>规划指标!D16</f>
        <v>15000</v>
      </c>
      <c r="D17" s="783"/>
      <c r="E17" s="783"/>
      <c r="F17" s="784"/>
    </row>
    <row r="18" spans="1:6">
      <c r="A18" s="773" t="s">
        <v>384</v>
      </c>
      <c r="B18" s="774"/>
      <c r="C18" s="775">
        <f>C7*1.8/(40+1.8)</f>
        <v>13171.476315789476</v>
      </c>
      <c r="D18" s="775"/>
      <c r="E18" s="775"/>
      <c r="F18" s="776"/>
    </row>
    <row r="19" spans="1:6">
      <c r="A19" s="777" t="s">
        <v>386</v>
      </c>
      <c r="B19" s="778"/>
      <c r="C19" s="779">
        <f>F5*15</f>
        <v>3580.5341102756893</v>
      </c>
      <c r="D19" s="780"/>
      <c r="E19" s="780"/>
      <c r="F19" s="781"/>
    </row>
    <row r="20" spans="1:6" ht="15" thickBot="1">
      <c r="A20" s="790" t="s">
        <v>385</v>
      </c>
      <c r="B20" s="791"/>
      <c r="C20" s="792">
        <f>F6*40</f>
        <v>85932.818646616535</v>
      </c>
      <c r="D20" s="793"/>
      <c r="E20" s="793"/>
      <c r="F20" s="794"/>
    </row>
    <row r="21" spans="1:6">
      <c r="A21" s="389"/>
      <c r="B21" s="389"/>
      <c r="C21" s="390"/>
      <c r="D21" s="390"/>
      <c r="E21" s="390"/>
      <c r="F21" s="390"/>
    </row>
    <row r="22" spans="1:6">
      <c r="A22" s="389" t="s">
        <v>73</v>
      </c>
      <c r="B22" s="389"/>
      <c r="C22" s="390"/>
      <c r="D22" s="390"/>
      <c r="E22" s="390"/>
      <c r="F22" s="390"/>
    </row>
    <row r="23" spans="1:6" s="346" customFormat="1" ht="12">
      <c r="A23" s="392" t="s">
        <v>399</v>
      </c>
      <c r="C23" s="390"/>
      <c r="D23" s="390"/>
      <c r="E23" s="390"/>
      <c r="F23" s="390"/>
    </row>
    <row r="24" spans="1:6" s="346" customFormat="1" ht="12">
      <c r="A24" s="392" t="s">
        <v>400</v>
      </c>
      <c r="C24" s="390"/>
      <c r="D24" s="390"/>
      <c r="E24" s="390"/>
      <c r="F24" s="390"/>
    </row>
    <row r="25" spans="1:6" s="346" customFormat="1" ht="12">
      <c r="A25" s="392" t="s">
        <v>401</v>
      </c>
      <c r="C25" s="390"/>
      <c r="D25" s="390"/>
      <c r="E25" s="390"/>
      <c r="F25" s="390"/>
    </row>
    <row r="26" spans="1:6" s="346" customFormat="1" ht="12">
      <c r="A26" s="392" t="s">
        <v>402</v>
      </c>
      <c r="C26" s="390"/>
      <c r="D26" s="390"/>
      <c r="E26" s="390"/>
      <c r="F26" s="390"/>
    </row>
    <row r="27" spans="1:6" s="346" customFormat="1" ht="12">
      <c r="A27" s="392" t="s">
        <v>404</v>
      </c>
      <c r="C27" s="390"/>
      <c r="D27" s="390"/>
      <c r="E27" s="390"/>
      <c r="F27" s="390"/>
    </row>
    <row r="28" spans="1:6" s="346" customFormat="1" ht="12">
      <c r="A28" s="392" t="s">
        <v>406</v>
      </c>
      <c r="C28" s="390"/>
      <c r="D28" s="390"/>
      <c r="E28" s="390"/>
      <c r="F28" s="390"/>
    </row>
    <row r="29" spans="1:6" s="346" customFormat="1" ht="12">
      <c r="A29" s="392" t="s">
        <v>405</v>
      </c>
      <c r="C29" s="390"/>
      <c r="D29" s="390"/>
      <c r="E29" s="390"/>
      <c r="F29" s="390"/>
    </row>
    <row r="30" spans="1:6" s="346" customFormat="1" ht="12">
      <c r="A30" s="392" t="s">
        <v>407</v>
      </c>
      <c r="C30" s="390"/>
      <c r="D30" s="390"/>
      <c r="E30" s="390"/>
      <c r="F30" s="390"/>
    </row>
    <row r="31" spans="1:6" s="346" customFormat="1" ht="12"/>
    <row r="32" spans="1:6" s="346" customFormat="1" ht="119.25" customHeight="1">
      <c r="A32" s="766" t="s">
        <v>437</v>
      </c>
      <c r="B32" s="766"/>
      <c r="C32" s="766"/>
      <c r="D32" s="766"/>
      <c r="E32" s="766"/>
      <c r="F32" s="766"/>
    </row>
    <row r="33" spans="1:1" s="391" customFormat="1">
      <c r="A33" s="393"/>
    </row>
    <row r="34" spans="1:1" s="391" customFormat="1">
      <c r="A34" s="393"/>
    </row>
    <row r="35" spans="1:1" s="391" customFormat="1"/>
    <row r="36" spans="1:1" s="391" customFormat="1"/>
    <row r="37" spans="1:1" s="391" customFormat="1"/>
    <row r="38" spans="1:1" s="391" customFormat="1"/>
    <row r="39" spans="1:1" s="391" customFormat="1"/>
    <row r="40" spans="1:1" s="391" customFormat="1"/>
    <row r="41" spans="1:1" s="391" customFormat="1"/>
    <row r="42" spans="1:1" s="391" customFormat="1"/>
    <row r="43" spans="1:1" s="391" customFormat="1"/>
    <row r="44" spans="1:1" s="391" customFormat="1"/>
    <row r="45" spans="1:1" s="391" customFormat="1"/>
    <row r="46" spans="1:1" s="391" customFormat="1"/>
    <row r="47" spans="1:1" s="391" customFormat="1"/>
    <row r="48" spans="1:1" s="391" customFormat="1"/>
    <row r="49" s="391" customFormat="1"/>
    <row r="50" s="391" customFormat="1"/>
    <row r="51" s="391" customFormat="1"/>
    <row r="52" s="391" customFormat="1"/>
    <row r="53" s="391" customFormat="1"/>
    <row r="54" s="391" customFormat="1"/>
    <row r="55" s="391" customFormat="1"/>
    <row r="56" s="391" customFormat="1"/>
    <row r="57" s="391" customFormat="1"/>
    <row r="58" s="391" customFormat="1"/>
    <row r="59" s="391" customFormat="1"/>
    <row r="60" s="391" customFormat="1"/>
    <row r="61" s="391" customFormat="1"/>
    <row r="62" s="391" customFormat="1"/>
    <row r="63" s="391" customFormat="1"/>
    <row r="64" s="391" customFormat="1"/>
    <row r="65" s="391" customFormat="1"/>
    <row r="66" s="391" customFormat="1"/>
    <row r="67" s="391" customFormat="1"/>
    <row r="68" s="391" customFormat="1"/>
    <row r="69" s="391" customFormat="1"/>
  </sheetData>
  <sheetProtection sheet="1" objects="1" scenarios="1"/>
  <protectedRanges>
    <protectedRange sqref="C2:C3 E2:F3 C10:C16" name="区域1"/>
  </protectedRanges>
  <mergeCells count="24">
    <mergeCell ref="A1:F1"/>
    <mergeCell ref="A2:B2"/>
    <mergeCell ref="E2:F2"/>
    <mergeCell ref="A3:B3"/>
    <mergeCell ref="E3:F3"/>
    <mergeCell ref="A7:B7"/>
    <mergeCell ref="C7:F7"/>
    <mergeCell ref="A20:B20"/>
    <mergeCell ref="C20:F20"/>
    <mergeCell ref="A4:B4"/>
    <mergeCell ref="E4:F4"/>
    <mergeCell ref="A5:B5"/>
    <mergeCell ref="D5:D6"/>
    <mergeCell ref="A6:B6"/>
    <mergeCell ref="A32:F32"/>
    <mergeCell ref="A8:B8"/>
    <mergeCell ref="C8:F8"/>
    <mergeCell ref="A9:A13"/>
    <mergeCell ref="A18:B18"/>
    <mergeCell ref="C18:F18"/>
    <mergeCell ref="A19:B19"/>
    <mergeCell ref="C19:F19"/>
    <mergeCell ref="C17:F17"/>
    <mergeCell ref="A17:B17"/>
  </mergeCells>
  <phoneticPr fontId="2"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sheetPr codeName="Sheet2"/>
  <dimension ref="A1:BC65"/>
  <sheetViews>
    <sheetView workbookViewId="0">
      <pane xSplit="2" ySplit="5" topLeftCell="C6" activePane="bottomRight" state="frozen"/>
      <selection pane="topRight" activeCell="C1" sqref="C1"/>
      <selection pane="bottomLeft" activeCell="A6" sqref="A6"/>
      <selection pane="bottomRight" activeCell="E26" sqref="E26"/>
    </sheetView>
  </sheetViews>
  <sheetFormatPr defaultRowHeight="20.100000000000001" customHeight="1"/>
  <cols>
    <col min="1" max="1" width="3.125" style="13" customWidth="1"/>
    <col min="2" max="2" width="25.5" style="12" customWidth="1"/>
    <col min="3" max="3" width="8.625" style="14" customWidth="1"/>
    <col min="4" max="12" width="8.625" style="6" customWidth="1"/>
    <col min="13" max="13" width="8.625" style="11" customWidth="1"/>
    <col min="14" max="22" width="8.625" style="6" customWidth="1"/>
    <col min="23" max="16384" width="9" style="6"/>
  </cols>
  <sheetData>
    <row r="1" spans="1:55" s="4" customFormat="1" ht="20.100000000000001" customHeight="1" thickBot="1">
      <c r="A1" s="1"/>
      <c r="B1" s="2"/>
      <c r="C1" s="3"/>
    </row>
    <row r="2" spans="1:55" s="11" customFormat="1" ht="21" customHeight="1" thickBot="1">
      <c r="A2" s="804" t="s">
        <v>0</v>
      </c>
      <c r="B2" s="806" t="s">
        <v>1</v>
      </c>
      <c r="C2" s="807" t="s">
        <v>2</v>
      </c>
      <c r="D2" s="808"/>
      <c r="E2" s="808"/>
      <c r="F2" s="808"/>
      <c r="G2" s="808"/>
      <c r="H2" s="808"/>
      <c r="I2" s="808"/>
      <c r="J2" s="808"/>
      <c r="K2" s="809"/>
      <c r="L2" s="809"/>
      <c r="M2" s="807" t="s">
        <v>440</v>
      </c>
      <c r="N2" s="808"/>
      <c r="O2" s="808"/>
      <c r="P2" s="808"/>
      <c r="Q2" s="808"/>
      <c r="R2" s="808"/>
      <c r="S2" s="808"/>
      <c r="T2" s="808"/>
      <c r="U2" s="809"/>
      <c r="V2" s="810"/>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s="11" customFormat="1" ht="23.25" customHeight="1">
      <c r="A3" s="805"/>
      <c r="B3" s="806"/>
      <c r="C3" s="157" t="s">
        <v>3</v>
      </c>
      <c r="D3" s="158" t="s">
        <v>4</v>
      </c>
      <c r="E3" s="155" t="s">
        <v>395</v>
      </c>
      <c r="F3" s="156" t="s">
        <v>658</v>
      </c>
      <c r="G3" s="155" t="s">
        <v>55</v>
      </c>
      <c r="H3" s="155" t="s">
        <v>282</v>
      </c>
      <c r="I3" s="155" t="s">
        <v>5</v>
      </c>
      <c r="J3" s="155" t="s">
        <v>6</v>
      </c>
      <c r="K3" s="156" t="s">
        <v>38</v>
      </c>
      <c r="L3" s="156" t="s">
        <v>7</v>
      </c>
      <c r="M3" s="157" t="s">
        <v>3</v>
      </c>
      <c r="N3" s="158" t="s">
        <v>4</v>
      </c>
      <c r="O3" s="155" t="s">
        <v>395</v>
      </c>
      <c r="P3" s="156" t="s">
        <v>658</v>
      </c>
      <c r="Q3" s="155" t="s">
        <v>55</v>
      </c>
      <c r="R3" s="155" t="s">
        <v>282</v>
      </c>
      <c r="S3" s="155" t="s">
        <v>5</v>
      </c>
      <c r="T3" s="155" t="s">
        <v>6</v>
      </c>
      <c r="U3" s="156" t="s">
        <v>38</v>
      </c>
      <c r="V3" s="159" t="s">
        <v>7</v>
      </c>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row>
    <row r="4" spans="1:55" s="7" customFormat="1" ht="15" customHeight="1">
      <c r="A4" s="160"/>
      <c r="B4" s="5" t="s">
        <v>8</v>
      </c>
      <c r="C4" s="161">
        <f>SUM(D4:L4)</f>
        <v>378632.2923308271</v>
      </c>
      <c r="D4" s="162">
        <f>规划指标!D8</f>
        <v>0</v>
      </c>
      <c r="E4" s="163">
        <f>规划指标!D9</f>
        <v>0</v>
      </c>
      <c r="F4" s="163">
        <f>规划指标!D10</f>
        <v>138849.73684210528</v>
      </c>
      <c r="G4" s="162">
        <f>规划指标!D11</f>
        <v>97194.815789473694</v>
      </c>
      <c r="H4" s="163">
        <f>规划指标!D12</f>
        <v>41654.92105263158</v>
      </c>
      <c r="I4" s="163">
        <f>规划指标!D13</f>
        <v>0</v>
      </c>
      <c r="J4" s="163">
        <f>规划指标!D14</f>
        <v>0</v>
      </c>
      <c r="K4" s="164">
        <f>规划指标!D28</f>
        <v>85932.818646616535</v>
      </c>
      <c r="L4" s="164">
        <f>规划指标!D16</f>
        <v>15000</v>
      </c>
      <c r="M4" s="161">
        <f>SUM(N4:V4)</f>
        <v>378632.2923308271</v>
      </c>
      <c r="N4" s="162">
        <f t="shared" ref="N4:V5" si="0">D4</f>
        <v>0</v>
      </c>
      <c r="O4" s="162">
        <f t="shared" si="0"/>
        <v>0</v>
      </c>
      <c r="P4" s="162">
        <f t="shared" si="0"/>
        <v>138849.73684210528</v>
      </c>
      <c r="Q4" s="162">
        <f t="shared" si="0"/>
        <v>97194.815789473694</v>
      </c>
      <c r="R4" s="162">
        <f t="shared" si="0"/>
        <v>41654.92105263158</v>
      </c>
      <c r="S4" s="162">
        <f t="shared" si="0"/>
        <v>0</v>
      </c>
      <c r="T4" s="162">
        <f t="shared" si="0"/>
        <v>0</v>
      </c>
      <c r="U4" s="162">
        <f t="shared" si="0"/>
        <v>85932.818646616535</v>
      </c>
      <c r="V4" s="214">
        <f t="shared" si="0"/>
        <v>15000</v>
      </c>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row>
    <row r="5" spans="1:55" s="7" customFormat="1" ht="15" customHeight="1">
      <c r="A5" s="160"/>
      <c r="B5" s="5" t="s">
        <v>439</v>
      </c>
      <c r="C5" s="161">
        <f>SUM(D5:L5)</f>
        <v>292699.47368421056</v>
      </c>
      <c r="D5" s="213">
        <f>规划指标!E8</f>
        <v>0</v>
      </c>
      <c r="E5" s="163">
        <f>规划指标!E9</f>
        <v>0</v>
      </c>
      <c r="F5" s="164">
        <f>规划指标!E10</f>
        <v>138849.73684210528</v>
      </c>
      <c r="G5" s="163">
        <f>规划指标!E11</f>
        <v>97194.815789473694</v>
      </c>
      <c r="H5" s="163">
        <f>规划指标!E12</f>
        <v>41654.92105263158</v>
      </c>
      <c r="I5" s="163">
        <f>规划指标!E13</f>
        <v>0</v>
      </c>
      <c r="J5" s="163">
        <f>规划指标!E14</f>
        <v>0</v>
      </c>
      <c r="K5" s="164">
        <v>0</v>
      </c>
      <c r="L5" s="214">
        <f>规划指标!E16</f>
        <v>15000</v>
      </c>
      <c r="M5" s="161">
        <f>SUM(N5:V5)</f>
        <v>292699.47368421056</v>
      </c>
      <c r="N5" s="162">
        <f t="shared" si="0"/>
        <v>0</v>
      </c>
      <c r="O5" s="162">
        <f t="shared" si="0"/>
        <v>0</v>
      </c>
      <c r="P5" s="162">
        <f t="shared" si="0"/>
        <v>138849.73684210528</v>
      </c>
      <c r="Q5" s="162">
        <f t="shared" si="0"/>
        <v>97194.815789473694</v>
      </c>
      <c r="R5" s="162">
        <f t="shared" si="0"/>
        <v>41654.92105263158</v>
      </c>
      <c r="S5" s="162">
        <f t="shared" si="0"/>
        <v>0</v>
      </c>
      <c r="T5" s="162">
        <f t="shared" si="0"/>
        <v>0</v>
      </c>
      <c r="U5" s="162">
        <f t="shared" si="0"/>
        <v>0</v>
      </c>
      <c r="V5" s="214">
        <f t="shared" si="0"/>
        <v>15000</v>
      </c>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row>
    <row r="6" spans="1:55" ht="17.100000000000001" customHeight="1">
      <c r="A6" s="323">
        <v>1</v>
      </c>
      <c r="B6" s="324" t="s">
        <v>74</v>
      </c>
      <c r="C6" s="325">
        <f t="shared" ref="C6:V6" si="1">C7+C8+C9+C10+C11+C12+C13</f>
        <v>137193.47183371827</v>
      </c>
      <c r="D6" s="326">
        <f t="shared" si="1"/>
        <v>0</v>
      </c>
      <c r="E6" s="327">
        <f t="shared" si="1"/>
        <v>0</v>
      </c>
      <c r="F6" s="327">
        <f>F7+F8+F9+F10+F11+F12+F13</f>
        <v>57704.772692667953</v>
      </c>
      <c r="G6" s="327">
        <f t="shared" si="1"/>
        <v>40369.827355925721</v>
      </c>
      <c r="H6" s="327">
        <f t="shared" si="1"/>
        <v>17966.020201301835</v>
      </c>
      <c r="I6" s="327">
        <f t="shared" si="1"/>
        <v>0</v>
      </c>
      <c r="J6" s="327">
        <f t="shared" si="1"/>
        <v>0</v>
      </c>
      <c r="K6" s="327">
        <f t="shared" si="1"/>
        <v>12460.258703759397</v>
      </c>
      <c r="L6" s="328">
        <f t="shared" si="1"/>
        <v>8692.5928800633428</v>
      </c>
      <c r="M6" s="329">
        <f t="shared" si="1"/>
        <v>4687.1786309303179</v>
      </c>
      <c r="N6" s="330">
        <f t="shared" si="1"/>
        <v>0</v>
      </c>
      <c r="O6" s="173">
        <f t="shared" si="1"/>
        <v>0</v>
      </c>
      <c r="P6" s="173">
        <f>P7+P8+P9+P10+P11+P12+P13</f>
        <v>4581.616603127326</v>
      </c>
      <c r="Q6" s="173">
        <f t="shared" si="1"/>
        <v>4579.1973867575171</v>
      </c>
      <c r="R6" s="173">
        <f t="shared" si="1"/>
        <v>4738.7621160606877</v>
      </c>
      <c r="S6" s="173">
        <f t="shared" si="1"/>
        <v>0</v>
      </c>
      <c r="T6" s="173">
        <f t="shared" si="1"/>
        <v>0</v>
      </c>
      <c r="U6" s="173">
        <f t="shared" si="1"/>
        <v>0</v>
      </c>
      <c r="V6" s="331">
        <f t="shared" si="1"/>
        <v>6220.763358685831</v>
      </c>
    </row>
    <row r="7" spans="1:55" s="9" customFormat="1" ht="17.100000000000001" customHeight="1">
      <c r="A7" s="332">
        <v>1.1000000000000001</v>
      </c>
      <c r="B7" s="333" t="s">
        <v>166</v>
      </c>
      <c r="C7" s="334">
        <f>投资估算表!G6</f>
        <v>62484</v>
      </c>
      <c r="D7" s="330">
        <f>IF((开发和销售计划!$V49-开发和销售计划!$V47)=0,0,$C7*开发和销售计划!$V40/(开发和销售计划!$V49-开发和销售计划!$V47))</f>
        <v>0</v>
      </c>
      <c r="E7" s="173">
        <f>IF((开发和销售计划!$V49-开发和销售计划!$V47)=0,0,$C7*开发和销售计划!$V41/(开发和销售计划!$V49-开发和销售计划!$V47))</f>
        <v>0</v>
      </c>
      <c r="F7" s="173">
        <f>IF((开发和销售计划!$V49-开发和销售计划!$V47)=0,0,$C7*开发和销售计划!$V42/(开发和销售计划!$V49-开发和销售计划!$V47))</f>
        <v>29093.937617709129</v>
      </c>
      <c r="G7" s="173">
        <f>IF((开发和销售计划!$V49-开发和销售计划!$V47)=0,0,$C7*开发和销售计划!$V43/(开发和销售计划!$V49-开发和销售计划!$V47))</f>
        <v>18203.956856086115</v>
      </c>
      <c r="H7" s="173">
        <f>IF((开发和销售计划!$V49-开发和销售计划!$V47)=0,0,$C7*开发和销售计划!$V44/(开发和销售计划!$V49-开发和销售计划!$V47))</f>
        <v>9674.3541261826049</v>
      </c>
      <c r="I7" s="173">
        <f>IF((开发和销售计划!$V49-开发和销售计划!$V47)=0,0,$C7*开发和销售计划!$V45/(开发和销售计划!$V49-开发和销售计划!$V47))</f>
        <v>0</v>
      </c>
      <c r="J7" s="173">
        <f>IF((开发和销售计划!$V49-开发和销售计划!$V47)=0,0,$C7*开发和销售计划!$V46/(开发和销售计划!$V49-开发和销售计划!$V47))</f>
        <v>0</v>
      </c>
      <c r="K7" s="173">
        <v>0</v>
      </c>
      <c r="L7" s="331">
        <f>IF((开发和销售计划!$V49-开发和销售计划!$V47)=0,0,$C7*开发和销售计划!$V48/(开发和销售计划!$V49-开发和销售计划!$V47))</f>
        <v>5511.7514000221508</v>
      </c>
      <c r="M7" s="329">
        <f t="shared" ref="M7:M13" si="2">IF(C$5=0,0,C7/C$5*10000)</f>
        <v>2134.7493117604008</v>
      </c>
      <c r="N7" s="330">
        <f t="shared" ref="N7:V13" si="3">IF(D$5=0,0,D7/D$5*10000)</f>
        <v>0</v>
      </c>
      <c r="O7" s="173">
        <f t="shared" si="3"/>
        <v>0</v>
      </c>
      <c r="P7" s="173">
        <f t="shared" si="3"/>
        <v>2095.3541777895957</v>
      </c>
      <c r="Q7" s="173">
        <f t="shared" si="3"/>
        <v>1872.9349614197863</v>
      </c>
      <c r="R7" s="173">
        <f t="shared" si="3"/>
        <v>2322.4996907229574</v>
      </c>
      <c r="S7" s="173">
        <f t="shared" si="3"/>
        <v>0</v>
      </c>
      <c r="T7" s="173">
        <f t="shared" si="3"/>
        <v>0</v>
      </c>
      <c r="U7" s="173">
        <f t="shared" si="3"/>
        <v>0</v>
      </c>
      <c r="V7" s="331">
        <f t="shared" si="3"/>
        <v>3674.5009333481003</v>
      </c>
    </row>
    <row r="8" spans="1:55" ht="17.100000000000001" customHeight="1">
      <c r="A8" s="332">
        <v>1.2</v>
      </c>
      <c r="B8" s="333" t="s">
        <v>167</v>
      </c>
      <c r="C8" s="334">
        <f>投资估算表!G22</f>
        <v>5765.1801825904367</v>
      </c>
      <c r="D8" s="330">
        <f>IF($C$5=0,0,$C8/$C$5*D$5)</f>
        <v>0</v>
      </c>
      <c r="E8" s="173">
        <f t="shared" ref="E8:L8" si="4">IF($C$5=0,0,$C8/$C$5*E$5)</f>
        <v>0</v>
      </c>
      <c r="F8" s="173">
        <f>IF($C$5=0,0,$C8/$C$5*F$5)</f>
        <v>2734.8657007277175</v>
      </c>
      <c r="G8" s="173">
        <f t="shared" si="4"/>
        <v>1914.405990509402</v>
      </c>
      <c r="H8" s="173">
        <f t="shared" si="4"/>
        <v>820.45971021831519</v>
      </c>
      <c r="I8" s="173">
        <f t="shared" si="4"/>
        <v>0</v>
      </c>
      <c r="J8" s="173">
        <f t="shared" si="4"/>
        <v>0</v>
      </c>
      <c r="K8" s="173">
        <f t="shared" si="4"/>
        <v>0</v>
      </c>
      <c r="L8" s="331">
        <f t="shared" si="4"/>
        <v>295.44878113500181</v>
      </c>
      <c r="M8" s="329">
        <f t="shared" si="2"/>
        <v>196.96585409000122</v>
      </c>
      <c r="N8" s="330">
        <f t="shared" si="3"/>
        <v>0</v>
      </c>
      <c r="O8" s="173">
        <f t="shared" si="3"/>
        <v>0</v>
      </c>
      <c r="P8" s="173">
        <f t="shared" si="3"/>
        <v>196.96585409000122</v>
      </c>
      <c r="Q8" s="173">
        <f t="shared" si="3"/>
        <v>196.96585409000122</v>
      </c>
      <c r="R8" s="173">
        <f t="shared" si="3"/>
        <v>196.96585409000122</v>
      </c>
      <c r="S8" s="173">
        <f t="shared" si="3"/>
        <v>0</v>
      </c>
      <c r="T8" s="173">
        <f t="shared" si="3"/>
        <v>0</v>
      </c>
      <c r="U8" s="173">
        <f t="shared" si="3"/>
        <v>0</v>
      </c>
      <c r="V8" s="331">
        <f t="shared" si="3"/>
        <v>196.96585409000122</v>
      </c>
    </row>
    <row r="9" spans="1:55" ht="17.100000000000001" customHeight="1">
      <c r="A9" s="332">
        <v>1.3</v>
      </c>
      <c r="B9" s="333" t="s">
        <v>168</v>
      </c>
      <c r="C9" s="334">
        <f>投资估算表!G29</f>
        <v>52155.192309022561</v>
      </c>
      <c r="D9" s="330">
        <f>投资估算表!G31</f>
        <v>0</v>
      </c>
      <c r="E9" s="173">
        <f>投资估算表!$G32</f>
        <v>0</v>
      </c>
      <c r="F9" s="173">
        <f>投资估算表!$G33</f>
        <v>17911.61605263158</v>
      </c>
      <c r="G9" s="173">
        <f>投资估算表!$G34</f>
        <v>14676.417184210526</v>
      </c>
      <c r="H9" s="173">
        <f>投资估算表!$G35</f>
        <v>5081.9003684210529</v>
      </c>
      <c r="I9" s="173">
        <f>投资估算表!$G36</f>
        <v>0</v>
      </c>
      <c r="J9" s="173">
        <f>投资估算表!$G37</f>
        <v>0</v>
      </c>
      <c r="K9" s="173">
        <f>投资估算表!$G38</f>
        <v>12460.258703759397</v>
      </c>
      <c r="L9" s="331">
        <f>投资估算表!$G39</f>
        <v>2025</v>
      </c>
      <c r="M9" s="329">
        <f t="shared" si="2"/>
        <v>1781.8683324757897</v>
      </c>
      <c r="N9" s="330">
        <f>IF(D$5=0,0,D9/D$5*10000+$K9/$C5*10000)</f>
        <v>0</v>
      </c>
      <c r="O9" s="173">
        <f t="shared" ref="O9:V9" si="5">IF(E$5=0,0,E9/E$5*10000+$K9/$C5*10000)</f>
        <v>0</v>
      </c>
      <c r="P9" s="173">
        <f t="shared" si="5"/>
        <v>1715.7014386436031</v>
      </c>
      <c r="Q9" s="173">
        <f t="shared" si="5"/>
        <v>1935.7014386436033</v>
      </c>
      <c r="R9" s="173">
        <f t="shared" si="5"/>
        <v>1645.7014386436033</v>
      </c>
      <c r="S9" s="173">
        <f t="shared" si="5"/>
        <v>0</v>
      </c>
      <c r="T9" s="173">
        <f t="shared" si="5"/>
        <v>0</v>
      </c>
      <c r="U9" s="173">
        <f t="shared" si="5"/>
        <v>0</v>
      </c>
      <c r="V9" s="331">
        <f t="shared" si="5"/>
        <v>1775.7014386436033</v>
      </c>
    </row>
    <row r="10" spans="1:55" ht="17.100000000000001" customHeight="1">
      <c r="A10" s="332">
        <v>1.4</v>
      </c>
      <c r="B10" s="333" t="s">
        <v>169</v>
      </c>
      <c r="C10" s="334">
        <f>投资估算表!G40</f>
        <v>7610.186315789475</v>
      </c>
      <c r="D10" s="330">
        <f>IF($C$5=0,0,$C10/$C$5*D$5)</f>
        <v>0</v>
      </c>
      <c r="E10" s="173">
        <f t="shared" ref="E10:L10" si="6">IF($C$5=0,0,$C10/$C$5*E$5)</f>
        <v>0</v>
      </c>
      <c r="F10" s="173">
        <f>IF($C$5=0,0,$C10/$C$5*F$5)</f>
        <v>3610.0931578947375</v>
      </c>
      <c r="G10" s="173">
        <f t="shared" si="6"/>
        <v>2527.0652105263162</v>
      </c>
      <c r="H10" s="173">
        <f t="shared" si="6"/>
        <v>1083.0279473684211</v>
      </c>
      <c r="I10" s="173">
        <f t="shared" si="6"/>
        <v>0</v>
      </c>
      <c r="J10" s="173">
        <f t="shared" si="6"/>
        <v>0</v>
      </c>
      <c r="K10" s="173">
        <f t="shared" si="6"/>
        <v>0</v>
      </c>
      <c r="L10" s="331">
        <f t="shared" si="6"/>
        <v>390.00000000000006</v>
      </c>
      <c r="M10" s="329">
        <f t="shared" si="2"/>
        <v>260</v>
      </c>
      <c r="N10" s="330">
        <f t="shared" si="3"/>
        <v>0</v>
      </c>
      <c r="O10" s="173">
        <f t="shared" si="3"/>
        <v>0</v>
      </c>
      <c r="P10" s="173">
        <f t="shared" si="3"/>
        <v>260</v>
      </c>
      <c r="Q10" s="173">
        <f t="shared" si="3"/>
        <v>260</v>
      </c>
      <c r="R10" s="173">
        <f t="shared" si="3"/>
        <v>260</v>
      </c>
      <c r="S10" s="173">
        <f t="shared" si="3"/>
        <v>0</v>
      </c>
      <c r="T10" s="173">
        <f t="shared" si="3"/>
        <v>0</v>
      </c>
      <c r="U10" s="173">
        <f t="shared" si="3"/>
        <v>0</v>
      </c>
      <c r="V10" s="331">
        <f t="shared" si="3"/>
        <v>260</v>
      </c>
    </row>
    <row r="11" spans="1:55" ht="17.100000000000001" customHeight="1">
      <c r="A11" s="332">
        <v>1.5</v>
      </c>
      <c r="B11" s="333" t="s">
        <v>170</v>
      </c>
      <c r="C11" s="334">
        <f>投资估算表!G46</f>
        <v>2926.9947368421053</v>
      </c>
      <c r="D11" s="330">
        <f t="shared" ref="D11:L13" si="7">IF($C$5=0,0,$C11/$C$5*D$5)</f>
        <v>0</v>
      </c>
      <c r="E11" s="173">
        <f t="shared" si="7"/>
        <v>0</v>
      </c>
      <c r="F11" s="173">
        <f>IF($C$5=0,0,$C11/$C$5*F$5)</f>
        <v>1388.4973684210527</v>
      </c>
      <c r="G11" s="173">
        <f t="shared" si="7"/>
        <v>971.94815789473682</v>
      </c>
      <c r="H11" s="173">
        <f t="shared" si="7"/>
        <v>416.54921052631573</v>
      </c>
      <c r="I11" s="173">
        <f t="shared" si="7"/>
        <v>0</v>
      </c>
      <c r="J11" s="173">
        <f t="shared" si="7"/>
        <v>0</v>
      </c>
      <c r="K11" s="173">
        <f t="shared" si="7"/>
        <v>0</v>
      </c>
      <c r="L11" s="331">
        <f t="shared" si="7"/>
        <v>149.99999999999997</v>
      </c>
      <c r="M11" s="329">
        <f t="shared" si="2"/>
        <v>99.999999999999986</v>
      </c>
      <c r="N11" s="330">
        <f t="shared" si="3"/>
        <v>0</v>
      </c>
      <c r="O11" s="173">
        <f t="shared" si="3"/>
        <v>0</v>
      </c>
      <c r="P11" s="173">
        <f t="shared" si="3"/>
        <v>99.999999999999986</v>
      </c>
      <c r="Q11" s="173">
        <f t="shared" si="3"/>
        <v>99.999999999999986</v>
      </c>
      <c r="R11" s="173">
        <f t="shared" si="3"/>
        <v>99.999999999999986</v>
      </c>
      <c r="S11" s="173">
        <f t="shared" si="3"/>
        <v>0</v>
      </c>
      <c r="T11" s="173">
        <f t="shared" si="3"/>
        <v>0</v>
      </c>
      <c r="U11" s="173">
        <f t="shared" si="3"/>
        <v>0</v>
      </c>
      <c r="V11" s="331">
        <f t="shared" si="3"/>
        <v>99.999999999999986</v>
      </c>
    </row>
    <row r="12" spans="1:55" ht="17.100000000000001" customHeight="1">
      <c r="A12" s="332">
        <v>1.6</v>
      </c>
      <c r="B12" s="333" t="s">
        <v>171</v>
      </c>
      <c r="C12" s="334">
        <f>投资估算表!G47</f>
        <v>1975.7214473684214</v>
      </c>
      <c r="D12" s="330">
        <f t="shared" si="7"/>
        <v>0</v>
      </c>
      <c r="E12" s="173">
        <f t="shared" si="7"/>
        <v>0</v>
      </c>
      <c r="F12" s="173">
        <f>IF($C$5=0,0,$C12/$C$5*F$5)</f>
        <v>937.23572368421071</v>
      </c>
      <c r="G12" s="173">
        <f t="shared" si="7"/>
        <v>656.06500657894753</v>
      </c>
      <c r="H12" s="173">
        <f t="shared" si="7"/>
        <v>281.17071710526318</v>
      </c>
      <c r="I12" s="173">
        <f t="shared" si="7"/>
        <v>0</v>
      </c>
      <c r="J12" s="173">
        <f t="shared" si="7"/>
        <v>0</v>
      </c>
      <c r="K12" s="173">
        <f t="shared" si="7"/>
        <v>0</v>
      </c>
      <c r="L12" s="331">
        <f t="shared" si="7"/>
        <v>101.25000000000001</v>
      </c>
      <c r="M12" s="329">
        <f t="shared" si="2"/>
        <v>67.500000000000014</v>
      </c>
      <c r="N12" s="330">
        <f t="shared" si="3"/>
        <v>0</v>
      </c>
      <c r="O12" s="173">
        <f t="shared" si="3"/>
        <v>0</v>
      </c>
      <c r="P12" s="173">
        <f t="shared" si="3"/>
        <v>67.500000000000014</v>
      </c>
      <c r="Q12" s="173">
        <f t="shared" si="3"/>
        <v>67.500000000000014</v>
      </c>
      <c r="R12" s="173">
        <f t="shared" si="3"/>
        <v>67.5</v>
      </c>
      <c r="S12" s="173">
        <f t="shared" si="3"/>
        <v>0</v>
      </c>
      <c r="T12" s="173">
        <f t="shared" si="3"/>
        <v>0</v>
      </c>
      <c r="U12" s="173">
        <f t="shared" si="3"/>
        <v>0</v>
      </c>
      <c r="V12" s="331">
        <f t="shared" si="3"/>
        <v>67.500000000000014</v>
      </c>
    </row>
    <row r="13" spans="1:55" ht="17.100000000000001" customHeight="1">
      <c r="A13" s="332">
        <v>1.7</v>
      </c>
      <c r="B13" s="333" t="s">
        <v>172</v>
      </c>
      <c r="C13" s="334">
        <f>投资估算表!G64</f>
        <v>4276.1968421052634</v>
      </c>
      <c r="D13" s="330">
        <f>IF($C$5=0,0,$C13/$C$5*D$5)</f>
        <v>0</v>
      </c>
      <c r="E13" s="173">
        <f t="shared" si="7"/>
        <v>0</v>
      </c>
      <c r="F13" s="173">
        <f>IF($C$5=0,0,$C13/$C$5*F$5)</f>
        <v>2028.5270715995371</v>
      </c>
      <c r="G13" s="173">
        <f t="shared" si="7"/>
        <v>1419.968950119676</v>
      </c>
      <c r="H13" s="173">
        <f t="shared" si="7"/>
        <v>608.55812147986103</v>
      </c>
      <c r="I13" s="173">
        <f t="shared" si="7"/>
        <v>0</v>
      </c>
      <c r="J13" s="173">
        <f t="shared" si="7"/>
        <v>0</v>
      </c>
      <c r="K13" s="173">
        <f t="shared" si="7"/>
        <v>0</v>
      </c>
      <c r="L13" s="331">
        <f t="shared" si="7"/>
        <v>219.142698906189</v>
      </c>
      <c r="M13" s="329">
        <f t="shared" si="2"/>
        <v>146.09513260412601</v>
      </c>
      <c r="N13" s="330">
        <f t="shared" si="3"/>
        <v>0</v>
      </c>
      <c r="O13" s="173">
        <f t="shared" si="3"/>
        <v>0</v>
      </c>
      <c r="P13" s="173">
        <f t="shared" si="3"/>
        <v>146.09513260412601</v>
      </c>
      <c r="Q13" s="173">
        <f t="shared" si="3"/>
        <v>146.09513260412604</v>
      </c>
      <c r="R13" s="173">
        <f t="shared" si="3"/>
        <v>146.09513260412598</v>
      </c>
      <c r="S13" s="173">
        <f t="shared" si="3"/>
        <v>0</v>
      </c>
      <c r="T13" s="173">
        <f t="shared" si="3"/>
        <v>0</v>
      </c>
      <c r="U13" s="173">
        <f t="shared" si="3"/>
        <v>0</v>
      </c>
      <c r="V13" s="331">
        <f t="shared" si="3"/>
        <v>146.09513260412601</v>
      </c>
    </row>
    <row r="14" spans="1:55" ht="17.100000000000001" customHeight="1">
      <c r="A14" s="335">
        <v>2</v>
      </c>
      <c r="B14" s="324" t="s">
        <v>75</v>
      </c>
      <c r="C14" s="325">
        <f t="shared" ref="C14:V14" si="8">SUM(C15:C19)</f>
        <v>24304.29206698991</v>
      </c>
      <c r="D14" s="330">
        <f t="shared" si="8"/>
        <v>0</v>
      </c>
      <c r="E14" s="173">
        <f t="shared" si="8"/>
        <v>0</v>
      </c>
      <c r="F14" s="173">
        <f t="shared" si="8"/>
        <v>11529.383757198259</v>
      </c>
      <c r="G14" s="173">
        <f t="shared" si="8"/>
        <v>8070.5686300387806</v>
      </c>
      <c r="H14" s="173">
        <f t="shared" si="8"/>
        <v>3458.815127159477</v>
      </c>
      <c r="I14" s="173">
        <f t="shared" si="8"/>
        <v>0</v>
      </c>
      <c r="J14" s="173">
        <f t="shared" si="8"/>
        <v>0</v>
      </c>
      <c r="K14" s="173">
        <f t="shared" si="8"/>
        <v>0</v>
      </c>
      <c r="L14" s="331">
        <f t="shared" si="8"/>
        <v>1245.5245525933956</v>
      </c>
      <c r="M14" s="329">
        <f t="shared" si="8"/>
        <v>830.34970172893031</v>
      </c>
      <c r="N14" s="330">
        <f t="shared" si="8"/>
        <v>0</v>
      </c>
      <c r="O14" s="173">
        <f t="shared" si="8"/>
        <v>0</v>
      </c>
      <c r="P14" s="173">
        <f t="shared" si="8"/>
        <v>830.34970172893031</v>
      </c>
      <c r="Q14" s="173">
        <f t="shared" si="8"/>
        <v>830.34970172893031</v>
      </c>
      <c r="R14" s="173">
        <f t="shared" si="8"/>
        <v>830.34970172893031</v>
      </c>
      <c r="S14" s="173">
        <f t="shared" si="8"/>
        <v>0</v>
      </c>
      <c r="T14" s="173">
        <f t="shared" si="8"/>
        <v>0</v>
      </c>
      <c r="U14" s="173">
        <f t="shared" si="8"/>
        <v>0</v>
      </c>
      <c r="V14" s="331">
        <f t="shared" si="8"/>
        <v>830.34970172893031</v>
      </c>
    </row>
    <row r="15" spans="1:55" ht="17.100000000000001" customHeight="1">
      <c r="A15" s="332">
        <v>2.1</v>
      </c>
      <c r="B15" s="333" t="s">
        <v>173</v>
      </c>
      <c r="C15" s="325">
        <f>投资估算表!G69</f>
        <v>6457.9213261923614</v>
      </c>
      <c r="D15" s="330">
        <f>IF($C$5=0,0,$C15/$C$5*D$5)</f>
        <v>0</v>
      </c>
      <c r="E15" s="173">
        <f t="shared" ref="E15:L15" si="9">IF($C$5=0,0,$C15/$C$5*E$5)</f>
        <v>0</v>
      </c>
      <c r="F15" s="173">
        <f>IF($C$5=0,0,$C15/$C$5*F$5)</f>
        <v>3063.4857842492925</v>
      </c>
      <c r="G15" s="173">
        <f t="shared" si="9"/>
        <v>2144.4400489745049</v>
      </c>
      <c r="H15" s="173">
        <f t="shared" si="9"/>
        <v>919.0457352747876</v>
      </c>
      <c r="I15" s="173">
        <f t="shared" si="9"/>
        <v>0</v>
      </c>
      <c r="J15" s="173">
        <f t="shared" si="9"/>
        <v>0</v>
      </c>
      <c r="K15" s="173">
        <f t="shared" si="9"/>
        <v>0</v>
      </c>
      <c r="L15" s="331">
        <f t="shared" si="9"/>
        <v>330.94975769377658</v>
      </c>
      <c r="M15" s="329">
        <f t="shared" ref="M15:V19" si="10">IF(C$5=0,0,C15/C$5*10000)</f>
        <v>220.63317179585107</v>
      </c>
      <c r="N15" s="330">
        <f t="shared" si="10"/>
        <v>0</v>
      </c>
      <c r="O15" s="173">
        <f t="shared" si="10"/>
        <v>0</v>
      </c>
      <c r="P15" s="173">
        <f t="shared" si="10"/>
        <v>220.63317179585107</v>
      </c>
      <c r="Q15" s="173">
        <f t="shared" si="10"/>
        <v>220.6331717958511</v>
      </c>
      <c r="R15" s="173">
        <f t="shared" si="10"/>
        <v>220.63317179585107</v>
      </c>
      <c r="S15" s="173">
        <f t="shared" si="10"/>
        <v>0</v>
      </c>
      <c r="T15" s="173">
        <f t="shared" si="10"/>
        <v>0</v>
      </c>
      <c r="U15" s="173">
        <f t="shared" si="10"/>
        <v>0</v>
      </c>
      <c r="V15" s="331">
        <f t="shared" si="10"/>
        <v>220.63317179585107</v>
      </c>
    </row>
    <row r="16" spans="1:55" ht="17.100000000000001" customHeight="1">
      <c r="A16" s="332">
        <v>2.2000000000000002</v>
      </c>
      <c r="B16" s="333" t="s">
        <v>174</v>
      </c>
      <c r="C16" s="325">
        <f>投资估算表!G70</f>
        <v>0</v>
      </c>
      <c r="D16" s="330">
        <f t="shared" ref="D16:L19" si="11">IF($C$5=0,0,$C16/$C$5*D$5)</f>
        <v>0</v>
      </c>
      <c r="E16" s="173">
        <f t="shared" si="11"/>
        <v>0</v>
      </c>
      <c r="F16" s="173">
        <f>IF($C$5=0,0,$C16/$C$5*F$5)</f>
        <v>0</v>
      </c>
      <c r="G16" s="173">
        <f t="shared" si="11"/>
        <v>0</v>
      </c>
      <c r="H16" s="173">
        <f t="shared" si="11"/>
        <v>0</v>
      </c>
      <c r="I16" s="173">
        <f t="shared" si="11"/>
        <v>0</v>
      </c>
      <c r="J16" s="173">
        <f t="shared" si="11"/>
        <v>0</v>
      </c>
      <c r="K16" s="173">
        <f t="shared" si="11"/>
        <v>0</v>
      </c>
      <c r="L16" s="331">
        <f t="shared" si="11"/>
        <v>0</v>
      </c>
      <c r="M16" s="329">
        <f t="shared" si="10"/>
        <v>0</v>
      </c>
      <c r="N16" s="330">
        <f t="shared" si="10"/>
        <v>0</v>
      </c>
      <c r="O16" s="173">
        <f t="shared" si="10"/>
        <v>0</v>
      </c>
      <c r="P16" s="173">
        <f t="shared" si="10"/>
        <v>0</v>
      </c>
      <c r="Q16" s="173">
        <f t="shared" si="10"/>
        <v>0</v>
      </c>
      <c r="R16" s="173">
        <f t="shared" si="10"/>
        <v>0</v>
      </c>
      <c r="S16" s="173">
        <f t="shared" si="10"/>
        <v>0</v>
      </c>
      <c r="T16" s="173">
        <f t="shared" si="10"/>
        <v>0</v>
      </c>
      <c r="U16" s="173">
        <f t="shared" si="10"/>
        <v>0</v>
      </c>
      <c r="V16" s="331">
        <f t="shared" si="10"/>
        <v>0</v>
      </c>
    </row>
    <row r="17" spans="1:55" ht="17.100000000000001" customHeight="1">
      <c r="A17" s="332">
        <v>2.2999999999999998</v>
      </c>
      <c r="B17" s="333" t="s">
        <v>694</v>
      </c>
      <c r="C17" s="325">
        <f>投资估算表!G71</f>
        <v>0</v>
      </c>
      <c r="D17" s="330">
        <f t="shared" si="11"/>
        <v>0</v>
      </c>
      <c r="E17" s="173">
        <f t="shared" si="11"/>
        <v>0</v>
      </c>
      <c r="F17" s="173">
        <f>IF($C$5=0,0,$C17/$C$5*F$5)</f>
        <v>0</v>
      </c>
      <c r="G17" s="173">
        <f t="shared" si="11"/>
        <v>0</v>
      </c>
      <c r="H17" s="173">
        <f t="shared" si="11"/>
        <v>0</v>
      </c>
      <c r="I17" s="173">
        <f t="shared" si="11"/>
        <v>0</v>
      </c>
      <c r="J17" s="173">
        <f t="shared" si="11"/>
        <v>0</v>
      </c>
      <c r="K17" s="173">
        <f t="shared" si="11"/>
        <v>0</v>
      </c>
      <c r="L17" s="331">
        <f t="shared" si="11"/>
        <v>0</v>
      </c>
      <c r="M17" s="329">
        <f t="shared" ref="M17:V17" si="12">IF(C$5=0,0,C17/C$5*10000)</f>
        <v>0</v>
      </c>
      <c r="N17" s="330">
        <f t="shared" si="12"/>
        <v>0</v>
      </c>
      <c r="O17" s="173">
        <f t="shared" si="12"/>
        <v>0</v>
      </c>
      <c r="P17" s="173">
        <f t="shared" si="12"/>
        <v>0</v>
      </c>
      <c r="Q17" s="173">
        <f t="shared" si="12"/>
        <v>0</v>
      </c>
      <c r="R17" s="173">
        <f t="shared" si="12"/>
        <v>0</v>
      </c>
      <c r="S17" s="173">
        <f t="shared" si="12"/>
        <v>0</v>
      </c>
      <c r="T17" s="173">
        <f t="shared" si="12"/>
        <v>0</v>
      </c>
      <c r="U17" s="173">
        <f t="shared" si="12"/>
        <v>0</v>
      </c>
      <c r="V17" s="331">
        <f t="shared" si="12"/>
        <v>0</v>
      </c>
    </row>
    <row r="18" spans="1:55" ht="17.100000000000001" customHeight="1">
      <c r="A18" s="332">
        <v>2.4</v>
      </c>
      <c r="B18" s="333" t="s">
        <v>518</v>
      </c>
      <c r="C18" s="325">
        <f>投资估算表!G72</f>
        <v>4500</v>
      </c>
      <c r="D18" s="330">
        <f t="shared" si="11"/>
        <v>0</v>
      </c>
      <c r="E18" s="173">
        <f t="shared" si="11"/>
        <v>0</v>
      </c>
      <c r="F18" s="173">
        <f t="shared" si="11"/>
        <v>2134.6940188337599</v>
      </c>
      <c r="G18" s="173">
        <f t="shared" si="11"/>
        <v>1494.2858131836319</v>
      </c>
      <c r="H18" s="173">
        <f t="shared" si="11"/>
        <v>640.40820565012791</v>
      </c>
      <c r="I18" s="173">
        <f t="shared" si="11"/>
        <v>0</v>
      </c>
      <c r="J18" s="173">
        <f t="shared" si="11"/>
        <v>0</v>
      </c>
      <c r="K18" s="173">
        <f t="shared" si="11"/>
        <v>0</v>
      </c>
      <c r="L18" s="331">
        <f t="shared" si="11"/>
        <v>230.6119623324804</v>
      </c>
      <c r="M18" s="329">
        <f t="shared" si="10"/>
        <v>153.74130822165361</v>
      </c>
      <c r="N18" s="330">
        <f t="shared" si="10"/>
        <v>0</v>
      </c>
      <c r="O18" s="173">
        <f t="shared" ref="O18:V18" si="13">IF(E$5=0,0,E18/E$5*10000)</f>
        <v>0</v>
      </c>
      <c r="P18" s="173">
        <f t="shared" si="13"/>
        <v>153.74130822165361</v>
      </c>
      <c r="Q18" s="173">
        <f t="shared" si="13"/>
        <v>153.74130822165361</v>
      </c>
      <c r="R18" s="173">
        <f t="shared" si="13"/>
        <v>153.74130822165361</v>
      </c>
      <c r="S18" s="173">
        <f t="shared" si="13"/>
        <v>0</v>
      </c>
      <c r="T18" s="173">
        <f t="shared" si="13"/>
        <v>0</v>
      </c>
      <c r="U18" s="173">
        <f t="shared" si="13"/>
        <v>0</v>
      </c>
      <c r="V18" s="331">
        <f t="shared" si="13"/>
        <v>153.74130822165361</v>
      </c>
    </row>
    <row r="19" spans="1:55" ht="17.100000000000001" customHeight="1">
      <c r="A19" s="332">
        <v>2.5</v>
      </c>
      <c r="B19" s="333" t="s">
        <v>175</v>
      </c>
      <c r="C19" s="325">
        <f>投资估算表!G73</f>
        <v>13346.370740797549</v>
      </c>
      <c r="D19" s="330">
        <f t="shared" si="11"/>
        <v>0</v>
      </c>
      <c r="E19" s="173">
        <f t="shared" si="11"/>
        <v>0</v>
      </c>
      <c r="F19" s="173">
        <f>IF($C$5=0,0,$C19/$C$5*F$5)</f>
        <v>6331.2039541152053</v>
      </c>
      <c r="G19" s="173">
        <f t="shared" si="11"/>
        <v>4431.8427678806438</v>
      </c>
      <c r="H19" s="173">
        <f t="shared" si="11"/>
        <v>1899.3611862345615</v>
      </c>
      <c r="I19" s="173">
        <f t="shared" si="11"/>
        <v>0</v>
      </c>
      <c r="J19" s="173">
        <f t="shared" si="11"/>
        <v>0</v>
      </c>
      <c r="K19" s="173">
        <f t="shared" si="11"/>
        <v>0</v>
      </c>
      <c r="L19" s="331">
        <f t="shared" si="11"/>
        <v>683.96283256713843</v>
      </c>
      <c r="M19" s="329">
        <f t="shared" si="10"/>
        <v>455.9752217114256</v>
      </c>
      <c r="N19" s="330">
        <f t="shared" si="10"/>
        <v>0</v>
      </c>
      <c r="O19" s="173">
        <f t="shared" si="10"/>
        <v>0</v>
      </c>
      <c r="P19" s="173">
        <f t="shared" si="10"/>
        <v>455.9752217114256</v>
      </c>
      <c r="Q19" s="173">
        <f t="shared" si="10"/>
        <v>455.9752217114256</v>
      </c>
      <c r="R19" s="173">
        <f t="shared" si="10"/>
        <v>455.9752217114256</v>
      </c>
      <c r="S19" s="173">
        <f t="shared" si="10"/>
        <v>0</v>
      </c>
      <c r="T19" s="173">
        <f t="shared" si="10"/>
        <v>0</v>
      </c>
      <c r="U19" s="173">
        <f t="shared" si="10"/>
        <v>0</v>
      </c>
      <c r="V19" s="331">
        <f t="shared" si="10"/>
        <v>455.9752217114256</v>
      </c>
    </row>
    <row r="20" spans="1:55" ht="15">
      <c r="A20" s="336">
        <v>3</v>
      </c>
      <c r="B20" s="324" t="s">
        <v>178</v>
      </c>
      <c r="C20" s="325">
        <f>SUM(C21:C22)</f>
        <v>0</v>
      </c>
      <c r="D20" s="330">
        <f t="shared" ref="D20:L20" si="14">SUM(D21:D22)</f>
        <v>0</v>
      </c>
      <c r="E20" s="173">
        <f t="shared" si="14"/>
        <v>0</v>
      </c>
      <c r="F20" s="173">
        <f>SUM(F21:F22)</f>
        <v>0</v>
      </c>
      <c r="G20" s="173">
        <f t="shared" si="14"/>
        <v>0</v>
      </c>
      <c r="H20" s="173">
        <f t="shared" si="14"/>
        <v>0</v>
      </c>
      <c r="I20" s="173">
        <f t="shared" si="14"/>
        <v>0</v>
      </c>
      <c r="J20" s="173">
        <f t="shared" si="14"/>
        <v>0</v>
      </c>
      <c r="K20" s="173">
        <f t="shared" si="14"/>
        <v>0</v>
      </c>
      <c r="L20" s="331">
        <f t="shared" si="14"/>
        <v>0</v>
      </c>
      <c r="M20" s="329">
        <f>SUM(M21:M22)</f>
        <v>0</v>
      </c>
      <c r="N20" s="330">
        <f t="shared" ref="N20:V20" si="15">SUM(N21:N22)</f>
        <v>0</v>
      </c>
      <c r="O20" s="173">
        <f t="shared" si="15"/>
        <v>0</v>
      </c>
      <c r="P20" s="173">
        <f>SUM(P21:P22)</f>
        <v>0</v>
      </c>
      <c r="Q20" s="173">
        <f t="shared" si="15"/>
        <v>0</v>
      </c>
      <c r="R20" s="173">
        <f t="shared" si="15"/>
        <v>0</v>
      </c>
      <c r="S20" s="173">
        <f t="shared" si="15"/>
        <v>0</v>
      </c>
      <c r="T20" s="173">
        <f t="shared" si="15"/>
        <v>0</v>
      </c>
      <c r="U20" s="173">
        <f t="shared" si="15"/>
        <v>0</v>
      </c>
      <c r="V20" s="331">
        <f t="shared" si="15"/>
        <v>0</v>
      </c>
    </row>
    <row r="21" spans="1:55" ht="17.100000000000001" customHeight="1">
      <c r="A21" s="337">
        <v>3.1</v>
      </c>
      <c r="B21" s="338" t="s">
        <v>176</v>
      </c>
      <c r="C21" s="325">
        <f>投资估算表!G75</f>
        <v>0</v>
      </c>
      <c r="D21" s="330">
        <f>IF($C$5=0,0,$C21/$C$5*D$5)</f>
        <v>0</v>
      </c>
      <c r="E21" s="173">
        <f t="shared" ref="E21:L22" si="16">IF($C$5=0,0,$C21/$C$5*E$5)</f>
        <v>0</v>
      </c>
      <c r="F21" s="173">
        <f>IF($C$5=0,0,$C21/$C$5*F$5)</f>
        <v>0</v>
      </c>
      <c r="G21" s="173">
        <f t="shared" si="16"/>
        <v>0</v>
      </c>
      <c r="H21" s="173">
        <f t="shared" si="16"/>
        <v>0</v>
      </c>
      <c r="I21" s="173">
        <f t="shared" si="16"/>
        <v>0</v>
      </c>
      <c r="J21" s="173">
        <f t="shared" si="16"/>
        <v>0</v>
      </c>
      <c r="K21" s="173">
        <f t="shared" si="16"/>
        <v>0</v>
      </c>
      <c r="L21" s="331">
        <f t="shared" si="16"/>
        <v>0</v>
      </c>
      <c r="M21" s="329">
        <f t="shared" ref="M21:V22" si="17">IF(C$5=0,0,C21/C$5*10000)</f>
        <v>0</v>
      </c>
      <c r="N21" s="330">
        <f t="shared" si="17"/>
        <v>0</v>
      </c>
      <c r="O21" s="173">
        <f t="shared" si="17"/>
        <v>0</v>
      </c>
      <c r="P21" s="173">
        <f t="shared" si="17"/>
        <v>0</v>
      </c>
      <c r="Q21" s="173">
        <f t="shared" si="17"/>
        <v>0</v>
      </c>
      <c r="R21" s="173">
        <f t="shared" si="17"/>
        <v>0</v>
      </c>
      <c r="S21" s="173">
        <f t="shared" si="17"/>
        <v>0</v>
      </c>
      <c r="T21" s="173">
        <f t="shared" si="17"/>
        <v>0</v>
      </c>
      <c r="U21" s="173">
        <f t="shared" si="17"/>
        <v>0</v>
      </c>
      <c r="V21" s="331">
        <f t="shared" si="17"/>
        <v>0</v>
      </c>
    </row>
    <row r="22" spans="1:55" ht="17.100000000000001" customHeight="1">
      <c r="A22" s="337">
        <v>3.2</v>
      </c>
      <c r="B22" s="338" t="s">
        <v>177</v>
      </c>
      <c r="C22" s="339">
        <f>投资估算表!G76</f>
        <v>0</v>
      </c>
      <c r="D22" s="340">
        <f>IF($C$5=0,0,$C22/$C$5*D$5)</f>
        <v>0</v>
      </c>
      <c r="E22" s="322">
        <f t="shared" si="16"/>
        <v>0</v>
      </c>
      <c r="F22" s="322">
        <f>IF($C$5=0,0,$C22/$C$5*F$5)</f>
        <v>0</v>
      </c>
      <c r="G22" s="322">
        <f t="shared" si="16"/>
        <v>0</v>
      </c>
      <c r="H22" s="322">
        <f t="shared" si="16"/>
        <v>0</v>
      </c>
      <c r="I22" s="322">
        <f t="shared" si="16"/>
        <v>0</v>
      </c>
      <c r="J22" s="322">
        <f t="shared" si="16"/>
        <v>0</v>
      </c>
      <c r="K22" s="322">
        <f t="shared" si="16"/>
        <v>0</v>
      </c>
      <c r="L22" s="341">
        <f t="shared" si="16"/>
        <v>0</v>
      </c>
      <c r="M22" s="342">
        <f t="shared" si="17"/>
        <v>0</v>
      </c>
      <c r="N22" s="340">
        <f t="shared" si="17"/>
        <v>0</v>
      </c>
      <c r="O22" s="322">
        <f t="shared" si="17"/>
        <v>0</v>
      </c>
      <c r="P22" s="322">
        <f t="shared" si="17"/>
        <v>0</v>
      </c>
      <c r="Q22" s="322">
        <f t="shared" si="17"/>
        <v>0</v>
      </c>
      <c r="R22" s="322">
        <f t="shared" si="17"/>
        <v>0</v>
      </c>
      <c r="S22" s="322">
        <f t="shared" si="17"/>
        <v>0</v>
      </c>
      <c r="T22" s="322">
        <f t="shared" si="17"/>
        <v>0</v>
      </c>
      <c r="U22" s="322">
        <f t="shared" si="17"/>
        <v>0</v>
      </c>
      <c r="V22" s="341">
        <f t="shared" si="17"/>
        <v>0</v>
      </c>
    </row>
    <row r="23" spans="1:55" s="49" customFormat="1" ht="20.100000000000001" customHeight="1">
      <c r="A23" s="215"/>
      <c r="B23" s="216" t="s">
        <v>180</v>
      </c>
      <c r="C23" s="217">
        <f t="shared" ref="C23:V23" si="18">C6+C14+C20</f>
        <v>161497.76390070817</v>
      </c>
      <c r="D23" s="213">
        <f t="shared" si="18"/>
        <v>0</v>
      </c>
      <c r="E23" s="163">
        <f t="shared" si="18"/>
        <v>0</v>
      </c>
      <c r="F23" s="163">
        <f t="shared" si="18"/>
        <v>69234.156449866219</v>
      </c>
      <c r="G23" s="163">
        <f t="shared" si="18"/>
        <v>48440.395985964504</v>
      </c>
      <c r="H23" s="163">
        <f t="shared" si="18"/>
        <v>21424.835328461311</v>
      </c>
      <c r="I23" s="163">
        <f t="shared" si="18"/>
        <v>0</v>
      </c>
      <c r="J23" s="163">
        <f t="shared" si="18"/>
        <v>0</v>
      </c>
      <c r="K23" s="163">
        <f t="shared" si="18"/>
        <v>12460.258703759397</v>
      </c>
      <c r="L23" s="214">
        <f t="shared" si="18"/>
        <v>9938.1174326567379</v>
      </c>
      <c r="M23" s="218">
        <f t="shared" si="18"/>
        <v>5517.528332659248</v>
      </c>
      <c r="N23" s="213">
        <f t="shared" si="18"/>
        <v>0</v>
      </c>
      <c r="O23" s="163">
        <f t="shared" si="18"/>
        <v>0</v>
      </c>
      <c r="P23" s="163">
        <f t="shared" si="18"/>
        <v>5411.9663048562561</v>
      </c>
      <c r="Q23" s="163">
        <f t="shared" si="18"/>
        <v>5409.5470884864471</v>
      </c>
      <c r="R23" s="163">
        <f t="shared" si="18"/>
        <v>5569.1118177896178</v>
      </c>
      <c r="S23" s="163">
        <f t="shared" si="18"/>
        <v>0</v>
      </c>
      <c r="T23" s="163">
        <f t="shared" si="18"/>
        <v>0</v>
      </c>
      <c r="U23" s="163">
        <f t="shared" si="18"/>
        <v>0</v>
      </c>
      <c r="V23" s="214">
        <f t="shared" si="18"/>
        <v>7051.1130604147611</v>
      </c>
      <c r="W23" s="165"/>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c r="BC23" s="165"/>
    </row>
    <row r="24" spans="1:55" s="165" customFormat="1" ht="20.25" customHeight="1" thickBot="1">
      <c r="A24" s="362"/>
      <c r="B24" s="363" t="s">
        <v>396</v>
      </c>
      <c r="C24" s="364">
        <f t="shared" ref="C24:V24" si="19">C9+C10+C11+C12</f>
        <v>64668.094809022565</v>
      </c>
      <c r="D24" s="365">
        <f t="shared" si="19"/>
        <v>0</v>
      </c>
      <c r="E24" s="366">
        <f t="shared" si="19"/>
        <v>0</v>
      </c>
      <c r="F24" s="366">
        <f>F9+F10+F11+F12</f>
        <v>23847.442302631582</v>
      </c>
      <c r="G24" s="366">
        <f t="shared" si="19"/>
        <v>18831.495559210529</v>
      </c>
      <c r="H24" s="366">
        <f t="shared" si="19"/>
        <v>6862.6482434210529</v>
      </c>
      <c r="I24" s="366">
        <f t="shared" si="19"/>
        <v>0</v>
      </c>
      <c r="J24" s="366">
        <f t="shared" si="19"/>
        <v>0</v>
      </c>
      <c r="K24" s="366">
        <f t="shared" si="19"/>
        <v>12460.258703759397</v>
      </c>
      <c r="L24" s="367">
        <f t="shared" si="19"/>
        <v>2666.25</v>
      </c>
      <c r="M24" s="368">
        <f t="shared" si="19"/>
        <v>2209.3683324757894</v>
      </c>
      <c r="N24" s="365">
        <f t="shared" si="19"/>
        <v>0</v>
      </c>
      <c r="O24" s="366">
        <f t="shared" si="19"/>
        <v>0</v>
      </c>
      <c r="P24" s="366">
        <f>P9+P10+P11+P12</f>
        <v>2143.2014386436031</v>
      </c>
      <c r="Q24" s="366">
        <f t="shared" si="19"/>
        <v>2363.2014386436031</v>
      </c>
      <c r="R24" s="366">
        <f t="shared" si="19"/>
        <v>2073.2014386436031</v>
      </c>
      <c r="S24" s="366">
        <f t="shared" si="19"/>
        <v>0</v>
      </c>
      <c r="T24" s="366">
        <f t="shared" si="19"/>
        <v>0</v>
      </c>
      <c r="U24" s="366">
        <f t="shared" si="19"/>
        <v>0</v>
      </c>
      <c r="V24" s="367">
        <f t="shared" si="19"/>
        <v>2203.2014386436031</v>
      </c>
    </row>
    <row r="25" spans="1:55" ht="20.100000000000001" customHeight="1">
      <c r="M25" s="6"/>
    </row>
    <row r="26" spans="1:55" ht="20.100000000000001" customHeight="1">
      <c r="M26" s="6"/>
    </row>
    <row r="27" spans="1:55" ht="20.100000000000001" customHeight="1">
      <c r="B27" s="15"/>
      <c r="M27" s="6"/>
    </row>
    <row r="28" spans="1:55" ht="20.100000000000001" customHeight="1">
      <c r="M28" s="6"/>
    </row>
    <row r="29" spans="1:55" ht="20.100000000000001" customHeight="1">
      <c r="M29" s="6"/>
    </row>
    <row r="30" spans="1:55" ht="20.100000000000001" customHeight="1">
      <c r="M30" s="6"/>
    </row>
    <row r="31" spans="1:55" ht="20.100000000000001" customHeight="1">
      <c r="M31" s="6"/>
    </row>
    <row r="32" spans="1:55" ht="20.100000000000001" customHeight="1">
      <c r="M32" s="6"/>
    </row>
    <row r="33" spans="13:13" ht="20.100000000000001" customHeight="1">
      <c r="M33" s="6"/>
    </row>
    <row r="34" spans="13:13" ht="20.100000000000001" customHeight="1">
      <c r="M34" s="6"/>
    </row>
    <row r="35" spans="13:13" ht="20.100000000000001" customHeight="1">
      <c r="M35" s="6"/>
    </row>
    <row r="36" spans="13:13" ht="20.100000000000001" customHeight="1">
      <c r="M36" s="6"/>
    </row>
    <row r="37" spans="13:13" ht="20.100000000000001" customHeight="1">
      <c r="M37" s="6"/>
    </row>
    <row r="38" spans="13:13" ht="20.100000000000001" customHeight="1">
      <c r="M38" s="6"/>
    </row>
    <row r="39" spans="13:13" ht="20.100000000000001" customHeight="1">
      <c r="M39" s="6"/>
    </row>
    <row r="40" spans="13:13" ht="20.100000000000001" customHeight="1">
      <c r="M40" s="6"/>
    </row>
    <row r="41" spans="13:13" ht="20.100000000000001" customHeight="1">
      <c r="M41" s="6"/>
    </row>
    <row r="42" spans="13:13" ht="20.100000000000001" customHeight="1">
      <c r="M42" s="6"/>
    </row>
    <row r="43" spans="13:13" ht="20.100000000000001" customHeight="1">
      <c r="M43" s="6"/>
    </row>
    <row r="44" spans="13:13" ht="20.100000000000001" customHeight="1">
      <c r="M44" s="6"/>
    </row>
    <row r="45" spans="13:13" ht="20.100000000000001" customHeight="1">
      <c r="M45" s="6"/>
    </row>
    <row r="46" spans="13:13" ht="20.100000000000001" customHeight="1">
      <c r="M46" s="6"/>
    </row>
    <row r="47" spans="13:13" ht="20.100000000000001" customHeight="1">
      <c r="M47" s="6"/>
    </row>
    <row r="48" spans="13:13" ht="20.100000000000001" customHeight="1">
      <c r="M48" s="6"/>
    </row>
    <row r="49" spans="13:13" ht="20.100000000000001" customHeight="1">
      <c r="M49" s="6"/>
    </row>
    <row r="50" spans="13:13" ht="20.100000000000001" customHeight="1">
      <c r="M50" s="6"/>
    </row>
    <row r="51" spans="13:13" ht="20.100000000000001" customHeight="1">
      <c r="M51" s="6"/>
    </row>
    <row r="52" spans="13:13" ht="20.100000000000001" customHeight="1">
      <c r="M52" s="6"/>
    </row>
    <row r="53" spans="13:13" ht="20.100000000000001" customHeight="1">
      <c r="M53" s="6"/>
    </row>
    <row r="54" spans="13:13" ht="20.100000000000001" customHeight="1">
      <c r="M54" s="6"/>
    </row>
    <row r="55" spans="13:13" ht="20.100000000000001" customHeight="1">
      <c r="M55" s="6"/>
    </row>
    <row r="56" spans="13:13" ht="20.100000000000001" customHeight="1">
      <c r="M56" s="6"/>
    </row>
    <row r="57" spans="13:13" ht="20.100000000000001" customHeight="1">
      <c r="M57" s="6"/>
    </row>
    <row r="58" spans="13:13" ht="20.100000000000001" customHeight="1">
      <c r="M58" s="6"/>
    </row>
    <row r="59" spans="13:13" ht="20.100000000000001" customHeight="1">
      <c r="M59" s="6"/>
    </row>
    <row r="60" spans="13:13" ht="20.100000000000001" customHeight="1">
      <c r="M60" s="6"/>
    </row>
    <row r="61" spans="13:13" ht="20.100000000000001" customHeight="1">
      <c r="M61" s="6"/>
    </row>
    <row r="62" spans="13:13" ht="20.100000000000001" customHeight="1">
      <c r="M62" s="6"/>
    </row>
    <row r="63" spans="13:13" ht="20.100000000000001" customHeight="1">
      <c r="M63" s="6"/>
    </row>
    <row r="64" spans="13:13" ht="20.100000000000001" customHeight="1">
      <c r="M64" s="6"/>
    </row>
    <row r="65" spans="13:13" ht="20.100000000000001" customHeight="1">
      <c r="M65" s="6"/>
    </row>
  </sheetData>
  <mergeCells count="4">
    <mergeCell ref="A2:A3"/>
    <mergeCell ref="B2:B3"/>
    <mergeCell ref="C2:L2"/>
    <mergeCell ref="M2:V2"/>
  </mergeCells>
  <phoneticPr fontId="2"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AE98"/>
  <sheetViews>
    <sheetView zoomScaleNormal="100" workbookViewId="0">
      <pane xSplit="6" ySplit="7" topLeftCell="G65" activePane="bottomRight" state="frozen"/>
      <selection pane="topRight" activeCell="G1" sqref="G1"/>
      <selection pane="bottomLeft" activeCell="A9" sqref="A9"/>
      <selection pane="bottomRight" activeCell="G47" sqref="G47"/>
    </sheetView>
  </sheetViews>
  <sheetFormatPr defaultRowHeight="20.100000000000001" customHeight="1"/>
  <cols>
    <col min="1" max="1" width="4.875" style="199" customWidth="1"/>
    <col min="2" max="2" width="5.25" style="212" customWidth="1"/>
    <col min="3" max="3" width="5" style="165" customWidth="1"/>
    <col min="4" max="4" width="16.375" style="165" customWidth="1"/>
    <col min="5" max="5" width="10.625" style="165" customWidth="1"/>
    <col min="6" max="6" width="17" style="165" customWidth="1"/>
    <col min="7" max="7" width="10.5" style="165" bestFit="1" customWidth="1"/>
    <col min="8" max="8" width="13.375" style="165" customWidth="1"/>
    <col min="9" max="9" width="24.5" style="165" customWidth="1"/>
    <col min="10" max="16384" width="9" style="165"/>
  </cols>
  <sheetData>
    <row r="1" spans="1:31" ht="15" customHeight="1">
      <c r="A1" s="827" t="str">
        <f>规划指标!B3</f>
        <v>用地面积</v>
      </c>
      <c r="B1" s="828"/>
      <c r="C1" s="824">
        <f>规划指标!D3</f>
        <v>87391.7</v>
      </c>
      <c r="D1" s="825"/>
      <c r="E1" s="825"/>
      <c r="F1" s="825"/>
      <c r="G1" s="826"/>
      <c r="H1" s="174" t="s">
        <v>32</v>
      </c>
      <c r="I1" s="444">
        <f>规划指标!H3</f>
        <v>0.31647722859923599</v>
      </c>
    </row>
    <row r="2" spans="1:31" ht="15" customHeight="1">
      <c r="A2" s="827" t="s">
        <v>33</v>
      </c>
      <c r="B2" s="828"/>
      <c r="C2" s="824">
        <f>规划指标!D4</f>
        <v>391803.76864661655</v>
      </c>
      <c r="D2" s="826"/>
      <c r="E2" s="824" t="s">
        <v>34</v>
      </c>
      <c r="F2" s="826"/>
      <c r="G2" s="173">
        <f>规划指标!F4</f>
        <v>3.5</v>
      </c>
      <c r="H2" s="174" t="s">
        <v>415</v>
      </c>
      <c r="I2" s="444">
        <f>规划指标!H4</f>
        <v>0.33352277140076408</v>
      </c>
    </row>
    <row r="3" spans="1:31" ht="23.25" customHeight="1">
      <c r="A3" s="874" t="s">
        <v>35</v>
      </c>
      <c r="B3" s="875"/>
      <c r="C3" s="824">
        <f>规划指标!D5</f>
        <v>305870.95</v>
      </c>
      <c r="D3" s="826"/>
      <c r="E3" s="827" t="s">
        <v>36</v>
      </c>
      <c r="F3" s="828"/>
      <c r="G3" s="173">
        <f>规划指标!F5</f>
        <v>85932.818646616535</v>
      </c>
      <c r="H3" s="174" t="s">
        <v>37</v>
      </c>
      <c r="I3" s="173">
        <f>规划指标!H5</f>
        <v>335665.88300751883</v>
      </c>
    </row>
    <row r="4" spans="1:31" s="176" customFormat="1" ht="33.75">
      <c r="A4" s="178" t="s">
        <v>181</v>
      </c>
      <c r="B4" s="178" t="s">
        <v>182</v>
      </c>
      <c r="C4" s="178" t="s">
        <v>183</v>
      </c>
      <c r="D4" s="178" t="s">
        <v>184</v>
      </c>
      <c r="E4" s="10" t="s">
        <v>185</v>
      </c>
      <c r="F4" s="10" t="s">
        <v>186</v>
      </c>
      <c r="G4" s="223" t="s">
        <v>263</v>
      </c>
      <c r="H4" s="223" t="s">
        <v>441</v>
      </c>
      <c r="I4" s="222" t="s">
        <v>264</v>
      </c>
      <c r="J4" s="175"/>
    </row>
    <row r="5" spans="1:31" s="49" customFormat="1" ht="19.5" customHeight="1">
      <c r="A5" s="829" t="s">
        <v>187</v>
      </c>
      <c r="B5" s="830"/>
      <c r="C5" s="830"/>
      <c r="D5" s="830"/>
      <c r="E5" s="830"/>
      <c r="F5" s="831"/>
      <c r="G5" s="177">
        <f>G6+G22+G29+G40+G46+G47+G64</f>
        <v>137193.47183371827</v>
      </c>
      <c r="H5" s="221">
        <f>IF(成本汇总!C$5=0,0,G5/成本汇总!C$5*10000)</f>
        <v>4687.1786309303179</v>
      </c>
      <c r="I5" s="221"/>
      <c r="J5" s="165"/>
      <c r="K5" s="165"/>
      <c r="L5" s="165"/>
      <c r="M5" s="165"/>
      <c r="N5" s="165"/>
      <c r="O5" s="165"/>
      <c r="P5" s="165"/>
      <c r="Q5" s="165"/>
      <c r="R5" s="165"/>
      <c r="S5" s="165"/>
      <c r="T5" s="165"/>
      <c r="U5" s="165"/>
      <c r="V5" s="165"/>
      <c r="W5" s="165"/>
      <c r="X5" s="165"/>
      <c r="Y5" s="165"/>
      <c r="Z5" s="165"/>
      <c r="AA5" s="165"/>
      <c r="AB5" s="165"/>
      <c r="AC5" s="165"/>
      <c r="AD5" s="165"/>
      <c r="AE5" s="165"/>
    </row>
    <row r="6" spans="1:31" s="49" customFormat="1" ht="17.100000000000001" customHeight="1">
      <c r="A6" s="841" t="s">
        <v>74</v>
      </c>
      <c r="B6" s="811" t="s">
        <v>188</v>
      </c>
      <c r="C6" s="812"/>
      <c r="D6" s="813"/>
      <c r="E6" s="179"/>
      <c r="F6" s="180"/>
      <c r="G6" s="181">
        <f>G7+G15+G18+G19+G20+G21</f>
        <v>62484</v>
      </c>
      <c r="H6" s="221">
        <f>IF(成本汇总!C$5=0,0,G6/成本汇总!C$5*10000)</f>
        <v>2134.7493117604008</v>
      </c>
      <c r="I6" s="173"/>
      <c r="J6" s="165"/>
      <c r="K6" s="165"/>
      <c r="L6" s="165"/>
      <c r="M6" s="165"/>
      <c r="N6" s="165"/>
      <c r="O6" s="165"/>
      <c r="P6" s="165"/>
      <c r="Q6" s="165"/>
      <c r="R6" s="165"/>
      <c r="S6" s="165"/>
      <c r="T6" s="165"/>
      <c r="U6" s="165"/>
      <c r="V6" s="165"/>
      <c r="W6" s="165"/>
      <c r="X6" s="165"/>
      <c r="Y6" s="165"/>
      <c r="Z6" s="165"/>
      <c r="AA6" s="165"/>
      <c r="AB6" s="165"/>
      <c r="AC6" s="165"/>
      <c r="AD6" s="165"/>
      <c r="AE6" s="165"/>
    </row>
    <row r="7" spans="1:31" s="186" customFormat="1" ht="17.100000000000001" customHeight="1">
      <c r="A7" s="842"/>
      <c r="B7" s="820" t="s">
        <v>166</v>
      </c>
      <c r="C7" s="182" t="s">
        <v>189</v>
      </c>
      <c r="D7" s="183" t="s">
        <v>190</v>
      </c>
      <c r="E7" s="184"/>
      <c r="F7" s="185" t="s">
        <v>67</v>
      </c>
      <c r="G7" s="185">
        <f>SUM(G8:G14)</f>
        <v>60300</v>
      </c>
      <c r="H7" s="221">
        <f>IF(成本汇总!C$5=0,0,G7/成本汇总!C$5*10000)</f>
        <v>2060.1335301701583</v>
      </c>
      <c r="I7" s="173"/>
      <c r="J7" s="51"/>
      <c r="K7" s="51"/>
      <c r="L7" s="51"/>
      <c r="M7" s="51"/>
      <c r="N7" s="51"/>
      <c r="O7" s="51"/>
      <c r="P7" s="51"/>
      <c r="Q7" s="51"/>
      <c r="R7" s="51"/>
      <c r="S7" s="51"/>
      <c r="T7" s="51"/>
      <c r="U7" s="51"/>
      <c r="V7" s="51"/>
      <c r="W7" s="51"/>
      <c r="X7" s="51"/>
      <c r="Y7" s="51"/>
      <c r="Z7" s="51"/>
      <c r="AA7" s="51"/>
      <c r="AB7" s="51"/>
      <c r="AC7" s="51"/>
      <c r="AD7" s="51"/>
      <c r="AE7" s="51"/>
    </row>
    <row r="8" spans="1:31" s="186" customFormat="1" ht="24">
      <c r="A8" s="842"/>
      <c r="B8" s="821"/>
      <c r="C8" s="814" t="s">
        <v>189</v>
      </c>
      <c r="D8" s="816" t="s">
        <v>190</v>
      </c>
      <c r="E8" s="188" t="s">
        <v>191</v>
      </c>
      <c r="F8" s="189" t="s">
        <v>192</v>
      </c>
      <c r="G8" s="220">
        <f>规划指标!D3*规划指标!F4*假设条件及经济指标!E25/10000</f>
        <v>60300</v>
      </c>
      <c r="H8" s="221">
        <f>IF(成本汇总!C$5=0,0,G8/成本汇总!C$5*10000)</f>
        <v>2060.1335301701583</v>
      </c>
      <c r="I8" s="173"/>
      <c r="J8" s="51"/>
      <c r="K8" s="51"/>
      <c r="L8" s="51"/>
      <c r="M8" s="51"/>
      <c r="N8" s="51"/>
      <c r="O8" s="51"/>
      <c r="P8" s="51"/>
      <c r="Q8" s="51"/>
      <c r="R8" s="51"/>
      <c r="S8" s="51"/>
      <c r="T8" s="51"/>
      <c r="U8" s="51"/>
      <c r="V8" s="51"/>
      <c r="W8" s="51"/>
      <c r="X8" s="51"/>
      <c r="Y8" s="51"/>
      <c r="Z8" s="51"/>
      <c r="AA8" s="51"/>
      <c r="AB8" s="51"/>
      <c r="AC8" s="51"/>
      <c r="AD8" s="51"/>
      <c r="AE8" s="51"/>
    </row>
    <row r="9" spans="1:31" ht="17.100000000000001" customHeight="1">
      <c r="A9" s="842"/>
      <c r="B9" s="821"/>
      <c r="C9" s="815"/>
      <c r="D9" s="817"/>
      <c r="E9" s="188" t="s">
        <v>11</v>
      </c>
      <c r="F9" s="189" t="s">
        <v>193</v>
      </c>
      <c r="G9" s="220"/>
      <c r="H9" s="221">
        <f>IF(成本汇总!C$5=0,0,G9/成本汇总!C$5*10000)</f>
        <v>0</v>
      </c>
      <c r="I9" s="173"/>
    </row>
    <row r="10" spans="1:31" ht="17.100000000000001" customHeight="1">
      <c r="A10" s="842"/>
      <c r="B10" s="821"/>
      <c r="C10" s="815"/>
      <c r="D10" s="817"/>
      <c r="E10" s="188" t="s">
        <v>12</v>
      </c>
      <c r="F10" s="189" t="s">
        <v>194</v>
      </c>
      <c r="G10" s="220"/>
      <c r="H10" s="221">
        <f>IF(成本汇总!C$5=0,0,G10/成本汇总!C$5*10000)</f>
        <v>0</v>
      </c>
      <c r="I10" s="173"/>
    </row>
    <row r="11" spans="1:31" ht="17.100000000000001" customHeight="1">
      <c r="A11" s="842"/>
      <c r="B11" s="821"/>
      <c r="C11" s="815"/>
      <c r="D11" s="817"/>
      <c r="E11" s="188" t="s">
        <v>13</v>
      </c>
      <c r="F11" s="189" t="s">
        <v>195</v>
      </c>
      <c r="G11" s="220"/>
      <c r="H11" s="221">
        <f>IF(成本汇总!C$5=0,0,G11/成本汇总!C$5*10000)</f>
        <v>0</v>
      </c>
      <c r="I11" s="173"/>
    </row>
    <row r="12" spans="1:31" ht="17.100000000000001" customHeight="1">
      <c r="A12" s="842"/>
      <c r="B12" s="821"/>
      <c r="C12" s="815"/>
      <c r="D12" s="817"/>
      <c r="E12" s="188" t="s">
        <v>14</v>
      </c>
      <c r="F12" s="173" t="s">
        <v>196</v>
      </c>
      <c r="G12" s="220"/>
      <c r="H12" s="221">
        <f>IF(成本汇总!C$5=0,0,G12/成本汇总!C$5*10000)</f>
        <v>0</v>
      </c>
      <c r="I12" s="173"/>
    </row>
    <row r="13" spans="1:31" ht="17.100000000000001" customHeight="1">
      <c r="A13" s="842"/>
      <c r="B13" s="821"/>
      <c r="C13" s="815"/>
      <c r="D13" s="817"/>
      <c r="E13" s="188" t="s">
        <v>15</v>
      </c>
      <c r="F13" s="173" t="s">
        <v>197</v>
      </c>
      <c r="G13" s="220"/>
      <c r="H13" s="221">
        <f>IF(成本汇总!C$5=0,0,G13/成本汇总!C$5*10000)</f>
        <v>0</v>
      </c>
      <c r="I13" s="173"/>
    </row>
    <row r="14" spans="1:31" ht="22.5">
      <c r="A14" s="842"/>
      <c r="B14" s="821"/>
      <c r="C14" s="815"/>
      <c r="D14" s="817"/>
      <c r="E14" s="188" t="s">
        <v>16</v>
      </c>
      <c r="F14" s="173" t="s">
        <v>198</v>
      </c>
      <c r="G14" s="220"/>
      <c r="H14" s="221">
        <f>IF(成本汇总!C$5=0,0,G14/成本汇总!C$5*10000)</f>
        <v>0</v>
      </c>
      <c r="I14" s="173"/>
    </row>
    <row r="15" spans="1:31" s="49" customFormat="1" ht="17.100000000000001" customHeight="1">
      <c r="A15" s="842"/>
      <c r="B15" s="821"/>
      <c r="C15" s="184" t="s">
        <v>199</v>
      </c>
      <c r="D15" s="185" t="s">
        <v>200</v>
      </c>
      <c r="E15" s="190"/>
      <c r="F15" s="185" t="s">
        <v>67</v>
      </c>
      <c r="G15" s="185">
        <f>SUM(G16:G17)</f>
        <v>2184</v>
      </c>
      <c r="H15" s="221">
        <f>IF(成本汇总!C$5=0,0,G15/成本汇总!C$5*10000)</f>
        <v>74.615781590242534</v>
      </c>
      <c r="I15" s="173"/>
      <c r="J15" s="165"/>
      <c r="K15" s="165"/>
      <c r="L15" s="165"/>
      <c r="M15" s="165"/>
      <c r="N15" s="165"/>
      <c r="O15" s="165"/>
      <c r="P15" s="165"/>
      <c r="Q15" s="165"/>
      <c r="R15" s="165"/>
      <c r="S15" s="165"/>
      <c r="T15" s="165"/>
      <c r="U15" s="165"/>
      <c r="V15" s="165"/>
      <c r="W15" s="165"/>
      <c r="X15" s="165"/>
      <c r="Y15" s="165"/>
      <c r="Z15" s="165"/>
      <c r="AA15" s="165"/>
      <c r="AB15" s="165"/>
      <c r="AC15" s="165"/>
      <c r="AD15" s="165"/>
      <c r="AE15" s="165"/>
    </row>
    <row r="16" spans="1:31" ht="18.75" customHeight="1">
      <c r="A16" s="842"/>
      <c r="B16" s="821"/>
      <c r="C16" s="814" t="s">
        <v>199</v>
      </c>
      <c r="D16" s="818" t="s">
        <v>200</v>
      </c>
      <c r="E16" s="191" t="s">
        <v>201</v>
      </c>
      <c r="F16" s="173" t="s">
        <v>202</v>
      </c>
      <c r="G16" s="220"/>
      <c r="H16" s="221">
        <f>IF(成本汇总!C$5=0,0,G16/成本汇总!C$5*10000)</f>
        <v>0</v>
      </c>
      <c r="I16" s="173"/>
    </row>
    <row r="17" spans="1:31" ht="19.5" customHeight="1">
      <c r="A17" s="842"/>
      <c r="B17" s="821"/>
      <c r="C17" s="815"/>
      <c r="D17" s="819"/>
      <c r="E17" s="191" t="s">
        <v>17</v>
      </c>
      <c r="F17" s="173" t="s">
        <v>416</v>
      </c>
      <c r="G17" s="220">
        <v>2184</v>
      </c>
      <c r="H17" s="221">
        <f>IF(成本汇总!C$5=0,0,G17/成本汇总!C$5*10000)</f>
        <v>74.615781590242534</v>
      </c>
      <c r="I17" s="468"/>
    </row>
    <row r="18" spans="1:31" s="49" customFormat="1" ht="17.100000000000001" customHeight="1">
      <c r="A18" s="842"/>
      <c r="B18" s="821"/>
      <c r="C18" s="184" t="s">
        <v>203</v>
      </c>
      <c r="D18" s="185" t="s">
        <v>204</v>
      </c>
      <c r="E18" s="190"/>
      <c r="F18" s="185" t="s">
        <v>67</v>
      </c>
      <c r="G18" s="220"/>
      <c r="H18" s="221">
        <f>IF(成本汇总!C$5=0,0,G18/成本汇总!C$5*10000)</f>
        <v>0</v>
      </c>
      <c r="I18" s="173"/>
      <c r="J18" s="165"/>
      <c r="K18" s="165"/>
      <c r="L18" s="165"/>
      <c r="M18" s="165"/>
      <c r="N18" s="165"/>
      <c r="O18" s="165"/>
      <c r="P18" s="165"/>
      <c r="Q18" s="165"/>
      <c r="R18" s="165"/>
      <c r="S18" s="165"/>
      <c r="T18" s="165"/>
      <c r="U18" s="165"/>
      <c r="V18" s="165"/>
      <c r="W18" s="165"/>
      <c r="X18" s="165"/>
      <c r="Y18" s="165"/>
      <c r="Z18" s="165"/>
      <c r="AA18" s="165"/>
      <c r="AB18" s="165"/>
      <c r="AC18" s="165"/>
      <c r="AD18" s="165"/>
      <c r="AE18" s="165"/>
    </row>
    <row r="19" spans="1:31" s="49" customFormat="1" ht="17.100000000000001" customHeight="1">
      <c r="A19" s="842"/>
      <c r="B19" s="821"/>
      <c r="C19" s="184" t="s">
        <v>205</v>
      </c>
      <c r="D19" s="185" t="s">
        <v>206</v>
      </c>
      <c r="E19" s="190"/>
      <c r="F19" s="185" t="s">
        <v>67</v>
      </c>
      <c r="G19" s="220"/>
      <c r="H19" s="221">
        <f>IF(成本汇总!C$5=0,0,G19/成本汇总!C$5*10000)</f>
        <v>0</v>
      </c>
      <c r="I19" s="173"/>
      <c r="J19" s="165"/>
      <c r="K19" s="165"/>
      <c r="L19" s="165"/>
      <c r="M19" s="165"/>
      <c r="N19" s="165"/>
      <c r="O19" s="165"/>
      <c r="P19" s="165"/>
      <c r="Q19" s="165"/>
      <c r="R19" s="165"/>
      <c r="S19" s="165"/>
      <c r="T19" s="165"/>
      <c r="U19" s="165"/>
      <c r="V19" s="165"/>
      <c r="W19" s="165"/>
      <c r="X19" s="165"/>
      <c r="Y19" s="165"/>
      <c r="Z19" s="165"/>
      <c r="AA19" s="165"/>
      <c r="AB19" s="165"/>
      <c r="AC19" s="165"/>
      <c r="AD19" s="165"/>
      <c r="AE19" s="165"/>
    </row>
    <row r="20" spans="1:31" s="49" customFormat="1" ht="15.75" customHeight="1">
      <c r="A20" s="842"/>
      <c r="B20" s="821"/>
      <c r="C20" s="184" t="s">
        <v>207</v>
      </c>
      <c r="D20" s="185" t="s">
        <v>208</v>
      </c>
      <c r="E20" s="190"/>
      <c r="F20" s="185" t="s">
        <v>67</v>
      </c>
      <c r="G20" s="220"/>
      <c r="H20" s="221">
        <f>IF(成本汇总!C$5=0,0,G20/成本汇总!C$5*10000)</f>
        <v>0</v>
      </c>
      <c r="I20" s="173"/>
      <c r="J20" s="165"/>
      <c r="K20" s="165"/>
      <c r="L20" s="165"/>
      <c r="M20" s="165"/>
      <c r="N20" s="165"/>
      <c r="O20" s="165"/>
      <c r="P20" s="165"/>
      <c r="Q20" s="165"/>
      <c r="R20" s="165"/>
      <c r="S20" s="165"/>
      <c r="T20" s="165"/>
      <c r="U20" s="165"/>
      <c r="V20" s="165"/>
      <c r="W20" s="165"/>
      <c r="X20" s="165"/>
      <c r="Y20" s="165"/>
      <c r="Z20" s="165"/>
      <c r="AA20" s="165"/>
      <c r="AB20" s="165"/>
      <c r="AC20" s="165"/>
      <c r="AD20" s="165"/>
      <c r="AE20" s="165"/>
    </row>
    <row r="21" spans="1:31" s="49" customFormat="1" ht="22.5" hidden="1">
      <c r="A21" s="842"/>
      <c r="B21" s="832"/>
      <c r="C21" s="184" t="s">
        <v>209</v>
      </c>
      <c r="D21" s="185" t="s">
        <v>210</v>
      </c>
      <c r="E21" s="190"/>
      <c r="F21" s="185" t="s">
        <v>67</v>
      </c>
      <c r="G21" s="220"/>
      <c r="H21" s="221">
        <f>IF(成本汇总!C$5=0,0,G21/成本汇总!C$5*10000)</f>
        <v>0</v>
      </c>
      <c r="I21" s="173"/>
      <c r="J21" s="165"/>
      <c r="K21" s="165"/>
      <c r="L21" s="165"/>
      <c r="M21" s="165"/>
      <c r="N21" s="165"/>
      <c r="O21" s="165"/>
      <c r="P21" s="165"/>
      <c r="Q21" s="165"/>
      <c r="R21" s="165"/>
      <c r="S21" s="165"/>
      <c r="T21" s="165"/>
      <c r="U21" s="165"/>
      <c r="V21" s="165"/>
      <c r="W21" s="165"/>
      <c r="X21" s="165"/>
      <c r="Y21" s="165"/>
      <c r="Z21" s="165"/>
      <c r="AA21" s="165"/>
      <c r="AB21" s="165"/>
      <c r="AC21" s="165"/>
      <c r="AD21" s="165"/>
      <c r="AE21" s="165"/>
    </row>
    <row r="22" spans="1:31" s="49" customFormat="1" ht="17.100000000000001" customHeight="1">
      <c r="A22" s="842"/>
      <c r="B22" s="811" t="s">
        <v>211</v>
      </c>
      <c r="C22" s="812"/>
      <c r="D22" s="813"/>
      <c r="E22" s="179"/>
      <c r="F22" s="180"/>
      <c r="G22" s="181">
        <f>SUM(G23:G28)</f>
        <v>5765.1801825904367</v>
      </c>
      <c r="H22" s="221">
        <f>IF(成本汇总!C$5=0,0,G22/成本汇总!C$5*10000)</f>
        <v>196.96585409000122</v>
      </c>
      <c r="I22" s="173"/>
      <c r="J22" s="165"/>
      <c r="K22" s="165"/>
      <c r="L22" s="165"/>
      <c r="M22" s="165"/>
      <c r="N22" s="165"/>
      <c r="O22" s="165"/>
      <c r="P22" s="165"/>
      <c r="Q22" s="165"/>
      <c r="R22" s="165"/>
      <c r="S22" s="165"/>
      <c r="T22" s="165"/>
      <c r="U22" s="165"/>
      <c r="V22" s="165"/>
      <c r="W22" s="165"/>
      <c r="X22" s="165"/>
      <c r="Y22" s="165"/>
      <c r="Z22" s="165"/>
      <c r="AA22" s="165"/>
      <c r="AB22" s="165"/>
      <c r="AC22" s="165"/>
      <c r="AD22" s="165"/>
      <c r="AE22" s="165"/>
    </row>
    <row r="23" spans="1:31" s="49" customFormat="1" ht="17.100000000000001" customHeight="1">
      <c r="A23" s="842"/>
      <c r="B23" s="820" t="s">
        <v>212</v>
      </c>
      <c r="C23" s="184" t="s">
        <v>213</v>
      </c>
      <c r="D23" s="185" t="s">
        <v>214</v>
      </c>
      <c r="E23" s="190"/>
      <c r="F23" s="185" t="s">
        <v>215</v>
      </c>
      <c r="G23" s="220">
        <f>$C$2*5/10000</f>
        <v>195.90188432330828</v>
      </c>
      <c r="H23" s="221">
        <f>IF(成本汇总!C$5=0,0,G23/成本汇总!C$5*10000)</f>
        <v>6.6929359953227703</v>
      </c>
      <c r="I23" s="173" t="s">
        <v>461</v>
      </c>
      <c r="J23" s="165"/>
      <c r="K23" s="165"/>
      <c r="L23" s="165"/>
      <c r="M23" s="165"/>
      <c r="N23" s="165"/>
      <c r="O23" s="165"/>
      <c r="P23" s="165"/>
      <c r="Q23" s="165"/>
      <c r="R23" s="165"/>
      <c r="S23" s="165"/>
      <c r="T23" s="165"/>
      <c r="U23" s="165"/>
      <c r="V23" s="165"/>
      <c r="W23" s="165"/>
      <c r="X23" s="165"/>
      <c r="Y23" s="165"/>
      <c r="Z23" s="165"/>
      <c r="AA23" s="165"/>
      <c r="AB23" s="165"/>
      <c r="AC23" s="165"/>
      <c r="AD23" s="165"/>
      <c r="AE23" s="165"/>
    </row>
    <row r="24" spans="1:31" s="49" customFormat="1" ht="17.100000000000001" customHeight="1">
      <c r="A24" s="842"/>
      <c r="B24" s="821"/>
      <c r="C24" s="184" t="s">
        <v>216</v>
      </c>
      <c r="D24" s="185" t="s">
        <v>217</v>
      </c>
      <c r="E24" s="190"/>
      <c r="F24" s="185" t="s">
        <v>215</v>
      </c>
      <c r="G24" s="220">
        <f>$C$2*50/10000</f>
        <v>1959.0188432330829</v>
      </c>
      <c r="H24" s="221">
        <f>IF(成本汇总!C$5=0,0,G24/成本汇总!C$5*10000)</f>
        <v>66.929359953227703</v>
      </c>
      <c r="I24" s="173" t="s">
        <v>462</v>
      </c>
      <c r="J24" s="165"/>
      <c r="K24" s="165"/>
      <c r="L24" s="165"/>
      <c r="M24" s="165"/>
      <c r="N24" s="165"/>
      <c r="O24" s="165"/>
      <c r="P24" s="165"/>
      <c r="Q24" s="165"/>
      <c r="R24" s="165"/>
      <c r="S24" s="165"/>
      <c r="T24" s="165"/>
      <c r="U24" s="165"/>
      <c r="V24" s="165"/>
      <c r="W24" s="165"/>
      <c r="X24" s="165"/>
      <c r="Y24" s="165"/>
      <c r="Z24" s="165"/>
      <c r="AA24" s="165"/>
      <c r="AB24" s="165"/>
      <c r="AC24" s="165"/>
      <c r="AD24" s="165"/>
      <c r="AE24" s="165"/>
    </row>
    <row r="25" spans="1:31" s="49" customFormat="1" ht="17.100000000000001" customHeight="1">
      <c r="A25" s="842"/>
      <c r="B25" s="821"/>
      <c r="C25" s="184" t="s">
        <v>218</v>
      </c>
      <c r="D25" s="185" t="s">
        <v>219</v>
      </c>
      <c r="E25" s="190"/>
      <c r="F25" s="185" t="s">
        <v>215</v>
      </c>
      <c r="G25" s="220">
        <f>$C$2*15/10000</f>
        <v>587.70565296992481</v>
      </c>
      <c r="H25" s="221">
        <f>IF(成本汇总!C$5=0,0,G25/成本汇总!C$5*10000)</f>
        <v>20.078807985968311</v>
      </c>
      <c r="I25" s="173" t="s">
        <v>517</v>
      </c>
      <c r="J25" s="165"/>
      <c r="K25" s="165"/>
      <c r="L25" s="165"/>
      <c r="M25" s="165"/>
      <c r="N25" s="165"/>
      <c r="O25" s="165"/>
      <c r="P25" s="165"/>
      <c r="Q25" s="165"/>
      <c r="R25" s="165"/>
      <c r="S25" s="165"/>
      <c r="T25" s="165"/>
      <c r="U25" s="165"/>
      <c r="V25" s="165"/>
      <c r="W25" s="165"/>
      <c r="X25" s="165"/>
      <c r="Y25" s="165"/>
      <c r="Z25" s="165"/>
      <c r="AA25" s="165"/>
      <c r="AB25" s="165"/>
      <c r="AC25" s="165"/>
      <c r="AD25" s="165"/>
      <c r="AE25" s="165"/>
    </row>
    <row r="26" spans="1:31" s="49" customFormat="1" ht="17.100000000000001" customHeight="1">
      <c r="A26" s="842"/>
      <c r="B26" s="821"/>
      <c r="C26" s="184" t="s">
        <v>220</v>
      </c>
      <c r="D26" s="185" t="s">
        <v>221</v>
      </c>
      <c r="E26" s="190"/>
      <c r="F26" s="185" t="s">
        <v>215</v>
      </c>
      <c r="G26" s="220">
        <f>8*C1/10000</f>
        <v>69.913359999999997</v>
      </c>
      <c r="H26" s="221">
        <f>IF(成本汇总!C$5=0,0,G26/成本汇总!C$5*10000)</f>
        <v>2.3885714285714283</v>
      </c>
      <c r="I26" s="173" t="s">
        <v>463</v>
      </c>
      <c r="J26" s="165"/>
      <c r="K26" s="165"/>
      <c r="L26" s="165"/>
      <c r="M26" s="165"/>
      <c r="N26" s="165"/>
      <c r="O26" s="165"/>
      <c r="P26" s="165"/>
      <c r="Q26" s="165"/>
      <c r="R26" s="165"/>
      <c r="S26" s="165"/>
      <c r="T26" s="165"/>
      <c r="U26" s="165"/>
      <c r="V26" s="165"/>
      <c r="W26" s="165"/>
      <c r="X26" s="165"/>
      <c r="Y26" s="165"/>
      <c r="Z26" s="165"/>
      <c r="AA26" s="165"/>
      <c r="AB26" s="165"/>
      <c r="AC26" s="165"/>
      <c r="AD26" s="165"/>
      <c r="AE26" s="165"/>
    </row>
    <row r="27" spans="1:31" s="49" customFormat="1" ht="17.100000000000001" customHeight="1">
      <c r="A27" s="842"/>
      <c r="B27" s="821"/>
      <c r="C27" s="184" t="s">
        <v>222</v>
      </c>
      <c r="D27" s="185" t="s">
        <v>223</v>
      </c>
      <c r="E27" s="190"/>
      <c r="F27" s="185" t="s">
        <v>215</v>
      </c>
      <c r="G27" s="220"/>
      <c r="H27" s="221">
        <f>IF(成本汇总!C$5=0,0,G27/成本汇总!C$5*10000)</f>
        <v>0</v>
      </c>
      <c r="I27" s="173"/>
      <c r="J27" s="165"/>
      <c r="K27" s="165"/>
      <c r="L27" s="165"/>
      <c r="M27" s="165"/>
      <c r="N27" s="165"/>
      <c r="O27" s="165"/>
      <c r="P27" s="165"/>
      <c r="Q27" s="165"/>
      <c r="R27" s="165"/>
      <c r="S27" s="165"/>
      <c r="T27" s="165"/>
      <c r="U27" s="165"/>
      <c r="V27" s="165"/>
      <c r="W27" s="165"/>
      <c r="X27" s="165"/>
      <c r="Y27" s="165"/>
      <c r="Z27" s="165"/>
      <c r="AA27" s="165"/>
      <c r="AB27" s="165"/>
      <c r="AC27" s="165"/>
      <c r="AD27" s="165"/>
      <c r="AE27" s="165"/>
    </row>
    <row r="28" spans="1:31" s="49" customFormat="1" ht="22.5">
      <c r="A28" s="842"/>
      <c r="B28" s="187"/>
      <c r="C28" s="184" t="s">
        <v>224</v>
      </c>
      <c r="D28" s="192" t="s">
        <v>225</v>
      </c>
      <c r="E28" s="193"/>
      <c r="F28" s="185" t="s">
        <v>215</v>
      </c>
      <c r="G28" s="220">
        <f>G97*0.01+200*4</f>
        <v>2952.6404420641206</v>
      </c>
      <c r="H28" s="221">
        <f>IF(成本汇总!C$5=0,0,G28/成本汇总!C$5*10000)</f>
        <v>100.87617872691101</v>
      </c>
      <c r="I28" s="452" t="s">
        <v>464</v>
      </c>
      <c r="J28" s="165"/>
      <c r="K28" s="165"/>
      <c r="L28" s="165"/>
      <c r="M28" s="165"/>
      <c r="N28" s="165"/>
      <c r="O28" s="165"/>
      <c r="P28" s="165"/>
      <c r="Q28" s="165"/>
      <c r="R28" s="165"/>
      <c r="S28" s="165"/>
      <c r="T28" s="165"/>
      <c r="U28" s="165"/>
      <c r="V28" s="165"/>
      <c r="W28" s="165"/>
      <c r="X28" s="165"/>
      <c r="Y28" s="165"/>
      <c r="Z28" s="165"/>
      <c r="AA28" s="165"/>
      <c r="AB28" s="165"/>
      <c r="AC28" s="165"/>
      <c r="AD28" s="165"/>
      <c r="AE28" s="165"/>
    </row>
    <row r="29" spans="1:31" s="49" customFormat="1" ht="17.100000000000001" customHeight="1">
      <c r="A29" s="842"/>
      <c r="B29" s="811" t="s">
        <v>226</v>
      </c>
      <c r="C29" s="812"/>
      <c r="D29" s="813"/>
      <c r="E29" s="179"/>
      <c r="F29" s="180"/>
      <c r="G29" s="181">
        <f>G30</f>
        <v>52155.192309022561</v>
      </c>
      <c r="H29" s="221">
        <f>IF(成本汇总!C$5=0,0,G29/成本汇总!C$5*10000)</f>
        <v>1781.8683324757897</v>
      </c>
      <c r="I29" s="173"/>
      <c r="J29" s="165"/>
      <c r="K29" s="165"/>
      <c r="L29" s="165"/>
      <c r="M29" s="165"/>
      <c r="N29" s="165"/>
      <c r="O29" s="165"/>
      <c r="P29" s="165"/>
      <c r="Q29" s="165"/>
      <c r="R29" s="165"/>
      <c r="S29" s="165"/>
      <c r="T29" s="165"/>
      <c r="U29" s="165"/>
      <c r="V29" s="165"/>
      <c r="W29" s="165"/>
      <c r="X29" s="165"/>
      <c r="Y29" s="165"/>
      <c r="Z29" s="165"/>
      <c r="AA29" s="165"/>
      <c r="AB29" s="165"/>
      <c r="AC29" s="165"/>
      <c r="AD29" s="165"/>
      <c r="AE29" s="165"/>
    </row>
    <row r="30" spans="1:31" s="49" customFormat="1" ht="17.100000000000001" customHeight="1">
      <c r="A30" s="842"/>
      <c r="B30" s="820"/>
      <c r="C30" s="184" t="s">
        <v>227</v>
      </c>
      <c r="D30" s="194" t="s">
        <v>228</v>
      </c>
      <c r="E30" s="193"/>
      <c r="F30" s="185" t="s">
        <v>215</v>
      </c>
      <c r="G30" s="185">
        <f>SUM(G31:G39)</f>
        <v>52155.192309022561</v>
      </c>
      <c r="H30" s="221">
        <f>IF(成本汇总!C$5=0,0,G30/成本汇总!C$5*10000)</f>
        <v>1781.8683324757897</v>
      </c>
      <c r="I30" s="173"/>
      <c r="J30" s="165"/>
      <c r="K30" s="165"/>
      <c r="L30" s="165"/>
      <c r="M30" s="165"/>
      <c r="N30" s="165"/>
      <c r="O30" s="165"/>
      <c r="P30" s="165"/>
      <c r="Q30" s="165"/>
      <c r="R30" s="165"/>
      <c r="S30" s="165"/>
      <c r="T30" s="165"/>
      <c r="U30" s="165"/>
      <c r="V30" s="165"/>
      <c r="W30" s="165"/>
      <c r="X30" s="165"/>
      <c r="Y30" s="165"/>
      <c r="Z30" s="165"/>
      <c r="AA30" s="165"/>
      <c r="AB30" s="165"/>
      <c r="AC30" s="165"/>
      <c r="AD30" s="165"/>
      <c r="AE30" s="165"/>
    </row>
    <row r="31" spans="1:31" s="49" customFormat="1" ht="17.100000000000001" customHeight="1">
      <c r="A31" s="842"/>
      <c r="B31" s="821"/>
      <c r="C31" s="814" t="s">
        <v>227</v>
      </c>
      <c r="D31" s="822" t="s">
        <v>228</v>
      </c>
      <c r="E31" s="188"/>
      <c r="F31" s="370" t="s">
        <v>31</v>
      </c>
      <c r="G31" s="220"/>
      <c r="H31" s="221">
        <f>IF(成本汇总!C$5=0,0,G31/成本汇总!C$5*10000)</f>
        <v>0</v>
      </c>
      <c r="I31" s="173"/>
      <c r="J31" s="165"/>
      <c r="K31" s="165"/>
      <c r="L31" s="165"/>
      <c r="M31" s="165"/>
      <c r="N31" s="165"/>
      <c r="O31" s="165"/>
      <c r="P31" s="165"/>
      <c r="Q31" s="165"/>
      <c r="R31" s="165"/>
      <c r="S31" s="165"/>
      <c r="T31" s="165"/>
      <c r="U31" s="165"/>
      <c r="V31" s="165"/>
      <c r="W31" s="165"/>
      <c r="X31" s="165"/>
      <c r="Y31" s="165"/>
      <c r="Z31" s="165"/>
      <c r="AA31" s="165"/>
      <c r="AB31" s="165"/>
      <c r="AC31" s="165"/>
      <c r="AD31" s="165"/>
      <c r="AE31" s="165"/>
    </row>
    <row r="32" spans="1:31" s="49" customFormat="1" ht="17.100000000000001" customHeight="1">
      <c r="A32" s="842"/>
      <c r="B32" s="821"/>
      <c r="C32" s="815"/>
      <c r="D32" s="823"/>
      <c r="E32" s="188"/>
      <c r="F32" s="370" t="s">
        <v>446</v>
      </c>
      <c r="G32" s="220"/>
      <c r="H32" s="221">
        <f>IF(成本汇总!C$5=0,0,G32/成本汇总!C$5*10000)</f>
        <v>0</v>
      </c>
      <c r="I32" s="173"/>
      <c r="J32" s="165"/>
      <c r="K32" s="165"/>
      <c r="L32" s="165"/>
      <c r="M32" s="165"/>
      <c r="N32" s="165"/>
      <c r="O32" s="165"/>
      <c r="P32" s="165"/>
      <c r="Q32" s="165"/>
      <c r="R32" s="165"/>
      <c r="S32" s="165"/>
      <c r="T32" s="165"/>
      <c r="U32" s="165"/>
      <c r="V32" s="165"/>
      <c r="W32" s="165"/>
      <c r="X32" s="165"/>
      <c r="Y32" s="165"/>
      <c r="Z32" s="165"/>
      <c r="AA32" s="165"/>
      <c r="AB32" s="165"/>
      <c r="AC32" s="165"/>
      <c r="AD32" s="165"/>
      <c r="AE32" s="165"/>
    </row>
    <row r="33" spans="1:31" s="49" customFormat="1" ht="17.100000000000001" customHeight="1">
      <c r="A33" s="842"/>
      <c r="B33" s="821"/>
      <c r="C33" s="815"/>
      <c r="D33" s="823"/>
      <c r="E33" s="188"/>
      <c r="F33" s="635" t="s">
        <v>658</v>
      </c>
      <c r="G33" s="220">
        <f>规划指标!D10*1290/10000</f>
        <v>17911.61605263158</v>
      </c>
      <c r="H33" s="221">
        <f>IF(成本汇总!C$5=0,0,G33/成本汇总!C$5*10000)</f>
        <v>611.94561873234443</v>
      </c>
      <c r="I33" s="173"/>
      <c r="J33" s="165"/>
      <c r="K33" s="165"/>
      <c r="L33" s="165"/>
      <c r="M33" s="165"/>
      <c r="N33" s="165"/>
      <c r="O33" s="165"/>
      <c r="P33" s="165"/>
      <c r="Q33" s="165"/>
      <c r="R33" s="165"/>
      <c r="S33" s="165"/>
      <c r="T33" s="165"/>
      <c r="U33" s="165"/>
      <c r="V33" s="165"/>
      <c r="W33" s="165"/>
      <c r="X33" s="165"/>
      <c r="Y33" s="165"/>
      <c r="Z33" s="165"/>
      <c r="AA33" s="165"/>
      <c r="AB33" s="165"/>
      <c r="AC33" s="165"/>
      <c r="AD33" s="165"/>
      <c r="AE33" s="165"/>
    </row>
    <row r="34" spans="1:31" s="49" customFormat="1" ht="12">
      <c r="A34" s="842"/>
      <c r="B34" s="821"/>
      <c r="C34" s="815"/>
      <c r="D34" s="823"/>
      <c r="E34" s="188"/>
      <c r="F34" s="635" t="s">
        <v>659</v>
      </c>
      <c r="G34" s="220">
        <f>规划指标!D11*1510/10000</f>
        <v>14676.417184210526</v>
      </c>
      <c r="H34" s="221">
        <f>IF(成本汇总!C$5=0,0,G34/成本汇总!C$5*10000)</f>
        <v>501.41590620161861</v>
      </c>
      <c r="I34" s="173"/>
      <c r="J34" s="165"/>
      <c r="K34" s="165"/>
      <c r="L34" s="165"/>
      <c r="M34" s="165"/>
      <c r="N34" s="165"/>
      <c r="O34" s="165"/>
      <c r="P34" s="165"/>
      <c r="Q34" s="165"/>
      <c r="R34" s="165"/>
      <c r="S34" s="165"/>
      <c r="T34" s="165"/>
      <c r="U34" s="165"/>
      <c r="V34" s="165"/>
      <c r="W34" s="165"/>
      <c r="X34" s="165"/>
      <c r="Y34" s="165"/>
      <c r="Z34" s="165"/>
      <c r="AA34" s="165"/>
      <c r="AB34" s="165"/>
      <c r="AC34" s="165"/>
      <c r="AD34" s="165"/>
      <c r="AE34" s="165"/>
    </row>
    <row r="35" spans="1:31" s="49" customFormat="1" ht="12">
      <c r="A35" s="842"/>
      <c r="B35" s="821"/>
      <c r="C35" s="815"/>
      <c r="D35" s="823"/>
      <c r="E35" s="188"/>
      <c r="F35" s="370" t="s">
        <v>449</v>
      </c>
      <c r="G35" s="220">
        <f>规划指标!D12*1220/10000</f>
        <v>5081.9003684210529</v>
      </c>
      <c r="H35" s="221">
        <f>IF(成本汇总!C$5=0,0,G35/成本汇总!C$5*10000)</f>
        <v>173.62178019847912</v>
      </c>
      <c r="I35" s="173"/>
      <c r="J35" s="165"/>
      <c r="K35" s="165"/>
      <c r="L35" s="165"/>
      <c r="M35" s="165"/>
      <c r="N35" s="165"/>
      <c r="O35" s="165"/>
      <c r="P35" s="165"/>
      <c r="Q35" s="165"/>
      <c r="R35" s="165"/>
      <c r="S35" s="165"/>
      <c r="T35" s="165"/>
      <c r="U35" s="165"/>
      <c r="V35" s="165"/>
      <c r="W35" s="165"/>
      <c r="X35" s="165"/>
      <c r="Y35" s="165"/>
      <c r="Z35" s="165"/>
      <c r="AA35" s="165"/>
      <c r="AB35" s="165"/>
      <c r="AC35" s="165"/>
      <c r="AD35" s="165"/>
      <c r="AE35" s="165"/>
    </row>
    <row r="36" spans="1:31" s="49" customFormat="1" ht="12">
      <c r="A36" s="842"/>
      <c r="B36" s="821"/>
      <c r="C36" s="815"/>
      <c r="D36" s="823"/>
      <c r="E36" s="188"/>
      <c r="F36" s="370" t="s">
        <v>450</v>
      </c>
      <c r="G36" s="220"/>
      <c r="H36" s="221">
        <f>IF(成本汇总!C$5=0,0,G36/成本汇总!C$5*10000)</f>
        <v>0</v>
      </c>
      <c r="I36" s="173"/>
      <c r="J36" s="165"/>
      <c r="K36" s="165"/>
      <c r="L36" s="165"/>
      <c r="M36" s="165"/>
      <c r="N36" s="165"/>
      <c r="O36" s="165"/>
      <c r="P36" s="165"/>
      <c r="Q36" s="165"/>
      <c r="R36" s="165"/>
      <c r="S36" s="165"/>
      <c r="T36" s="165"/>
      <c r="U36" s="165"/>
      <c r="V36" s="165"/>
      <c r="W36" s="165"/>
      <c r="X36" s="165"/>
      <c r="Y36" s="165"/>
      <c r="Z36" s="165"/>
      <c r="AA36" s="165"/>
      <c r="AB36" s="165"/>
      <c r="AC36" s="165"/>
      <c r="AD36" s="165"/>
      <c r="AE36" s="165"/>
    </row>
    <row r="37" spans="1:31" s="49" customFormat="1" ht="12">
      <c r="A37" s="842"/>
      <c r="B37" s="821"/>
      <c r="C37" s="815"/>
      <c r="D37" s="823"/>
      <c r="E37" s="188"/>
      <c r="F37" s="370" t="s">
        <v>451</v>
      </c>
      <c r="G37" s="220"/>
      <c r="H37" s="221">
        <f>IF(成本汇总!C$5=0,0,G37/成本汇总!C$5*10000)</f>
        <v>0</v>
      </c>
      <c r="I37" s="173"/>
      <c r="J37" s="165"/>
      <c r="K37" s="165"/>
      <c r="L37" s="165"/>
      <c r="M37" s="165"/>
      <c r="N37" s="165"/>
      <c r="O37" s="165"/>
      <c r="P37" s="165"/>
      <c r="Q37" s="165"/>
      <c r="R37" s="165"/>
      <c r="S37" s="165"/>
      <c r="T37" s="165"/>
      <c r="U37" s="165"/>
      <c r="V37" s="165"/>
      <c r="W37" s="165"/>
      <c r="X37" s="165"/>
      <c r="Y37" s="165"/>
      <c r="Z37" s="165"/>
      <c r="AA37" s="165"/>
      <c r="AB37" s="165"/>
      <c r="AC37" s="165"/>
      <c r="AD37" s="165"/>
      <c r="AE37" s="165"/>
    </row>
    <row r="38" spans="1:31" s="49" customFormat="1" ht="12">
      <c r="A38" s="842"/>
      <c r="B38" s="821"/>
      <c r="C38" s="815"/>
      <c r="D38" s="823"/>
      <c r="E38" s="188"/>
      <c r="F38" s="219" t="s">
        <v>60</v>
      </c>
      <c r="G38" s="220">
        <f>规划指标!D28*1450/10000</f>
        <v>12460.258703759397</v>
      </c>
      <c r="H38" s="221">
        <f>IF(成本汇总!C$5=0,0,G38/成本汇总!C$5*10000)</f>
        <v>425.70143864360335</v>
      </c>
      <c r="I38" s="173"/>
      <c r="J38" s="165"/>
      <c r="K38" s="165"/>
      <c r="L38" s="165"/>
      <c r="M38" s="165"/>
      <c r="N38" s="165"/>
      <c r="O38" s="165"/>
      <c r="P38" s="165"/>
      <c r="Q38" s="165"/>
      <c r="R38" s="165"/>
      <c r="S38" s="165"/>
      <c r="T38" s="165"/>
      <c r="U38" s="165"/>
      <c r="V38" s="165"/>
      <c r="W38" s="165"/>
      <c r="X38" s="165"/>
      <c r="Y38" s="165"/>
      <c r="Z38" s="165"/>
      <c r="AA38" s="165"/>
      <c r="AB38" s="165"/>
      <c r="AC38" s="165"/>
      <c r="AD38" s="165"/>
      <c r="AE38" s="165"/>
    </row>
    <row r="39" spans="1:31" s="49" customFormat="1" ht="12">
      <c r="A39" s="842"/>
      <c r="B39" s="821"/>
      <c r="C39" s="815"/>
      <c r="D39" s="823"/>
      <c r="E39" s="188"/>
      <c r="F39" s="219" t="s">
        <v>59</v>
      </c>
      <c r="G39" s="220">
        <f>规划指标!D16*1350/10000</f>
        <v>2025</v>
      </c>
      <c r="H39" s="221">
        <f>IF(成本汇总!C$5=0,0,G39/成本汇总!C$5*10000)</f>
        <v>69.183588699744121</v>
      </c>
      <c r="I39" s="173"/>
      <c r="J39" s="165"/>
      <c r="K39" s="165"/>
      <c r="L39" s="165"/>
      <c r="M39" s="165"/>
      <c r="N39" s="165"/>
      <c r="O39" s="165"/>
      <c r="P39" s="165"/>
      <c r="Q39" s="165"/>
      <c r="R39" s="165"/>
      <c r="S39" s="165"/>
      <c r="T39" s="165"/>
      <c r="U39" s="165"/>
      <c r="V39" s="165"/>
      <c r="W39" s="165"/>
      <c r="X39" s="165"/>
      <c r="Y39" s="165"/>
      <c r="Z39" s="165"/>
      <c r="AA39" s="165"/>
      <c r="AB39" s="165"/>
      <c r="AC39" s="165"/>
      <c r="AD39" s="165"/>
      <c r="AE39" s="165"/>
    </row>
    <row r="40" spans="1:31" s="49" customFormat="1" ht="17.100000000000001" customHeight="1">
      <c r="A40" s="842"/>
      <c r="B40" s="811" t="s">
        <v>229</v>
      </c>
      <c r="C40" s="812"/>
      <c r="D40" s="813"/>
      <c r="E40" s="179"/>
      <c r="F40" s="180"/>
      <c r="G40" s="181">
        <f>成本汇总!C5*260/10000</f>
        <v>7610.186315789475</v>
      </c>
      <c r="H40" s="221">
        <f>IF(成本汇总!C$5=0,0,G40/成本汇总!C$5*10000)</f>
        <v>260</v>
      </c>
      <c r="I40" s="173" t="s">
        <v>687</v>
      </c>
      <c r="J40" s="165"/>
      <c r="K40" s="165"/>
      <c r="L40" s="165"/>
      <c r="M40" s="165"/>
      <c r="N40" s="165"/>
      <c r="O40" s="165"/>
      <c r="P40" s="165"/>
      <c r="Q40" s="165"/>
      <c r="R40" s="165"/>
      <c r="S40" s="165"/>
      <c r="T40" s="165"/>
      <c r="U40" s="165"/>
      <c r="V40" s="165"/>
      <c r="W40" s="165"/>
      <c r="X40" s="165"/>
      <c r="Y40" s="165"/>
      <c r="Z40" s="165"/>
      <c r="AA40" s="165"/>
      <c r="AB40" s="165"/>
      <c r="AC40" s="165"/>
      <c r="AD40" s="165"/>
      <c r="AE40" s="165"/>
    </row>
    <row r="41" spans="1:31" s="49" customFormat="1" ht="22.5" customHeight="1">
      <c r="A41" s="842"/>
      <c r="B41" s="820" t="s">
        <v>230</v>
      </c>
      <c r="C41" s="184" t="s">
        <v>231</v>
      </c>
      <c r="D41" s="185" t="s">
        <v>232</v>
      </c>
      <c r="E41" s="190"/>
      <c r="F41" s="185"/>
      <c r="G41" s="220"/>
      <c r="H41" s="221">
        <f>IF(成本汇总!C$5=0,0,G41/成本汇总!C$5*10000)</f>
        <v>0</v>
      </c>
      <c r="I41" s="173"/>
      <c r="J41" s="165"/>
      <c r="K41" s="165"/>
      <c r="L41" s="165"/>
      <c r="M41" s="165"/>
      <c r="N41" s="165"/>
      <c r="O41" s="165"/>
      <c r="P41" s="165"/>
      <c r="Q41" s="165"/>
      <c r="R41" s="165"/>
      <c r="S41" s="165"/>
      <c r="T41" s="165"/>
      <c r="U41" s="165"/>
      <c r="V41" s="165"/>
      <c r="W41" s="165"/>
      <c r="X41" s="165"/>
      <c r="Y41" s="165"/>
      <c r="Z41" s="165"/>
      <c r="AA41" s="165"/>
      <c r="AB41" s="165"/>
      <c r="AC41" s="165"/>
      <c r="AD41" s="165"/>
      <c r="AE41" s="165"/>
    </row>
    <row r="42" spans="1:31" s="49" customFormat="1" ht="45">
      <c r="A42" s="842"/>
      <c r="B42" s="821"/>
      <c r="C42" s="184" t="s">
        <v>162</v>
      </c>
      <c r="D42" s="185" t="s">
        <v>233</v>
      </c>
      <c r="E42" s="190"/>
      <c r="F42" s="185"/>
      <c r="G42" s="220"/>
      <c r="H42" s="221">
        <f>IF(成本汇总!C$5=0,0,G42/成本汇总!C$5*10000)</f>
        <v>0</v>
      </c>
      <c r="I42" s="173"/>
      <c r="J42" s="165"/>
      <c r="K42" s="165"/>
      <c r="L42" s="165"/>
      <c r="M42" s="165"/>
      <c r="N42" s="165"/>
      <c r="O42" s="165"/>
      <c r="P42" s="165"/>
      <c r="Q42" s="165"/>
      <c r="R42" s="165"/>
      <c r="S42" s="165"/>
      <c r="T42" s="165"/>
      <c r="U42" s="165"/>
      <c r="V42" s="165"/>
      <c r="W42" s="165"/>
      <c r="X42" s="165"/>
      <c r="Y42" s="165"/>
      <c r="Z42" s="165"/>
      <c r="AA42" s="165"/>
      <c r="AB42" s="165"/>
      <c r="AC42" s="165"/>
      <c r="AD42" s="165"/>
      <c r="AE42" s="165"/>
    </row>
    <row r="43" spans="1:31" s="49" customFormat="1" ht="17.100000000000001" customHeight="1">
      <c r="A43" s="842"/>
      <c r="B43" s="821"/>
      <c r="C43" s="184" t="s">
        <v>163</v>
      </c>
      <c r="D43" s="185" t="s">
        <v>234</v>
      </c>
      <c r="E43" s="190"/>
      <c r="F43" s="185"/>
      <c r="G43" s="220"/>
      <c r="H43" s="221">
        <f>IF(成本汇总!C$5=0,0,G43/成本汇总!C$5*10000)</f>
        <v>0</v>
      </c>
      <c r="I43" s="173"/>
      <c r="J43" s="165"/>
      <c r="K43" s="165"/>
      <c r="L43" s="165"/>
      <c r="M43" s="165"/>
      <c r="N43" s="165"/>
      <c r="O43" s="165"/>
      <c r="P43" s="165"/>
      <c r="Q43" s="165"/>
      <c r="R43" s="165"/>
      <c r="S43" s="165"/>
      <c r="T43" s="165"/>
      <c r="U43" s="165"/>
      <c r="V43" s="165"/>
      <c r="W43" s="165"/>
      <c r="X43" s="165"/>
      <c r="Y43" s="165"/>
      <c r="Z43" s="165"/>
      <c r="AA43" s="165"/>
      <c r="AB43" s="165"/>
      <c r="AC43" s="165"/>
      <c r="AD43" s="165"/>
      <c r="AE43" s="165"/>
    </row>
    <row r="44" spans="1:31" s="49" customFormat="1" ht="17.100000000000001" customHeight="1">
      <c r="A44" s="842"/>
      <c r="B44" s="821"/>
      <c r="C44" s="184" t="s">
        <v>164</v>
      </c>
      <c r="D44" s="185" t="s">
        <v>235</v>
      </c>
      <c r="E44" s="190"/>
      <c r="F44" s="185"/>
      <c r="G44" s="220"/>
      <c r="H44" s="221">
        <f>IF(成本汇总!C$5=0,0,G44/成本汇总!C$5*10000)</f>
        <v>0</v>
      </c>
      <c r="I44" s="173"/>
      <c r="J44" s="165"/>
      <c r="K44" s="165"/>
      <c r="L44" s="165"/>
      <c r="M44" s="165"/>
      <c r="N44" s="165"/>
      <c r="O44" s="165"/>
      <c r="P44" s="165"/>
      <c r="Q44" s="165"/>
      <c r="R44" s="165"/>
      <c r="S44" s="165"/>
      <c r="T44" s="165"/>
      <c r="U44" s="165"/>
      <c r="V44" s="165"/>
      <c r="W44" s="165"/>
      <c r="X44" s="165"/>
      <c r="Y44" s="165"/>
      <c r="Z44" s="165"/>
      <c r="AA44" s="165"/>
      <c r="AB44" s="165"/>
      <c r="AC44" s="165"/>
      <c r="AD44" s="165"/>
      <c r="AE44" s="165"/>
    </row>
    <row r="45" spans="1:31" s="49" customFormat="1" ht="17.100000000000001" customHeight="1">
      <c r="A45" s="842"/>
      <c r="B45" s="832"/>
      <c r="C45" s="184" t="s">
        <v>165</v>
      </c>
      <c r="D45" s="185" t="s">
        <v>236</v>
      </c>
      <c r="E45" s="190"/>
      <c r="F45" s="185"/>
      <c r="G45" s="220"/>
      <c r="H45" s="221">
        <f>IF(成本汇总!C$5=0,0,G45/成本汇总!C$5*10000)</f>
        <v>0</v>
      </c>
      <c r="I45" s="173"/>
      <c r="J45" s="165"/>
      <c r="K45" s="165"/>
      <c r="L45" s="165"/>
      <c r="M45" s="165"/>
      <c r="N45" s="165"/>
      <c r="O45" s="165"/>
      <c r="P45" s="165"/>
      <c r="Q45" s="165"/>
      <c r="R45" s="165"/>
      <c r="S45" s="165"/>
      <c r="T45" s="165"/>
      <c r="U45" s="165"/>
      <c r="V45" s="165"/>
      <c r="W45" s="165"/>
      <c r="X45" s="165"/>
      <c r="Y45" s="165"/>
      <c r="Z45" s="165"/>
      <c r="AA45" s="165"/>
      <c r="AB45" s="165"/>
      <c r="AC45" s="165"/>
      <c r="AD45" s="165"/>
      <c r="AE45" s="165"/>
    </row>
    <row r="46" spans="1:31" ht="17.100000000000001" customHeight="1">
      <c r="A46" s="842"/>
      <c r="B46" s="811" t="s">
        <v>237</v>
      </c>
      <c r="C46" s="812"/>
      <c r="D46" s="813"/>
      <c r="E46" s="179"/>
      <c r="F46" s="180"/>
      <c r="G46" s="220">
        <f>100*成本汇总!C5/10000</f>
        <v>2926.9947368421053</v>
      </c>
      <c r="H46" s="221">
        <f>IF(成本汇总!C$5=0,0,G46/成本汇总!C$5*10000)</f>
        <v>99.999999999999986</v>
      </c>
      <c r="I46" s="173" t="s">
        <v>688</v>
      </c>
    </row>
    <row r="47" spans="1:31" ht="17.100000000000001" customHeight="1">
      <c r="A47" s="842"/>
      <c r="B47" s="811" t="s">
        <v>238</v>
      </c>
      <c r="C47" s="812"/>
      <c r="D47" s="813"/>
      <c r="E47" s="179"/>
      <c r="F47" s="180"/>
      <c r="G47" s="181">
        <f>规划指标!D26*1500/10000</f>
        <v>1975.7214473684214</v>
      </c>
      <c r="H47" s="221">
        <f>IF(成本汇总!C$5=0,0,G47/成本汇总!C$5*10000)</f>
        <v>67.500000000000014</v>
      </c>
      <c r="I47" s="173" t="s">
        <v>689</v>
      </c>
    </row>
    <row r="48" spans="1:31" ht="22.5" customHeight="1">
      <c r="A48" s="842"/>
      <c r="B48" s="820" t="s">
        <v>171</v>
      </c>
      <c r="C48" s="184" t="s">
        <v>239</v>
      </c>
      <c r="D48" s="195" t="s">
        <v>240</v>
      </c>
      <c r="E48" s="193"/>
      <c r="F48" s="185"/>
      <c r="G48" s="185">
        <f>SUM(G49:G51)</f>
        <v>0</v>
      </c>
      <c r="H48" s="221">
        <f>IF(成本汇总!C$5=0,0,G48/成本汇总!C$5*10000)</f>
        <v>0</v>
      </c>
      <c r="I48" s="173"/>
    </row>
    <row r="49" spans="1:31" s="49" customFormat="1" ht="22.5">
      <c r="A49" s="842"/>
      <c r="B49" s="821"/>
      <c r="C49" s="814" t="s">
        <v>239</v>
      </c>
      <c r="D49" s="834" t="s">
        <v>241</v>
      </c>
      <c r="E49" s="196" t="s">
        <v>242</v>
      </c>
      <c r="F49" s="197" t="s">
        <v>243</v>
      </c>
      <c r="G49" s="220"/>
      <c r="H49" s="221">
        <f>IF(成本汇总!C$5=0,0,G49/成本汇总!C$5*10000)</f>
        <v>0</v>
      </c>
      <c r="I49" s="173"/>
      <c r="J49" s="165"/>
      <c r="K49" s="165"/>
      <c r="L49" s="165"/>
      <c r="M49" s="165"/>
      <c r="N49" s="165"/>
      <c r="O49" s="165"/>
      <c r="P49" s="165"/>
      <c r="Q49" s="165"/>
      <c r="R49" s="165"/>
      <c r="S49" s="165"/>
      <c r="T49" s="165"/>
      <c r="U49" s="165"/>
      <c r="V49" s="165"/>
      <c r="W49" s="165"/>
      <c r="X49" s="165"/>
      <c r="Y49" s="165"/>
      <c r="Z49" s="165"/>
      <c r="AA49" s="165"/>
      <c r="AB49" s="165"/>
      <c r="AC49" s="165"/>
      <c r="AD49" s="165"/>
      <c r="AE49" s="165"/>
    </row>
    <row r="50" spans="1:31" ht="17.100000000000001" customHeight="1">
      <c r="A50" s="842"/>
      <c r="B50" s="821"/>
      <c r="C50" s="815"/>
      <c r="D50" s="835"/>
      <c r="E50" s="196" t="s">
        <v>18</v>
      </c>
      <c r="F50" s="197" t="s">
        <v>244</v>
      </c>
      <c r="G50" s="220"/>
      <c r="H50" s="221">
        <f>IF(成本汇总!C$5=0,0,G50/成本汇总!C$5*10000)</f>
        <v>0</v>
      </c>
      <c r="I50" s="173"/>
    </row>
    <row r="51" spans="1:31" ht="22.5">
      <c r="A51" s="842"/>
      <c r="B51" s="821"/>
      <c r="C51" s="833"/>
      <c r="D51" s="836"/>
      <c r="E51" s="196" t="s">
        <v>19</v>
      </c>
      <c r="F51" s="197" t="s">
        <v>245</v>
      </c>
      <c r="G51" s="220"/>
      <c r="H51" s="221">
        <f>IF(成本汇总!C$5=0,0,G51/成本汇总!C$5*10000)</f>
        <v>0</v>
      </c>
      <c r="I51" s="173"/>
    </row>
    <row r="52" spans="1:31" ht="22.5">
      <c r="A52" s="842"/>
      <c r="B52" s="821"/>
      <c r="C52" s="184" t="s">
        <v>246</v>
      </c>
      <c r="D52" s="195" t="s">
        <v>247</v>
      </c>
      <c r="E52" s="193"/>
      <c r="F52" s="185"/>
      <c r="G52" s="185">
        <f>SUM(G54:G63)</f>
        <v>0</v>
      </c>
      <c r="H52" s="221">
        <f>IF(成本汇总!C$5=0,0,G52/成本汇总!C$5*10000)</f>
        <v>0</v>
      </c>
      <c r="I52" s="173"/>
    </row>
    <row r="53" spans="1:31" ht="17.100000000000001" customHeight="1">
      <c r="A53" s="842"/>
      <c r="B53" s="821"/>
      <c r="C53" s="814" t="s">
        <v>246</v>
      </c>
      <c r="D53" s="837" t="s">
        <v>248</v>
      </c>
      <c r="E53" s="196" t="s">
        <v>249</v>
      </c>
      <c r="F53" s="451" t="s">
        <v>465</v>
      </c>
      <c r="G53" s="220"/>
      <c r="H53" s="221">
        <f>IF(成本汇总!C$5=0,0,G53/成本汇总!C$5*10000)</f>
        <v>0</v>
      </c>
      <c r="I53" s="173"/>
    </row>
    <row r="54" spans="1:31" ht="17.100000000000001" customHeight="1">
      <c r="A54" s="842"/>
      <c r="B54" s="821"/>
      <c r="C54" s="815"/>
      <c r="D54" s="838"/>
      <c r="E54" s="196" t="s">
        <v>20</v>
      </c>
      <c r="F54" s="451" t="s">
        <v>466</v>
      </c>
      <c r="G54" s="220"/>
      <c r="H54" s="221">
        <f>IF(成本汇总!C$5=0,0,G54/成本汇总!C$5*10000)</f>
        <v>0</v>
      </c>
      <c r="I54" s="173"/>
    </row>
    <row r="55" spans="1:31" ht="17.100000000000001" customHeight="1">
      <c r="A55" s="842"/>
      <c r="B55" s="821"/>
      <c r="C55" s="815"/>
      <c r="D55" s="838"/>
      <c r="E55" s="196" t="s">
        <v>21</v>
      </c>
      <c r="F55" s="451" t="s">
        <v>467</v>
      </c>
      <c r="G55" s="220"/>
      <c r="H55" s="221">
        <f>IF(成本汇总!C$5=0,0,G55/成本汇总!C$5*10000)</f>
        <v>0</v>
      </c>
      <c r="I55" s="173"/>
    </row>
    <row r="56" spans="1:31" ht="22.5" customHeight="1">
      <c r="A56" s="842"/>
      <c r="B56" s="821"/>
      <c r="C56" s="815"/>
      <c r="D56" s="838"/>
      <c r="E56" s="196" t="s">
        <v>22</v>
      </c>
      <c r="F56" s="451" t="s">
        <v>468</v>
      </c>
      <c r="G56" s="220"/>
      <c r="H56" s="221">
        <f>IF(成本汇总!C$5=0,0,G56/成本汇总!C$5*10000)</f>
        <v>0</v>
      </c>
      <c r="I56" s="173"/>
    </row>
    <row r="57" spans="1:31" ht="17.100000000000001" customHeight="1">
      <c r="A57" s="842"/>
      <c r="B57" s="821"/>
      <c r="C57" s="815"/>
      <c r="D57" s="838"/>
      <c r="E57" s="196" t="s">
        <v>23</v>
      </c>
      <c r="F57" s="451" t="s">
        <v>469</v>
      </c>
      <c r="G57" s="220"/>
      <c r="H57" s="221">
        <f>IF(成本汇总!C$5=0,0,G57/成本汇总!C$5*10000)</f>
        <v>0</v>
      </c>
      <c r="I57" s="173"/>
    </row>
    <row r="58" spans="1:31" ht="17.100000000000001" customHeight="1">
      <c r="A58" s="842"/>
      <c r="B58" s="821"/>
      <c r="C58" s="815"/>
      <c r="D58" s="838"/>
      <c r="E58" s="196" t="s">
        <v>24</v>
      </c>
      <c r="F58" s="451" t="s">
        <v>470</v>
      </c>
      <c r="G58" s="220"/>
      <c r="H58" s="221">
        <f>IF(成本汇总!C$5=0,0,G58/成本汇总!C$5*10000)</f>
        <v>0</v>
      </c>
      <c r="I58" s="173"/>
    </row>
    <row r="59" spans="1:31" ht="12">
      <c r="A59" s="842"/>
      <c r="B59" s="821"/>
      <c r="C59" s="815"/>
      <c r="D59" s="838"/>
      <c r="E59" s="196" t="s">
        <v>25</v>
      </c>
      <c r="F59" s="451" t="s">
        <v>471</v>
      </c>
      <c r="G59" s="220"/>
      <c r="H59" s="221">
        <f>IF(成本汇总!C$5=0,0,G59/成本汇总!C$5*10000)</f>
        <v>0</v>
      </c>
      <c r="I59" s="173"/>
    </row>
    <row r="60" spans="1:31" ht="17.100000000000001" customHeight="1">
      <c r="A60" s="842"/>
      <c r="B60" s="821"/>
      <c r="C60" s="815"/>
      <c r="D60" s="838"/>
      <c r="E60" s="196" t="s">
        <v>26</v>
      </c>
      <c r="F60" s="451" t="s">
        <v>472</v>
      </c>
      <c r="G60" s="220"/>
      <c r="H60" s="221">
        <f>IF(成本汇总!C$5=0,0,G60/成本汇总!C$5*10000)</f>
        <v>0</v>
      </c>
      <c r="I60" s="173"/>
    </row>
    <row r="61" spans="1:31" s="49" customFormat="1" ht="17.100000000000001" customHeight="1">
      <c r="A61" s="842"/>
      <c r="B61" s="821"/>
      <c r="C61" s="815"/>
      <c r="D61" s="838"/>
      <c r="E61" s="196" t="s">
        <v>27</v>
      </c>
      <c r="F61" s="451" t="s">
        <v>473</v>
      </c>
      <c r="G61" s="220"/>
      <c r="H61" s="221">
        <f>IF(成本汇总!C$5=0,0,G61/成本汇总!C$5*10000)</f>
        <v>0</v>
      </c>
      <c r="I61" s="173"/>
      <c r="J61" s="165"/>
      <c r="K61" s="165"/>
      <c r="L61" s="165"/>
      <c r="M61" s="165"/>
      <c r="N61" s="165"/>
      <c r="O61" s="165"/>
      <c r="P61" s="165"/>
      <c r="Q61" s="165"/>
      <c r="R61" s="165"/>
      <c r="S61" s="165"/>
      <c r="T61" s="165"/>
      <c r="U61" s="165"/>
      <c r="V61" s="165"/>
      <c r="W61" s="165"/>
      <c r="X61" s="165"/>
      <c r="Y61" s="165"/>
      <c r="Z61" s="165"/>
      <c r="AA61" s="165"/>
      <c r="AB61" s="165"/>
      <c r="AC61" s="165"/>
      <c r="AD61" s="165"/>
      <c r="AE61" s="165"/>
    </row>
    <row r="62" spans="1:31" s="49" customFormat="1" ht="17.100000000000001" customHeight="1">
      <c r="A62" s="842"/>
      <c r="B62" s="821"/>
      <c r="C62" s="815"/>
      <c r="D62" s="838"/>
      <c r="E62" s="196" t="s">
        <v>28</v>
      </c>
      <c r="F62" s="197"/>
      <c r="G62" s="220"/>
      <c r="H62" s="221">
        <f>IF(成本汇总!C$5=0,0,G62/成本汇总!C$5*10000)</f>
        <v>0</v>
      </c>
      <c r="I62" s="173"/>
      <c r="J62" s="165"/>
      <c r="K62" s="165"/>
      <c r="L62" s="165"/>
      <c r="M62" s="165"/>
      <c r="N62" s="165"/>
      <c r="O62" s="165"/>
      <c r="P62" s="165"/>
      <c r="Q62" s="165"/>
      <c r="R62" s="165"/>
      <c r="S62" s="165"/>
      <c r="T62" s="165"/>
      <c r="U62" s="165"/>
      <c r="V62" s="165"/>
      <c r="W62" s="165"/>
      <c r="X62" s="165"/>
      <c r="Y62" s="165"/>
      <c r="Z62" s="165"/>
      <c r="AA62" s="165"/>
      <c r="AB62" s="165"/>
      <c r="AC62" s="165"/>
      <c r="AD62" s="165"/>
      <c r="AE62" s="165"/>
    </row>
    <row r="63" spans="1:31" s="49" customFormat="1" ht="17.100000000000001" customHeight="1">
      <c r="A63" s="842"/>
      <c r="B63" s="832"/>
      <c r="C63" s="833"/>
      <c r="D63" s="839"/>
      <c r="E63" s="196" t="s">
        <v>29</v>
      </c>
      <c r="F63" s="197"/>
      <c r="G63" s="220"/>
      <c r="H63" s="221">
        <f>IF(成本汇总!C$5=0,0,G63/成本汇总!C$5*10000)</f>
        <v>0</v>
      </c>
      <c r="I63" s="173"/>
      <c r="J63" s="165"/>
      <c r="K63" s="165"/>
      <c r="L63" s="165"/>
      <c r="M63" s="165"/>
      <c r="N63" s="165"/>
      <c r="O63" s="165"/>
      <c r="P63" s="165"/>
      <c r="Q63" s="165"/>
      <c r="R63" s="165"/>
      <c r="S63" s="165"/>
      <c r="T63" s="165"/>
      <c r="U63" s="165"/>
      <c r="V63" s="165"/>
      <c r="W63" s="165"/>
      <c r="X63" s="165"/>
      <c r="Y63" s="165"/>
      <c r="Z63" s="165"/>
      <c r="AA63" s="165"/>
      <c r="AB63" s="165"/>
      <c r="AC63" s="165"/>
      <c r="AD63" s="165"/>
      <c r="AE63" s="165"/>
    </row>
    <row r="64" spans="1:31" s="49" customFormat="1" ht="17.100000000000001" customHeight="1">
      <c r="A64" s="842"/>
      <c r="B64" s="811" t="s">
        <v>250</v>
      </c>
      <c r="C64" s="812"/>
      <c r="D64" s="813"/>
      <c r="E64" s="179"/>
      <c r="F64" s="180"/>
      <c r="G64" s="181">
        <f>SUM(G65:G67)</f>
        <v>4276.1968421052634</v>
      </c>
      <c r="H64" s="221">
        <f>IF(成本汇总!C$5=0,0,G64/成本汇总!C$5*10000)</f>
        <v>146.09513260412601</v>
      </c>
      <c r="I64" s="173"/>
      <c r="J64" s="165"/>
      <c r="K64" s="165"/>
      <c r="L64" s="165"/>
      <c r="M64" s="165"/>
      <c r="N64" s="165"/>
      <c r="O64" s="165"/>
      <c r="P64" s="165"/>
      <c r="Q64" s="165"/>
      <c r="R64" s="165"/>
      <c r="S64" s="165"/>
      <c r="T64" s="165"/>
      <c r="U64" s="165"/>
      <c r="V64" s="165"/>
      <c r="W64" s="165"/>
      <c r="X64" s="165"/>
      <c r="Y64" s="165"/>
      <c r="Z64" s="165"/>
      <c r="AA64" s="165"/>
      <c r="AB64" s="165"/>
      <c r="AC64" s="165"/>
      <c r="AD64" s="165"/>
      <c r="AE64" s="165"/>
    </row>
    <row r="65" spans="1:31" s="49" customFormat="1" ht="17.100000000000001" customHeight="1">
      <c r="A65" s="842"/>
      <c r="B65" s="820"/>
      <c r="C65" s="184" t="s">
        <v>251</v>
      </c>
      <c r="D65" s="192" t="s">
        <v>252</v>
      </c>
      <c r="E65" s="193"/>
      <c r="F65" s="185"/>
      <c r="G65" s="220">
        <f>60*成本汇总!C5/10000</f>
        <v>1756.1968421052634</v>
      </c>
      <c r="H65" s="221">
        <f>IF(成本汇总!C$5=0,0,G65/成本汇总!C$5*10000)</f>
        <v>60</v>
      </c>
      <c r="I65" s="173" t="s">
        <v>690</v>
      </c>
      <c r="J65" s="165"/>
      <c r="K65" s="165"/>
      <c r="L65" s="165"/>
      <c r="M65" s="165"/>
      <c r="N65" s="165"/>
      <c r="O65" s="165"/>
      <c r="P65" s="165"/>
      <c r="Q65" s="165"/>
      <c r="R65" s="165"/>
      <c r="S65" s="165"/>
      <c r="T65" s="165"/>
      <c r="U65" s="165"/>
      <c r="V65" s="165"/>
      <c r="W65" s="165"/>
      <c r="X65" s="165"/>
      <c r="Y65" s="165"/>
      <c r="Z65" s="165"/>
      <c r="AA65" s="165"/>
      <c r="AB65" s="165"/>
      <c r="AC65" s="165"/>
      <c r="AD65" s="165"/>
      <c r="AE65" s="165"/>
    </row>
    <row r="66" spans="1:31" s="49" customFormat="1" ht="57" customHeight="1">
      <c r="A66" s="842"/>
      <c r="B66" s="821"/>
      <c r="C66" s="184" t="s">
        <v>253</v>
      </c>
      <c r="D66" s="192" t="s">
        <v>254</v>
      </c>
      <c r="E66" s="193"/>
      <c r="F66" s="689"/>
      <c r="G66" s="220">
        <v>2520</v>
      </c>
      <c r="H66" s="221">
        <f>IF(成本汇总!C$5=0,0,G66/成本汇总!C$5*10000)</f>
        <v>86.095132604126007</v>
      </c>
      <c r="I66" s="173" t="s">
        <v>417</v>
      </c>
      <c r="J66" s="165"/>
      <c r="K66" s="165"/>
      <c r="L66" s="165"/>
      <c r="M66" s="165"/>
      <c r="N66" s="165"/>
      <c r="O66" s="165"/>
      <c r="P66" s="165"/>
      <c r="Q66" s="165"/>
      <c r="R66" s="165"/>
      <c r="S66" s="165"/>
      <c r="T66" s="165"/>
      <c r="U66" s="165"/>
      <c r="V66" s="165"/>
      <c r="W66" s="165"/>
      <c r="X66" s="165"/>
      <c r="Y66" s="165"/>
      <c r="Z66" s="165"/>
      <c r="AA66" s="165"/>
      <c r="AB66" s="165"/>
      <c r="AC66" s="165"/>
      <c r="AD66" s="165"/>
      <c r="AE66" s="165"/>
    </row>
    <row r="67" spans="1:31" s="49" customFormat="1" ht="17.100000000000001" customHeight="1">
      <c r="A67" s="842"/>
      <c r="B67" s="832"/>
      <c r="C67" s="184" t="s">
        <v>255</v>
      </c>
      <c r="D67" s="192" t="s">
        <v>256</v>
      </c>
      <c r="E67" s="193"/>
      <c r="F67" s="185"/>
      <c r="G67" s="220"/>
      <c r="H67" s="221">
        <f>IF(成本汇总!C$5=0,0,G67/成本汇总!C$5*10000)</f>
        <v>0</v>
      </c>
      <c r="I67" s="173"/>
      <c r="J67" s="165"/>
      <c r="K67" s="165"/>
      <c r="L67" s="165"/>
      <c r="M67" s="165"/>
      <c r="N67" s="165"/>
      <c r="O67" s="165"/>
      <c r="P67" s="165"/>
      <c r="Q67" s="165"/>
      <c r="R67" s="165"/>
      <c r="S67" s="165"/>
      <c r="T67" s="165"/>
      <c r="U67" s="165"/>
      <c r="V67" s="165"/>
      <c r="W67" s="165"/>
      <c r="X67" s="165"/>
      <c r="Y67" s="165"/>
      <c r="Z67" s="165"/>
      <c r="AA67" s="165"/>
      <c r="AB67" s="165"/>
      <c r="AC67" s="165"/>
      <c r="AD67" s="165"/>
      <c r="AE67" s="165"/>
    </row>
    <row r="68" spans="1:31" s="49" customFormat="1" ht="17.100000000000001" customHeight="1">
      <c r="A68" s="829" t="s">
        <v>275</v>
      </c>
      <c r="B68" s="830"/>
      <c r="C68" s="830"/>
      <c r="D68" s="830"/>
      <c r="E68" s="830"/>
      <c r="F68" s="831"/>
      <c r="G68" s="198">
        <f>SUM(G69:G73)</f>
        <v>24304.29206698991</v>
      </c>
      <c r="H68" s="221">
        <f>IF(成本汇总!C$5=0,0,G68/成本汇总!C$5*10000)</f>
        <v>830.3497017289302</v>
      </c>
      <c r="I68" s="173"/>
      <c r="J68" s="165"/>
      <c r="K68" s="165"/>
      <c r="L68" s="165"/>
      <c r="M68" s="165"/>
      <c r="N68" s="165"/>
      <c r="O68" s="165"/>
      <c r="P68" s="165"/>
      <c r="Q68" s="165"/>
      <c r="R68" s="165"/>
      <c r="S68" s="165"/>
      <c r="T68" s="165"/>
      <c r="U68" s="165"/>
      <c r="V68" s="165"/>
      <c r="W68" s="165"/>
      <c r="X68" s="165"/>
      <c r="Y68" s="165"/>
      <c r="Z68" s="165"/>
      <c r="AA68" s="165"/>
      <c r="AB68" s="165"/>
      <c r="AC68" s="165"/>
      <c r="AD68" s="165"/>
      <c r="AE68" s="165"/>
    </row>
    <row r="69" spans="1:31" s="49" customFormat="1" ht="12">
      <c r="A69" s="840" t="s">
        <v>257</v>
      </c>
      <c r="B69" s="811" t="s">
        <v>258</v>
      </c>
      <c r="C69" s="812"/>
      <c r="D69" s="813"/>
      <c r="E69" s="179"/>
      <c r="F69" s="180"/>
      <c r="G69" s="173">
        <f>G97*假设条件及经济指标!E29</f>
        <v>6457.9213261923614</v>
      </c>
      <c r="H69" s="221">
        <f>IF(成本汇总!C$5=0,0,G69/成本汇总!C$5*10000)</f>
        <v>220.63317179585107</v>
      </c>
      <c r="I69" s="173"/>
      <c r="J69" s="165"/>
      <c r="K69" s="165"/>
      <c r="L69" s="165"/>
      <c r="M69" s="165"/>
      <c r="N69" s="165"/>
      <c r="O69" s="165"/>
      <c r="P69" s="165"/>
      <c r="Q69" s="165"/>
      <c r="R69" s="165"/>
      <c r="S69" s="165"/>
      <c r="T69" s="165"/>
      <c r="U69" s="165"/>
      <c r="V69" s="165"/>
      <c r="W69" s="165"/>
      <c r="X69" s="165"/>
      <c r="Y69" s="165"/>
      <c r="Z69" s="165"/>
      <c r="AA69" s="165"/>
      <c r="AB69" s="165"/>
      <c r="AC69" s="165"/>
      <c r="AD69" s="165"/>
      <c r="AE69" s="165"/>
    </row>
    <row r="70" spans="1:31" s="49" customFormat="1" ht="25.5" customHeight="1">
      <c r="A70" s="840"/>
      <c r="B70" s="811" t="s">
        <v>174</v>
      </c>
      <c r="C70" s="812"/>
      <c r="D70" s="813"/>
      <c r="E70" s="179"/>
      <c r="F70" s="468"/>
      <c r="G70" s="220"/>
      <c r="H70" s="221">
        <f>IF(成本汇总!C$5=0,0,G70/成本汇总!C$5*10000)</f>
        <v>0</v>
      </c>
      <c r="I70" s="173"/>
      <c r="J70" s="165"/>
      <c r="K70" s="165"/>
      <c r="L70" s="165"/>
      <c r="M70" s="165"/>
      <c r="N70" s="165"/>
      <c r="O70" s="165"/>
      <c r="P70" s="165"/>
      <c r="Q70" s="165"/>
      <c r="R70" s="165"/>
      <c r="S70" s="165"/>
      <c r="T70" s="165"/>
      <c r="U70" s="165"/>
      <c r="V70" s="165"/>
      <c r="W70" s="165"/>
      <c r="X70" s="165"/>
      <c r="Y70" s="165"/>
      <c r="Z70" s="165"/>
      <c r="AA70" s="165"/>
      <c r="AB70" s="165"/>
      <c r="AC70" s="165"/>
      <c r="AD70" s="165"/>
      <c r="AE70" s="165"/>
    </row>
    <row r="71" spans="1:31" s="49" customFormat="1" ht="25.5" customHeight="1">
      <c r="A71" s="840"/>
      <c r="B71" s="811" t="s">
        <v>694</v>
      </c>
      <c r="C71" s="812"/>
      <c r="D71" s="813"/>
      <c r="E71" s="179"/>
      <c r="F71" s="468"/>
      <c r="G71" s="173">
        <f>(G5-G6-G66)*假设条件及经济指标!E16</f>
        <v>0</v>
      </c>
      <c r="H71" s="221"/>
      <c r="I71" s="173" t="s">
        <v>695</v>
      </c>
      <c r="J71" s="165"/>
      <c r="K71" s="165"/>
      <c r="L71" s="165"/>
      <c r="M71" s="165"/>
      <c r="N71" s="165"/>
      <c r="O71" s="165"/>
      <c r="P71" s="165"/>
      <c r="Q71" s="165"/>
      <c r="R71" s="165"/>
      <c r="S71" s="165"/>
      <c r="T71" s="165"/>
      <c r="U71" s="165"/>
      <c r="V71" s="165"/>
      <c r="W71" s="165"/>
      <c r="X71" s="165"/>
      <c r="Y71" s="165"/>
      <c r="Z71" s="165"/>
      <c r="AA71" s="165"/>
      <c r="AB71" s="165"/>
      <c r="AC71" s="165"/>
      <c r="AD71" s="165"/>
      <c r="AE71" s="165"/>
    </row>
    <row r="72" spans="1:31" s="49" customFormat="1" ht="25.5" customHeight="1">
      <c r="A72" s="840"/>
      <c r="B72" s="811" t="s">
        <v>518</v>
      </c>
      <c r="C72" s="812"/>
      <c r="D72" s="813"/>
      <c r="E72" s="179"/>
      <c r="F72" s="468"/>
      <c r="G72" s="220">
        <f>现金流出表!V14</f>
        <v>4500</v>
      </c>
      <c r="H72" s="221">
        <f>IF(成本汇总!C$5=0,0,G72/成本汇总!C$5*10000)</f>
        <v>153.74130822165361</v>
      </c>
      <c r="I72" s="173" t="s">
        <v>693</v>
      </c>
      <c r="J72" s="165"/>
      <c r="K72" s="165"/>
      <c r="L72" s="165"/>
      <c r="M72" s="165"/>
      <c r="N72" s="165"/>
      <c r="O72" s="165"/>
      <c r="P72" s="165"/>
      <c r="Q72" s="165"/>
      <c r="R72" s="165"/>
      <c r="S72" s="165"/>
      <c r="T72" s="165"/>
      <c r="U72" s="165"/>
      <c r="V72" s="165"/>
      <c r="W72" s="165"/>
      <c r="X72" s="165"/>
      <c r="Y72" s="165"/>
      <c r="Z72" s="165"/>
      <c r="AA72" s="165"/>
      <c r="AB72" s="165"/>
      <c r="AC72" s="165"/>
      <c r="AD72" s="165"/>
      <c r="AE72" s="165"/>
    </row>
    <row r="73" spans="1:31" s="49" customFormat="1" ht="17.100000000000001" customHeight="1">
      <c r="A73" s="840"/>
      <c r="B73" s="811" t="s">
        <v>259</v>
      </c>
      <c r="C73" s="812"/>
      <c r="D73" s="813"/>
      <c r="E73" s="179"/>
      <c r="F73" s="180"/>
      <c r="G73" s="173">
        <f>G97*(税费说明表!B10+税费说明表!B11)</f>
        <v>13346.370740797549</v>
      </c>
      <c r="H73" s="221">
        <f>IF(成本汇总!C$5=0,0,G73/成本汇总!C$5*10000)</f>
        <v>455.9752217114256</v>
      </c>
      <c r="I73" s="173"/>
      <c r="J73" s="165"/>
      <c r="K73" s="165"/>
      <c r="L73" s="165"/>
      <c r="M73" s="165"/>
      <c r="N73" s="165"/>
      <c r="O73" s="165"/>
      <c r="P73" s="165"/>
      <c r="Q73" s="165"/>
      <c r="R73" s="165"/>
      <c r="S73" s="165"/>
      <c r="T73" s="165"/>
      <c r="U73" s="165"/>
      <c r="V73" s="165"/>
      <c r="W73" s="165"/>
      <c r="X73" s="165"/>
      <c r="Y73" s="165"/>
      <c r="Z73" s="165"/>
      <c r="AA73" s="165"/>
      <c r="AB73" s="165"/>
      <c r="AC73" s="165"/>
      <c r="AD73" s="165"/>
      <c r="AE73" s="165"/>
    </row>
    <row r="74" spans="1:31" ht="20.100000000000001" customHeight="1">
      <c r="A74" s="829" t="s">
        <v>276</v>
      </c>
      <c r="B74" s="830"/>
      <c r="C74" s="830"/>
      <c r="D74" s="830"/>
      <c r="E74" s="830"/>
      <c r="F74" s="831"/>
      <c r="G74" s="405">
        <f>SUM(G75:G76)</f>
        <v>0</v>
      </c>
      <c r="H74" s="221">
        <f>IF(成本汇总!C$5=0,0,G74/成本汇总!C$5*10000)</f>
        <v>0</v>
      </c>
      <c r="I74" s="173" t="s">
        <v>418</v>
      </c>
    </row>
    <row r="75" spans="1:31" ht="28.5" customHeight="1">
      <c r="A75" s="840" t="s">
        <v>260</v>
      </c>
      <c r="B75" s="843" t="s">
        <v>261</v>
      </c>
      <c r="C75" s="844"/>
      <c r="D75" s="845"/>
      <c r="E75" s="403"/>
      <c r="F75" s="404"/>
      <c r="G75" s="220"/>
      <c r="H75" s="221">
        <f>IF(成本汇总!C$5=0,0,G75/成本汇总!C$5*10000)</f>
        <v>0</v>
      </c>
      <c r="I75" s="173" t="s">
        <v>442</v>
      </c>
    </row>
    <row r="76" spans="1:31" ht="26.25" customHeight="1">
      <c r="A76" s="840"/>
      <c r="B76" s="843" t="s">
        <v>262</v>
      </c>
      <c r="C76" s="844"/>
      <c r="D76" s="845"/>
      <c r="E76" s="403"/>
      <c r="F76" s="404"/>
      <c r="G76" s="220"/>
      <c r="H76" s="221">
        <f>IF(成本汇总!C$5=0,0,G76/成本汇总!C$5*10000)</f>
        <v>0</v>
      </c>
      <c r="I76" s="173" t="s">
        <v>443</v>
      </c>
    </row>
    <row r="77" spans="1:31" ht="20.100000000000001" customHeight="1" thickBot="1">
      <c r="B77" s="853" t="s">
        <v>274</v>
      </c>
      <c r="C77" s="853"/>
      <c r="D77" s="853"/>
      <c r="E77" s="853"/>
      <c r="F77" s="853"/>
      <c r="G77" s="853"/>
      <c r="H77" s="853"/>
      <c r="I77" s="853"/>
    </row>
    <row r="78" spans="1:31" ht="20.100000000000001" customHeight="1">
      <c r="B78" s="854" t="s">
        <v>267</v>
      </c>
      <c r="C78" s="855"/>
      <c r="D78" s="855"/>
      <c r="E78" s="855"/>
      <c r="F78" s="855" t="s">
        <v>268</v>
      </c>
      <c r="G78" s="855"/>
      <c r="H78" s="200"/>
      <c r="I78" s="201"/>
    </row>
    <row r="79" spans="1:31" ht="20.100000000000001" customHeight="1">
      <c r="B79" s="856" t="s">
        <v>419</v>
      </c>
      <c r="C79" s="857"/>
      <c r="D79" s="857"/>
      <c r="E79" s="857"/>
      <c r="F79" s="858">
        <f>G5</f>
        <v>137193.47183371827</v>
      </c>
      <c r="G79" s="858"/>
      <c r="H79" s="202"/>
      <c r="I79" s="203"/>
    </row>
    <row r="80" spans="1:31" ht="20.100000000000001" customHeight="1">
      <c r="B80" s="884" t="s">
        <v>420</v>
      </c>
      <c r="C80" s="885"/>
      <c r="D80" s="885"/>
      <c r="E80" s="886"/>
      <c r="F80" s="859">
        <f>G68</f>
        <v>24304.29206698991</v>
      </c>
      <c r="G80" s="850"/>
      <c r="H80" s="202"/>
      <c r="I80" s="203"/>
    </row>
    <row r="81" spans="2:9" ht="20.100000000000001" customHeight="1">
      <c r="B81" s="856" t="s">
        <v>277</v>
      </c>
      <c r="C81" s="857"/>
      <c r="D81" s="857"/>
      <c r="E81" s="857"/>
      <c r="F81" s="858">
        <f>G74</f>
        <v>0</v>
      </c>
      <c r="G81" s="858"/>
      <c r="H81" s="202"/>
      <c r="I81" s="203"/>
    </row>
    <row r="82" spans="2:9" ht="20.100000000000001" customHeight="1">
      <c r="B82" s="856" t="s">
        <v>265</v>
      </c>
      <c r="C82" s="857"/>
      <c r="D82" s="857"/>
      <c r="E82" s="857"/>
      <c r="F82" s="858">
        <f>SUM(F79:G81)</f>
        <v>161497.76390070817</v>
      </c>
      <c r="G82" s="858"/>
      <c r="H82" s="202"/>
      <c r="I82" s="203"/>
    </row>
    <row r="83" spans="2:9" ht="20.100000000000001" customHeight="1" thickBot="1">
      <c r="B83" s="846" t="s">
        <v>444</v>
      </c>
      <c r="C83" s="847"/>
      <c r="D83" s="847"/>
      <c r="E83" s="847"/>
      <c r="F83" s="866">
        <f>H5+H68+H74</f>
        <v>5517.528332659248</v>
      </c>
      <c r="G83" s="866"/>
      <c r="H83" s="204"/>
      <c r="I83" s="205"/>
    </row>
    <row r="84" spans="2:9" ht="20.100000000000001" customHeight="1" thickBot="1">
      <c r="B84" s="853" t="s">
        <v>269</v>
      </c>
      <c r="C84" s="853"/>
      <c r="D84" s="853"/>
      <c r="E84" s="853"/>
      <c r="F84" s="853"/>
      <c r="G84" s="853"/>
      <c r="H84" s="853"/>
      <c r="I84" s="853"/>
    </row>
    <row r="85" spans="2:9" ht="20.100000000000001" customHeight="1">
      <c r="B85" s="876" t="s">
        <v>270</v>
      </c>
      <c r="C85" s="877"/>
      <c r="D85" s="878"/>
      <c r="E85" s="882" t="s">
        <v>281</v>
      </c>
      <c r="F85" s="867" t="s">
        <v>271</v>
      </c>
      <c r="G85" s="868"/>
      <c r="H85" s="851" t="s">
        <v>272</v>
      </c>
      <c r="I85" s="852"/>
    </row>
    <row r="86" spans="2:9" ht="26.25">
      <c r="B86" s="879"/>
      <c r="C86" s="880"/>
      <c r="D86" s="881"/>
      <c r="E86" s="883"/>
      <c r="F86" s="206" t="s">
        <v>278</v>
      </c>
      <c r="G86" s="207" t="s">
        <v>273</v>
      </c>
      <c r="H86" s="208" t="s">
        <v>279</v>
      </c>
      <c r="I86" s="209" t="s">
        <v>280</v>
      </c>
    </row>
    <row r="87" spans="2:9" ht="20.100000000000001" customHeight="1">
      <c r="B87" s="848" t="str">
        <f>开发和销售计划!A17</f>
        <v>多层住宅</v>
      </c>
      <c r="C87" s="849"/>
      <c r="D87" s="850"/>
      <c r="E87" s="151">
        <f>开发和销售计划!V17</f>
        <v>0</v>
      </c>
      <c r="F87" s="206">
        <f>IF(E87=0,0,G87/E87*10000)</f>
        <v>0</v>
      </c>
      <c r="G87" s="207">
        <f>开发和销售计划!V40</f>
        <v>0</v>
      </c>
      <c r="H87" s="208">
        <f>成本汇总!N23</f>
        <v>0</v>
      </c>
      <c r="I87" s="224">
        <f>H87*E87/10000</f>
        <v>0</v>
      </c>
    </row>
    <row r="88" spans="2:9" ht="20.100000000000001" customHeight="1">
      <c r="B88" s="848" t="str">
        <f>开发和销售计划!A18</f>
        <v>小高层住宅</v>
      </c>
      <c r="C88" s="849"/>
      <c r="D88" s="850"/>
      <c r="E88" s="151">
        <f>开发和销售计划!V18</f>
        <v>0</v>
      </c>
      <c r="F88" s="206">
        <f t="shared" ref="F88:F97" si="0">IF(E88=0,0,G88/E88*10000)</f>
        <v>0</v>
      </c>
      <c r="G88" s="207">
        <f>开发和销售计划!V41</f>
        <v>0</v>
      </c>
      <c r="H88" s="208">
        <f>成本汇总!O$23</f>
        <v>0</v>
      </c>
      <c r="I88" s="224">
        <f t="shared" ref="I88:I95" si="1">H88*E88/10000</f>
        <v>0</v>
      </c>
    </row>
    <row r="89" spans="2:9" ht="20.100000000000001" customHeight="1">
      <c r="B89" s="848" t="str">
        <f>开发和销售计划!A19</f>
        <v>中高层住宅</v>
      </c>
      <c r="C89" s="849"/>
      <c r="D89" s="850"/>
      <c r="E89" s="151">
        <f>开发和销售计划!V19</f>
        <v>138849.73684210528</v>
      </c>
      <c r="F89" s="206">
        <f>IF(E89=0,0,G89/E89*10000)</f>
        <v>6842.9020946157234</v>
      </c>
      <c r="G89" s="207">
        <f>开发和销售计划!V42</f>
        <v>95013.515507368429</v>
      </c>
      <c r="H89" s="208">
        <f>成本汇总!P$23</f>
        <v>5411.9663048562561</v>
      </c>
      <c r="I89" s="224">
        <f>H89*E89/10000</f>
        <v>75145.009722763207</v>
      </c>
    </row>
    <row r="90" spans="2:9" ht="20.100000000000001" customHeight="1">
      <c r="B90" s="848" t="str">
        <f>开发和销售计划!A20</f>
        <v>高层住宅</v>
      </c>
      <c r="C90" s="849"/>
      <c r="D90" s="850"/>
      <c r="E90" s="151">
        <f>开发和销售计划!V20</f>
        <v>97194.815789473709</v>
      </c>
      <c r="F90" s="206">
        <f t="shared" si="0"/>
        <v>6116.5366248957935</v>
      </c>
      <c r="G90" s="207">
        <f>开发和销售计划!V43</f>
        <v>59449.565052631588</v>
      </c>
      <c r="H90" s="208">
        <f>成本汇总!Q$23</f>
        <v>5409.5470884864471</v>
      </c>
      <c r="I90" s="224">
        <f t="shared" si="1"/>
        <v>52577.993276992405</v>
      </c>
    </row>
    <row r="91" spans="2:9" ht="20.100000000000001" customHeight="1">
      <c r="B91" s="848" t="str">
        <f>开发和销售计划!A21</f>
        <v>洋房</v>
      </c>
      <c r="C91" s="849"/>
      <c r="D91" s="850"/>
      <c r="E91" s="151">
        <f>开发和销售计划!V21</f>
        <v>41654.92105263158</v>
      </c>
      <c r="F91" s="206">
        <f t="shared" si="0"/>
        <v>7584.7024655076457</v>
      </c>
      <c r="G91" s="207">
        <f>开发和销售计划!V44</f>
        <v>31594.01824084211</v>
      </c>
      <c r="H91" s="208">
        <f>成本汇总!R$23</f>
        <v>5569.1118177896178</v>
      </c>
      <c r="I91" s="224">
        <f t="shared" si="1"/>
        <v>23198.091310330408</v>
      </c>
    </row>
    <row r="92" spans="2:9" ht="20.100000000000001" customHeight="1">
      <c r="B92" s="848" t="str">
        <f>开发和销售计划!A22</f>
        <v>联排别墅</v>
      </c>
      <c r="C92" s="849"/>
      <c r="D92" s="850"/>
      <c r="E92" s="151">
        <f>开发和销售计划!V22</f>
        <v>0</v>
      </c>
      <c r="F92" s="206">
        <f t="shared" si="0"/>
        <v>0</v>
      </c>
      <c r="G92" s="207">
        <f>开发和销售计划!V45</f>
        <v>0</v>
      </c>
      <c r="H92" s="208">
        <f>成本汇总!S$23</f>
        <v>0</v>
      </c>
      <c r="I92" s="224">
        <f t="shared" si="1"/>
        <v>0</v>
      </c>
    </row>
    <row r="93" spans="2:9" ht="20.100000000000001" customHeight="1">
      <c r="B93" s="848" t="str">
        <f>开发和销售计划!A23</f>
        <v>独栋别墅</v>
      </c>
      <c r="C93" s="849"/>
      <c r="D93" s="850"/>
      <c r="E93" s="151">
        <f>开发和销售计划!V23</f>
        <v>0</v>
      </c>
      <c r="F93" s="206">
        <f t="shared" si="0"/>
        <v>0</v>
      </c>
      <c r="G93" s="207">
        <f>开发和销售计划!V46</f>
        <v>0</v>
      </c>
      <c r="H93" s="208">
        <f>成本汇总!T$23</f>
        <v>0</v>
      </c>
      <c r="I93" s="224">
        <f t="shared" si="1"/>
        <v>0</v>
      </c>
    </row>
    <row r="94" spans="2:9" ht="20.100000000000001" customHeight="1">
      <c r="B94" s="848" t="str">
        <f>开发和销售计划!A24</f>
        <v>地下车位（含人防）</v>
      </c>
      <c r="C94" s="849"/>
      <c r="D94" s="850"/>
      <c r="E94" s="151">
        <f>开发和销售计划!V24</f>
        <v>42966.409323308268</v>
      </c>
      <c r="F94" s="206">
        <f t="shared" si="0"/>
        <v>2608.3039244078559</v>
      </c>
      <c r="G94" s="207">
        <f>开发和销售计划!V47</f>
        <v>11206.945405569924</v>
      </c>
      <c r="H94" s="208">
        <f>成本汇总!U$23</f>
        <v>0</v>
      </c>
      <c r="I94" s="224">
        <f t="shared" si="1"/>
        <v>0</v>
      </c>
    </row>
    <row r="95" spans="2:9" ht="20.100000000000001" customHeight="1">
      <c r="B95" s="848" t="str">
        <f>开发和销售计划!A25</f>
        <v>商业</v>
      </c>
      <c r="C95" s="849"/>
      <c r="D95" s="850"/>
      <c r="E95" s="151">
        <f>开发和销售计划!V25</f>
        <v>15000</v>
      </c>
      <c r="F95" s="206">
        <f t="shared" si="0"/>
        <v>12000</v>
      </c>
      <c r="G95" s="207">
        <f>开发和销售计划!V48</f>
        <v>18000</v>
      </c>
      <c r="H95" s="208">
        <f>成本汇总!V$23</f>
        <v>7051.1130604147611</v>
      </c>
      <c r="I95" s="224">
        <f t="shared" si="1"/>
        <v>10576.669590622141</v>
      </c>
    </row>
    <row r="96" spans="2:9" ht="20.100000000000001" customHeight="1">
      <c r="B96" s="869" t="s">
        <v>40</v>
      </c>
      <c r="C96" s="870"/>
      <c r="D96" s="871"/>
      <c r="E96" s="210">
        <f>SUM(E87:E95)</f>
        <v>335665.88300751883</v>
      </c>
      <c r="F96" s="148">
        <f t="shared" si="0"/>
        <v>6413.045087504177</v>
      </c>
      <c r="G96" s="449">
        <f>SUM(G87:G95)</f>
        <v>215264.04420641204</v>
      </c>
      <c r="H96" s="210">
        <f>IF(E96=0,0,I96/E96*10000)</f>
        <v>4811.2653706033816</v>
      </c>
      <c r="I96" s="211">
        <f>SUM(I87:I95)</f>
        <v>161497.76390070815</v>
      </c>
    </row>
    <row r="97" spans="2:9" ht="20.100000000000001" customHeight="1">
      <c r="B97" s="869" t="s">
        <v>445</v>
      </c>
      <c r="C97" s="870"/>
      <c r="D97" s="870"/>
      <c r="E97" s="210">
        <f>E96-E94</f>
        <v>292699.47368421056</v>
      </c>
      <c r="F97" s="148">
        <f t="shared" si="0"/>
        <v>7354.4390598617019</v>
      </c>
      <c r="G97" s="449">
        <f>G96</f>
        <v>215264.04420641204</v>
      </c>
      <c r="H97" s="210">
        <f>IF(E97=0,0,I97/E97*10000)</f>
        <v>5517.5283326592471</v>
      </c>
      <c r="I97" s="211">
        <f>I96</f>
        <v>161497.76390070815</v>
      </c>
    </row>
    <row r="98" spans="2:9" ht="25.5" customHeight="1" thickBot="1">
      <c r="B98" s="860" t="s">
        <v>266</v>
      </c>
      <c r="C98" s="861"/>
      <c r="D98" s="862"/>
      <c r="E98" s="863">
        <f>G96-I96</f>
        <v>53766.280305703898</v>
      </c>
      <c r="F98" s="864"/>
      <c r="G98" s="865"/>
      <c r="H98" s="872"/>
      <c r="I98" s="873"/>
    </row>
  </sheetData>
  <sheetProtection formatCells="0" formatColumns="0" formatRows="0" insertColumns="0" insertRows="0" insertHyperlinks="0" deleteColumns="0"/>
  <protectedRanges>
    <protectedRange sqref="G8:G14 G16:G21 G53:G63 G31:G39 G41:G46 G49:G51 I17 G65:G67 F66 G69:G73 F70:F72 G23:G28" name="区域1"/>
  </protectedRanges>
  <mergeCells count="76">
    <mergeCell ref="B71:D71"/>
    <mergeCell ref="H98:I98"/>
    <mergeCell ref="A1:B1"/>
    <mergeCell ref="A2:B2"/>
    <mergeCell ref="C2:D2"/>
    <mergeCell ref="A3:B3"/>
    <mergeCell ref="E2:F2"/>
    <mergeCell ref="B85:D86"/>
    <mergeCell ref="E85:E86"/>
    <mergeCell ref="B80:E80"/>
    <mergeCell ref="B98:D98"/>
    <mergeCell ref="E98:G98"/>
    <mergeCell ref="B95:D95"/>
    <mergeCell ref="B82:E82"/>
    <mergeCell ref="F83:G83"/>
    <mergeCell ref="B84:I84"/>
    <mergeCell ref="F85:G85"/>
    <mergeCell ref="B96:D96"/>
    <mergeCell ref="B90:D90"/>
    <mergeCell ref="B97:D97"/>
    <mergeCell ref="H85:I85"/>
    <mergeCell ref="B77:I77"/>
    <mergeCell ref="B78:E78"/>
    <mergeCell ref="F78:G78"/>
    <mergeCell ref="B79:E79"/>
    <mergeCell ref="F79:G79"/>
    <mergeCell ref="B81:E81"/>
    <mergeCell ref="F81:G81"/>
    <mergeCell ref="F82:G82"/>
    <mergeCell ref="F80:G80"/>
    <mergeCell ref="B94:D94"/>
    <mergeCell ref="B92:D92"/>
    <mergeCell ref="B93:D93"/>
    <mergeCell ref="B87:D87"/>
    <mergeCell ref="B88:D88"/>
    <mergeCell ref="B91:D91"/>
    <mergeCell ref="A74:F74"/>
    <mergeCell ref="A75:A76"/>
    <mergeCell ref="B75:D75"/>
    <mergeCell ref="B76:D76"/>
    <mergeCell ref="B83:E83"/>
    <mergeCell ref="B89:D89"/>
    <mergeCell ref="B64:D64"/>
    <mergeCell ref="B65:B67"/>
    <mergeCell ref="A68:F68"/>
    <mergeCell ref="A69:A73"/>
    <mergeCell ref="B69:D69"/>
    <mergeCell ref="B70:D70"/>
    <mergeCell ref="B73:D73"/>
    <mergeCell ref="A6:A67"/>
    <mergeCell ref="B6:D6"/>
    <mergeCell ref="B7:B21"/>
    <mergeCell ref="B41:B45"/>
    <mergeCell ref="B46:D46"/>
    <mergeCell ref="B47:D47"/>
    <mergeCell ref="B48:B63"/>
    <mergeCell ref="C49:C51"/>
    <mergeCell ref="D49:D51"/>
    <mergeCell ref="C53:C63"/>
    <mergeCell ref="D53:D63"/>
    <mergeCell ref="C1:G1"/>
    <mergeCell ref="E3:F3"/>
    <mergeCell ref="C3:D3"/>
    <mergeCell ref="A5:F5"/>
    <mergeCell ref="B29:D29"/>
    <mergeCell ref="B40:D40"/>
    <mergeCell ref="B72:D72"/>
    <mergeCell ref="C8:C14"/>
    <mergeCell ref="D8:D14"/>
    <mergeCell ref="C16:C17"/>
    <mergeCell ref="D16:D17"/>
    <mergeCell ref="B30:B39"/>
    <mergeCell ref="C31:C39"/>
    <mergeCell ref="D31:D39"/>
    <mergeCell ref="B22:D22"/>
    <mergeCell ref="B23:B27"/>
  </mergeCells>
  <phoneticPr fontId="2" type="noConversion"/>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dimension ref="A1:V72"/>
  <sheetViews>
    <sheetView workbookViewId="0">
      <pane xSplit="1" ySplit="4" topLeftCell="B41" activePane="bottomRight" state="frozen"/>
      <selection pane="topRight" activeCell="B1" sqref="B1"/>
      <selection pane="bottomLeft" activeCell="A5" sqref="A5"/>
      <selection pane="bottomRight" activeCell="G64" sqref="G64"/>
    </sheetView>
  </sheetViews>
  <sheetFormatPr defaultRowHeight="12.75"/>
  <cols>
    <col min="1" max="1" width="25.375" style="414" customWidth="1"/>
    <col min="2" max="21" width="9.625" style="414" customWidth="1"/>
    <col min="22" max="22" width="11.25" style="413" customWidth="1"/>
    <col min="23" max="23" width="11" style="414" bestFit="1" customWidth="1"/>
    <col min="24" max="24" width="9.5" style="414" bestFit="1" customWidth="1"/>
    <col min="25" max="16384" width="9" style="414"/>
  </cols>
  <sheetData>
    <row r="1" spans="1:22" ht="22.5" customHeight="1">
      <c r="A1" s="889" t="s">
        <v>45</v>
      </c>
      <c r="B1" s="889"/>
      <c r="C1" s="889"/>
      <c r="D1" s="889"/>
      <c r="E1" s="889"/>
      <c r="F1" s="889"/>
      <c r="G1" s="889"/>
      <c r="H1" s="889"/>
      <c r="I1" s="889"/>
      <c r="J1" s="889"/>
      <c r="K1" s="889"/>
      <c r="L1" s="412"/>
      <c r="M1" s="412"/>
      <c r="N1" s="412"/>
      <c r="O1" s="412"/>
      <c r="P1" s="412"/>
      <c r="Q1" s="412"/>
      <c r="R1" s="412"/>
      <c r="S1" s="412"/>
      <c r="T1" s="412"/>
      <c r="U1" s="412"/>
    </row>
    <row r="2" spans="1:22" s="416" customFormat="1" ht="12.75" customHeight="1">
      <c r="A2" s="415" t="s">
        <v>46</v>
      </c>
      <c r="V2" s="417"/>
    </row>
    <row r="3" spans="1:22" s="416" customFormat="1">
      <c r="A3" s="418" t="s">
        <v>47</v>
      </c>
      <c r="B3" s="284" t="s">
        <v>717</v>
      </c>
      <c r="C3" s="284" t="s">
        <v>718</v>
      </c>
      <c r="D3" s="284" t="s">
        <v>719</v>
      </c>
      <c r="E3" s="284" t="s">
        <v>720</v>
      </c>
      <c r="F3" s="284" t="s">
        <v>721</v>
      </c>
      <c r="G3" s="284" t="s">
        <v>722</v>
      </c>
      <c r="H3" s="284" t="s">
        <v>723</v>
      </c>
      <c r="I3" s="284" t="s">
        <v>724</v>
      </c>
      <c r="J3" s="284" t="s">
        <v>725</v>
      </c>
      <c r="K3" s="284" t="s">
        <v>726</v>
      </c>
      <c r="L3" s="284" t="s">
        <v>727</v>
      </c>
      <c r="M3" s="284" t="s">
        <v>728</v>
      </c>
      <c r="N3" s="284" t="s">
        <v>729</v>
      </c>
      <c r="O3" s="284" t="s">
        <v>730</v>
      </c>
      <c r="P3" s="284" t="s">
        <v>731</v>
      </c>
      <c r="Q3" s="284" t="s">
        <v>732</v>
      </c>
      <c r="R3" s="284" t="s">
        <v>733</v>
      </c>
      <c r="S3" s="284" t="s">
        <v>734</v>
      </c>
      <c r="T3" s="284" t="s">
        <v>735</v>
      </c>
      <c r="U3" s="284" t="s">
        <v>736</v>
      </c>
      <c r="V3" s="418" t="s">
        <v>40</v>
      </c>
    </row>
    <row r="4" spans="1:22" ht="15.75" customHeight="1">
      <c r="A4" s="419" t="s">
        <v>397</v>
      </c>
      <c r="B4" s="890" t="s">
        <v>433</v>
      </c>
      <c r="C4" s="891"/>
      <c r="D4" s="891"/>
      <c r="E4" s="891"/>
      <c r="F4" s="891"/>
      <c r="G4" s="891"/>
      <c r="H4" s="891"/>
      <c r="I4" s="891"/>
      <c r="J4" s="891"/>
      <c r="K4" s="891"/>
      <c r="L4" s="420"/>
      <c r="M4" s="420"/>
      <c r="N4" s="420"/>
      <c r="O4" s="420"/>
      <c r="P4" s="420"/>
      <c r="Q4" s="420"/>
      <c r="R4" s="420"/>
      <c r="S4" s="420"/>
      <c r="T4" s="420"/>
      <c r="U4" s="420"/>
      <c r="V4" s="118"/>
    </row>
    <row r="5" spans="1:22" ht="12.75" customHeight="1">
      <c r="A5" s="457" t="s">
        <v>31</v>
      </c>
      <c r="B5" s="421"/>
      <c r="C5" s="421"/>
      <c r="D5" s="421"/>
      <c r="E5" s="421"/>
      <c r="F5" s="421"/>
      <c r="G5" s="421"/>
      <c r="H5" s="421"/>
      <c r="I5" s="421"/>
      <c r="J5" s="421"/>
      <c r="K5" s="421"/>
      <c r="L5" s="421"/>
      <c r="M5" s="421"/>
      <c r="N5" s="421"/>
      <c r="O5" s="421"/>
      <c r="P5" s="421"/>
      <c r="Q5" s="421"/>
      <c r="R5" s="421"/>
      <c r="S5" s="421"/>
      <c r="T5" s="421"/>
      <c r="U5" s="421"/>
      <c r="V5" s="118">
        <f t="shared" ref="V5:V15" si="0">SUM(B5:U5)</f>
        <v>0</v>
      </c>
    </row>
    <row r="6" spans="1:22" ht="12.75" customHeight="1">
      <c r="A6" s="457" t="s">
        <v>446</v>
      </c>
      <c r="B6" s="421"/>
      <c r="C6" s="421"/>
      <c r="D6" s="421"/>
      <c r="E6" s="421"/>
      <c r="F6" s="421"/>
      <c r="G6" s="421"/>
      <c r="H6" s="421"/>
      <c r="I6" s="421"/>
      <c r="J6" s="421"/>
      <c r="K6" s="421"/>
      <c r="L6" s="421"/>
      <c r="M6" s="421"/>
      <c r="N6" s="421"/>
      <c r="O6" s="421"/>
      <c r="P6" s="421"/>
      <c r="Q6" s="421"/>
      <c r="R6" s="421"/>
      <c r="S6" s="421"/>
      <c r="T6" s="421"/>
      <c r="U6" s="421"/>
      <c r="V6" s="118">
        <f t="shared" si="0"/>
        <v>0</v>
      </c>
    </row>
    <row r="7" spans="1:22" ht="12.75" customHeight="1">
      <c r="A7" s="457" t="s">
        <v>658</v>
      </c>
      <c r="B7" s="421"/>
      <c r="C7" s="421">
        <v>40000</v>
      </c>
      <c r="D7" s="421"/>
      <c r="E7" s="421"/>
      <c r="F7" s="421">
        <v>40000</v>
      </c>
      <c r="G7" s="421"/>
      <c r="H7" s="421"/>
      <c r="I7" s="421">
        <f>规划指标!E10-开发和销售计划!C7-开发和销售计划!F7</f>
        <v>58849.736842105282</v>
      </c>
      <c r="J7" s="421"/>
      <c r="K7" s="421"/>
      <c r="L7" s="421"/>
      <c r="M7" s="421"/>
      <c r="N7" s="421"/>
      <c r="O7" s="421"/>
      <c r="P7" s="421"/>
      <c r="Q7" s="421"/>
      <c r="R7" s="421"/>
      <c r="S7" s="421"/>
      <c r="T7" s="421"/>
      <c r="U7" s="421"/>
      <c r="V7" s="118">
        <f t="shared" si="0"/>
        <v>138849.73684210528</v>
      </c>
    </row>
    <row r="8" spans="1:22" ht="12.75" customHeight="1">
      <c r="A8" s="457" t="s">
        <v>659</v>
      </c>
      <c r="B8" s="421"/>
      <c r="C8" s="421">
        <v>50000</v>
      </c>
      <c r="D8" s="421"/>
      <c r="E8" s="421"/>
      <c r="F8" s="421">
        <f>规划指标!E11-开发和销售计划!C8</f>
        <v>47194.815789473694</v>
      </c>
      <c r="G8" s="421"/>
      <c r="H8" s="421"/>
      <c r="I8" s="421"/>
      <c r="J8" s="421"/>
      <c r="K8" s="421"/>
      <c r="L8" s="421"/>
      <c r="M8" s="421"/>
      <c r="N8" s="421"/>
      <c r="O8" s="421"/>
      <c r="P8" s="421"/>
      <c r="Q8" s="421"/>
      <c r="R8" s="421"/>
      <c r="S8" s="421"/>
      <c r="T8" s="421"/>
      <c r="U8" s="421"/>
      <c r="V8" s="118">
        <f t="shared" si="0"/>
        <v>97194.815789473694</v>
      </c>
    </row>
    <row r="9" spans="1:22" ht="12.75" customHeight="1">
      <c r="A9" s="457" t="s">
        <v>449</v>
      </c>
      <c r="B9" s="421"/>
      <c r="C9" s="421"/>
      <c r="D9" s="421"/>
      <c r="E9" s="421"/>
      <c r="F9" s="421">
        <v>10000</v>
      </c>
      <c r="G9" s="421"/>
      <c r="H9" s="421"/>
      <c r="I9" s="421">
        <f>规划指标!E12-开发和销售计划!C9-开发和销售计划!F9</f>
        <v>31654.92105263158</v>
      </c>
      <c r="J9" s="421"/>
      <c r="K9" s="421"/>
      <c r="L9" s="421"/>
      <c r="M9" s="421"/>
      <c r="N9" s="421"/>
      <c r="O9" s="421"/>
      <c r="P9" s="421"/>
      <c r="Q9" s="421"/>
      <c r="R9" s="421"/>
      <c r="S9" s="421"/>
      <c r="T9" s="421"/>
      <c r="U9" s="421"/>
      <c r="V9" s="118">
        <f t="shared" si="0"/>
        <v>41654.92105263158</v>
      </c>
    </row>
    <row r="10" spans="1:22" ht="12.75" customHeight="1">
      <c r="A10" s="457" t="s">
        <v>450</v>
      </c>
      <c r="B10" s="421"/>
      <c r="C10" s="421"/>
      <c r="D10" s="421"/>
      <c r="E10" s="421"/>
      <c r="F10" s="421"/>
      <c r="G10" s="421"/>
      <c r="H10" s="421"/>
      <c r="I10" s="421"/>
      <c r="J10" s="421"/>
      <c r="K10" s="421"/>
      <c r="L10" s="421"/>
      <c r="M10" s="421"/>
      <c r="N10" s="421"/>
      <c r="O10" s="421"/>
      <c r="P10" s="421"/>
      <c r="Q10" s="421"/>
      <c r="R10" s="421"/>
      <c r="S10" s="421"/>
      <c r="T10" s="421"/>
      <c r="U10" s="421"/>
      <c r="V10" s="118">
        <f t="shared" si="0"/>
        <v>0</v>
      </c>
    </row>
    <row r="11" spans="1:22" ht="12.75" customHeight="1">
      <c r="A11" s="457" t="s">
        <v>451</v>
      </c>
      <c r="B11" s="421"/>
      <c r="C11" s="421"/>
      <c r="D11" s="421"/>
      <c r="E11" s="421"/>
      <c r="F11" s="421"/>
      <c r="G11" s="421"/>
      <c r="H11" s="421"/>
      <c r="I11" s="421"/>
      <c r="J11" s="421"/>
      <c r="K11" s="421"/>
      <c r="L11" s="453"/>
      <c r="M11" s="421"/>
      <c r="N11" s="421"/>
      <c r="O11" s="421"/>
      <c r="P11" s="421"/>
      <c r="Q11" s="421"/>
      <c r="R11" s="421"/>
      <c r="S11" s="421"/>
      <c r="T11" s="421"/>
      <c r="U11" s="421"/>
      <c r="V11" s="118">
        <f t="shared" si="0"/>
        <v>0</v>
      </c>
    </row>
    <row r="12" spans="1:22" ht="12.75" customHeight="1">
      <c r="A12" s="422" t="s">
        <v>60</v>
      </c>
      <c r="B12" s="421"/>
      <c r="C12" s="421">
        <v>15000</v>
      </c>
      <c r="D12" s="421"/>
      <c r="E12" s="421"/>
      <c r="F12" s="421">
        <v>15000</v>
      </c>
      <c r="G12" s="421"/>
      <c r="H12" s="421"/>
      <c r="I12" s="421">
        <f>规划指标!E28-开发和销售计划!C12-开发和销售计划!F12</f>
        <v>12966.409323308268</v>
      </c>
      <c r="J12" s="421"/>
      <c r="K12" s="421"/>
      <c r="L12" s="421"/>
      <c r="M12" s="421"/>
      <c r="N12" s="421"/>
      <c r="O12" s="421"/>
      <c r="P12" s="421"/>
      <c r="Q12" s="421"/>
      <c r="R12" s="421"/>
      <c r="S12" s="421"/>
      <c r="T12" s="421"/>
      <c r="U12" s="421"/>
      <c r="V12" s="118">
        <f t="shared" si="0"/>
        <v>42966.409323308268</v>
      </c>
    </row>
    <row r="13" spans="1:22" ht="12.75" customHeight="1">
      <c r="A13" s="422" t="s">
        <v>59</v>
      </c>
      <c r="B13" s="421"/>
      <c r="C13" s="421">
        <v>15000</v>
      </c>
      <c r="D13" s="421"/>
      <c r="E13" s="421"/>
      <c r="F13" s="421"/>
      <c r="G13" s="421"/>
      <c r="H13" s="421"/>
      <c r="I13" s="421"/>
      <c r="J13" s="421"/>
      <c r="K13" s="421"/>
      <c r="L13" s="421"/>
      <c r="M13" s="421"/>
      <c r="N13" s="421"/>
      <c r="O13" s="421"/>
      <c r="P13" s="421"/>
      <c r="Q13" s="421"/>
      <c r="R13" s="421"/>
      <c r="S13" s="421"/>
      <c r="T13" s="421"/>
      <c r="U13" s="421"/>
      <c r="V13" s="118">
        <f t="shared" si="0"/>
        <v>15000</v>
      </c>
    </row>
    <row r="14" spans="1:22" ht="12.75" customHeight="1">
      <c r="A14" s="284" t="s">
        <v>44</v>
      </c>
      <c r="B14" s="421"/>
      <c r="C14" s="421">
        <v>3000</v>
      </c>
      <c r="D14" s="421"/>
      <c r="E14" s="421"/>
      <c r="F14" s="421">
        <f>规划指标!D26-开发和销售计划!C14</f>
        <v>10171.476315789476</v>
      </c>
      <c r="G14" s="421"/>
      <c r="H14" s="421"/>
      <c r="I14" s="421"/>
      <c r="J14" s="421"/>
      <c r="K14" s="421"/>
      <c r="L14" s="421"/>
      <c r="M14" s="421"/>
      <c r="N14" s="421"/>
      <c r="O14" s="421"/>
      <c r="P14" s="421"/>
      <c r="Q14" s="421"/>
      <c r="R14" s="421"/>
      <c r="S14" s="421"/>
      <c r="T14" s="421"/>
      <c r="U14" s="421"/>
      <c r="V14" s="118">
        <f t="shared" si="0"/>
        <v>13171.476315789476</v>
      </c>
    </row>
    <row r="15" spans="1:22" s="416" customFormat="1" ht="12.75" customHeight="1">
      <c r="A15" s="423" t="s">
        <v>49</v>
      </c>
      <c r="B15" s="424">
        <f>SUM(B5:B14)</f>
        <v>0</v>
      </c>
      <c r="C15" s="424">
        <f t="shared" ref="C15:U15" si="1">SUM(C5:C14)</f>
        <v>123000</v>
      </c>
      <c r="D15" s="424">
        <f t="shared" si="1"/>
        <v>0</v>
      </c>
      <c r="E15" s="424">
        <f t="shared" si="1"/>
        <v>0</v>
      </c>
      <c r="F15" s="424">
        <f t="shared" si="1"/>
        <v>122366.29210526317</v>
      </c>
      <c r="G15" s="424">
        <f t="shared" si="1"/>
        <v>0</v>
      </c>
      <c r="H15" s="424">
        <f t="shared" si="1"/>
        <v>0</v>
      </c>
      <c r="I15" s="424">
        <f t="shared" si="1"/>
        <v>103471.06721804512</v>
      </c>
      <c r="J15" s="424">
        <f t="shared" si="1"/>
        <v>0</v>
      </c>
      <c r="K15" s="424">
        <f t="shared" si="1"/>
        <v>0</v>
      </c>
      <c r="L15" s="424">
        <f t="shared" si="1"/>
        <v>0</v>
      </c>
      <c r="M15" s="424">
        <f t="shared" si="1"/>
        <v>0</v>
      </c>
      <c r="N15" s="424">
        <f t="shared" ref="N15:S15" si="2">SUM(N5:N14)</f>
        <v>0</v>
      </c>
      <c r="O15" s="424">
        <f t="shared" si="2"/>
        <v>0</v>
      </c>
      <c r="P15" s="424">
        <f t="shared" si="2"/>
        <v>0</v>
      </c>
      <c r="Q15" s="424">
        <f t="shared" si="2"/>
        <v>0</v>
      </c>
      <c r="R15" s="424">
        <f t="shared" si="2"/>
        <v>0</v>
      </c>
      <c r="S15" s="424">
        <f t="shared" si="2"/>
        <v>0</v>
      </c>
      <c r="T15" s="424">
        <f t="shared" si="1"/>
        <v>0</v>
      </c>
      <c r="U15" s="424">
        <f t="shared" si="1"/>
        <v>0</v>
      </c>
      <c r="V15" s="424">
        <f t="shared" si="0"/>
        <v>348837.35932330828</v>
      </c>
    </row>
    <row r="16" spans="1:22" ht="15.75" customHeight="1">
      <c r="A16" s="425" t="s">
        <v>48</v>
      </c>
      <c r="B16" s="892"/>
      <c r="C16" s="892"/>
      <c r="D16" s="892"/>
      <c r="E16" s="892"/>
      <c r="F16" s="892"/>
      <c r="G16" s="892"/>
      <c r="H16" s="892"/>
      <c r="I16" s="892"/>
      <c r="J16" s="892"/>
      <c r="K16" s="892"/>
      <c r="L16" s="426"/>
      <c r="M16" s="426"/>
      <c r="N16" s="426"/>
      <c r="O16" s="426"/>
      <c r="P16" s="426"/>
      <c r="Q16" s="426"/>
      <c r="R16" s="426"/>
      <c r="S16" s="426"/>
      <c r="T16" s="426"/>
      <c r="U16" s="426"/>
      <c r="V16" s="427"/>
    </row>
    <row r="17" spans="1:22">
      <c r="A17" s="457" t="s">
        <v>31</v>
      </c>
      <c r="B17" s="433"/>
      <c r="C17" s="433"/>
      <c r="D17" s="433"/>
      <c r="E17" s="433"/>
      <c r="F17" s="433"/>
      <c r="G17" s="433"/>
      <c r="H17" s="433"/>
      <c r="I17" s="433"/>
      <c r="J17" s="433"/>
      <c r="K17" s="433"/>
      <c r="L17" s="433"/>
      <c r="M17" s="433"/>
      <c r="N17" s="433"/>
      <c r="O17" s="433"/>
      <c r="P17" s="433"/>
      <c r="Q17" s="433"/>
      <c r="R17" s="433"/>
      <c r="S17" s="433"/>
      <c r="T17" s="433"/>
      <c r="U17" s="433"/>
      <c r="V17" s="428">
        <f t="shared" ref="V17:V26" si="3">SUM(B17:U17)</f>
        <v>0</v>
      </c>
    </row>
    <row r="18" spans="1:22">
      <c r="A18" s="457" t="s">
        <v>446</v>
      </c>
      <c r="B18" s="429"/>
      <c r="C18" s="429"/>
      <c r="D18" s="429"/>
      <c r="E18" s="429"/>
      <c r="F18" s="429"/>
      <c r="G18" s="429"/>
      <c r="H18" s="429"/>
      <c r="I18" s="429"/>
      <c r="J18" s="429"/>
      <c r="K18" s="429"/>
      <c r="L18" s="429"/>
      <c r="M18" s="429"/>
      <c r="N18" s="429"/>
      <c r="O18" s="429"/>
      <c r="P18" s="429"/>
      <c r="Q18" s="429"/>
      <c r="R18" s="429"/>
      <c r="S18" s="429"/>
      <c r="T18" s="429"/>
      <c r="U18" s="429"/>
      <c r="V18" s="428">
        <f t="shared" si="3"/>
        <v>0</v>
      </c>
    </row>
    <row r="19" spans="1:22">
      <c r="A19" s="457" t="s">
        <v>658</v>
      </c>
      <c r="B19" s="429"/>
      <c r="C19" s="429"/>
      <c r="D19" s="429"/>
      <c r="E19" s="429"/>
      <c r="F19" s="429">
        <f>C7*0.5</f>
        <v>20000</v>
      </c>
      <c r="G19" s="429">
        <f>C7*0.3</f>
        <v>12000</v>
      </c>
      <c r="H19" s="429">
        <f>C7*0.2</f>
        <v>8000</v>
      </c>
      <c r="I19" s="429">
        <f>F7*0.5</f>
        <v>20000</v>
      </c>
      <c r="J19" s="429">
        <f>F7*0.3</f>
        <v>12000</v>
      </c>
      <c r="K19" s="429">
        <f>F7*0.2</f>
        <v>8000</v>
      </c>
      <c r="L19" s="429">
        <f>I7*0.5</f>
        <v>29424.868421052641</v>
      </c>
      <c r="M19" s="429">
        <f>I7*0.3</f>
        <v>17654.921052631584</v>
      </c>
      <c r="N19" s="429">
        <f>I7*0.2</f>
        <v>11769.947368421057</v>
      </c>
      <c r="O19" s="429"/>
      <c r="P19" s="429"/>
      <c r="Q19" s="429"/>
      <c r="R19" s="429"/>
      <c r="S19" s="429"/>
      <c r="T19" s="429"/>
      <c r="U19" s="429"/>
      <c r="V19" s="428">
        <f t="shared" si="3"/>
        <v>138849.73684210528</v>
      </c>
    </row>
    <row r="20" spans="1:22">
      <c r="A20" s="457" t="s">
        <v>659</v>
      </c>
      <c r="B20" s="429"/>
      <c r="C20" s="429"/>
      <c r="D20" s="429"/>
      <c r="E20" s="429"/>
      <c r="F20" s="429">
        <f t="shared" ref="F20:F25" si="4">C8*0.5</f>
        <v>25000</v>
      </c>
      <c r="G20" s="429">
        <f t="shared" ref="G20:G25" si="5">C8*0.3</f>
        <v>15000</v>
      </c>
      <c r="H20" s="429">
        <f t="shared" ref="H20:H25" si="6">C8*0.2</f>
        <v>10000</v>
      </c>
      <c r="I20" s="429">
        <f t="shared" ref="I20:I25" si="7">F8*0.5</f>
        <v>23597.407894736847</v>
      </c>
      <c r="J20" s="429">
        <f t="shared" ref="J20:J25" si="8">F8*0.3</f>
        <v>14158.444736842108</v>
      </c>
      <c r="K20" s="429">
        <f t="shared" ref="K20:K25" si="9">F8*0.2</f>
        <v>9438.9631578947392</v>
      </c>
      <c r="L20" s="429">
        <f t="shared" ref="L20:L25" si="10">I8*0.5</f>
        <v>0</v>
      </c>
      <c r="M20" s="429">
        <f t="shared" ref="M20:M25" si="11">I8*0.3</f>
        <v>0</v>
      </c>
      <c r="N20" s="429">
        <f t="shared" ref="N20:N25" si="12">I8*0.2</f>
        <v>0</v>
      </c>
      <c r="O20" s="429"/>
      <c r="P20" s="429"/>
      <c r="Q20" s="429"/>
      <c r="R20" s="429"/>
      <c r="S20" s="429"/>
      <c r="T20" s="429"/>
      <c r="U20" s="429"/>
      <c r="V20" s="428">
        <f t="shared" si="3"/>
        <v>97194.815789473709</v>
      </c>
    </row>
    <row r="21" spans="1:22">
      <c r="A21" s="457" t="s">
        <v>449</v>
      </c>
      <c r="B21" s="429"/>
      <c r="C21" s="429"/>
      <c r="D21" s="429"/>
      <c r="E21" s="429"/>
      <c r="F21" s="429">
        <f t="shared" si="4"/>
        <v>0</v>
      </c>
      <c r="G21" s="429">
        <f t="shared" si="5"/>
        <v>0</v>
      </c>
      <c r="H21" s="429">
        <f t="shared" si="6"/>
        <v>0</v>
      </c>
      <c r="I21" s="429">
        <f t="shared" si="7"/>
        <v>5000</v>
      </c>
      <c r="J21" s="429">
        <f t="shared" si="8"/>
        <v>3000</v>
      </c>
      <c r="K21" s="429">
        <f t="shared" si="9"/>
        <v>2000</v>
      </c>
      <c r="L21" s="429">
        <f t="shared" si="10"/>
        <v>15827.46052631579</v>
      </c>
      <c r="M21" s="429">
        <f t="shared" si="11"/>
        <v>9496.476315789474</v>
      </c>
      <c r="N21" s="429">
        <f t="shared" si="12"/>
        <v>6330.984210526316</v>
      </c>
      <c r="O21" s="429"/>
      <c r="P21" s="429"/>
      <c r="Q21" s="429"/>
      <c r="R21" s="429"/>
      <c r="S21" s="429"/>
      <c r="T21" s="429"/>
      <c r="U21" s="429"/>
      <c r="V21" s="428">
        <f t="shared" si="3"/>
        <v>41654.92105263158</v>
      </c>
    </row>
    <row r="22" spans="1:22">
      <c r="A22" s="457" t="s">
        <v>450</v>
      </c>
      <c r="B22" s="429"/>
      <c r="C22" s="429"/>
      <c r="D22" s="429"/>
      <c r="E22" s="429"/>
      <c r="F22" s="429">
        <f t="shared" si="4"/>
        <v>0</v>
      </c>
      <c r="G22" s="429">
        <f t="shared" si="5"/>
        <v>0</v>
      </c>
      <c r="H22" s="429">
        <f t="shared" si="6"/>
        <v>0</v>
      </c>
      <c r="I22" s="429">
        <f t="shared" si="7"/>
        <v>0</v>
      </c>
      <c r="J22" s="429">
        <f t="shared" si="8"/>
        <v>0</v>
      </c>
      <c r="K22" s="429">
        <f t="shared" si="9"/>
        <v>0</v>
      </c>
      <c r="L22" s="429">
        <f t="shared" si="10"/>
        <v>0</v>
      </c>
      <c r="M22" s="429">
        <f t="shared" si="11"/>
        <v>0</v>
      </c>
      <c r="N22" s="429">
        <f t="shared" si="12"/>
        <v>0</v>
      </c>
      <c r="O22" s="429"/>
      <c r="P22" s="429"/>
      <c r="Q22" s="429"/>
      <c r="R22" s="429"/>
      <c r="S22" s="429"/>
      <c r="T22" s="429"/>
      <c r="U22" s="429"/>
      <c r="V22" s="428">
        <f t="shared" si="3"/>
        <v>0</v>
      </c>
    </row>
    <row r="23" spans="1:22">
      <c r="A23" s="457" t="s">
        <v>451</v>
      </c>
      <c r="B23" s="429"/>
      <c r="C23" s="429"/>
      <c r="D23" s="429"/>
      <c r="E23" s="429"/>
      <c r="F23" s="429">
        <f t="shared" si="4"/>
        <v>0</v>
      </c>
      <c r="G23" s="429">
        <f t="shared" si="5"/>
        <v>0</v>
      </c>
      <c r="H23" s="429">
        <f t="shared" si="6"/>
        <v>0</v>
      </c>
      <c r="I23" s="429">
        <f t="shared" si="7"/>
        <v>0</v>
      </c>
      <c r="J23" s="429">
        <f t="shared" si="8"/>
        <v>0</v>
      </c>
      <c r="K23" s="429">
        <f t="shared" si="9"/>
        <v>0</v>
      </c>
      <c r="L23" s="429">
        <f t="shared" si="10"/>
        <v>0</v>
      </c>
      <c r="M23" s="429">
        <f t="shared" si="11"/>
        <v>0</v>
      </c>
      <c r="N23" s="429">
        <f t="shared" si="12"/>
        <v>0</v>
      </c>
      <c r="O23" s="429"/>
      <c r="P23" s="429"/>
      <c r="Q23" s="429"/>
      <c r="R23" s="429"/>
      <c r="S23" s="429"/>
      <c r="T23" s="429"/>
      <c r="U23" s="429"/>
      <c r="V23" s="428">
        <f t="shared" si="3"/>
        <v>0</v>
      </c>
    </row>
    <row r="24" spans="1:22">
      <c r="A24" s="422" t="s">
        <v>60</v>
      </c>
      <c r="B24" s="429"/>
      <c r="C24" s="429"/>
      <c r="D24" s="429"/>
      <c r="E24" s="429"/>
      <c r="F24" s="429">
        <f t="shared" si="4"/>
        <v>7500</v>
      </c>
      <c r="G24" s="429">
        <f t="shared" si="5"/>
        <v>4500</v>
      </c>
      <c r="H24" s="429">
        <f t="shared" si="6"/>
        <v>3000</v>
      </c>
      <c r="I24" s="429">
        <f t="shared" si="7"/>
        <v>7500</v>
      </c>
      <c r="J24" s="429">
        <f t="shared" si="8"/>
        <v>4500</v>
      </c>
      <c r="K24" s="429">
        <f t="shared" si="9"/>
        <v>3000</v>
      </c>
      <c r="L24" s="429">
        <f t="shared" si="10"/>
        <v>6483.2046616541338</v>
      </c>
      <c r="M24" s="429">
        <f t="shared" si="11"/>
        <v>3889.92279699248</v>
      </c>
      <c r="N24" s="429">
        <f t="shared" si="12"/>
        <v>2593.2818646616538</v>
      </c>
      <c r="O24" s="429"/>
      <c r="P24" s="429"/>
      <c r="Q24" s="429"/>
      <c r="R24" s="429"/>
      <c r="S24" s="429"/>
      <c r="T24" s="429"/>
      <c r="U24" s="429"/>
      <c r="V24" s="428">
        <f t="shared" si="3"/>
        <v>42966.409323308268</v>
      </c>
    </row>
    <row r="25" spans="1:22">
      <c r="A25" s="422" t="s">
        <v>59</v>
      </c>
      <c r="B25" s="429"/>
      <c r="C25" s="429"/>
      <c r="D25" s="429"/>
      <c r="E25" s="429"/>
      <c r="F25" s="429">
        <f t="shared" si="4"/>
        <v>7500</v>
      </c>
      <c r="G25" s="429">
        <f t="shared" si="5"/>
        <v>4500</v>
      </c>
      <c r="H25" s="429">
        <f t="shared" si="6"/>
        <v>3000</v>
      </c>
      <c r="I25" s="429">
        <f t="shared" si="7"/>
        <v>0</v>
      </c>
      <c r="J25" s="429">
        <f t="shared" si="8"/>
        <v>0</v>
      </c>
      <c r="K25" s="429">
        <f t="shared" si="9"/>
        <v>0</v>
      </c>
      <c r="L25" s="429">
        <f t="shared" si="10"/>
        <v>0</v>
      </c>
      <c r="M25" s="429">
        <f t="shared" si="11"/>
        <v>0</v>
      </c>
      <c r="N25" s="429">
        <f t="shared" si="12"/>
        <v>0</v>
      </c>
      <c r="O25" s="429"/>
      <c r="P25" s="429"/>
      <c r="Q25" s="429"/>
      <c r="R25" s="429"/>
      <c r="S25" s="429"/>
      <c r="T25" s="429"/>
      <c r="U25" s="429"/>
      <c r="V25" s="428">
        <f t="shared" si="3"/>
        <v>15000</v>
      </c>
    </row>
    <row r="26" spans="1:22">
      <c r="A26" s="423" t="s">
        <v>49</v>
      </c>
      <c r="B26" s="438">
        <f t="shared" ref="B26:M26" si="13">SUM(B17:B25)</f>
        <v>0</v>
      </c>
      <c r="C26" s="438">
        <f t="shared" si="13"/>
        <v>0</v>
      </c>
      <c r="D26" s="438">
        <f t="shared" si="13"/>
        <v>0</v>
      </c>
      <c r="E26" s="438">
        <f t="shared" si="13"/>
        <v>0</v>
      </c>
      <c r="F26" s="438">
        <f t="shared" si="13"/>
        <v>60000</v>
      </c>
      <c r="G26" s="438">
        <f t="shared" si="13"/>
        <v>36000</v>
      </c>
      <c r="H26" s="438">
        <f t="shared" si="13"/>
        <v>24000</v>
      </c>
      <c r="I26" s="438">
        <f t="shared" si="13"/>
        <v>56097.407894736847</v>
      </c>
      <c r="J26" s="438">
        <f t="shared" si="13"/>
        <v>33658.44473684211</v>
      </c>
      <c r="K26" s="438">
        <f t="shared" si="13"/>
        <v>22438.963157894737</v>
      </c>
      <c r="L26" s="438">
        <f t="shared" si="13"/>
        <v>51735.533609022561</v>
      </c>
      <c r="M26" s="438">
        <f t="shared" si="13"/>
        <v>31041.320165413537</v>
      </c>
      <c r="N26" s="438">
        <f t="shared" ref="N26:U26" si="14">SUM(N17:N25)</f>
        <v>20694.213443609027</v>
      </c>
      <c r="O26" s="438">
        <f t="shared" si="14"/>
        <v>0</v>
      </c>
      <c r="P26" s="438">
        <f t="shared" si="14"/>
        <v>0</v>
      </c>
      <c r="Q26" s="438">
        <f t="shared" si="14"/>
        <v>0</v>
      </c>
      <c r="R26" s="438">
        <f t="shared" si="14"/>
        <v>0</v>
      </c>
      <c r="S26" s="438">
        <f t="shared" si="14"/>
        <v>0</v>
      </c>
      <c r="T26" s="438">
        <f t="shared" si="14"/>
        <v>0</v>
      </c>
      <c r="U26" s="438">
        <f t="shared" si="14"/>
        <v>0</v>
      </c>
      <c r="V26" s="428">
        <f t="shared" si="3"/>
        <v>335665.88300751883</v>
      </c>
    </row>
    <row r="27" spans="1:22" ht="15.75">
      <c r="A27" s="425" t="s">
        <v>50</v>
      </c>
      <c r="B27" s="892"/>
      <c r="C27" s="892"/>
      <c r="D27" s="892"/>
      <c r="E27" s="892"/>
      <c r="F27" s="892"/>
      <c r="G27" s="892"/>
      <c r="H27" s="892"/>
      <c r="I27" s="892"/>
      <c r="J27" s="892"/>
      <c r="K27" s="892"/>
      <c r="L27" s="426"/>
      <c r="M27" s="426"/>
      <c r="N27" s="426"/>
      <c r="O27" s="426"/>
      <c r="P27" s="426"/>
      <c r="Q27" s="426"/>
      <c r="R27" s="426"/>
      <c r="S27" s="426"/>
      <c r="T27" s="426"/>
      <c r="U27" s="426"/>
      <c r="V27" s="427"/>
    </row>
    <row r="28" spans="1:22">
      <c r="A28" s="457" t="s">
        <v>31</v>
      </c>
      <c r="B28" s="429"/>
      <c r="C28" s="431"/>
      <c r="D28" s="431"/>
      <c r="E28" s="431"/>
      <c r="F28" s="431"/>
      <c r="G28" s="431"/>
      <c r="H28" s="431"/>
      <c r="I28" s="431"/>
      <c r="J28" s="431"/>
      <c r="K28" s="431"/>
      <c r="L28" s="431"/>
      <c r="M28" s="431"/>
      <c r="N28" s="431"/>
      <c r="O28" s="431"/>
      <c r="P28" s="431"/>
      <c r="Q28" s="431"/>
      <c r="R28" s="431"/>
      <c r="S28" s="431"/>
      <c r="T28" s="431"/>
      <c r="U28" s="431"/>
      <c r="V28" s="430">
        <f t="shared" ref="V28:V36" si="15">IF(V17=0,0,V40/V17*10000)</f>
        <v>0</v>
      </c>
    </row>
    <row r="29" spans="1:22">
      <c r="A29" s="457" t="s">
        <v>446</v>
      </c>
      <c r="B29" s="429"/>
      <c r="C29" s="431"/>
      <c r="D29" s="431"/>
      <c r="E29" s="431"/>
      <c r="F29" s="431"/>
      <c r="G29" s="431"/>
      <c r="H29" s="431"/>
      <c r="I29" s="431"/>
      <c r="J29" s="431"/>
      <c r="K29" s="431"/>
      <c r="L29" s="431"/>
      <c r="M29" s="431"/>
      <c r="N29" s="431"/>
      <c r="O29" s="431"/>
      <c r="P29" s="431"/>
      <c r="Q29" s="431"/>
      <c r="R29" s="431"/>
      <c r="S29" s="431"/>
      <c r="T29" s="431"/>
      <c r="U29" s="431"/>
      <c r="V29" s="430">
        <f t="shared" si="15"/>
        <v>0</v>
      </c>
    </row>
    <row r="30" spans="1:22">
      <c r="A30" s="457" t="s">
        <v>658</v>
      </c>
      <c r="B30" s="432"/>
      <c r="C30" s="433"/>
      <c r="D30" s="429"/>
      <c r="E30" s="433"/>
      <c r="F30" s="431">
        <v>6500</v>
      </c>
      <c r="G30" s="431">
        <v>6500</v>
      </c>
      <c r="H30" s="431">
        <v>6500</v>
      </c>
      <c r="I30" s="431">
        <v>6500</v>
      </c>
      <c r="J30" s="431">
        <v>7020</v>
      </c>
      <c r="K30" s="431">
        <v>7020</v>
      </c>
      <c r="L30" s="431">
        <v>7020</v>
      </c>
      <c r="M30" s="431">
        <v>7020</v>
      </c>
      <c r="N30" s="431">
        <v>7581.6</v>
      </c>
      <c r="O30" s="431"/>
      <c r="P30" s="431"/>
      <c r="Q30" s="431"/>
      <c r="R30" s="429"/>
      <c r="S30" s="429"/>
      <c r="T30" s="429"/>
      <c r="U30" s="429"/>
      <c r="V30" s="430">
        <f t="shared" si="15"/>
        <v>6842.9020946157234</v>
      </c>
    </row>
    <row r="31" spans="1:22">
      <c r="A31" s="457" t="s">
        <v>659</v>
      </c>
      <c r="B31" s="429"/>
      <c r="C31" s="433"/>
      <c r="D31" s="431"/>
      <c r="E31" s="433"/>
      <c r="F31" s="431">
        <v>6000</v>
      </c>
      <c r="G31" s="431">
        <v>6000</v>
      </c>
      <c r="H31" s="431">
        <v>6000</v>
      </c>
      <c r="I31" s="431">
        <v>6000</v>
      </c>
      <c r="J31" s="431">
        <v>6480</v>
      </c>
      <c r="K31" s="431">
        <v>6480</v>
      </c>
      <c r="L31" s="431">
        <v>6480</v>
      </c>
      <c r="M31" s="431">
        <v>6480</v>
      </c>
      <c r="N31" s="431">
        <v>6998.4</v>
      </c>
      <c r="O31" s="431"/>
      <c r="P31" s="431"/>
      <c r="Q31" s="431"/>
      <c r="R31" s="431"/>
      <c r="S31" s="431"/>
      <c r="T31" s="431"/>
      <c r="U31" s="431"/>
      <c r="V31" s="430">
        <f t="shared" si="15"/>
        <v>6116.5366248957935</v>
      </c>
    </row>
    <row r="32" spans="1:22">
      <c r="A32" s="457" t="s">
        <v>449</v>
      </c>
      <c r="B32" s="429"/>
      <c r="C32" s="431"/>
      <c r="D32" s="431"/>
      <c r="E32" s="431"/>
      <c r="F32" s="431">
        <v>7000</v>
      </c>
      <c r="G32" s="431">
        <v>7000</v>
      </c>
      <c r="H32" s="431">
        <v>7000</v>
      </c>
      <c r="I32" s="431">
        <v>7000</v>
      </c>
      <c r="J32" s="431">
        <v>7560</v>
      </c>
      <c r="K32" s="431">
        <v>7560</v>
      </c>
      <c r="L32" s="431">
        <v>7560</v>
      </c>
      <c r="M32" s="431">
        <v>7560</v>
      </c>
      <c r="N32" s="431">
        <v>8164.8</v>
      </c>
      <c r="O32" s="431"/>
      <c r="P32" s="431"/>
      <c r="Q32" s="431"/>
      <c r="R32" s="431"/>
      <c r="S32" s="431"/>
      <c r="T32" s="431"/>
      <c r="U32" s="431"/>
      <c r="V32" s="430">
        <f t="shared" si="15"/>
        <v>7584.7024655076457</v>
      </c>
    </row>
    <row r="33" spans="1:22">
      <c r="A33" s="457" t="s">
        <v>450</v>
      </c>
      <c r="B33" s="429"/>
      <c r="C33" s="431"/>
      <c r="D33" s="431"/>
      <c r="E33" s="429"/>
      <c r="F33" s="431"/>
      <c r="G33" s="431"/>
      <c r="H33" s="431"/>
      <c r="I33" s="431"/>
      <c r="J33" s="431">
        <v>0</v>
      </c>
      <c r="K33" s="431">
        <v>0</v>
      </c>
      <c r="L33" s="431">
        <v>0</v>
      </c>
      <c r="M33" s="431">
        <v>0</v>
      </c>
      <c r="N33" s="431">
        <v>0</v>
      </c>
      <c r="O33" s="431"/>
      <c r="P33" s="431"/>
      <c r="Q33" s="431"/>
      <c r="R33" s="431"/>
      <c r="S33" s="431"/>
      <c r="T33" s="431"/>
      <c r="U33" s="431"/>
      <c r="V33" s="430">
        <f t="shared" si="15"/>
        <v>0</v>
      </c>
    </row>
    <row r="34" spans="1:22">
      <c r="A34" s="457" t="s">
        <v>451</v>
      </c>
      <c r="B34" s="429"/>
      <c r="C34" s="429"/>
      <c r="D34" s="429"/>
      <c r="E34" s="429"/>
      <c r="F34" s="429"/>
      <c r="G34" s="429"/>
      <c r="H34" s="429"/>
      <c r="I34" s="429"/>
      <c r="J34" s="429">
        <v>0</v>
      </c>
      <c r="K34" s="429">
        <v>0</v>
      </c>
      <c r="L34" s="429">
        <v>0</v>
      </c>
      <c r="M34" s="429">
        <v>0</v>
      </c>
      <c r="N34" s="429">
        <v>0</v>
      </c>
      <c r="O34" s="429"/>
      <c r="P34" s="429"/>
      <c r="Q34" s="429"/>
      <c r="R34" s="429"/>
      <c r="S34" s="429"/>
      <c r="T34" s="429"/>
      <c r="U34" s="429"/>
      <c r="V34" s="430">
        <f t="shared" si="15"/>
        <v>0</v>
      </c>
    </row>
    <row r="35" spans="1:22">
      <c r="A35" s="422" t="s">
        <v>60</v>
      </c>
      <c r="B35" s="432"/>
      <c r="C35" s="432"/>
      <c r="D35" s="429"/>
      <c r="E35" s="429"/>
      <c r="F35" s="429">
        <v>2500</v>
      </c>
      <c r="G35" s="429">
        <v>2500</v>
      </c>
      <c r="H35" s="429">
        <v>2500</v>
      </c>
      <c r="I35" s="429">
        <v>2500</v>
      </c>
      <c r="J35" s="429">
        <v>2700</v>
      </c>
      <c r="K35" s="429">
        <v>2700</v>
      </c>
      <c r="L35" s="429">
        <v>2700</v>
      </c>
      <c r="M35" s="429">
        <v>2700</v>
      </c>
      <c r="N35" s="429">
        <v>2916</v>
      </c>
      <c r="O35" s="429"/>
      <c r="P35" s="429"/>
      <c r="Q35" s="429"/>
      <c r="R35" s="429"/>
      <c r="S35" s="429"/>
      <c r="T35" s="429"/>
      <c r="U35" s="429"/>
      <c r="V35" s="430">
        <f t="shared" si="15"/>
        <v>2608.3039244078559</v>
      </c>
    </row>
    <row r="36" spans="1:22">
      <c r="A36" s="422" t="s">
        <v>59</v>
      </c>
      <c r="B36" s="432"/>
      <c r="C36" s="432"/>
      <c r="D36" s="429"/>
      <c r="E36" s="429"/>
      <c r="F36" s="429">
        <v>12000</v>
      </c>
      <c r="G36" s="429">
        <v>12000</v>
      </c>
      <c r="H36" s="429">
        <v>12000</v>
      </c>
      <c r="I36" s="429"/>
      <c r="J36" s="429"/>
      <c r="K36" s="429"/>
      <c r="L36" s="429"/>
      <c r="M36" s="429"/>
      <c r="N36" s="429"/>
      <c r="O36" s="429"/>
      <c r="P36" s="429"/>
      <c r="Q36" s="429"/>
      <c r="R36" s="429"/>
      <c r="S36" s="429"/>
      <c r="T36" s="429"/>
      <c r="U36" s="429"/>
      <c r="V36" s="430">
        <f t="shared" si="15"/>
        <v>12000</v>
      </c>
    </row>
    <row r="37" spans="1:22" s="59" customFormat="1">
      <c r="A37" s="434" t="s">
        <v>51</v>
      </c>
      <c r="B37" s="424">
        <f>IF(B26=0,0,B49/B26*10000)</f>
        <v>0</v>
      </c>
      <c r="C37" s="424">
        <f t="shared" ref="C37:V37" si="16">IF(C26=0,0,C49/C26*10000)</f>
        <v>0</v>
      </c>
      <c r="D37" s="424">
        <f t="shared" si="16"/>
        <v>0</v>
      </c>
      <c r="E37" s="424">
        <f t="shared" si="16"/>
        <v>0</v>
      </c>
      <c r="F37" s="424">
        <f t="shared" si="16"/>
        <v>6479.166666666667</v>
      </c>
      <c r="G37" s="424">
        <f t="shared" si="16"/>
        <v>6479.166666666667</v>
      </c>
      <c r="H37" s="424">
        <f t="shared" si="16"/>
        <v>6479.166666666667</v>
      </c>
      <c r="I37" s="424">
        <f t="shared" si="16"/>
        <v>5799.4559744879862</v>
      </c>
      <c r="J37" s="424">
        <f t="shared" si="16"/>
        <v>6263.4124524470235</v>
      </c>
      <c r="K37" s="424">
        <f t="shared" si="16"/>
        <v>6263.4124524470244</v>
      </c>
      <c r="L37" s="424">
        <f t="shared" si="16"/>
        <v>6643.8443078367827</v>
      </c>
      <c r="M37" s="424">
        <f t="shared" si="16"/>
        <v>6643.8443078367827</v>
      </c>
      <c r="N37" s="424">
        <f t="shared" ref="N37:T37" si="17">IF(N26=0,0,N49/N26*10000)</f>
        <v>7175.3518524637248</v>
      </c>
      <c r="O37" s="424">
        <f t="shared" si="17"/>
        <v>0</v>
      </c>
      <c r="P37" s="424">
        <f t="shared" si="17"/>
        <v>0</v>
      </c>
      <c r="Q37" s="424">
        <f t="shared" si="17"/>
        <v>0</v>
      </c>
      <c r="R37" s="424">
        <f t="shared" si="17"/>
        <v>0</v>
      </c>
      <c r="S37" s="424">
        <f t="shared" si="17"/>
        <v>0</v>
      </c>
      <c r="T37" s="424">
        <f t="shared" si="17"/>
        <v>0</v>
      </c>
      <c r="U37" s="424">
        <f t="shared" si="16"/>
        <v>0</v>
      </c>
      <c r="V37" s="424">
        <f t="shared" si="16"/>
        <v>6413.045087504177</v>
      </c>
    </row>
    <row r="38" spans="1:22" s="59" customFormat="1">
      <c r="A38" s="434" t="s">
        <v>438</v>
      </c>
      <c r="B38" s="424">
        <f>IF(B26-B24=0,0,B49/(B26-B24)*10000)</f>
        <v>0</v>
      </c>
      <c r="C38" s="424">
        <f t="shared" ref="C38:V38" si="18">IF(C26-C24=0,0,C49/(C26-C24)*10000)</f>
        <v>0</v>
      </c>
      <c r="D38" s="424">
        <f t="shared" si="18"/>
        <v>0</v>
      </c>
      <c r="E38" s="424">
        <f t="shared" si="18"/>
        <v>0</v>
      </c>
      <c r="F38" s="424">
        <f t="shared" si="18"/>
        <v>7404.7619047619055</v>
      </c>
      <c r="G38" s="424">
        <f t="shared" si="18"/>
        <v>7404.7619047619055</v>
      </c>
      <c r="H38" s="424">
        <f t="shared" si="18"/>
        <v>7404.7619047619055</v>
      </c>
      <c r="I38" s="424">
        <f t="shared" si="18"/>
        <v>6694.4814849611594</v>
      </c>
      <c r="J38" s="424">
        <f t="shared" si="18"/>
        <v>7230.0400037580503</v>
      </c>
      <c r="K38" s="424">
        <f t="shared" si="18"/>
        <v>7230.040003758053</v>
      </c>
      <c r="L38" s="424">
        <f t="shared" si="18"/>
        <v>7595.6937129352264</v>
      </c>
      <c r="M38" s="424">
        <f t="shared" si="18"/>
        <v>7595.6937129352254</v>
      </c>
      <c r="N38" s="424">
        <f t="shared" ref="N38:T38" si="19">IF(N26-N24=0,0,N49/(N26-N24)*10000)</f>
        <v>8203.3492099700434</v>
      </c>
      <c r="O38" s="424">
        <f t="shared" si="19"/>
        <v>0</v>
      </c>
      <c r="P38" s="424">
        <f t="shared" si="19"/>
        <v>0</v>
      </c>
      <c r="Q38" s="424">
        <f t="shared" si="19"/>
        <v>0</v>
      </c>
      <c r="R38" s="424">
        <f t="shared" si="19"/>
        <v>0</v>
      </c>
      <c r="S38" s="424">
        <f t="shared" si="19"/>
        <v>0</v>
      </c>
      <c r="T38" s="424">
        <f t="shared" si="19"/>
        <v>0</v>
      </c>
      <c r="U38" s="424">
        <f t="shared" si="18"/>
        <v>0</v>
      </c>
      <c r="V38" s="424">
        <f t="shared" si="18"/>
        <v>7354.4390598617019</v>
      </c>
    </row>
    <row r="39" spans="1:22">
      <c r="A39" s="435" t="s">
        <v>52</v>
      </c>
      <c r="B39" s="888"/>
      <c r="C39" s="888"/>
      <c r="D39" s="888"/>
      <c r="E39" s="888"/>
      <c r="F39" s="888"/>
      <c r="G39" s="888"/>
      <c r="H39" s="888"/>
      <c r="I39" s="888"/>
      <c r="J39" s="888"/>
      <c r="K39" s="888"/>
      <c r="L39" s="426"/>
      <c r="M39" s="426"/>
      <c r="N39" s="426"/>
      <c r="O39" s="426"/>
      <c r="P39" s="426"/>
      <c r="Q39" s="426"/>
      <c r="R39" s="426"/>
      <c r="S39" s="426"/>
      <c r="T39" s="426"/>
      <c r="U39" s="426"/>
      <c r="V39" s="428"/>
    </row>
    <row r="40" spans="1:22">
      <c r="A40" s="457" t="s">
        <v>31</v>
      </c>
      <c r="B40" s="436">
        <f t="shared" ref="B40:U40" si="20">B17*B28/10000</f>
        <v>0</v>
      </c>
      <c r="C40" s="436">
        <f t="shared" si="20"/>
        <v>0</v>
      </c>
      <c r="D40" s="436">
        <f t="shared" si="20"/>
        <v>0</v>
      </c>
      <c r="E40" s="436">
        <f t="shared" si="20"/>
        <v>0</v>
      </c>
      <c r="F40" s="436">
        <f t="shared" si="20"/>
        <v>0</v>
      </c>
      <c r="G40" s="436">
        <f t="shared" si="20"/>
        <v>0</v>
      </c>
      <c r="H40" s="436">
        <f t="shared" si="20"/>
        <v>0</v>
      </c>
      <c r="I40" s="436">
        <f t="shared" si="20"/>
        <v>0</v>
      </c>
      <c r="J40" s="436">
        <f t="shared" si="20"/>
        <v>0</v>
      </c>
      <c r="K40" s="436">
        <f t="shared" si="20"/>
        <v>0</v>
      </c>
      <c r="L40" s="436">
        <f t="shared" si="20"/>
        <v>0</v>
      </c>
      <c r="M40" s="436">
        <f t="shared" si="20"/>
        <v>0</v>
      </c>
      <c r="N40" s="436">
        <f t="shared" ref="N40:S40" si="21">N17*N28/10000</f>
        <v>0</v>
      </c>
      <c r="O40" s="436">
        <f t="shared" si="21"/>
        <v>0</v>
      </c>
      <c r="P40" s="436">
        <f t="shared" si="21"/>
        <v>0</v>
      </c>
      <c r="Q40" s="436">
        <f t="shared" si="21"/>
        <v>0</v>
      </c>
      <c r="R40" s="436">
        <f t="shared" si="21"/>
        <v>0</v>
      </c>
      <c r="S40" s="436">
        <f t="shared" si="21"/>
        <v>0</v>
      </c>
      <c r="T40" s="436">
        <f t="shared" si="20"/>
        <v>0</v>
      </c>
      <c r="U40" s="436">
        <f t="shared" si="20"/>
        <v>0</v>
      </c>
      <c r="V40" s="428">
        <f t="shared" ref="V40:V48" si="22">SUM(B40:U40)</f>
        <v>0</v>
      </c>
    </row>
    <row r="41" spans="1:22">
      <c r="A41" s="457" t="s">
        <v>446</v>
      </c>
      <c r="B41" s="436">
        <f t="shared" ref="B41:U41" si="23">B18*B29/10000</f>
        <v>0</v>
      </c>
      <c r="C41" s="436">
        <f t="shared" si="23"/>
        <v>0</v>
      </c>
      <c r="D41" s="436">
        <f t="shared" si="23"/>
        <v>0</v>
      </c>
      <c r="E41" s="436">
        <f t="shared" si="23"/>
        <v>0</v>
      </c>
      <c r="F41" s="436">
        <f t="shared" si="23"/>
        <v>0</v>
      </c>
      <c r="G41" s="436">
        <f t="shared" si="23"/>
        <v>0</v>
      </c>
      <c r="H41" s="436">
        <f t="shared" si="23"/>
        <v>0</v>
      </c>
      <c r="I41" s="436">
        <f t="shared" si="23"/>
        <v>0</v>
      </c>
      <c r="J41" s="436">
        <f t="shared" si="23"/>
        <v>0</v>
      </c>
      <c r="K41" s="436">
        <f t="shared" si="23"/>
        <v>0</v>
      </c>
      <c r="L41" s="436">
        <f t="shared" si="23"/>
        <v>0</v>
      </c>
      <c r="M41" s="436">
        <f t="shared" si="23"/>
        <v>0</v>
      </c>
      <c r="N41" s="436">
        <f t="shared" ref="N41:S41" si="24">N18*N29/10000</f>
        <v>0</v>
      </c>
      <c r="O41" s="436">
        <f t="shared" si="24"/>
        <v>0</v>
      </c>
      <c r="P41" s="436">
        <f t="shared" si="24"/>
        <v>0</v>
      </c>
      <c r="Q41" s="436">
        <f t="shared" si="24"/>
        <v>0</v>
      </c>
      <c r="R41" s="436">
        <f t="shared" si="24"/>
        <v>0</v>
      </c>
      <c r="S41" s="436">
        <f t="shared" si="24"/>
        <v>0</v>
      </c>
      <c r="T41" s="436">
        <f t="shared" si="23"/>
        <v>0</v>
      </c>
      <c r="U41" s="436">
        <f t="shared" si="23"/>
        <v>0</v>
      </c>
      <c r="V41" s="428">
        <f t="shared" si="22"/>
        <v>0</v>
      </c>
    </row>
    <row r="42" spans="1:22">
      <c r="A42" s="457" t="s">
        <v>658</v>
      </c>
      <c r="B42" s="436">
        <f t="shared" ref="B42:U42" si="25">B19*B30/10000</f>
        <v>0</v>
      </c>
      <c r="C42" s="436">
        <f t="shared" si="25"/>
        <v>0</v>
      </c>
      <c r="D42" s="436">
        <f t="shared" si="25"/>
        <v>0</v>
      </c>
      <c r="E42" s="436">
        <f t="shared" si="25"/>
        <v>0</v>
      </c>
      <c r="F42" s="436">
        <f t="shared" si="25"/>
        <v>13000</v>
      </c>
      <c r="G42" s="436">
        <f t="shared" si="25"/>
        <v>7800</v>
      </c>
      <c r="H42" s="436">
        <f t="shared" si="25"/>
        <v>5200</v>
      </c>
      <c r="I42" s="436">
        <f t="shared" si="25"/>
        <v>13000</v>
      </c>
      <c r="J42" s="436">
        <f t="shared" si="25"/>
        <v>8424</v>
      </c>
      <c r="K42" s="436">
        <f t="shared" si="25"/>
        <v>5616</v>
      </c>
      <c r="L42" s="436">
        <f t="shared" si="25"/>
        <v>20656.257631578956</v>
      </c>
      <c r="M42" s="436">
        <f t="shared" si="25"/>
        <v>12393.754578947372</v>
      </c>
      <c r="N42" s="436">
        <f t="shared" ref="N42:S42" si="26">N19*N30/10000</f>
        <v>8923.5032968421092</v>
      </c>
      <c r="O42" s="436">
        <f t="shared" si="26"/>
        <v>0</v>
      </c>
      <c r="P42" s="436">
        <f t="shared" si="26"/>
        <v>0</v>
      </c>
      <c r="Q42" s="436">
        <f t="shared" si="26"/>
        <v>0</v>
      </c>
      <c r="R42" s="436">
        <f t="shared" si="26"/>
        <v>0</v>
      </c>
      <c r="S42" s="436">
        <f t="shared" si="26"/>
        <v>0</v>
      </c>
      <c r="T42" s="436">
        <f t="shared" si="25"/>
        <v>0</v>
      </c>
      <c r="U42" s="436">
        <f t="shared" si="25"/>
        <v>0</v>
      </c>
      <c r="V42" s="428">
        <f t="shared" si="22"/>
        <v>95013.515507368429</v>
      </c>
    </row>
    <row r="43" spans="1:22">
      <c r="A43" s="457" t="s">
        <v>659</v>
      </c>
      <c r="B43" s="436">
        <f t="shared" ref="B43:U43" si="27">B20*B31/10000</f>
        <v>0</v>
      </c>
      <c r="C43" s="436">
        <f t="shared" si="27"/>
        <v>0</v>
      </c>
      <c r="D43" s="436">
        <f t="shared" si="27"/>
        <v>0</v>
      </c>
      <c r="E43" s="436">
        <f t="shared" si="27"/>
        <v>0</v>
      </c>
      <c r="F43" s="436">
        <f t="shared" si="27"/>
        <v>15000</v>
      </c>
      <c r="G43" s="436">
        <f t="shared" si="27"/>
        <v>9000</v>
      </c>
      <c r="H43" s="436">
        <f t="shared" si="27"/>
        <v>6000</v>
      </c>
      <c r="I43" s="436">
        <f t="shared" si="27"/>
        <v>14158.444736842108</v>
      </c>
      <c r="J43" s="436">
        <f t="shared" si="27"/>
        <v>9174.6721894736856</v>
      </c>
      <c r="K43" s="436">
        <f t="shared" si="27"/>
        <v>6116.4481263157913</v>
      </c>
      <c r="L43" s="436">
        <f t="shared" si="27"/>
        <v>0</v>
      </c>
      <c r="M43" s="436">
        <f t="shared" si="27"/>
        <v>0</v>
      </c>
      <c r="N43" s="436">
        <f t="shared" ref="N43:S43" si="28">N20*N31/10000</f>
        <v>0</v>
      </c>
      <c r="O43" s="436">
        <f t="shared" si="28"/>
        <v>0</v>
      </c>
      <c r="P43" s="436">
        <f t="shared" si="28"/>
        <v>0</v>
      </c>
      <c r="Q43" s="436">
        <f t="shared" si="28"/>
        <v>0</v>
      </c>
      <c r="R43" s="436">
        <f t="shared" si="28"/>
        <v>0</v>
      </c>
      <c r="S43" s="436">
        <f t="shared" si="28"/>
        <v>0</v>
      </c>
      <c r="T43" s="436">
        <f t="shared" si="27"/>
        <v>0</v>
      </c>
      <c r="U43" s="436">
        <f t="shared" si="27"/>
        <v>0</v>
      </c>
      <c r="V43" s="428">
        <f t="shared" si="22"/>
        <v>59449.565052631588</v>
      </c>
    </row>
    <row r="44" spans="1:22">
      <c r="A44" s="457" t="s">
        <v>449</v>
      </c>
      <c r="B44" s="436">
        <f t="shared" ref="B44:U44" si="29">B21*B32/10000</f>
        <v>0</v>
      </c>
      <c r="C44" s="436">
        <f t="shared" si="29"/>
        <v>0</v>
      </c>
      <c r="D44" s="436">
        <f t="shared" si="29"/>
        <v>0</v>
      </c>
      <c r="E44" s="436">
        <f t="shared" si="29"/>
        <v>0</v>
      </c>
      <c r="F44" s="436">
        <f t="shared" si="29"/>
        <v>0</v>
      </c>
      <c r="G44" s="436">
        <f t="shared" si="29"/>
        <v>0</v>
      </c>
      <c r="H44" s="436">
        <f t="shared" si="29"/>
        <v>0</v>
      </c>
      <c r="I44" s="436">
        <f t="shared" si="29"/>
        <v>3500</v>
      </c>
      <c r="J44" s="436">
        <f t="shared" si="29"/>
        <v>2268</v>
      </c>
      <c r="K44" s="436">
        <f t="shared" si="29"/>
        <v>1512</v>
      </c>
      <c r="L44" s="436">
        <f t="shared" si="29"/>
        <v>11965.560157894737</v>
      </c>
      <c r="M44" s="436">
        <f t="shared" si="29"/>
        <v>7179.3360947368428</v>
      </c>
      <c r="N44" s="436">
        <f t="shared" ref="N44:S44" si="30">N21*N32/10000</f>
        <v>5169.121988210527</v>
      </c>
      <c r="O44" s="436">
        <f t="shared" si="30"/>
        <v>0</v>
      </c>
      <c r="P44" s="436">
        <f t="shared" si="30"/>
        <v>0</v>
      </c>
      <c r="Q44" s="436">
        <f t="shared" si="30"/>
        <v>0</v>
      </c>
      <c r="R44" s="436">
        <f t="shared" si="30"/>
        <v>0</v>
      </c>
      <c r="S44" s="436">
        <f t="shared" si="30"/>
        <v>0</v>
      </c>
      <c r="T44" s="436">
        <f t="shared" si="29"/>
        <v>0</v>
      </c>
      <c r="U44" s="436">
        <f t="shared" si="29"/>
        <v>0</v>
      </c>
      <c r="V44" s="428">
        <f t="shared" si="22"/>
        <v>31594.01824084211</v>
      </c>
    </row>
    <row r="45" spans="1:22">
      <c r="A45" s="457" t="s">
        <v>450</v>
      </c>
      <c r="B45" s="436">
        <f t="shared" ref="B45:U45" si="31">B22*B33/10000</f>
        <v>0</v>
      </c>
      <c r="C45" s="436">
        <f t="shared" si="31"/>
        <v>0</v>
      </c>
      <c r="D45" s="436">
        <f t="shared" si="31"/>
        <v>0</v>
      </c>
      <c r="E45" s="436">
        <f t="shared" si="31"/>
        <v>0</v>
      </c>
      <c r="F45" s="436">
        <f t="shared" si="31"/>
        <v>0</v>
      </c>
      <c r="G45" s="436">
        <f t="shared" si="31"/>
        <v>0</v>
      </c>
      <c r="H45" s="436">
        <f t="shared" si="31"/>
        <v>0</v>
      </c>
      <c r="I45" s="436">
        <f t="shared" si="31"/>
        <v>0</v>
      </c>
      <c r="J45" s="436">
        <f t="shared" si="31"/>
        <v>0</v>
      </c>
      <c r="K45" s="436">
        <f t="shared" si="31"/>
        <v>0</v>
      </c>
      <c r="L45" s="436">
        <f t="shared" si="31"/>
        <v>0</v>
      </c>
      <c r="M45" s="436">
        <f t="shared" si="31"/>
        <v>0</v>
      </c>
      <c r="N45" s="436">
        <f t="shared" ref="N45:S45" si="32">N22*N33/10000</f>
        <v>0</v>
      </c>
      <c r="O45" s="436">
        <f t="shared" si="32"/>
        <v>0</v>
      </c>
      <c r="P45" s="436">
        <f t="shared" si="32"/>
        <v>0</v>
      </c>
      <c r="Q45" s="436">
        <f t="shared" si="32"/>
        <v>0</v>
      </c>
      <c r="R45" s="436">
        <f t="shared" si="32"/>
        <v>0</v>
      </c>
      <c r="S45" s="436">
        <f t="shared" si="32"/>
        <v>0</v>
      </c>
      <c r="T45" s="436">
        <f t="shared" si="31"/>
        <v>0</v>
      </c>
      <c r="U45" s="436">
        <f t="shared" si="31"/>
        <v>0</v>
      </c>
      <c r="V45" s="428">
        <f t="shared" si="22"/>
        <v>0</v>
      </c>
    </row>
    <row r="46" spans="1:22">
      <c r="A46" s="457" t="s">
        <v>451</v>
      </c>
      <c r="B46" s="436">
        <f t="shared" ref="B46:U46" si="33">B23*B34/10000</f>
        <v>0</v>
      </c>
      <c r="C46" s="436">
        <f t="shared" si="33"/>
        <v>0</v>
      </c>
      <c r="D46" s="436">
        <f t="shared" si="33"/>
        <v>0</v>
      </c>
      <c r="E46" s="436">
        <f t="shared" si="33"/>
        <v>0</v>
      </c>
      <c r="F46" s="436">
        <f t="shared" si="33"/>
        <v>0</v>
      </c>
      <c r="G46" s="436">
        <f t="shared" si="33"/>
        <v>0</v>
      </c>
      <c r="H46" s="436">
        <f t="shared" si="33"/>
        <v>0</v>
      </c>
      <c r="I46" s="436">
        <f t="shared" si="33"/>
        <v>0</v>
      </c>
      <c r="J46" s="436">
        <f t="shared" si="33"/>
        <v>0</v>
      </c>
      <c r="K46" s="436">
        <f t="shared" si="33"/>
        <v>0</v>
      </c>
      <c r="L46" s="436">
        <f t="shared" si="33"/>
        <v>0</v>
      </c>
      <c r="M46" s="436">
        <f t="shared" si="33"/>
        <v>0</v>
      </c>
      <c r="N46" s="436">
        <f t="shared" ref="N46:S46" si="34">N23*N34/10000</f>
        <v>0</v>
      </c>
      <c r="O46" s="436">
        <f t="shared" si="34"/>
        <v>0</v>
      </c>
      <c r="P46" s="436">
        <f t="shared" si="34"/>
        <v>0</v>
      </c>
      <c r="Q46" s="436">
        <f t="shared" si="34"/>
        <v>0</v>
      </c>
      <c r="R46" s="436">
        <f t="shared" si="34"/>
        <v>0</v>
      </c>
      <c r="S46" s="436">
        <f t="shared" si="34"/>
        <v>0</v>
      </c>
      <c r="T46" s="436">
        <f t="shared" si="33"/>
        <v>0</v>
      </c>
      <c r="U46" s="436">
        <f t="shared" si="33"/>
        <v>0</v>
      </c>
      <c r="V46" s="428">
        <f t="shared" si="22"/>
        <v>0</v>
      </c>
    </row>
    <row r="47" spans="1:22">
      <c r="A47" s="422" t="s">
        <v>60</v>
      </c>
      <c r="B47" s="436">
        <f t="shared" ref="B47:U47" si="35">B24*B35/10000</f>
        <v>0</v>
      </c>
      <c r="C47" s="436">
        <f t="shared" si="35"/>
        <v>0</v>
      </c>
      <c r="D47" s="436">
        <f t="shared" si="35"/>
        <v>0</v>
      </c>
      <c r="E47" s="436">
        <f t="shared" si="35"/>
        <v>0</v>
      </c>
      <c r="F47" s="436">
        <f t="shared" si="35"/>
        <v>1875</v>
      </c>
      <c r="G47" s="436">
        <f t="shared" si="35"/>
        <v>1125</v>
      </c>
      <c r="H47" s="436">
        <f t="shared" si="35"/>
        <v>750</v>
      </c>
      <c r="I47" s="436">
        <f t="shared" si="35"/>
        <v>1875</v>
      </c>
      <c r="J47" s="436">
        <f t="shared" si="35"/>
        <v>1215</v>
      </c>
      <c r="K47" s="436">
        <f t="shared" si="35"/>
        <v>810</v>
      </c>
      <c r="L47" s="436">
        <f t="shared" si="35"/>
        <v>1750.4652586466159</v>
      </c>
      <c r="M47" s="436">
        <f t="shared" si="35"/>
        <v>1050.2791551879698</v>
      </c>
      <c r="N47" s="436">
        <f t="shared" ref="N47:S47" si="36">N24*N35/10000</f>
        <v>756.20099173533822</v>
      </c>
      <c r="O47" s="436">
        <f t="shared" si="36"/>
        <v>0</v>
      </c>
      <c r="P47" s="436">
        <f t="shared" si="36"/>
        <v>0</v>
      </c>
      <c r="Q47" s="436">
        <f t="shared" si="36"/>
        <v>0</v>
      </c>
      <c r="R47" s="436">
        <f t="shared" si="36"/>
        <v>0</v>
      </c>
      <c r="S47" s="436">
        <f t="shared" si="36"/>
        <v>0</v>
      </c>
      <c r="T47" s="436">
        <f t="shared" si="35"/>
        <v>0</v>
      </c>
      <c r="U47" s="436">
        <f t="shared" si="35"/>
        <v>0</v>
      </c>
      <c r="V47" s="428">
        <f t="shared" si="22"/>
        <v>11206.945405569924</v>
      </c>
    </row>
    <row r="48" spans="1:22">
      <c r="A48" s="422" t="s">
        <v>59</v>
      </c>
      <c r="B48" s="436">
        <f t="shared" ref="B48:U48" si="37">B25*B36/10000</f>
        <v>0</v>
      </c>
      <c r="C48" s="436">
        <f t="shared" si="37"/>
        <v>0</v>
      </c>
      <c r="D48" s="436">
        <f t="shared" si="37"/>
        <v>0</v>
      </c>
      <c r="E48" s="436">
        <f t="shared" si="37"/>
        <v>0</v>
      </c>
      <c r="F48" s="436">
        <f t="shared" si="37"/>
        <v>9000</v>
      </c>
      <c r="G48" s="436">
        <f t="shared" si="37"/>
        <v>5400</v>
      </c>
      <c r="H48" s="436">
        <f t="shared" si="37"/>
        <v>3600</v>
      </c>
      <c r="I48" s="436">
        <f t="shared" si="37"/>
        <v>0</v>
      </c>
      <c r="J48" s="436">
        <f t="shared" si="37"/>
        <v>0</v>
      </c>
      <c r="K48" s="436">
        <f t="shared" si="37"/>
        <v>0</v>
      </c>
      <c r="L48" s="436">
        <f t="shared" si="37"/>
        <v>0</v>
      </c>
      <c r="M48" s="436">
        <f t="shared" si="37"/>
        <v>0</v>
      </c>
      <c r="N48" s="436">
        <f t="shared" ref="N48:S48" si="38">N25*N36/10000</f>
        <v>0</v>
      </c>
      <c r="O48" s="436">
        <f t="shared" si="38"/>
        <v>0</v>
      </c>
      <c r="P48" s="436">
        <f t="shared" si="38"/>
        <v>0</v>
      </c>
      <c r="Q48" s="436">
        <f t="shared" si="38"/>
        <v>0</v>
      </c>
      <c r="R48" s="436">
        <f t="shared" si="38"/>
        <v>0</v>
      </c>
      <c r="S48" s="436">
        <f t="shared" si="38"/>
        <v>0</v>
      </c>
      <c r="T48" s="436">
        <f t="shared" si="37"/>
        <v>0</v>
      </c>
      <c r="U48" s="436">
        <f t="shared" si="37"/>
        <v>0</v>
      </c>
      <c r="V48" s="428">
        <f t="shared" si="22"/>
        <v>18000</v>
      </c>
    </row>
    <row r="49" spans="1:22" s="416" customFormat="1">
      <c r="A49" s="437" t="s">
        <v>49</v>
      </c>
      <c r="B49" s="438">
        <f t="shared" ref="B49:V49" si="39">SUM(B40:B48)</f>
        <v>0</v>
      </c>
      <c r="C49" s="438">
        <f t="shared" si="39"/>
        <v>0</v>
      </c>
      <c r="D49" s="438">
        <f t="shared" si="39"/>
        <v>0</v>
      </c>
      <c r="E49" s="438">
        <f t="shared" si="39"/>
        <v>0</v>
      </c>
      <c r="F49" s="438">
        <f t="shared" si="39"/>
        <v>38875</v>
      </c>
      <c r="G49" s="438">
        <f t="shared" si="39"/>
        <v>23325</v>
      </c>
      <c r="H49" s="438">
        <f t="shared" si="39"/>
        <v>15550</v>
      </c>
      <c r="I49" s="438">
        <f t="shared" si="39"/>
        <v>32533.44473684211</v>
      </c>
      <c r="J49" s="438">
        <f t="shared" si="39"/>
        <v>21081.672189473684</v>
      </c>
      <c r="K49" s="438">
        <f t="shared" si="39"/>
        <v>14054.44812631579</v>
      </c>
      <c r="L49" s="438">
        <f t="shared" si="39"/>
        <v>34372.283048120313</v>
      </c>
      <c r="M49" s="438">
        <f t="shared" si="39"/>
        <v>20623.369828872186</v>
      </c>
      <c r="N49" s="438">
        <f t="shared" ref="N49:S49" si="40">SUM(N40:N48)</f>
        <v>14848.826276787975</v>
      </c>
      <c r="O49" s="438">
        <f t="shared" si="40"/>
        <v>0</v>
      </c>
      <c r="P49" s="438">
        <f t="shared" si="40"/>
        <v>0</v>
      </c>
      <c r="Q49" s="438">
        <f t="shared" si="40"/>
        <v>0</v>
      </c>
      <c r="R49" s="438">
        <f t="shared" si="40"/>
        <v>0</v>
      </c>
      <c r="S49" s="438">
        <f t="shared" si="40"/>
        <v>0</v>
      </c>
      <c r="T49" s="438">
        <f t="shared" si="39"/>
        <v>0</v>
      </c>
      <c r="U49" s="438">
        <f t="shared" si="39"/>
        <v>0</v>
      </c>
      <c r="V49" s="438">
        <f t="shared" si="39"/>
        <v>215264.04420641204</v>
      </c>
    </row>
    <row r="50" spans="1:22" ht="15.75" customHeight="1">
      <c r="A50" s="419" t="s">
        <v>408</v>
      </c>
      <c r="B50" s="887"/>
      <c r="C50" s="887"/>
      <c r="D50" s="887"/>
      <c r="E50" s="887"/>
      <c r="F50" s="887"/>
      <c r="G50" s="887"/>
      <c r="H50" s="887"/>
      <c r="I50" s="887"/>
      <c r="J50" s="887"/>
      <c r="K50" s="887"/>
      <c r="L50" s="420"/>
      <c r="M50" s="420"/>
      <c r="N50" s="420"/>
      <c r="O50" s="420"/>
      <c r="P50" s="420"/>
      <c r="Q50" s="420"/>
      <c r="R50" s="420"/>
      <c r="S50" s="420"/>
      <c r="T50" s="420"/>
      <c r="U50" s="420"/>
      <c r="V50" s="118"/>
    </row>
    <row r="51" spans="1:22" ht="12.75" customHeight="1">
      <c r="A51" s="457" t="s">
        <v>31</v>
      </c>
      <c r="B51" s="733">
        <f>B5*1/4*成本汇总!N24/10000</f>
        <v>0</v>
      </c>
      <c r="C51" s="733">
        <f>(B5*2/4+C5*1/4)*成本汇总!$N24/10000</f>
        <v>0</v>
      </c>
      <c r="D51" s="733">
        <f>(B5*1/4+C5*2/4+D5*1/4)*成本汇总!$N24/10000</f>
        <v>0</v>
      </c>
      <c r="E51" s="733">
        <f>(C5*1/4+D5*2/4+E5*1/4)*成本汇总!$N24/10000</f>
        <v>0</v>
      </c>
      <c r="F51" s="733">
        <f>(D5*1/4+E5*2/4+F5*1/4)*成本汇总!$N24/10000</f>
        <v>0</v>
      </c>
      <c r="G51" s="733">
        <f>(E5*1/4+F5*2/4+G5*1/4)*成本汇总!$N24/10000</f>
        <v>0</v>
      </c>
      <c r="H51" s="733">
        <f>(F5*1/4+G5*2/4+H5*1/4)*成本汇总!$N24/10000</f>
        <v>0</v>
      </c>
      <c r="I51" s="733">
        <f>(G5*1/4+H5*2/4+I5*1/4)*成本汇总!$N24/10000</f>
        <v>0</v>
      </c>
      <c r="J51" s="733">
        <f>(H5*1/4+I5*2/4+J5*1/4)*成本汇总!$N24/10000</f>
        <v>0</v>
      </c>
      <c r="K51" s="733">
        <f>(I5*1/4+J5*2/4+K5*1/4)*成本汇总!$N24/10000</f>
        <v>0</v>
      </c>
      <c r="L51" s="733">
        <f>(J5*1/4+K5*2/4+L5*1/4)*成本汇总!$N24/10000</f>
        <v>0</v>
      </c>
      <c r="M51" s="733">
        <f>(K5*1/4+L5*2/4+M5*1/4)*成本汇总!$N24/10000</f>
        <v>0</v>
      </c>
      <c r="N51" s="733">
        <f>(L5*1/4+M5*2/4+N5*1/4)*成本汇总!$N24/10000</f>
        <v>0</v>
      </c>
      <c r="O51" s="733">
        <f>(M5*1/4+N5*2/4+O5*1/4)*成本汇总!$N24/10000</f>
        <v>0</v>
      </c>
      <c r="P51" s="733">
        <f>(N5*1/4+O5*2/4+P5*1/4)*成本汇总!$N24/10000</f>
        <v>0</v>
      </c>
      <c r="Q51" s="733">
        <f>(O5*1/4+P5*2/4+Q5*1/4)*成本汇总!$N24/10000</f>
        <v>0</v>
      </c>
      <c r="R51" s="733">
        <f>(P5*1/4+Q5*2/4+R5*1/4)*成本汇总!$N24/10000</f>
        <v>0</v>
      </c>
      <c r="S51" s="733">
        <f>(Q5*1/4+R5*2/4+S5*1/4)*成本汇总!$N24/10000</f>
        <v>0</v>
      </c>
      <c r="T51" s="733">
        <f>(R5*1/4+S5*2/4+T5*1/4)*成本汇总!$N24/10000</f>
        <v>0</v>
      </c>
      <c r="U51" s="733">
        <f>(S5*1/4+T5*3/4+U5)*成本汇总!$N24/10000</f>
        <v>0</v>
      </c>
      <c r="V51" s="118">
        <f t="shared" ref="V51:V59" si="41">SUM(B51:U51)</f>
        <v>0</v>
      </c>
    </row>
    <row r="52" spans="1:22" ht="12.75" customHeight="1">
      <c r="A52" s="457" t="s">
        <v>446</v>
      </c>
      <c r="B52" s="733">
        <f>B6*1/5*成本汇总!O24/10000</f>
        <v>0</v>
      </c>
      <c r="C52" s="733">
        <f>(B6*2/5+C6*1/5)*成本汇总!$O24/10000</f>
        <v>0</v>
      </c>
      <c r="D52" s="733">
        <f>(B6*2/5+C6*2/5+D6*1/5)*成本汇总!$O24/10000</f>
        <v>0</v>
      </c>
      <c r="E52" s="733">
        <f>(C6*2/5+D6*2/5+E6*1/5)*成本汇总!$O24/10000</f>
        <v>0</v>
      </c>
      <c r="F52" s="733">
        <f>(D6*2/5+E6*2/5+F6*1/5)*成本汇总!$O24/10000</f>
        <v>0</v>
      </c>
      <c r="G52" s="733">
        <f>(E6*2/5+F6*2/5+G6*1/5)*成本汇总!$O24/10000</f>
        <v>0</v>
      </c>
      <c r="H52" s="733">
        <f>(F6*2/5+G6*2/5+H6*1/5)*成本汇总!$O24/10000</f>
        <v>0</v>
      </c>
      <c r="I52" s="733">
        <f>(G6*2/5+H6*2/5+I6*1/5)*成本汇总!$O24/10000</f>
        <v>0</v>
      </c>
      <c r="J52" s="733">
        <f>(H6*2/5+I6*2/5+J6*1/5)*成本汇总!$O24/10000</f>
        <v>0</v>
      </c>
      <c r="K52" s="733">
        <f>(I6*2/5+J6*2/5+K6*1/5)*成本汇总!$O24/10000</f>
        <v>0</v>
      </c>
      <c r="L52" s="733">
        <f>(J6*2/5+K6*2/5+L6*1/5)*成本汇总!$O24/10000</f>
        <v>0</v>
      </c>
      <c r="M52" s="733">
        <f>(K6*2/5+L6*2/5+M6*1/5)*成本汇总!$O24/10000</f>
        <v>0</v>
      </c>
      <c r="N52" s="733">
        <f>(L6*2/5+M6*2/5+N6*1/5)*成本汇总!$O24/10000</f>
        <v>0</v>
      </c>
      <c r="O52" s="733">
        <f>(M6*2/5+N6*2/5+O6*1/5)*成本汇总!$O24/10000</f>
        <v>0</v>
      </c>
      <c r="P52" s="733">
        <f>(N6*2/5+O6*2/5+P6*1/5)*成本汇总!$O24/10000</f>
        <v>0</v>
      </c>
      <c r="Q52" s="733">
        <f>(O6*2/5+P6*2/5+Q6*1/5)*成本汇总!$O24/10000</f>
        <v>0</v>
      </c>
      <c r="R52" s="733">
        <f>(P6*2/5+Q6*2/5+R6*1/5)*成本汇总!$O24/10000</f>
        <v>0</v>
      </c>
      <c r="S52" s="733">
        <f>(Q6*2/5+R6*2/5+S6*1/5)*成本汇总!$O24/10000</f>
        <v>0</v>
      </c>
      <c r="T52" s="733">
        <f>(R6*2/5+S6*2/5+T6*1/5)*成本汇总!$O24/10000</f>
        <v>0</v>
      </c>
      <c r="U52" s="733">
        <f>(S6*2/5+T6*4/5+U6)*成本汇总!$O24/10000</f>
        <v>0</v>
      </c>
      <c r="V52" s="118">
        <f t="shared" si="41"/>
        <v>0</v>
      </c>
    </row>
    <row r="53" spans="1:22" ht="12.75" customHeight="1">
      <c r="A53" s="457" t="s">
        <v>658</v>
      </c>
      <c r="B53" s="733">
        <f>B7*1/7*成本汇总!P24/10000</f>
        <v>0</v>
      </c>
      <c r="C53" s="733">
        <f>(B7*2/7+C7*1/7)*成本汇总!P24/10000</f>
        <v>1224.6865363677732</v>
      </c>
      <c r="D53" s="733">
        <f>(B7*2/7+C7*2/7+D7*1/7)*成本汇总!$P24/10000</f>
        <v>2449.3730727355464</v>
      </c>
      <c r="E53" s="733">
        <f>(B7*2/7+C7*2/7+D7*2/7+E7*1/7)*成本汇总!$P24/10000</f>
        <v>2449.3730727355464</v>
      </c>
      <c r="F53" s="733">
        <f>(C7*2/7+D7*2/7+E7*2/7+F7*1/7)*成本汇总!$P24/10000</f>
        <v>3674.0596091033199</v>
      </c>
      <c r="G53" s="733">
        <f>(D7*2/7+E7*2/7+F7*2/7+G7*1/7)*成本汇总!$P24/10000</f>
        <v>2449.3730727355464</v>
      </c>
      <c r="H53" s="733">
        <f>(E7*2/7+F7*2/7+G7*2/7+H7*1/7)*成本汇总!$P24/10000</f>
        <v>2449.3730727355464</v>
      </c>
      <c r="I53" s="733">
        <f>(F7*2/7+G7*2/7+H7*2/7+I7*1/7)*成本汇总!$P24/10000</f>
        <v>4251.1850822183687</v>
      </c>
      <c r="J53" s="733">
        <f>(G7*2/7+H7*2/7+I7*2/7+J7*1/7)*成本汇总!$P24/10000</f>
        <v>3603.6240189656423</v>
      </c>
      <c r="K53" s="733">
        <f>(H7*2/7+I7*2/7+J7*2/7+K7*1/7)*成本汇总!$P24/10000</f>
        <v>3603.6240189656423</v>
      </c>
      <c r="L53" s="733">
        <f>(I7*2/7+J7*2/7+K7*2/7+L7*1/7)*成本汇总!$P24/10000</f>
        <v>3603.6240189656423</v>
      </c>
      <c r="M53" s="733">
        <f>(J7*2/7+K7*2/7+L7*2/7+M7*1/7)*成本汇总!$P24/10000</f>
        <v>0</v>
      </c>
      <c r="N53" s="733">
        <f>(K7*2/7+L7*2/7+M7*2/7+N7*1/7)*成本汇总!$P24/10000</f>
        <v>0</v>
      </c>
      <c r="O53" s="733">
        <f>(L7*2/7+M7*2/7+N7*2/7+O7*1/7)*成本汇总!$P24/10000</f>
        <v>0</v>
      </c>
      <c r="P53" s="733">
        <f>(M7*2/7+N7*2/7+O7*2/7+P7*1/7)*成本汇总!$P24/10000</f>
        <v>0</v>
      </c>
      <c r="Q53" s="733">
        <f>(N7*2/7+O7*2/7+P7*2/7+Q7*1/7)*成本汇总!$P24/10000</f>
        <v>0</v>
      </c>
      <c r="R53" s="733">
        <f>(O7*2/7+P7*2/7+Q7*2/7+R7*1/7)*成本汇总!$P24/10000</f>
        <v>0</v>
      </c>
      <c r="S53" s="733">
        <f>(P7*2/7+Q7*2/7+R7*2/7+S7*1/7)*成本汇总!$P24/10000</f>
        <v>0</v>
      </c>
      <c r="T53" s="733">
        <f>(Q7*2/7+R7*2/7+S7*2/7+T7*1/7)*成本汇总!$P24/10000</f>
        <v>0</v>
      </c>
      <c r="U53" s="733">
        <f>(R7*2/7+S7*4/7+T7*6/7+U7)*成本汇总!$P24/10000</f>
        <v>0</v>
      </c>
      <c r="V53" s="118">
        <f t="shared" si="41"/>
        <v>29758.295575528573</v>
      </c>
    </row>
    <row r="54" spans="1:22" ht="12.75" customHeight="1">
      <c r="A54" s="457" t="s">
        <v>659</v>
      </c>
      <c r="B54" s="733">
        <f>B8*1/7*成本汇总!Q24/10000</f>
        <v>0</v>
      </c>
      <c r="C54" s="733">
        <f>(B8*2/7+C8*1/7)*成本汇总!Q24/10000</f>
        <v>1688.0010276025739</v>
      </c>
      <c r="D54" s="733">
        <f>(B8*2/7+C8*2/7+D8*1/7)*成本汇总!$Q24/10000</f>
        <v>3376.0020552051478</v>
      </c>
      <c r="E54" s="733">
        <f>(B8*2/7+C8*2/7+D8*2/7+E8*1/7)*成本汇总!$Q24/10000</f>
        <v>3376.0020552051478</v>
      </c>
      <c r="F54" s="733">
        <f>(C8*2/7+D8*2/7+E8*2/7+F8*1/7)*成本汇总!$Q24/10000</f>
        <v>4969.3000062080628</v>
      </c>
      <c r="G54" s="733">
        <f>(D8*2/7+E8*2/7+F8*2/7+G8*1/7)*成本汇总!$Q24/10000</f>
        <v>3186.5959020058303</v>
      </c>
      <c r="H54" s="733">
        <f>(E8*2/7+F8*2/7+G8*2/7+H8*1/7)*成本汇总!$Q24/10000</f>
        <v>3186.5959020058303</v>
      </c>
      <c r="I54" s="733">
        <f>(F8*2/7+G8*2/7+H8*2/7+I8*1/7)*成本汇总!$Q24/10000</f>
        <v>3186.5959020058303</v>
      </c>
      <c r="J54" s="733">
        <f>(G8*2/7+H8*2/7+I8*2/7+J8*1/7)*成本汇总!$Q24/10000</f>
        <v>0</v>
      </c>
      <c r="K54" s="733">
        <f>(H8*2/7+I8*2/7+J8*2/7+K8*1/7)*成本汇总!$Q24/10000</f>
        <v>0</v>
      </c>
      <c r="L54" s="733">
        <f>(I8*2/7+J8*2/7+K8*2/7+L8*1/7)*成本汇总!$Q24/10000</f>
        <v>0</v>
      </c>
      <c r="M54" s="733">
        <f>(J8*2/7+K8*2/7+L8*2/7+M8*1/7)*成本汇总!$Q24/10000</f>
        <v>0</v>
      </c>
      <c r="N54" s="733">
        <f>(K8*2/7+L8*2/7+M8*2/7+N8*1/7)*成本汇总!$Q24/10000</f>
        <v>0</v>
      </c>
      <c r="O54" s="733">
        <f>(L8*2/7+M8*2/7+N8*2/7+O8*1/7)*成本汇总!$Q24/10000</f>
        <v>0</v>
      </c>
      <c r="P54" s="733">
        <f>(M8*2/7+N8*2/7+O8*2/7+P8*1/7)*成本汇总!$Q24/10000</f>
        <v>0</v>
      </c>
      <c r="Q54" s="733">
        <f>(N8*2/7+O8*2/7+P8*2/7+Q8*1/7)*成本汇总!$Q24/10000</f>
        <v>0</v>
      </c>
      <c r="R54" s="733">
        <f>(O8*2/7+P8*2/7+Q8*2/7+R8*1/7)*成本汇总!$Q24/10000</f>
        <v>0</v>
      </c>
      <c r="S54" s="733">
        <f>(P8*2/7+Q8*2/7+R8*2/7+S8*1/7)*成本汇总!$Q24/10000</f>
        <v>0</v>
      </c>
      <c r="T54" s="733">
        <f>(Q8*2/7+R8*2/7+S8*2/7+T8*1/7)*成本汇总!$Q24/10000</f>
        <v>0</v>
      </c>
      <c r="U54" s="733">
        <f>(R8*2/7+S8*4/7+T8*6/7+U8)*成本汇总!$Q24/10000</f>
        <v>0</v>
      </c>
      <c r="V54" s="118">
        <f t="shared" si="41"/>
        <v>22969.092850238419</v>
      </c>
    </row>
    <row r="55" spans="1:22" ht="12.75" customHeight="1">
      <c r="A55" s="457" t="s">
        <v>449</v>
      </c>
      <c r="B55" s="733">
        <f>B9*1/4*成本汇总!R24/10000</f>
        <v>0</v>
      </c>
      <c r="C55" s="733">
        <f>(B9*2/4+C9*1/4)*成本汇总!$R24/10000</f>
        <v>0</v>
      </c>
      <c r="D55" s="733">
        <f>(B9*1/4+C9*2/4+D9*1/4)*成本汇总!$R24/10000</f>
        <v>0</v>
      </c>
      <c r="E55" s="733">
        <f>(C9*1/4+D9*2/4+E9*1/4)*成本汇总!$R24/10000</f>
        <v>0</v>
      </c>
      <c r="F55" s="733">
        <f>(D9*1/4+E9*2/4+F9*1/4)*成本汇总!$R24/10000</f>
        <v>518.30035966090077</v>
      </c>
      <c r="G55" s="733">
        <f>(E9*1/4+F9*2/4+G9*1/4)*成本汇总!$R24/10000</f>
        <v>1036.6007193218015</v>
      </c>
      <c r="H55" s="733">
        <f>(F9*1/4+G9*2/4+H9*1/4)*成本汇总!$R24/10000</f>
        <v>518.30035966090077</v>
      </c>
      <c r="I55" s="733">
        <f>(G9*1/4+H9*2/4+I9*1/4)*成本汇总!$R24/10000</f>
        <v>1640.6756966616367</v>
      </c>
      <c r="J55" s="733">
        <f>(H9*1/4+I9*2/4+J9*1/4)*成本汇总!$R24/10000</f>
        <v>3281.3513933232734</v>
      </c>
      <c r="K55" s="733">
        <f>(I9*1/4+J9*2/4+K9*1/4)*成本汇总!$R24/10000</f>
        <v>1640.6756966616367</v>
      </c>
      <c r="L55" s="733">
        <f>(J9*1/4+K9*2/4+L9*1/4)*成本汇总!$R24/10000</f>
        <v>0</v>
      </c>
      <c r="M55" s="733">
        <f>(K9*1/4+L9*2/4+M9*1/4)*成本汇总!$R24/10000</f>
        <v>0</v>
      </c>
      <c r="N55" s="733">
        <f>(L9*1/4+M9*2/4+N9*1/4)*成本汇总!$R24/10000</f>
        <v>0</v>
      </c>
      <c r="O55" s="733">
        <f>(M9*1/4+N9*2/4+O9*1/4)*成本汇总!$R24/10000</f>
        <v>0</v>
      </c>
      <c r="P55" s="733">
        <f>(N9*1/4+O9*2/4+P9*1/4)*成本汇总!$R24/10000</f>
        <v>0</v>
      </c>
      <c r="Q55" s="733">
        <f>(O9*1/4+P9*2/4+Q9*1/4)*成本汇总!$R24/10000</f>
        <v>0</v>
      </c>
      <c r="R55" s="733">
        <f>(P9*1/4+Q9*2/4+R9*1/4)*成本汇总!$R24/10000</f>
        <v>0</v>
      </c>
      <c r="S55" s="733">
        <f>(Q9*1/4+R9*2/4+S9*1/4)*成本汇总!$R24/10000</f>
        <v>0</v>
      </c>
      <c r="T55" s="733">
        <f>(R9*1/4+S9*2/4+T9*1/4)*成本汇总!$R24/10000</f>
        <v>0</v>
      </c>
      <c r="U55" s="733">
        <f>(S9*1/4+T9*3/4+U9)*成本汇总!$R24/10000</f>
        <v>0</v>
      </c>
      <c r="V55" s="118">
        <f t="shared" si="41"/>
        <v>8635.904225290149</v>
      </c>
    </row>
    <row r="56" spans="1:22" ht="12.75" customHeight="1">
      <c r="A56" s="457" t="s">
        <v>450</v>
      </c>
      <c r="B56" s="733">
        <f>B10*1/4*成本汇总!S24/10000</f>
        <v>0</v>
      </c>
      <c r="C56" s="733">
        <f>(B10*2/4+C10*1/4)*成本汇总!$S24/10000</f>
        <v>0</v>
      </c>
      <c r="D56" s="733">
        <f>(B10*1/4+C10*2/4+D10*1/4)*成本汇总!$S24/10000</f>
        <v>0</v>
      </c>
      <c r="E56" s="733">
        <f>(C10*1/4+D10*2/4+E10*1/4)*成本汇总!$S24/10000</f>
        <v>0</v>
      </c>
      <c r="F56" s="733">
        <f>(D10*1/4+E10*2/4+F10*1/4)*成本汇总!$S24/10000</f>
        <v>0</v>
      </c>
      <c r="G56" s="733">
        <f>(E10*1/4+F10*2/4+G10*1/4)*成本汇总!$S24/10000</f>
        <v>0</v>
      </c>
      <c r="H56" s="733">
        <f>(F10*1/4+G10*2/4+H10*1/4)*成本汇总!$S24/10000</f>
        <v>0</v>
      </c>
      <c r="I56" s="733">
        <f>(G10*1/4+H10*2/4+I10*1/4)*成本汇总!$S24/10000</f>
        <v>0</v>
      </c>
      <c r="J56" s="733">
        <f>(H10*1/4+I10*2/4+J10*1/4)*成本汇总!$S24/10000</f>
        <v>0</v>
      </c>
      <c r="K56" s="733">
        <f>(I10*1/4+J10*2/4+K10*1/4)*成本汇总!$S24/10000</f>
        <v>0</v>
      </c>
      <c r="L56" s="733">
        <f>(J10*1/4+K10*2/4+L10*1/4)*成本汇总!$S24/10000</f>
        <v>0</v>
      </c>
      <c r="M56" s="733">
        <f>(K10*1/4+L10*2/4+M10*1/4)*成本汇总!$S24/10000</f>
        <v>0</v>
      </c>
      <c r="N56" s="733">
        <f>(L10*1/4+M10*2/4+N10*1/4)*成本汇总!$S24/10000</f>
        <v>0</v>
      </c>
      <c r="O56" s="733">
        <f>(M10*1/4+N10*2/4+O10*1/4)*成本汇总!$S24/10000</f>
        <v>0</v>
      </c>
      <c r="P56" s="733">
        <f>(N10*1/4+O10*2/4+P10*1/4)*成本汇总!$S24/10000</f>
        <v>0</v>
      </c>
      <c r="Q56" s="733">
        <f>(O10*1/4+P10*2/4+Q10*1/4)*成本汇总!$S24/10000</f>
        <v>0</v>
      </c>
      <c r="R56" s="733">
        <f>(P10*1/4+Q10*2/4+R10*1/4)*成本汇总!$S24/10000</f>
        <v>0</v>
      </c>
      <c r="S56" s="733">
        <f>(Q10*1/4+R10*2/4+S10*1/4)*成本汇总!$S24/10000</f>
        <v>0</v>
      </c>
      <c r="T56" s="733">
        <f>(R10*1/4+S10*2/4+T10*1/4)*成本汇总!$S24/10000</f>
        <v>0</v>
      </c>
      <c r="U56" s="733">
        <f>(S10*1/4+T10*3/4+U10)*成本汇总!$S24/10000</f>
        <v>0</v>
      </c>
      <c r="V56" s="118">
        <f t="shared" si="41"/>
        <v>0</v>
      </c>
    </row>
    <row r="57" spans="1:22" ht="12.75" customHeight="1">
      <c r="A57" s="457" t="s">
        <v>451</v>
      </c>
      <c r="B57" s="733">
        <f>B11*1/4*成本汇总!T24/10000</f>
        <v>0</v>
      </c>
      <c r="C57" s="733">
        <f>(B11*2/4+C11*1/4)*成本汇总!$T24/10000</f>
        <v>0</v>
      </c>
      <c r="D57" s="733">
        <f>(B11*1/4+C11*2/4+D11*1/4)*成本汇总!$T24/10000</f>
        <v>0</v>
      </c>
      <c r="E57" s="733">
        <f>(C11*1/4+D11*2/4+E11*1/4)*成本汇总!$T24/10000</f>
        <v>0</v>
      </c>
      <c r="F57" s="733">
        <f>(D11*1/4+E11*2/4+F11*1/4)*成本汇总!$T24/10000</f>
        <v>0</v>
      </c>
      <c r="G57" s="733">
        <f>(E11*1/4+F11*2/4+G11*1/4)*成本汇总!$T24/10000</f>
        <v>0</v>
      </c>
      <c r="H57" s="733">
        <f>(F11*1/4+G11*2/4+H11*1/4)*成本汇总!$T24/10000</f>
        <v>0</v>
      </c>
      <c r="I57" s="733">
        <f>(G11*1/4+H11*2/4+I11*1/4)*成本汇总!$T24/10000</f>
        <v>0</v>
      </c>
      <c r="J57" s="733">
        <f>(H11*1/4+I11*2/4+J11*1/4)*成本汇总!$T24/10000</f>
        <v>0</v>
      </c>
      <c r="K57" s="733">
        <f>(I11*1/4+J11*2/4+K11*1/4)*成本汇总!$T24/10000</f>
        <v>0</v>
      </c>
      <c r="L57" s="733">
        <f>(J11*1/4+K11*2/4+L11*1/4)*成本汇总!$T24/10000</f>
        <v>0</v>
      </c>
      <c r="M57" s="733">
        <f>(K11*1/4+L11*2/4+M11*1/4)*成本汇总!$T24/10000</f>
        <v>0</v>
      </c>
      <c r="N57" s="733">
        <f>(L11*1/4+M11*2/4+N11*1/4)*成本汇总!$T24/10000</f>
        <v>0</v>
      </c>
      <c r="O57" s="733">
        <f>(M11*1/4+N11*2/4+O11*1/4)*成本汇总!$T24/10000</f>
        <v>0</v>
      </c>
      <c r="P57" s="733">
        <f>(N11*1/4+O11*2/4+P11*1/4)*成本汇总!$T24/10000</f>
        <v>0</v>
      </c>
      <c r="Q57" s="733">
        <f>(O11*1/4+P11*2/4+Q11*1/4)*成本汇总!$T24/10000</f>
        <v>0</v>
      </c>
      <c r="R57" s="733">
        <f>(P11*1/4+Q11*2/4+R11*1/4)*成本汇总!$T24/10000</f>
        <v>0</v>
      </c>
      <c r="S57" s="733">
        <f>(Q11*1/4+R11*2/4+S11*1/4)*成本汇总!$T24/10000</f>
        <v>0</v>
      </c>
      <c r="T57" s="733">
        <f>(R11*1/4+S11*2/4+T11*1/4)*成本汇总!$T24/10000</f>
        <v>0</v>
      </c>
      <c r="U57" s="733">
        <f>(S11*1/4+T11*3/4+U11)*成本汇总!$T24/10000</f>
        <v>0</v>
      </c>
      <c r="V57" s="118">
        <f t="shared" si="41"/>
        <v>0</v>
      </c>
    </row>
    <row r="58" spans="1:22" ht="12.75" customHeight="1">
      <c r="A58" s="284" t="s">
        <v>59</v>
      </c>
      <c r="B58" s="733">
        <f>B13*1/5*成本汇总!V24/10000</f>
        <v>0</v>
      </c>
      <c r="C58" s="733">
        <f>(B13*2/5+C13*1/5)*成本汇总!$V24/10000</f>
        <v>660.9604315930809</v>
      </c>
      <c r="D58" s="733">
        <f>(B13*2/5+C13*2/5+D13*1/5)*成本汇总!$V24/10000</f>
        <v>1321.9208631861618</v>
      </c>
      <c r="E58" s="733">
        <f>(C13*2/5+D13*2/5+E13*1/5)*成本汇总!$V24/10000</f>
        <v>1321.9208631861618</v>
      </c>
      <c r="F58" s="733">
        <f>(D13*2/5+E13*2/5+F13*1/5)*成本汇总!$V24/10000</f>
        <v>0</v>
      </c>
      <c r="G58" s="733">
        <f>(E13*2/5+F13*2/5+G13*1/5)*成本汇总!$V24/10000</f>
        <v>0</v>
      </c>
      <c r="H58" s="733">
        <f>(F13*2/5+G13*2/5+H13*1/5)*成本汇总!$V24/10000</f>
        <v>0</v>
      </c>
      <c r="I58" s="733">
        <f>(G13*2/5+H13*2/5+I13*1/5)*成本汇总!$V24/10000</f>
        <v>0</v>
      </c>
      <c r="J58" s="733">
        <f>(H13*2/5+I13*2/5+J13*1/5)*成本汇总!$V24/10000</f>
        <v>0</v>
      </c>
      <c r="K58" s="733">
        <f>(I13*2/5+J13*2/5+K13*1/5)*成本汇总!$V24/10000</f>
        <v>0</v>
      </c>
      <c r="L58" s="733">
        <f>(J13*2/5+K13*2/5+L13*1/5)*成本汇总!$V24/10000</f>
        <v>0</v>
      </c>
      <c r="M58" s="733">
        <f>(K13*2/5+L13*2/5+M13*1/5)*成本汇总!$V24/10000</f>
        <v>0</v>
      </c>
      <c r="N58" s="733">
        <f>(L13*2/5+M13*2/5+N13*1/5)*成本汇总!$V24/10000</f>
        <v>0</v>
      </c>
      <c r="O58" s="733">
        <f>(M13*2/5+N13*2/5+O13*1/5)*成本汇总!$V24/10000</f>
        <v>0</v>
      </c>
      <c r="P58" s="733">
        <f>(N13*2/5+O13*2/5+P13*1/5)*成本汇总!$V24/10000</f>
        <v>0</v>
      </c>
      <c r="Q58" s="733">
        <f>(O13*2/5+P13*2/5+Q13*1/5)*成本汇总!$V24/10000</f>
        <v>0</v>
      </c>
      <c r="R58" s="733">
        <f>(P13*2/5+Q13*2/5+R13*1/5)*成本汇总!$V24/10000</f>
        <v>0</v>
      </c>
      <c r="S58" s="733">
        <f>(Q13*2/5+R13*2/5+S13*1/5)*成本汇总!$V24/10000</f>
        <v>0</v>
      </c>
      <c r="T58" s="733">
        <f>(R13*2/5+S13*2/5+T13*1/5)*成本汇总!$V24/10000</f>
        <v>0</v>
      </c>
      <c r="U58" s="733">
        <f>(S13*2/5+T13*4/5+U13)*成本汇总!$V24/10000</f>
        <v>0</v>
      </c>
      <c r="V58" s="118">
        <f t="shared" si="41"/>
        <v>3304.8021579654041</v>
      </c>
    </row>
    <row r="59" spans="1:22" s="416" customFormat="1" ht="12.75" customHeight="1">
      <c r="A59" s="439" t="s">
        <v>49</v>
      </c>
      <c r="B59" s="424">
        <f t="shared" ref="B59:U59" si="42">SUM(B51:B58)</f>
        <v>0</v>
      </c>
      <c r="C59" s="424">
        <f t="shared" si="42"/>
        <v>3573.6479955634281</v>
      </c>
      <c r="D59" s="424">
        <f t="shared" si="42"/>
        <v>7147.2959911268563</v>
      </c>
      <c r="E59" s="424">
        <f t="shared" si="42"/>
        <v>7147.2959911268563</v>
      </c>
      <c r="F59" s="424">
        <f t="shared" si="42"/>
        <v>9161.6599749722845</v>
      </c>
      <c r="G59" s="424">
        <f t="shared" si="42"/>
        <v>6672.5696940631788</v>
      </c>
      <c r="H59" s="424">
        <f t="shared" si="42"/>
        <v>6154.2693344022773</v>
      </c>
      <c r="I59" s="424">
        <f t="shared" si="42"/>
        <v>9078.4566808858362</v>
      </c>
      <c r="J59" s="424">
        <f t="shared" si="42"/>
        <v>6884.9754122889153</v>
      </c>
      <c r="K59" s="424">
        <f t="shared" si="42"/>
        <v>5244.2997156272795</v>
      </c>
      <c r="L59" s="424">
        <f t="shared" si="42"/>
        <v>3603.6240189656423</v>
      </c>
      <c r="M59" s="424">
        <f t="shared" si="42"/>
        <v>0</v>
      </c>
      <c r="N59" s="424">
        <f t="shared" ref="N59:T59" si="43">SUM(N51:N58)</f>
        <v>0</v>
      </c>
      <c r="O59" s="424">
        <f t="shared" si="43"/>
        <v>0</v>
      </c>
      <c r="P59" s="424">
        <f t="shared" si="43"/>
        <v>0</v>
      </c>
      <c r="Q59" s="424">
        <f t="shared" si="43"/>
        <v>0</v>
      </c>
      <c r="R59" s="424">
        <f t="shared" si="43"/>
        <v>0</v>
      </c>
      <c r="S59" s="424">
        <f t="shared" si="43"/>
        <v>0</v>
      </c>
      <c r="T59" s="424">
        <f t="shared" si="43"/>
        <v>0</v>
      </c>
      <c r="U59" s="424">
        <f t="shared" si="42"/>
        <v>0</v>
      </c>
      <c r="V59" s="424">
        <f t="shared" si="41"/>
        <v>64668.094809022565</v>
      </c>
    </row>
    <row r="60" spans="1:22" s="440" customFormat="1"/>
    <row r="61" spans="1:22" s="440" customFormat="1"/>
    <row r="62" spans="1:22" s="440" customFormat="1"/>
    <row r="63" spans="1:22" s="440" customFormat="1"/>
    <row r="64" spans="1:22" s="440" customFormat="1"/>
    <row r="65" s="440" customFormat="1"/>
    <row r="66" s="440" customFormat="1"/>
    <row r="67" s="440" customFormat="1"/>
    <row r="68" s="440" customFormat="1"/>
    <row r="69" s="440" customFormat="1"/>
    <row r="70" s="440" customFormat="1"/>
    <row r="71" s="440" customFormat="1"/>
    <row r="72" s="440" customFormat="1"/>
  </sheetData>
  <protectedRanges>
    <protectedRange sqref="O5:U14 I5:I14 B28:U36 H5:H6 G5:G14 D5:F5 C5:C6 K5:K14 M5:M14 B5:B14 B17:U25" name="区域1"/>
    <protectedRange sqref="D6:D14" name="区域1_2"/>
    <protectedRange sqref="E6:F14" name="区域1_1"/>
    <protectedRange sqref="H7:H14" name="区域1_3"/>
    <protectedRange sqref="J5:J14" name="区域1_4"/>
    <protectedRange sqref="L5:L10 L12:L14" name="区域1_5"/>
    <protectedRange sqref="N5:N14" name="区域1_6"/>
    <protectedRange sqref="C7:C14" name="区域1_7"/>
  </protectedRanges>
  <mergeCells count="6">
    <mergeCell ref="B50:K50"/>
    <mergeCell ref="B39:K39"/>
    <mergeCell ref="A1:K1"/>
    <mergeCell ref="B4:K4"/>
    <mergeCell ref="B16:K16"/>
    <mergeCell ref="B27:K27"/>
  </mergeCells>
  <phoneticPr fontId="2"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填表指引</vt:lpstr>
      <vt:lpstr>假设条件及经济指标</vt:lpstr>
      <vt:lpstr>勾稽关系</vt:lpstr>
      <vt:lpstr>经济指标</vt:lpstr>
      <vt:lpstr>规划指标</vt:lpstr>
      <vt:lpstr>项目开发强度计算器</vt:lpstr>
      <vt:lpstr>成本汇总</vt:lpstr>
      <vt:lpstr>投资估算表</vt:lpstr>
      <vt:lpstr>开发和销售计划</vt:lpstr>
      <vt:lpstr>项目现金流量表</vt:lpstr>
      <vt:lpstr>项目现金流量图</vt:lpstr>
      <vt:lpstr>资金需求分析表</vt:lpstr>
      <vt:lpstr>资金组织流量图</vt:lpstr>
      <vt:lpstr>沿海现金流量表</vt:lpstr>
      <vt:lpstr>合作方现金流量表</vt:lpstr>
      <vt:lpstr>利润测算</vt:lpstr>
      <vt:lpstr>现金流出表</vt:lpstr>
      <vt:lpstr>敏感性分析</vt:lpstr>
      <vt:lpstr>税费说明表</vt:lpstr>
      <vt:lpstr>项目分期方案</vt:lpstr>
      <vt:lpstr>经济效益分析表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2006-08-03T10:03:19Z</cp:lastPrinted>
  <dcterms:created xsi:type="dcterms:W3CDTF">1996-12-17T01:32:42Z</dcterms:created>
  <dcterms:modified xsi:type="dcterms:W3CDTF">2020-03-01T01:13:35Z</dcterms:modified>
</cp:coreProperties>
</file>