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vedark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tc={06928359-0d85-4753-8e89-20ec4ad87f8d}</author>
    <author>tc={099f46b8-6964-4d13-9a9f-d8b8cf84c130}</author>
    <author>tc={0b41dbbd-7802-42cb-93dc-72be4a989a5a}</author>
    <author>tc={0dadfa60-77f7-4954-ba2a-0ec1f79a5506}</author>
    <author>tc={1915dd37-0f88-4b27-9fb5-1302cf0cafab}</author>
    <author>tc={1c1aa3cb-0566-42b3-8504-e837d0860595}</author>
    <author>tc={1c69b381-1e1a-423e-9235-d703f64e6512}</author>
    <author>tc={1d0b19f1-137a-44a6-a11d-fae340629307}</author>
    <author>tc={1dab6664-89b2-44d1-a918-e4c1a72f27aa}</author>
    <author>tc={1f1df7ac-6fea-470a-92b3-7315ff45e5e9}</author>
    <author>tc={22a8680c-a254-49a3-b32c-5c3d0adb0eaf}</author>
    <author>tc={24802459-f79d-4024-9993-c011384adc2a}</author>
    <author>tc={24a22e55-beea-4c4c-a28f-fc548c1f7874}</author>
    <author>tc={312567c1-e7cc-45e2-9672-475c92f02fd5}</author>
    <author>tc={328847de-2274-4089-a2a5-5e8d6e3da0ad}</author>
    <author>tc={365c3992-2087-4869-9488-01b339478227}</author>
    <author>tc={3770dc34-d528-4524-9f6d-c572b44ac784}</author>
    <author>tc={3860def8-2f0d-4286-91ab-b91af54d5d1c}</author>
    <author>tc={399f0290-a1e8-4d98-b848-24a5bd5971d3}</author>
    <author>tc={3ae753b6-c2fd-4b67-83ca-e1d71e732fa8}</author>
    <author>tc={3d3bbd32-b5e1-4c9b-95bf-2f05f18c7943}</author>
    <author>tc={42938a42-64fe-4ca1-8978-be81fdfb4b49}</author>
    <author>tc={43348488-22ee-4fdd-8777-9f276001dfca}</author>
    <author>tc={464d6155-baa1-4002-9348-756127606437}</author>
    <author>tc={48e372a7-0d5b-4586-969c-4e3516d592d5}</author>
    <author>tc={4af77457-f336-4a0a-9503-e468dc8d38af}</author>
    <author>tc={4ef0e527-4f1c-4c11-8445-e139d35fd78e}</author>
    <author>tc={5393ae62-6b31-4869-a1ec-43df20f48a59}</author>
    <author>tc={552a6619-4617-4336-8a36-dd78eab58e91}</author>
    <author>tc={587f7f36-a2ad-41ac-95ab-8bea7eb72820}</author>
    <author>tc={5c405f9b-31b5-4d0b-880a-57c839f70b1b}</author>
    <author>tc={6021b71f-f275-4d7a-8ce1-51bf3945f7bc}</author>
    <author>tc={716966bf-428a-4118-94a5-fbf38a8cae71}</author>
    <author>tc={72abf03a-25f5-4c13-931a-15d67380fa7b}</author>
    <author>tc={745a5b63-bc51-46b2-83c8-b95d1980e5fa}</author>
    <author>tc={779e0c75-feac-4da1-87d8-4fe5d2b563c3}</author>
    <author>tc={7b73783e-1143-4025-8b4b-2a46f5615f94}</author>
    <author>tc={7d351e41-df46-4f5c-be52-5220333bdba7}</author>
    <author>tc={7d72db01-05d7-4e61-8501-28e9ff75f49e}</author>
    <author>tc={7e2564f0-52d0-47ce-9f80-b15590d696a3}</author>
    <author>tc={802f8af3-0a84-4c0b-bb68-da0f8d97a637}</author>
    <author>tc={81edce84-fdcd-4823-90e2-9e3beed360fa}</author>
    <author>tc={8b05909d-6901-4fc8-97ac-36ace0d55a5e}</author>
    <author>tc={8d346a13-d12d-4d35-b4f7-cee65c4a20cd}</author>
    <author>tc={92bb3d5e-25f8-4e21-9119-d06f4cc75d21}</author>
    <author>tc={930216d8-7962-4669-8343-de0125c80cc1}</author>
    <author>tc={966edb59-18fb-45c4-9440-40530bdcc2dc}</author>
    <author>tc={9794bb0f-ea42-40e9-bbf7-6c02f1f97898}</author>
    <author>tc={989111b1-f5c7-4ea5-bc25-849de579a08d}</author>
    <author>tc={9935a45a-8936-4592-97a0-2c75bf69a21a}</author>
    <author>tc={9b32c1b2-d94b-4a70-8a0e-f3a2fa875e96}</author>
    <author>tc={a207c034-5b4f-4370-9c95-f87ad5ac7d1e}</author>
    <author>tc={aab8ec2e-9fff-4efb-ab89-5c7ed1a6a2f3}</author>
    <author>tc={ac17c39b-17c2-4d27-be59-c14ccb9d9707}</author>
    <author>tc={ae5fdf8c-f60e-44e0-b42b-2736ebca8c25}</author>
    <author>tc={aefa62b4-485f-4e99-8f13-278163a3db18}</author>
    <author>tc={b018d3a3-04c7-43cb-8139-ed4e22f39c3f}</author>
    <author>tc={b0e5f040-3d31-4dc2-a01b-94b37bc0e728}</author>
    <author>tc={b977a651-d328-4088-adee-701b265ff384}</author>
    <author>tc={bac338d1-29ca-497f-b022-d30a70b63dbe}</author>
    <author>tc={bb06b889-8ba3-428c-89eb-ddae688ff364}</author>
    <author>tc={c0b1d0d8-c913-45b7-8613-85681a17d9f3}</author>
    <author>tc={c1058a99-761c-48c4-a0f9-d34ba6e7d6f7}</author>
    <author>tc={c6547b9d-d792-441a-8a49-4d8c3ee2a24d}</author>
    <author>tc={c9e9a801-dcb9-467b-89d8-94ec7ede7392}</author>
    <author>tc={cd325595-7bfe-456c-a051-15cba955dfd8}</author>
    <author>tc={cddb127d-b9a8-472c-8244-bf769e43190c}</author>
    <author>tc={d7471634-9343-430b-94f3-9b7b48f00efa}</author>
    <author>tc={de9cad4f-9679-4fd4-afca-43fc89adae26}</author>
    <author>tc={dfb7a9f2-a76f-4909-b5f4-564c2d10b0fe}</author>
    <author>tc={e1c86e50-7531-4782-b767-f1e9759b20e2}</author>
    <author>tc={e26dd2d7-dd3f-41a3-b525-661e9def4c8a}</author>
    <author>tc={e3c34c39-fa82-4923-addc-67d6bcad8010}</author>
    <author>tc={e6641b93-f85c-4fd8-96f0-402cc6d94d52}</author>
    <author>tc={e6ca3f6c-a9cd-49d2-8f0b-4f818d6e4486}</author>
    <author>tc={ea1da802-028a-4f2e-b511-4e7a15bc18df}</author>
    <author>tc={ef2182b0-2373-49e2-835a-ed584ba6966c}</author>
    <author>tc={f0444d86-261e-4271-b172-e1a4120f7c43}</author>
    <author>tc={f07ced15-86ac-4ca8-afb0-e2b370e2a9b9}</author>
    <author>tc={f0fbc048-ee38-450b-932f-1e303130e716}</author>
    <author>tc={f2edb447-47a4-406b-95c3-f24be2b87522}</author>
    <author>tc={f363b261-2717-4720-848f-413787ed73cc}</author>
    <author>tc={f3dce079-171d-467f-acd3-031ec2a1344e}</author>
    <author>tc={f5cb9d44-b36c-4b86-b7ec-606673c395e7}</author>
    <author>tc={f6cca6a7-b025-406e-9e37-104daad9968c}</author>
    <author>tc={f710ff2a-2289-4bf0-8da6-504d25153a95}</author>
    <author>tc={f8a7ea10-d2c9-4ea8-9522-6061bcf8c1e5}</author>
    <author>tc={f9ca8d04-9827-4ae3-a41c-2fb17d252255}</author>
    <author>tc={ff13cfc7-b1d6-4f1c-9cb1-150c1f225958}</author>
    <author>tc={ff4c77f1-edff-4458-a408-e67a90d79049}</author>
  </authors>
  <commentList>
    <comment authorId="0" xr:uid="{06928359-0d85-4753-8e89-20ec4ad87f8d}" ref="E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1 000 = Innbetaling Tribevogn
</t>
      </text>
    </comment>
    <comment authorId="1" xr:uid="{099f46b8-6964-4d13-9a9f-d8b8cf84c130}" ref="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575 = UiO
Reply:
	2 182 = Renter
</t>
      </text>
    </comment>
    <comment authorId="2" xr:uid="{0b41dbbd-7802-42cb-93dc-72be4a989a5a}" ref="J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238 = Pensler for kjederens
Reply:
	180 = Reparasjon sykkelveske
Reply:
	250 = Reparasjon av skalljakke (tur)
Reply:
	948 = Skjermer Everest Urban
</t>
      </text>
    </comment>
    <comment authorId="3" xr:uid="{0dadfa60-77f7-4954-ba2a-0ec1f79a5506}" ref="M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835 = Medlemskap DNT
Reply:
	698 = Dekk og girkabel til Everest Urban (Oslo sportslager)
Reply:
	938 = Dekk og skotrekk
Reply:
	1 741 = Diverse deler fra Bikeshop
</t>
      </text>
    </comment>
    <comment authorId="4" xr:uid="{1915dd37-0f88-4b27-9fb5-1302cf0cafab}" ref="E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275 = Driftsbidrag
</t>
      </text>
    </comment>
    <comment authorId="5" xr:uid="{1c1aa3cb-0566-42b3-8504-e837d0860595}" ref="J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469 = Verisure 
5 627 = Lån
7 321 = Fellesavgifter
Reply:
	120 = Tibber
201 = Elvia
Reply:
	2 514 = Seks nye filament-pærer fra Philips Hue
Reply:
	999 = Kaffemaskin
Reply:
	153 = Blomst til stue
Reply:
	545 = Håndklær
Reply:
	199 = Blomst kontor
</t>
      </text>
    </comment>
    <comment authorId="6" xr:uid="{1c69b381-1e1a-423e-9235-d703f64e6512}" ref="F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1 443 = Min cut couzintur Beitostølen
</t>
      </text>
    </comment>
    <comment authorId="7" xr:uid="{1d0b19f1-137a-44a6-a11d-fae340629307}" ref="H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1 921 = Lindesnes Havhotell
1 615 = Radisson Blu Caledonien Hotel
1 119 = Revsnes Hotell
120 = Inngang Lindesnes fyr
1 190 = Bergtun hotell
933 = Raulandsakademiet
950 = Hesla Gaard
2 290 = Scandic Fagernes 
1 140 = Bygdin fjellhotell
1 600 = Sødorp Gjestgiveri 
900 = Retrohuset Folldal 
154 = Røros Vertshus 
895 = Støren Hotell
2 477 = Quality Hotell Augustin 
70 = Klesvask 
116 = Ferge til Vanvikan
</t>
      </text>
    </comment>
    <comment authorId="8" xr:uid="{1dab6664-89b2-44d1-a918-e4c1a72f27aa}" ref="H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299 = Telia (mobil)
Reply:
	115 = Fitbit
Reply:
	239 = Årsabonnement Google One
Reply:
	148 = Netflix
Reply:
	149 = YouTube Music
</t>
      </text>
    </comment>
    <comment authorId="9" xr:uid="{1f1df7ac-6fea-470a-92b3-7315ff45e5e9}" ref="M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700 = Frisør
</t>
      </text>
    </comment>
    <comment authorId="10" xr:uid="{22a8680c-a254-49a3-b32c-5c3d0adb0eaf}" ref="F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1 943 = Innbetaling av restskatt
Reply:
	100 = Bryllupsgave Mari
Reply:
	250 = Blomster til Ane
Reply:
	950 = Bursdagsgave Sam (og trøstegave Luis)
</t>
      </text>
    </comment>
    <comment authorId="11" xr:uid="{24802459-f79d-4024-9993-c011384adc2a}" ref="K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10 789 = Ceramic Speed
</t>
      </text>
    </comment>
    <comment authorId="12" xr:uid="{24a22e55-beea-4c4c-a28f-fc548c1f7874}" ref="E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172 = Telia (mobil)
Reply:
	115 = Fitbit
Reply:
	148 = Netflix
Reply:
	18 = Google One
Reply:
	149 = Youtube Music
</t>
      </text>
    </comment>
    <comment authorId="13" xr:uid="{312567c1-e7cc-45e2-9672-475c92f02fd5}" ref="D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394 = Min cut Hyrebil elbil-messe
Reply:
	1 676 = Min cut Hyrebil langhelg Beitostølen
</t>
      </text>
    </comment>
    <comment authorId="14" xr:uid="{328847de-2274-4089-a2a5-5e8d6e3da0ad}" ref="F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7 320 = Fellesavgifter
Reply:
	5 627 = Lån
Reply:
	469 = Verisure
Reply:
	596 = Tibber
Reply:
	378 = Elvia
</t>
      </text>
    </comment>
    <comment authorId="15" xr:uid="{365c3992-2087-4869-9488-01b339478227}" ref="G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 = Medlemskap OBOS
Reply:
	200 = Gaver Thomas og Kåre
Reply:
	149 = Hverdagsgave Ane (Mehr)
Reply:
	400 = Bursdagsgave Tor
477 =  Bursdagsgave Oda
Reply:
	343 = Blomster Ane
Reply:
	100 = Gave til Norunn
Reply:
	1 500 = Coaching Viggo
</t>
      </text>
    </comment>
    <comment authorId="16" xr:uid="{3770dc34-d528-4524-9f6d-c572b44ac784}" ref="L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500 = Driftsbidrag
</t>
      </text>
    </comment>
    <comment authorId="17" xr:uid="{3860def8-2f0d-4286-91ab-b91af54d5d1c}" ref="K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479 = Gave Tante Hanne
</t>
      </text>
    </comment>
    <comment authorId="18" xr:uid="{399f0290-a1e8-4d98-b848-24a5bd5971d3}" ref="L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 = Gave Jon Stolpesæter
Reply:
	100 = Gave til Ørjan
Reply:
	2 000 = Diverse
Reply:
	379 = Gave Ane
Reply:
	800 = Gave Wilhelm + 500 som Ane bidro med
</t>
      </text>
    </comment>
    <comment authorId="19" xr:uid="{3ae753b6-c2fd-4b67-83ca-e1d71e732fa8}" ref="F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199 = Felgbånd og bremseklosser fra Anton Sport
Reply:
	348 = Vaskemidler Bikeshop
Reply:
	2 237 = Deler til drivverk Surly fra Bikeshop
</t>
      </text>
    </comment>
    <comment authorId="20" xr:uid="{3d3bbd32-b5e1-4c9b-95bf-2f05f18c7943}" ref="J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918 = Pironman
7 215= RPI Infrastruktur
Reply:
	89 = HDMI-adapter
Reply:
	418 = TPLink repeater
</t>
      </text>
    </comment>
    <comment authorId="21" xr:uid="{42938a42-64fe-4ca1-8978-be81fdfb4b49}" ref="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Mindre utbetalt lønn som følge av økt skattetrekk på grunn av reduserte renteutgifter (ekstra innbetaling lån tidligere på året)
</t>
      </text>
    </comment>
    <comment authorId="22" xr:uid="{43348488-22ee-4fdd-8777-9f276001dfca}" ref="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1 187 = Lønn UIO
</t>
      </text>
    </comment>
    <comment authorId="23" xr:uid="{464d6155-baa1-4002-9348-756127606437}" ref="L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1 079 = Western Hotel Gardermoen
</t>
      </text>
    </comment>
    <comment authorId="24" xr:uid="{48e372a7-0d5b-4586-969c-4e3516d592d5}" ref="N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302 = Telia (mobil)
Reply:
	115 = Fitbit
Reply:
	250 = Innskudd OpenAI API
Reply:
	168 = Netflix
Reply:
	229 = Anthropic
Reply:
	151 = Veloviewer
Reply:
	219 = Youtube music
</t>
      </text>
    </comment>
    <comment authorId="25" xr:uid="{4af77457-f336-4a0a-9503-e468dc8d38af}" ref="N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3 000 = Innbetaling Tribevogn
</t>
      </text>
    </comment>
    <comment authorId="26" xr:uid="{4ef0e527-4f1c-4c11-8445-e139d35fd78e}" ref="C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7 252 = Fellesavgifter
6 901 = Lån
469 = Verisure
Reply:
	1 191 = Tibber
Reply:
	264 = Elvia
</t>
      </text>
    </comment>
    <comment authorId="27" xr:uid="{5393ae62-6b31-4869-a1ec-43df20f48a59}" ref="J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3 000 = Innbetaling Tribevogn
</t>
      </text>
    </comment>
    <comment authorId="28" xr:uid="{552a6619-4617-4336-8a36-dd78eab58e91}" ref="K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584 = 7 x B03s bremseklosser
Reply:
	2 109 = Nytt drivverk No Saint Touring (bikeshop.no)
Reply:
	6 451 = Komponenter til nytt touring-hjulsett fra Dogstar (r2-bike)
</t>
      </text>
    </comment>
    <comment authorId="29" xr:uid="{587f7f36-a2ad-41ac-95ab-8bea7eb72820}" ref="H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461 = Legevaktbesøk inkl. vaksine stivkrampe m.fl.
Reply:
	224 = Konsultasjon om betablokkere Storoklinikken
</t>
      </text>
    </comment>
    <comment authorId="30" xr:uid="{5c405f9b-31b5-4d0b-880a-57c839f70b1b}" ref="H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469 = Verisure
Reply:
	7 321 = Fellesavgifter
Reply:
	5 627 = Lån
Reply:
	224 = Tibber
Reply:
	333  =Elvia
</t>
      </text>
    </comment>
    <comment authorId="31" xr:uid="{6021b71f-f275-4d7a-8ce1-51bf3945f7bc}" ref="H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3 299 = Wahoo Roam 2.0
Reply:
	219 = Chamois
Reply:
	49 = Batteri til Lezyne minipumpe
Reply:
	595 = Monsen ullgenser
Reply:
	95 = Gass Norge på langs
Reply:
	59 = Turmat
Reply:
	1 998 = Sykkelbukse og hjelm
Reply:
	1 299 = Icebug lette tursko
Reply:
	50 = Styrkebånd
Reply:
	999 = Sykkelbukse
Reply:
	49 = Umbraco nøkler
Reply:
	200 = Eksperthjelp Sykkelbua
</t>
      </text>
    </comment>
    <comment authorId="32" xr:uid="{716966bf-428a-4118-94a5-fbf38a8cae71}" ref="F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275 = Driftsbidrag
</t>
      </text>
    </comment>
    <comment authorId="33" xr:uid="{72abf03a-25f5-4c13-931a-15d67380fa7b}" ref="I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275 = Driftsbidrag
</t>
      </text>
    </comment>
    <comment authorId="34" xr:uid="{745a5b63-bc51-46b2-83c8-b95d1980e5fa}" ref="C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1 681 = Min cut Hyrebil Beitostølen
Reply:
	1 250 = Min cut Hyrebil Beitostølen
</t>
      </text>
    </comment>
    <comment authorId="35" xr:uid="{779e0c75-feac-4da1-87d8-4fe5d2b563c3}" ref="K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3 000 = Innbetaling Tribevogn
</t>
      </text>
    </comment>
    <comment authorId="36" xr:uid="{7b73783e-1143-4025-8b4b-2a46f5615f94}" ref="L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10 000 = Ekstraordinær overføring
3 000 = Fast månedlig kostnad
</t>
      </text>
    </comment>
    <comment authorId="37" xr:uid="{7d351e41-df46-4f5c-be52-5220333bdba7}" ref="I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299 = Telia (mobil)
147 = Telia (internett)
Reply:
	115 = Fitbit
148 = Netflix
Reply:
	149 = YouTube Music
</t>
      </text>
    </comment>
    <comment authorId="38" xr:uid="{7d72db01-05d7-4e61-8501-28e9ff75f49e}" ref="M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Inkl overtid september
</t>
      </text>
    </comment>
    <comment authorId="39" xr:uid="{7e2564f0-52d0-47ce-9f80-b15590d696a3}" ref="J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937 = Telia (mobil)
115 = Fitbit
Reply:
	148 = Netflix
Reply:
	149 = Youtube Music
</t>
      </text>
    </comment>
    <comment authorId="40" xr:uid="{802f8af3-0a84-4c0b-bb68-da0f8d97a637}" ref="H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2 897 = Tilbakebetaling overskytende forsikring XS Rotte
</t>
      </text>
    </comment>
    <comment authorId="41" xr:uid="{81edce84-fdcd-4823-90e2-9e3beed360fa}" ref="J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500 = Driftsbidrag
</t>
      </text>
    </comment>
    <comment authorId="42" xr:uid="{8b05909d-6901-4fc8-97ac-36ace0d55a5e}" ref="L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304 = Utstyr til Raspberry Pis
</t>
      </text>
    </comment>
    <comment authorId="43" xr:uid="{8d346a13-d12d-4d35-b4f7-cee65c4a20cd}" ref="I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1 745 = Quality Hotell Steinkjer 
1 810 = Hotell Skolestua 
1 885 = Thon Hotell Brønnøysund 
1 315 = Scandic Syv Søstre
25 = Ferge til Hofles
350 = Polar Camp 
1 350 = Ørnes Hotell 
1 416 = Thon Partner Hotell
250 = Ferge til Moskenes
809 = Two houses and a barn
1 196 = Vesterålen Kysthotell
1 691 = Thon Hotel Andrikken
3 000 = Viking Hotell
1 242 = Reisafjord Hotell
800 = Altafjord Camping 
461 = Scandic Alta
1 050 = Olderfjord Hotell
3 098 = Scandic Nordkapp 
1 050 = Olderfjord Hotell
330 = Inngang Nordkapp 
1 053 = Verdde Hotell Lakselv 
1 000 = Matkroken Kunes Motel
770 = Mix Tana Motel 
2 853 = Thon Hotel Kirkenes 
1 214 = Scandic Østersund (min cut) 
758 = Haparanda Stadshotell (min cut)
</t>
      </text>
    </comment>
    <comment authorId="44" xr:uid="{92bb3d5e-25f8-4e21-9119-d06f4cc75d21}" ref="M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299 = Telia (mobil)
Reply:
	115 = Fitbit
Reply:
	148 = Netflix
Reply:
	227 = Anthropic
Reply:
	219 = Youtube Music
</t>
      </text>
    </comment>
    <comment authorId="45" xr:uid="{930216d8-7962-4669-8343-de0125c80cc1}" ref="L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469 = Verisure
Reply:
	7 322 = Fellesavgifter
Reply:
	5 627 = Lån
Reply:
	1 370 = Diverse fra Ikea
Reply:
	155 = Tibber
Reply:
	342 = Elvia
</t>
      </text>
    </comment>
    <comment authorId="46" xr:uid="{966edb59-18fb-45c4-9440-40530bdcc2dc}" ref="I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199 = Bursdagsgave Motro (min cut)
Reply:
	1 500 = Diverse
</t>
      </text>
    </comment>
    <comment authorId="47" xr:uid="{9794bb0f-ea42-40e9-bbf7-6c02f1f97898}" ref="G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1 000 = Innbetaling Tribevogn
160 = Bensin XSRotte
</t>
      </text>
    </comment>
    <comment authorId="48" xr:uid="{989111b1-f5c7-4ea5-bc25-849de579a08d}" ref="J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 = Gave til Klara (min cut)
Reply:
	530 = Gave til Gro (min cut)
Reply:
	149 = Gave Aksel
Reply:
	360 = Blomster til Ane
Reply:
	1 124 = Bursdagsgave Ane
Reply:
	2 600 = Bursdagsmiddag for Ane på Liminal
Reply:
	238 = Middagsgave Tor og Kristin
</t>
      </text>
    </comment>
    <comment authorId="49" xr:uid="{9935a45a-8936-4592-97a0-2c75bf69a21a}" ref="G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299 = Telia (mobil)
Reply:
	115 = Fitbit
Reply:
	148 = Netflix
Reply:
	149 = Youtube Music
</t>
      </text>
    </comment>
    <comment authorId="50" xr:uid="{9b32c1b2-d94b-4a70-8a0e-f3a2fa875e96}" ref="E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7 475 = Fellesavgifter
Reply:
	5 609 = Lån
Reply:
	469 = Verisure
Reply:
	650 = Tibber
Reply:
	388 = Elvia
Reply:
	172 = Oppgradert hengelås bod
</t>
      </text>
    </comment>
    <comment authorId="51" xr:uid="{a207c034-5b4f-4370-9c95-f87ad5ac7d1e}" ref="M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2 092 = Reiseforsikring
</t>
      </text>
    </comment>
    <comment authorId="52" xr:uid="{aab8ec2e-9fff-4efb-ab89-5c7ed1a6a2f3}" ref="I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3 000 = Sponsing av gallamiddag Norge på langs Tor og Kristin
</t>
      </text>
    </comment>
    <comment authorId="53" xr:uid="{ac17c39b-17c2-4d27-be59-c14ccb9d9707}" ref="D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700 = Frisør
</t>
      </text>
    </comment>
    <comment authorId="54" xr:uid="{ae5fdf8c-f60e-44e0-b42b-2736ebca8c25}" ref="N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495 = Verisure
Reply:
	6 737 = Fellesavgifter
Reply:
	5 627 = Lån
Reply:
	534 = Tibber
Reply:
	430 = Elvia
Reply:
	675 = Stålkjele
Reply:
	1 048 = Ny blomst stue
</t>
      </text>
    </comment>
    <comment authorId="55" xr:uid="{aefa62b4-485f-4e99-8f13-278163a3db18}" ref="K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7 392 = Fellesavgifter
Reply:
	469 = Verisure
Reply:
	5 627 = Lån
Reply:
	115 = Tibber
Reply:
	346 = Elvia
Reply:
	139 = Borr fra Jernia
Reply:
	329 = Refill duftpinner
</t>
      </text>
    </comment>
    <comment authorId="56" xr:uid="{b018d3a3-04c7-43cb-8139-ed4e22f39c3f}" ref="M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469 = Verisure
Reply:
	6 957 = Fellesavgifter
Reply:
	5 627 = Lån
Reply:
	1 357 = Innboforsikring
Reply:
	268 = Tibber
Reply:
	1 490 = Oppgradering Verisure-sentral
Reply:
	416 = Elvia
</t>
      </text>
    </comment>
    <comment authorId="57" xr:uid="{b0e5f040-3d31-4dc2-a01b-94b37bc0e728}" ref="M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330 = Gave til Alexandra (Ane bidro med 330)
Reply:
	400 = Gave til Philip (Ane bidro med 400)
Reply:
	3 445 = Min cut julegave Tor og Kristin (Dyson V15)
Reply:
	1 500 = Coaching Viggo
</t>
      </text>
    </comment>
    <comment authorId="58" xr:uid="{b977a651-d328-4088-adee-701b265ff384}" ref="D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189 = Klistremerker englepakke
Reply:
	500 = Parfyme
Reply:
	199 = Gave Ane fra Rituals
Reply:
	230 = Billett elbil-messe
</t>
      </text>
    </comment>
    <comment authorId="59" xr:uid="{bac338d1-29ca-497f-b022-d30a70b63dbe}" ref="E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357 = Sokker H&amp;M
</t>
      </text>
    </comment>
    <comment authorId="60" xr:uid="{bb06b889-8ba3-428c-89eb-ddae688ff364}" ref="D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5 776 = Etablering bredbånd og månedsavgift
</t>
      </text>
    </comment>
    <comment authorId="61" xr:uid="{c0b1d0d8-c913-45b7-8613-85681a17d9f3}" ref="L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299 = Telia (mobil)
Reply:
	115 = Fitbit
Reply:
	148 = Netflix
Reply:
	147 = Telia (internett)
Reply:
	891 = Strava årsabonnement
Reply:
	223 = Antrophic
Reply:
	219 = Youtube Music
</t>
      </text>
    </comment>
    <comment authorId="62" xr:uid="{c1058a99-761c-48c4-a0f9-d34ba6e7d6f7}" ref="F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299 = Telia (mobil)
Reply:
	148 = Netflix
115 = Fitbit
Reply:
	147 = Telia (internett)
Reply:
	379  = Garmin SAR-abonnement
Reply:
	344 = Garmin basis-abonnnement
Reply:
	149 = Youtube Music
</t>
      </text>
    </comment>
    <comment authorId="63" xr:uid="{c6547b9d-d792-441a-8a49-4d8c3ee2a24d}" ref="I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469 = Verisure
Reply:
	7 321 = Fellesavgifter
5 627 = Lån
Reply:
	192 = Tibber
306 = Elvia
</t>
      </text>
    </comment>
    <comment authorId="64" xr:uid="{c9e9a801-dcb9-467b-89d8-94ec7ede7392}" ref="E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470 = Min cut Hyrebil villmarksmesse
</t>
      </text>
    </comment>
    <comment authorId="65" xr:uid="{cd325595-7bfe-456c-a051-15cba955dfd8}" ref="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1 850 = Salg av originaldeler fra Surly
</t>
      </text>
    </comment>
    <comment authorId="66" xr:uid="{cddb127d-b9a8-472c-8244-bf769e43190c}" ref="N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1 000 = Julegaver til de som har mindre
79 = Min cut gave til Georg
Reply:
	1 000 = Julegaver til Sam og Luis
Reply:
	260 = Blomster til Ane
Reply:
	234 = Julegave Mico
400 = Julegave Philip
400 = Julegave Wilhelm
500 = Julegave Sam
500 = Julegave Luis
486 = Julegave Vilma
224 = Julegave Alexandra
154 = Julegave Klara
299 = Julegave Georg
171 = Julegave Oda
159 = Julegave Aksel
336 = Julegave Ane - Te-sett
544 = Julegave Ane - Rituals-sett 
826 = Julegave Ane - Maleting 
132 = Julegave Ane - Varmeputer
100 = Julegave Ane - Yoghurt-nøtter
100 = Julegave Ane - Sour-dadler
Reply:
	499 = Julegave Ane - Snøskjerm
Reply:
	460 = Julegaven til Hennie og Agnes
Reply:
	94 = Sending av pakke til Finnbruker
</t>
      </text>
    </comment>
    <comment authorId="67" xr:uid="{d7471634-9343-430b-94f3-9b7b48f00efa}" ref="G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275 = Driftsbidrag
</t>
      </text>
    </comment>
    <comment authorId="68" xr:uid="{de9cad4f-9679-4fd4-afca-43fc89adae26}" ref="H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275 = Driftsbidrag
</t>
      </text>
    </comment>
    <comment authorId="69" xr:uid="{dfb7a9f2-a76f-4909-b5f4-564c2d10b0fe}" ref="G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469 = Verisure
Reply:
	7 320 = Fellesavgifter
Reply:
	5 627 = Lån
Reply:
	50 = Lyspærer LED kjøkken
Reply:
	199 = Mehr duftflaske bad
Reply:
	440 = Tibber
Reply:
	381 = Elvia
</t>
      </text>
    </comment>
    <comment authorId="70" xr:uid="{e1c86e50-7531-4782-b767-f1e9759b20e2}" ref="E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250 = Gave til Tante Marit
Reply:
	1 100 = Diverse
Reply:
	100 = Påskegave Tor og Kristin
Reply:
	320 = Billett villmarksmesse
Reply:
	378 = Gave til Ane fra Outnorth
</t>
      </text>
    </comment>
    <comment authorId="71" xr:uid="{e26dd2d7-dd3f-41a3-b525-661e9def4c8a}" ref="M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3 000 = Innbetaling Tribevogn
</t>
      </text>
    </comment>
    <comment authorId="72" xr:uid="{e3c34c39-fa82-4923-addc-67d6bcad8010}" ref="D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7 252 = Fellesavgifter
Reply:
	469 = Verisure
Reply:
	6 901 = Lån
Reply:
	202 = Elvia
Reply:
	1 145 = Tibber
Reply:
	199 = Duftpinner Rituals bad
Reply:
	679 = Bordlampe og andre småting fra Ikea
Reply:
	369 = Philips Hue lyspære til bordlampe
</t>
      </text>
    </comment>
    <comment authorId="73" xr:uid="{e6641b93-f85c-4fd8-96f0-402cc6d94d52}" ref="F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1 000 = Innbetaling Tribevogn
</t>
      </text>
    </comment>
    <comment authorId="74" xr:uid="{e6ca3f6c-a9cd-49d2-8f0b-4f818d6e4486}" ref="I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3 000 = Innbetaling Tribevogn
</t>
      </text>
    </comment>
    <comment authorId="75" xr:uid="{ea1da802-028a-4f2e-b511-4e7a15bc18df}" ref="H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3 000 = Innbetaling Tribevogn
Reply:
	1 500 = Ekstraordinær innbetaling Tribevogn
Reply:
	600 = Ekstraordinær innbetaling Tribevogn
</t>
      </text>
    </comment>
    <comment authorId="76" xr:uid="{ef2182b0-2373-49e2-835a-ed584ba6966c}" ref="H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150 = Gave Liam, min cut (Ane spleiser)
Reply:
	676 = Bursdagsgave Luis, min cut (Ane spleiser med 200)
Reply:
	400 = Årsavgift Norsk Forening for Jus og EDB
Reply:
	100 = Bidrag til Spleis hjertesyk vandrer
Reply:
	1 000 = Diverse
</t>
      </text>
    </comment>
    <comment authorId="77" xr:uid="{f0444d86-261e-4271-b172-e1a4120f7c43}" ref="J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700 = Frisør
Reply:
	379 = Børstehoder tannbørste
Reply:
	2 180 = 2x jeans
</t>
      </text>
    </comment>
    <comment authorId="78" xr:uid="{f07ced15-86ac-4ca8-afb0-e2b370e2a9b9}" ref="N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8 500 = Felger og hjulbygg Dogstar TransAm
Reply:
	557 = Marathon-dekk fra Sykkelkomponenter
Reply:
	499 = Snøskjerm
</t>
      </text>
    </comment>
    <comment authorId="79" xr:uid="{f0fbc048-ee38-450b-932f-1e303130e716}" ref="G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300 = Mekkehjelp Felgen
Reply:
	910 = Styreveske og tilbehør gir fra Bikeshop
Reply:
	287 = Girvaiere og tilbehør fra Anton Sport
Reply:
	202 = Sitteunderlag og gass fra XXL
</t>
      </text>
    </comment>
    <comment authorId="80" xr:uid="{f2edb447-47a4-406b-95c3-f24be2b87522}" ref="C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306 = Sapim-eiker til nytt bakhjul Everest Urban
</t>
      </text>
    </comment>
    <comment authorId="81" xr:uid="{f363b261-2717-4720-848f-413787ed73cc}" ref="E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56 = Toll reservedeler skjermer Surly
Reply:
	1 292 = Turklær villmarksmesse
Reply:
	3 751 = Dekk og felgbånd fra Bike Components
Reply:
	418 = Navolje fra Bikeshop
Reply:
	851 = Servicedeler Rohloff og White Industries fra SJS Cycles
</t>
      </text>
    </comment>
    <comment authorId="82" xr:uid="{f3dce079-171d-467f-acd3-031ec2a1344e}" ref="K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500 = Driftsbidrag
Reply:
	319 = Strømadapter Google Wifi
Reply:
	155 = Såper fra Rituals
</t>
      </text>
    </comment>
    <comment authorId="83" xr:uid="{f5cb9d44-b36c-4b86-b7ec-606673c395e7}" ref="G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754 = GoAhead Oslo - Kristiansand
</t>
      </text>
    </comment>
    <comment authorId="84" xr:uid="{f6cca6a7-b025-406e-9e37-104daad9968c}" ref="C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389 = Telia (mobil)
Reply:
	148 = Netflix
Reply:
	115 = Fitbit
Reply:
	149 = Youtube Music
Reply:
	147 = Telia (internett)
</t>
      </text>
    </comment>
    <comment authorId="85" xr:uid="{f710ff2a-2289-4bf0-8da6-504d25153a95}" ref="K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299 = Telia (mobil)
Reply:
	115 = Fitbit
Reply:
	148 = Netflix
Reply:
	149 = Youtube Music
</t>
      </text>
    </comment>
    <comment authorId="86" xr:uid="{f8a7ea10-d2c9-4ea8-9522-6061bcf8c1e5}" ref="G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700 = Frisør
Reply:
	1 405 = Årlig tannlegesjekk
Reply:
	436 = Bandasjer til kutt i foten
</t>
      </text>
    </comment>
    <comment authorId="87" xr:uid="{f9ca8d04-9827-4ae3-a41c-2fb17d252255}" ref="C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 = Nøtter til Ane
Reply:
	75 = Avskjedsgave til kollega Sebastian
Reply:
	300 = Medlemskap Røde Kors
Reply:
	75 = Gave til Hans (kollega)
Reply:
	320 = Blomster til Ane
</t>
      </text>
    </comment>
    <comment authorId="88" xr:uid="{ff13cfc7-b1d6-4f1c-9cb1-150c1f225958}" ref="D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431 = Telia (mobil)
Reply:
	115 = Fitbit
Reply:
	148 = Netflix
Reply:
	149 = Youtube Music
</t>
      </text>
    </comment>
    <comment authorId="89" xr:uid="{ff4c77f1-edff-4458-a408-e67a90d79049}" ref="N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328 = Sokker HM
Reply:
	148 = Småtterier til Knitting supreme
</t>
      </text>
    </comment>
  </commentList>
</comments>
</file>

<file path=xl/sharedStrings.xml><?xml version="1.0" encoding="utf-8"?>
<sst xmlns="http://schemas.openxmlformats.org/spreadsheetml/2006/main" count="89" uniqueCount="35">
  <si>
    <t>BUDSJETT OG RESULTAT 2024 - KONTOPLAN</t>
  </si>
  <si>
    <t>Balanse</t>
  </si>
  <si>
    <t>Januar</t>
  </si>
  <si>
    <t>Februar</t>
  </si>
  <si>
    <t>Mars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</si>
  <si>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</si>
  <si>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</si>
  <si>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</si>
  <si>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</si>
  <si>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</si>
  <si>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</si>
  <si>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</si>
  <si>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</si>
  <si>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Desember</t>
  </si>
  <si>
    <t>Totalt</t>
  </si>
  <si>
    <t>Budsjett</t>
  </si>
  <si>
    <t>Resultat</t>
  </si>
  <si>
    <t>Differanse</t>
  </si>
  <si>
    <t>Inntekter</t>
  </si>
  <si>
    <t>Lønn</t>
  </si>
  <si>
    <t>Diverse inntekter</t>
  </si>
  <si>
    <t>Utgifter</t>
  </si>
  <si>
    <t>Stronghold</t>
  </si>
  <si>
    <t>IT-systemer</t>
  </si>
  <si>
    <t>Digitale tjenester</t>
  </si>
  <si>
    <t>Autos</t>
  </si>
  <si>
    <t>Klær og helse</t>
  </si>
  <si>
    <t>Sport</t>
  </si>
  <si>
    <t>Reiser</t>
  </si>
  <si>
    <t/>
  </si>
  <si>
    <t>Sparetiltak</t>
  </si>
  <si>
    <t>Blu A</t>
  </si>
  <si>
    <t>Camp Beito</t>
  </si>
  <si>
    <t>Diverse utgifter</t>
  </si>
  <si>
    <t xml:space="preserve">Budsjettet tar høyde for en ytterligere renteøkning, fortsatt høye strømpriser og strømstøtte. Kostnader på sport forventes halvert fra 2023, selv om det skal investeres i ny bysykkel. Høyere kostnader på IT forventes dette året som følge av oppgradering til RPI5 og ny telefon, samt muligens abonnement på store språkmodeller. Foretatt ekstra innbetaling på 200.000 til rammelån i februar. XSRotte solgt for 18.000 i mai (tilbakesalg Oslo Scooter Central). Kjøpt Hyundai Kona med Ane, eierskap og lån delt på to. Min cut 50% av 468.000. Månedlige utgifter på 3000 kan forventes fremover (både lån og drift).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</si>
</sst>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kr &quot;# ##0"/>
  </numFmts>
  <fonts count="12">
    <font>
      <sz val="10.0"/>
      <color rgb="FF000000"/>
      <name val="Arial"/>
    </font>
    <font/>
    <font>
      <b/>
      <sz val="14.0"/>
      <color rgb="FFFFFFFF"/>
    </font>
    <font>
      <b/>
      <sz val="12.0"/>
      <color rgb="FFFFFFFF"/>
    </font>
    <font>
      <b/>
      <sz val="10.0"/>
      <color rgb="FFFFFFFF"/>
    </font>
    <font>
      <i/>
      <sz val="10.0"/>
      <color rgb="FF999999"/>
    </font>
    <font>
      <b/>
      <color rgb="FF999999"/>
    </font>
    <font>
      <sz val="10.0"/>
      <color rgb="FF000000"/>
    </font>
    <font>
      <b/>
    </font>
    <font>
      <color rgb="FF000000"/>
      <name val="Arial"/>
    </font>
    <font>
      <b/>
      <color rgb="FF000000"/>
    </font>
    <font>
      <b/>
      <sz val="10.0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351C75"/>
        <bgColor rgb="FF351C75"/>
      </patternFill>
    </fill>
    <fill>
      <patternFill patternType="solid">
        <fgColor rgb="FF674EA7"/>
        <bgColor rgb="FF674EA7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D0E0E3"/>
        <bgColor rgb="FFD0E0E3"/>
      </patternFill>
    </fill>
  </fills>
  <borders count="3">
    <border/>
    <border>
      <top style="double">
        <color rgb="FF666666"/>
      </top>
    </border>
    <border>
      <top style="thin">
        <color rgb="FF00FF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4" fontId="3" numFmtId="0" xfId="0" applyAlignment="1" applyFill="1" applyFont="1">
      <alignment horizontal="left" readingOrder="0" shrinkToFit="0" vertical="center" wrapText="1"/>
    </xf>
    <xf borderId="0" fillId="4" fontId="4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5" numFmtId="164" xfId="0" applyAlignment="1" applyFont="1" applyNumberFormat="1">
      <alignment shrinkToFit="0" wrapText="1"/>
    </xf>
    <xf borderId="0" fillId="0" fontId="6" numFmtId="164" xfId="0" applyAlignment="1" applyFont="1" applyNumberFormat="1">
      <alignment shrinkToFit="0" wrapText="1"/>
    </xf>
    <xf borderId="0" fillId="0" fontId="7" numFmtId="164" xfId="0" applyAlignment="1" applyFont="1" applyNumberFormat="1">
      <alignment shrinkToFit="0" wrapText="1"/>
    </xf>
    <xf borderId="0" fillId="0" fontId="8" numFmtId="164" xfId="0" applyAlignment="1" applyFont="1" applyNumberFormat="1">
      <alignment shrinkToFit="0" wrapText="1"/>
    </xf>
    <xf borderId="0" fillId="0" fontId="1" numFmtId="0" xfId="0" applyAlignment="1" applyFont="1">
      <alignment readingOrder="0" shrinkToFit="0" wrapText="1"/>
    </xf>
    <xf borderId="0" fillId="0" fontId="9" numFmtId="164" xfId="0" applyAlignment="1" applyFont="1" applyNumberFormat="1">
      <alignment horizontal="right" shrinkToFit="0" vertical="bottom" wrapText="1"/>
    </xf>
    <xf borderId="0" fillId="0" fontId="10" numFmtId="164" xfId="0" applyAlignment="1" applyFont="1" applyNumberFormat="1">
      <alignment shrinkToFit="0" wrapText="1"/>
    </xf>
    <xf borderId="0" fillId="5" fontId="3" numFmtId="0" xfId="0" applyAlignment="1" applyFill="1" applyFont="1">
      <alignment horizontal="left" readingOrder="0" shrinkToFit="0" vertical="center" wrapText="1"/>
    </xf>
    <xf borderId="0" fillId="5" fontId="4" numFmtId="0" xfId="0" applyAlignment="1" applyFont="1">
      <alignment horizontal="center" readingOrder="0" shrinkToFit="0" vertical="bottom" wrapText="1"/>
    </xf>
    <xf borderId="0" fillId="6" fontId="11" numFmtId="0" xfId="0" applyAlignment="1" applyFill="1" applyFont="1">
      <alignment readingOrder="0" shrinkToFit="0" vertical="center" wrapText="1"/>
    </xf>
    <xf borderId="0" fillId="6" fontId="5" numFmtId="164" xfId="0" applyAlignment="1" applyFont="1" applyNumberFormat="1">
      <alignment readingOrder="0" shrinkToFit="0" wrapText="1"/>
    </xf>
    <xf borderId="0" fillId="2" fontId="5" numFmtId="164" xfId="0" applyAlignment="1" applyFont="1" applyNumberFormat="1">
      <alignment readingOrder="0" shrinkToFit="0" wrapText="1"/>
    </xf>
    <xf borderId="0" fillId="2" fontId="1" numFmtId="164" xfId="0" applyAlignment="1" applyFont="1" applyNumberFormat="1">
      <alignment readingOrder="0" shrinkToFit="0" wrapText="1"/>
    </xf>
    <xf borderId="0" fillId="0" fontId="9" numFmtId="164" xfId="0" applyAlignment="1" applyFont="1" applyNumberFormat="1">
      <alignment horizontal="right" readingOrder="0" shrinkToFit="0" vertical="bottom" wrapText="1"/>
    </xf>
    <xf borderId="0" fillId="7" fontId="3" numFmtId="0" xfId="0" applyAlignment="1" applyFill="1" applyFont="1">
      <alignment horizontal="left" readingOrder="0" shrinkToFit="0" vertical="center" wrapText="1"/>
    </xf>
    <xf borderId="0" fillId="7" fontId="4" numFmtId="0" xfId="0" applyAlignment="1" applyFont="1">
      <alignment horizontal="center" readingOrder="0" shrinkToFit="0" vertical="bottom" wrapText="1"/>
    </xf>
    <xf borderId="0" fillId="0" fontId="5" numFmtId="164" xfId="0" applyAlignment="1" applyFont="1" applyNumberForma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quotePrefix="1" borderId="0" fillId="6" fontId="5" numFmtId="0" xfId="0" applyAlignment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1" fillId="2" fontId="5" numFmtId="164" xfId="0" applyAlignment="1" applyBorder="1" applyFont="1" applyNumberFormat="1">
      <alignment shrinkToFit="0" wrapText="1"/>
    </xf>
    <xf borderId="1" fillId="2" fontId="5" numFmtId="164" xfId="0" applyAlignment="1" applyBorder="1" applyFont="1" applyNumberFormat="1">
      <alignment readingOrder="0" shrinkToFit="0" wrapText="1"/>
    </xf>
    <xf borderId="0" fillId="8" fontId="11" numFmtId="0" xfId="0" applyAlignment="1" applyFill="1" applyFont="1">
      <alignment readingOrder="0" shrinkToFit="0" vertical="top" wrapText="1"/>
    </xf>
    <xf borderId="0" fillId="2" fontId="5" numFmtId="164" xfId="0" applyAlignment="1" applyFont="1" applyNumberFormat="1">
      <alignment shrinkToFit="0" wrapText="1"/>
    </xf>
    <xf borderId="0" fillId="0" fontId="1" numFmtId="0" xfId="0" applyAlignment="1" applyFont="1">
      <alignment readingOrder="0" shrinkToFit="0" vertical="top" wrapText="1"/>
    </xf>
    <xf borderId="0" fillId="2" fontId="7" numFmtId="164" xfId="0" applyAlignment="1" applyFont="1" applyNumberFormat="1">
      <alignment readingOrder="0" shrinkToFit="0" wrapText="1"/>
    </xf>
    <xf borderId="0" fillId="2" fontId="7" numFmtId="164" xfId="0" applyAlignment="1" applyFont="1" applyNumberFormat="1">
      <alignment shrinkToFit="0" wrapText="1"/>
    </xf>
    <xf borderId="2" fillId="0" fontId="1" numFmtId="0" xfId="0" applyAlignment="1" applyBorder="1" applyFont="1">
      <alignment shrinkToFit="0" wrapText="1"/>
    </xf>
  </cellXfs>
  <cellStyles count="1">
    <cellStyle xfId="0" name="Normal" builtinId="0"/>
  </cellStyles>
  <dxfs count="6">
    <dxf>
      <font>
        <color rgb="FF000000"/>
      </font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638175</xdr:colOff>
      <xdr:row>0</xdr:row>
      <xdr:rowOff>47625</xdr:rowOff>
    </xdr:from>
    <xdr:ext cx="819150" cy="895350"/>
    <xdr:pic>
      <xdr:nvPicPr>
        <xdr:cNvPr id="0" name="image3.png" title="Bild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666750</xdr:colOff>
      <xdr:row>5</xdr:row>
      <xdr:rowOff>152400</xdr:rowOff>
    </xdr:from>
    <xdr:ext cx="771525" cy="790575"/>
    <xdr:pic>
      <xdr:nvPicPr>
        <xdr:cNvPr id="0" name="image2.png" title="Bild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666750</xdr:colOff>
      <xdr:row>14</xdr:row>
      <xdr:rowOff>152400</xdr:rowOff>
    </xdr:from>
    <xdr:ext cx="771525" cy="790575"/>
    <xdr:pic>
      <xdr:nvPicPr>
        <xdr:cNvPr id="0" name="image1.png" title="Bild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Øivind Langeland" id="{cd3f7e8d-224e-48d6-8dd7-94b59982bcc3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0" dT="2024-05-12T21:40:08.00" personId="{cd3f7e8d-224e-48d6-8dd7-94b59982bcc3}" id="{42938a42-64fe-4ca1-8978-be81fdfb4b49}" done="0">
    <x18tc:text xml:space="preserve">Mindre utbetalt lønn som følge av økt skattetrekk på grunn av reduserte renteutgifter (ekstra innbetaling lån tidligere på året)</x18tc:text>
  </x18tc:threadedComment>
  <x18tc:threadedComment ref="M37" dT="2024-10-26T17:11:07.00" personId="{cd3f7e8d-224e-48d6-8dd7-94b59982bcc3}" id="{a207c034-5b4f-4370-9c95-f87ad5ac7d1e}" done="0">
    <x18tc:text xml:space="preserve">2 092 = Reiseforsikring</x18tc:text>
  </x18tc:threadedComment>
  <x18tc:threadedComment ref="G31" dT="2024-05-06T20:17:08.00" personId="{cd3f7e8d-224e-48d6-8dd7-94b59982bcc3}" id="{f8a7ea10-d2c9-4ea8-9522-6061bcf8c1e5}" done="0">
    <x18tc:text xml:space="preserve">700 = Frisør</x18tc:text>
  </x18tc:threadedComment>
  <x18tc:threadedComment ref="G31" dT="2024-05-06T20:17:48.00" personId="{cd3f7e8d-224e-48d6-8dd7-94b59982bcc3}" id="{7e475514-7777-46b2-9d9b-4aacad8f71af}" parentId="{f8a7ea10-d2c9-4ea8-9522-6061bcf8c1e5}">
    <x18tc:text xml:space="preserve">1 405 = Årlig tannlegesjekk</x18tc:text>
  </x18tc:threadedComment>
  <x18tc:threadedComment ref="G31" dT="2024-05-23T22:59:33.00" personId="{cd3f7e8d-224e-48d6-8dd7-94b59982bcc3}" id="{5bbc0039-8a00-470b-955f-b5fbdcf49593}" parentId="{f8a7ea10-d2c9-4ea8-9522-6061bcf8c1e5}">
    <x18tc:text xml:space="preserve">436 = Bandasjer til kutt i foten</x18tc:text>
  </x18tc:threadedComment>
  <x18tc:threadedComment ref="F14" dT="2024-04-22T20:31:56.00" personId="{cd3f7e8d-224e-48d6-8dd7-94b59982bcc3}" id="{cd325595-7bfe-456c-a051-15cba955dfd8}" done="0">
    <x18tc:text xml:space="preserve">1 850 = Salg av originaldeler fra Surly</x18tc:text>
  </x18tc:threadedComment>
  <x18tc:threadedComment ref="L22" dT="2024-10-12T18:44:30.00" personId="{cd3f7e8d-224e-48d6-8dd7-94b59982bcc3}" id="{8b05909d-6901-4fc8-97ac-36ace0d55a5e}" done="0">
    <x18tc:text xml:space="preserve">304 = Utstyr til Raspberry Pis</x18tc:text>
  </x18tc:threadedComment>
  <x18tc:threadedComment ref="N28" dT="2024-12-04T21:25:17.00" personId="{cd3f7e8d-224e-48d6-8dd7-94b59982bcc3}" id="{4af77457-f336-4a0a-9503-e468dc8d38af}" done="0">
    <x18tc:text xml:space="preserve">3 000 = Innbetaling Tribevogn</x18tc:text>
  </x18tc:threadedComment>
  <x18tc:threadedComment ref="K46" dT="2024-09-03T19:49:35.00" personId="{cd3f7e8d-224e-48d6-8dd7-94b59982bcc3}" id="{f3dce079-171d-467f-acd3-031ec2a1344e}" done="0">
    <x18tc:text xml:space="preserve">500 = Driftsbidrag</x18tc:text>
  </x18tc:threadedComment>
  <x18tc:threadedComment ref="K46" dT="2024-09-25T20:44:54.00" personId="{cd3f7e8d-224e-48d6-8dd7-94b59982bcc3}" id="{d1825b50-30aa-45c0-a06d-732e95b086ad}" parentId="{f3dce079-171d-467f-acd3-031ec2a1344e}">
    <x18tc:text xml:space="preserve">319 = Strømadapter Google Wifi</x18tc:text>
  </x18tc:threadedComment>
  <x18tc:threadedComment ref="K46" dT="2024-09-25T20:45:04.00" personId="{cd3f7e8d-224e-48d6-8dd7-94b59982bcc3}" id="{11ddf901-6261-4afe-9546-2f0a0599dbcc}" parentId="{f3dce079-171d-467f-acd3-031ec2a1344e}">
    <x18tc:text xml:space="preserve">155 = Såper fra Rituals</x18tc:text>
  </x18tc:threadedComment>
  <x18tc:threadedComment ref="E49" dT="2024-03-10T22:33:40.00" personId="{cd3f7e8d-224e-48d6-8dd7-94b59982bcc3}" id="{e1c86e50-7531-4782-b767-f1e9759b20e2}" done="0">
    <x18tc:text xml:space="preserve">250 = Gave til Tante Marit</x18tc:text>
  </x18tc:threadedComment>
  <x18tc:threadedComment ref="E49" dT="2024-03-15T20:01:40.00" personId="{cd3f7e8d-224e-48d6-8dd7-94b59982bcc3}" id="{fde47461-2a95-43c4-883e-52ba5b1441ce}" parentId="{e1c86e50-7531-4782-b767-f1e9759b20e2}">
    <x18tc:text xml:space="preserve">1 100 = Diverse</x18tc:text>
  </x18tc:threadedComment>
  <x18tc:threadedComment ref="E49" dT="2024-03-25T07:20:24.00" personId="{cd3f7e8d-224e-48d6-8dd7-94b59982bcc3}" id="{c51db8ff-72ae-44c1-bc50-dba069af015a}" parentId="{e1c86e50-7531-4782-b767-f1e9759b20e2}">
    <x18tc:text xml:space="preserve">100 = Påskegave Tor og Kristin</x18tc:text>
  </x18tc:threadedComment>
  <x18tc:threadedComment ref="E49" dT="2024-03-25T07:22:18.00" personId="{cd3f7e8d-224e-48d6-8dd7-94b59982bcc3}" id="{f9c7f9a7-7400-4397-8373-958a300f61ea}" parentId="{e1c86e50-7531-4782-b767-f1e9759b20e2}">
    <x18tc:text xml:space="preserve">320 = Billett villmarksmesse</x18tc:text>
  </x18tc:threadedComment>
  <x18tc:threadedComment ref="E49" dT="2024-03-28T11:54:10.00" personId="{cd3f7e8d-224e-48d6-8dd7-94b59982bcc3}" id="{ad3605b6-4a7e-4010-865b-eb34ab76fc18}" parentId="{e1c86e50-7531-4782-b767-f1e9759b20e2}">
    <x18tc:text xml:space="preserve">378 = Gave til Ane fra Outnorth</x18tc:text>
  </x18tc:threadedComment>
  <x18tc:threadedComment ref="D25" dT="2024-02-01T06:56:47.00" personId="{cd3f7e8d-224e-48d6-8dd7-94b59982bcc3}" id="{ff13cfc7-b1d6-4f1c-9cb1-150c1f225958}" done="0">
    <x18tc:text xml:space="preserve">431 = Telia (mobil)</x18tc:text>
  </x18tc:threadedComment>
  <x18tc:threadedComment ref="D25" dT="2024-02-03T10:44:42.00" personId="{cd3f7e8d-224e-48d6-8dd7-94b59982bcc3}" id="{2ccd32fb-a4b3-41c5-9a45-fc75ec6a9cb4}" parentId="{ff13cfc7-b1d6-4f1c-9cb1-150c1f225958}">
    <x18tc:text xml:space="preserve">115 = Fitbit</x18tc:text>
  </x18tc:threadedComment>
  <x18tc:threadedComment ref="D25" dT="2024-02-08T22:14:58.00" personId="{cd3f7e8d-224e-48d6-8dd7-94b59982bcc3}" id="{d5723d79-ff50-4506-8892-a67ea9416d65}" parentId="{ff13cfc7-b1d6-4f1c-9cb1-150c1f225958}">
    <x18tc:text xml:space="preserve">148 = Netflix</x18tc:text>
  </x18tc:threadedComment>
  <x18tc:threadedComment ref="D25" dT="2024-03-03T22:21:25.00" personId="{cd3f7e8d-224e-48d6-8dd7-94b59982bcc3}" id="{b6e46e97-160d-4d78-b3e5-a4a844ced8bf}" parentId="{ff13cfc7-b1d6-4f1c-9cb1-150c1f225958}">
    <x18tc:text xml:space="preserve">149 = Youtube Music</x18tc:text>
  </x18tc:threadedComment>
  <x18tc:threadedComment ref="K28" dT="2024-09-03T19:49:14.00" personId="{cd3f7e8d-224e-48d6-8dd7-94b59982bcc3}" id="{779e0c75-feac-4da1-87d8-4fe5d2b563c3}" done="0">
    <x18tc:text xml:space="preserve">3 000 = Innbetaling Tribevogn</x18tc:text>
  </x18tc:threadedComment>
  <x18tc:threadedComment ref="N31" dT="2024-12-28T21:03:30.00" personId="{cd3f7e8d-224e-48d6-8dd7-94b59982bcc3}" id="{ff4c77f1-edff-4458-a408-e67a90d79049}" done="0">
    <x18tc:text xml:space="preserve">328 = Sokker HM</x18tc:text>
  </x18tc:threadedComment>
  <x18tc:threadedComment ref="N31" dT="2024-12-28T21:04:01.00" personId="{cd3f7e8d-224e-48d6-8dd7-94b59982bcc3}" id="{f041d590-7b17-4e03-bf35-27d74e600706}" parentId="{ff4c77f1-edff-4458-a408-e67a90d79049}">
    <x18tc:text xml:space="preserve">148 = Småtterier til Knitting supreme</x18tc:text>
  </x18tc:threadedComment>
  <x18tc:threadedComment ref="M49" dT="2024-11-03T21:13:15.00" personId="{cd3f7e8d-224e-48d6-8dd7-94b59982bcc3}" id="{b0e5f040-3d31-4dc2-a01b-94b37bc0e728}" done="0">
    <x18tc:text xml:space="preserve">330 = Gave til Alexandra (Ane bidro med 330)</x18tc:text>
  </x18tc:threadedComment>
  <x18tc:threadedComment ref="M49" dT="2024-11-16T09:54:35.00" personId="{cd3f7e8d-224e-48d6-8dd7-94b59982bcc3}" id="{d3676634-c711-4249-9438-c423e3585467}" parentId="{b0e5f040-3d31-4dc2-a01b-94b37bc0e728}">
    <x18tc:text xml:space="preserve">400 = Gave til Philip (Ane bidro med 400)</x18tc:text>
  </x18tc:threadedComment>
  <x18tc:threadedComment ref="M49" dT="2024-11-23T10:06:09.00" personId="{cd3f7e8d-224e-48d6-8dd7-94b59982bcc3}" id="{4716b50c-80b2-4916-a57a-fabfbf1fcbe2}" parentId="{b0e5f040-3d31-4dc2-a01b-94b37bc0e728}">
    <x18tc:text xml:space="preserve">3 445 = Min cut julegave Tor og Kristin (Dyson V15)</x18tc:text>
  </x18tc:threadedComment>
  <x18tc:threadedComment ref="M49" dT="2024-12-01T09:19:14.00" personId="{cd3f7e8d-224e-48d6-8dd7-94b59982bcc3}" id="{aec7eda0-eab8-49bc-9618-efd714a21a5d}" parentId="{b0e5f040-3d31-4dc2-a01b-94b37bc0e728}">
    <x18tc:text xml:space="preserve">1 500 = Coaching Viggo</x18tc:text>
  </x18tc:threadedComment>
  <x18tc:threadedComment ref="I15" dT="2024-08-02T09:49:09.00" personId="{cd3f7e8d-224e-48d6-8dd7-94b59982bcc3}" id="{aab8ec2e-9fff-4efb-ab89-5c7ed1a6a2f3}" done="0">
    <x18tc:text xml:space="preserve">3 000 = Sponsing av gallamiddag Norge på langs Tor og Kristin</x18tc:text>
  </x18tc:threadedComment>
  <x18tc:threadedComment ref="F37" dT="2024-04-16T05:04:34.00" personId="{cd3f7e8d-224e-48d6-8dd7-94b59982bcc3}" id="{1c69b381-1e1a-423e-9235-d703f64e6512}" done="0">
    <x18tc:text xml:space="preserve">1 443 = Min cut couzintur Beitostølen</x18tc:text>
  </x18tc:threadedComment>
  <x18tc:threadedComment ref="J49" dT="2024-08-03T22:37:23.00" personId="{cd3f7e8d-224e-48d6-8dd7-94b59982bcc3}" id="{989111b1-f5c7-4ea5-bc25-849de579a08d}" done="0">
    <x18tc:text xml:space="preserve">200 = Gave til Klara (min cut)</x18tc:text>
  </x18tc:threadedComment>
  <x18tc:threadedComment ref="J49" dT="2024-08-05T20:08:02.00" personId="{cd3f7e8d-224e-48d6-8dd7-94b59982bcc3}" id="{b3c8bf63-a35c-4a55-8f97-b74fe57f3f37}" parentId="{989111b1-f5c7-4ea5-bc25-849de579a08d}">
    <x18tc:text xml:space="preserve">530 = Gave til Gro (min cut)</x18tc:text>
  </x18tc:threadedComment>
  <x18tc:threadedComment ref="J49" dT="2024-08-09T23:05:49.00" personId="{cd3f7e8d-224e-48d6-8dd7-94b59982bcc3}" id="{b927acff-6fd3-4461-8475-123b758b431e}" parentId="{989111b1-f5c7-4ea5-bc25-849de579a08d}">
    <x18tc:text xml:space="preserve">149 = Gave Aksel</x18tc:text>
  </x18tc:threadedComment>
  <x18tc:threadedComment ref="J49" dT="2024-08-12T18:38:15.00" personId="{cd3f7e8d-224e-48d6-8dd7-94b59982bcc3}" id="{2a3f344f-d66f-4edc-bfed-2a9c78beffab}" parentId="{989111b1-f5c7-4ea5-bc25-849de579a08d}">
    <x18tc:text xml:space="preserve">360 = Blomster til Ane</x18tc:text>
  </x18tc:threadedComment>
  <x18tc:threadedComment ref="J49" dT="2024-08-12T18:39:09.00" personId="{cd3f7e8d-224e-48d6-8dd7-94b59982bcc3}" id="{b3268e96-f15c-4236-bb89-07c965a28443}" parentId="{989111b1-f5c7-4ea5-bc25-849de579a08d}">
    <x18tc:text xml:space="preserve">1 124 = Bursdagsgave Ane</x18tc:text>
  </x18tc:threadedComment>
  <x18tc:threadedComment ref="J49" dT="2024-08-22T19:19:26.00" personId="{cd3f7e8d-224e-48d6-8dd7-94b59982bcc3}" id="{34c4b82b-b3c4-40ff-86dd-eb324e586452}" parentId="{989111b1-f5c7-4ea5-bc25-849de579a08d}">
    <x18tc:text xml:space="preserve">2 600 = Bursdagsmiddag for Ane på Liminal</x18tc:text>
  </x18tc:threadedComment>
  <x18tc:threadedComment ref="J49" dT="2024-09-01T20:01:06.00" personId="{cd3f7e8d-224e-48d6-8dd7-94b59982bcc3}" id="{fd1079fe-762f-4822-80bf-903d6cf0f95d}" parentId="{989111b1-f5c7-4ea5-bc25-849de579a08d}">
    <x18tc:text xml:space="preserve">238 = Middagsgave Tor og Kristin</x18tc:text>
  </x18tc:threadedComment>
  <x18tc:threadedComment ref="D14" dT="2024-02-14T22:06:44.00" personId="{cd3f7e8d-224e-48d6-8dd7-94b59982bcc3}" id="{43348488-22ee-4fdd-8777-9f276001dfca}" done="0">
    <x18tc:text xml:space="preserve">1 187 = Lønn UIO</x18tc:text>
  </x18tc:threadedComment>
  <x18tc:threadedComment ref="N19" dT="2024-10-19T08:49:31.00" personId="{cd3f7e8d-224e-48d6-8dd7-94b59982bcc3}" id="{ae5fdf8c-f60e-44e0-b42b-2736ebca8c25}" done="0">
    <x18tc:text xml:space="preserve">495 = Verisure</x18tc:text>
  </x18tc:threadedComment>
  <x18tc:threadedComment ref="N19" dT="2024-11-23T10:04:54.00" personId="{cd3f7e8d-224e-48d6-8dd7-94b59982bcc3}" id="{07eeb965-4b76-465d-b080-180d872bad1e}" parentId="{ae5fdf8c-f60e-44e0-b42b-2736ebca8c25}">
    <x18tc:text xml:space="preserve">6 737 = Fellesavgifter</x18tc:text>
  </x18tc:threadedComment>
  <x18tc:threadedComment ref="N19" dT="2024-11-23T10:15:12.00" personId="{cd3f7e8d-224e-48d6-8dd7-94b59982bcc3}" id="{fd77b888-1dcd-4858-b03b-277e82f38e63}" parentId="{ae5fdf8c-f60e-44e0-b42b-2736ebca8c25}">
    <x18tc:text xml:space="preserve">5 627 = Lån</x18tc:text>
  </x18tc:threadedComment>
  <x18tc:threadedComment ref="N19" dT="2024-12-02T21:38:43.00" personId="{cd3f7e8d-224e-48d6-8dd7-94b59982bcc3}" id="{44f701c7-12be-4ff2-9430-0b5d2d454099}" parentId="{ae5fdf8c-f60e-44e0-b42b-2736ebca8c25}">
    <x18tc:text xml:space="preserve">534 = Tibber</x18tc:text>
  </x18tc:threadedComment>
  <x18tc:threadedComment ref="N19" dT="2024-12-07T20:11:19.00" personId="{cd3f7e8d-224e-48d6-8dd7-94b59982bcc3}" id="{60203e30-b840-4c5e-a91e-98d82f9bb5f7}" parentId="{ae5fdf8c-f60e-44e0-b42b-2736ebca8c25}">
    <x18tc:text xml:space="preserve">430 = Elvia</x18tc:text>
  </x18tc:threadedComment>
  <x18tc:threadedComment ref="N19" dT="2024-12-28T21:02:50.00" personId="{cd3f7e8d-224e-48d6-8dd7-94b59982bcc3}" id="{d2cb2ee9-9e94-4fd7-89c2-56e1c041467e}" parentId="{ae5fdf8c-f60e-44e0-b42b-2736ebca8c25}">
    <x18tc:text xml:space="preserve">675 = Stålkjele</x18tc:text>
  </x18tc:threadedComment>
  <x18tc:threadedComment ref="N19" dT="2024-12-28T21:05:00.00" personId="{cd3f7e8d-224e-48d6-8dd7-94b59982bcc3}" id="{cf495991-626f-43e5-b637-9cf63e5ecb12}" parentId="{ae5fdf8c-f60e-44e0-b42b-2736ebca8c25}">
    <x18tc:text xml:space="preserve">1 048 = Ny blomst stue</x18tc:text>
  </x18tc:threadedComment>
  <x18tc:threadedComment ref="M19" dT="2024-09-21T07:38:20.00" personId="{cd3f7e8d-224e-48d6-8dd7-94b59982bcc3}" id="{b018d3a3-04c7-43cb-8139-ed4e22f39c3f}" done="0">
    <x18tc:text xml:space="preserve">469 = Verisure</x18tc:text>
  </x18tc:threadedComment>
  <x18tc:threadedComment ref="M19" dT="2024-10-19T08:49:04.00" personId="{cd3f7e8d-224e-48d6-8dd7-94b59982bcc3}" id="{35f5d259-42cc-432c-8176-f91e4fce6905}" parentId="{b018d3a3-04c7-43cb-8139-ed4e22f39c3f}">
    <x18tc:text xml:space="preserve">6 957 = Fellesavgifter</x18tc:text>
  </x18tc:threadedComment>
  <x18tc:threadedComment ref="M19" dT="2024-10-19T08:50:15.00" personId="{cd3f7e8d-224e-48d6-8dd7-94b59982bcc3}" id="{bbdc8e2f-07f7-4e89-ab95-0fde47733e46}" parentId="{b018d3a3-04c7-43cb-8139-ed4e22f39c3f}">
    <x18tc:text xml:space="preserve">5 627 = Lån</x18tc:text>
  </x18tc:threadedComment>
  <x18tc:threadedComment ref="M19" dT="2024-10-26T17:08:36.00" personId="{cd3f7e8d-224e-48d6-8dd7-94b59982bcc3}" id="{f2b355a0-0cce-48b3-98d3-eb6ebd7e2d2b}" parentId="{b018d3a3-04c7-43cb-8139-ed4e22f39c3f}">
    <x18tc:text xml:space="preserve">1 357 = Innboforsikring</x18tc:text>
  </x18tc:threadedComment>
  <x18tc:threadedComment ref="M19" dT="2024-11-04T20:08:50.00" personId="{cd3f7e8d-224e-48d6-8dd7-94b59982bcc3}" id="{090ee318-386f-43aa-ac6c-191f10f4709d}" parentId="{b018d3a3-04c7-43cb-8139-ed4e22f39c3f}">
    <x18tc:text xml:space="preserve">268 = Tibber</x18tc:text>
  </x18tc:threadedComment>
  <x18tc:threadedComment ref="M19" dT="2024-11-04T20:09:43.00" personId="{cd3f7e8d-224e-48d6-8dd7-94b59982bcc3}" id="{df02beb9-adaf-4ad2-ac79-8f6f192a92a1}" parentId="{b018d3a3-04c7-43cb-8139-ed4e22f39c3f}">
    <x18tc:text xml:space="preserve">1 490 = Oppgradering Verisure-sentral</x18tc:text>
  </x18tc:threadedComment>
  <x18tc:threadedComment ref="M19" dT="2024-11-23T10:07:16.00" personId="{cd3f7e8d-224e-48d6-8dd7-94b59982bcc3}" id="{034dde8e-4a8e-4a4a-9523-e5e067d02235}" parentId="{b018d3a3-04c7-43cb-8139-ed4e22f39c3f}">
    <x18tc:text xml:space="preserve">416 = Elvia</x18tc:text>
  </x18tc:threadedComment>
  <x18tc:threadedComment ref="J19" dT="2024-08-02T09:49:48.00" personId="{cd3f7e8d-224e-48d6-8dd7-94b59982bcc3}" id="{1c1aa3cb-0566-42b3-8504-e837d0860595}" done="0">
    <x18tc:text xml:space="preserve">469 = Verisure 
5 627 = Lån
7 321 = Fellesavgifter</x18tc:text>
  </x18tc:threadedComment>
  <x18tc:threadedComment ref="J19" dT="2024-08-02T10:06:01.00" personId="{cd3f7e8d-224e-48d6-8dd7-94b59982bcc3}" id="{f87f3a14-16a3-49ff-8cb9-87a4b0eba10a}" parentId="{1c1aa3cb-0566-42b3-8504-e837d0860595}">
    <x18tc:text xml:space="preserve">120 = Tibber
201 = Elvia</x18tc:text>
  </x18tc:threadedComment>
  <x18tc:threadedComment ref="J19" dT="2024-08-03T09:14:00.00" personId="{cd3f7e8d-224e-48d6-8dd7-94b59982bcc3}" id="{1afc47a4-0b12-4de2-98f8-8af5ee28a40a}" parentId="{1c1aa3cb-0566-42b3-8504-e837d0860595}">
    <x18tc:text xml:space="preserve">2 514 = Seks nye filament-pærer fra Philips Hue</x18tc:text>
  </x18tc:threadedComment>
  <x18tc:threadedComment ref="J19" dT="2024-08-03T09:14:35.00" personId="{cd3f7e8d-224e-48d6-8dd7-94b59982bcc3}" id="{8c15a465-a61e-4801-a77b-c3f04231c5d3}" parentId="{1c1aa3cb-0566-42b3-8504-e837d0860595}">
    <x18tc:text xml:space="preserve">999 = Kaffemaskin</x18tc:text>
  </x18tc:threadedComment>
  <x18tc:threadedComment ref="J19" dT="2024-08-03T09:17:14.00" personId="{cd3f7e8d-224e-48d6-8dd7-94b59982bcc3}" id="{457204fd-a509-4fcf-a176-f05cc1e3f279}" parentId="{1c1aa3cb-0566-42b3-8504-e837d0860595}">
    <x18tc:text xml:space="preserve">153 = Blomst til stue</x18tc:text>
  </x18tc:threadedComment>
  <x18tc:threadedComment ref="J19" dT="2024-08-03T09:18:46.00" personId="{cd3f7e8d-224e-48d6-8dd7-94b59982bcc3}" id="{0b6519fc-ecb4-4403-9f64-db1561c5002d}" parentId="{1c1aa3cb-0566-42b3-8504-e837d0860595}">
    <x18tc:text xml:space="preserve">545 = Håndklær</x18tc:text>
  </x18tc:threadedComment>
  <x18tc:threadedComment ref="J19" dT="2024-08-08T07:55:00.00" personId="{cd3f7e8d-224e-48d6-8dd7-94b59982bcc3}" id="{48ad86d5-0b27-4e4d-a210-831cfa89f6dd}" parentId="{1c1aa3cb-0566-42b3-8504-e837d0860595}">
    <x18tc:text xml:space="preserve">199 = Blomst kontor</x18tc:text>
  </x18tc:threadedComment>
  <x18tc:threadedComment ref="F19" dT="2024-03-25T07:13:13.00" personId="{cd3f7e8d-224e-48d6-8dd7-94b59982bcc3}" id="{328847de-2274-4089-a2a5-5e8d6e3da0ad}" done="0">
    <x18tc:text xml:space="preserve">7 320 = Fellesavgifter</x18tc:text>
  </x18tc:threadedComment>
  <x18tc:threadedComment ref="F19" dT="2024-03-25T07:15:18.00" personId="{cd3f7e8d-224e-48d6-8dd7-94b59982bcc3}" id="{b848ac71-1662-4e4e-b628-e3cee8b21882}" parentId="{328847de-2274-4089-a2a5-5e8d6e3da0ad}">
    <x18tc:text xml:space="preserve">5 627 = Lån</x18tc:text>
  </x18tc:threadedComment>
  <x18tc:threadedComment ref="F19" dT="2024-03-25T07:15:44.00" personId="{cd3f7e8d-224e-48d6-8dd7-94b59982bcc3}" id="{38b3a822-5fd9-4665-a8d5-da105476aeaa}" parentId="{328847de-2274-4089-a2a5-5e8d6e3da0ad}">
    <x18tc:text xml:space="preserve">469 = Verisure</x18tc:text>
  </x18tc:threadedComment>
  <x18tc:threadedComment ref="F19" dT="2024-04-04T21:25:58.00" personId="{cd3f7e8d-224e-48d6-8dd7-94b59982bcc3}" id="{dfa941c4-7a6b-42bd-af30-693886d9ccf4}" parentId="{328847de-2274-4089-a2a5-5e8d6e3da0ad}">
    <x18tc:text xml:space="preserve">596 = Tibber</x18tc:text>
  </x18tc:threadedComment>
  <x18tc:threadedComment ref="F19" dT="2024-04-04T21:28:45.00" personId="{cd3f7e8d-224e-48d6-8dd7-94b59982bcc3}" id="{27b55273-ee2d-42f7-b47b-4d63b90807b4}" parentId="{328847de-2274-4089-a2a5-5e8d6e3da0ad}">
    <x18tc:text xml:space="preserve">378 = Elvia</x18tc:text>
  </x18tc:threadedComment>
  <x18tc:threadedComment ref="F49" dT="2024-04-06T20:03:04.00" personId="{cd3f7e8d-224e-48d6-8dd7-94b59982bcc3}" id="{22a8680c-a254-49a3-b32c-5c3d0adb0eaf}" done="0">
    <x18tc:text xml:space="preserve">1 943 = Innbetaling av restskatt</x18tc:text>
  </x18tc:threadedComment>
  <x18tc:threadedComment ref="F49" dT="2024-04-12T05:50:40.00" personId="{cd3f7e8d-224e-48d6-8dd7-94b59982bcc3}" id="{3bdc6afd-3a4c-4a11-ac71-5e5e29aeca8f}" parentId="{22a8680c-a254-49a3-b32c-5c3d0adb0eaf}">
    <x18tc:text xml:space="preserve">100 = Bryllupsgave Mari</x18tc:text>
  </x18tc:threadedComment>
  <x18tc:threadedComment ref="F49" dT="2024-04-21T10:26:53.00" personId="{cd3f7e8d-224e-48d6-8dd7-94b59982bcc3}" id="{85ca0ee7-5d43-4cfb-a7fe-a205d74f24a3}" parentId="{22a8680c-a254-49a3-b32c-5c3d0adb0eaf}">
    <x18tc:text xml:space="preserve">250 = Blomster til Ane</x18tc:text>
  </x18tc:threadedComment>
  <x18tc:threadedComment ref="F49" dT="2024-04-21T10:31:24.00" personId="{cd3f7e8d-224e-48d6-8dd7-94b59982bcc3}" id="{2f5f3b79-d72d-42fc-a4b5-2caaeb742ea8}" parentId="{22a8680c-a254-49a3-b32c-5c3d0adb0eaf}">
    <x18tc:text xml:space="preserve">950 = Bursdagsgave Sam (og trøstegave Luis)</x18tc:text>
  </x18tc:threadedComment>
  <x18tc:threadedComment ref="J22" dT="2024-08-02T09:53:34.00" personId="{cd3f7e8d-224e-48d6-8dd7-94b59982bcc3}" id="{3d3bbd32-b5e1-4c9b-95bf-2f05f18c7943}" done="0">
    <x18tc:text xml:space="preserve">918 = Pironman
7 215= RPI Infrastruktur</x18tc:text>
  </x18tc:threadedComment>
  <x18tc:threadedComment ref="J22" dT="2024-08-09T23:06:35.00" personId="{cd3f7e8d-224e-48d6-8dd7-94b59982bcc3}" id="{7a80f0a6-3f63-418e-b8c5-c8f8194e935b}" parentId="{3d3bbd32-b5e1-4c9b-95bf-2f05f18c7943}">
    <x18tc:text xml:space="preserve">89 = HDMI-adapter</x18tc:text>
  </x18tc:threadedComment>
  <x18tc:threadedComment ref="J22" dT="2024-08-26T19:15:08.00" personId="{cd3f7e8d-224e-48d6-8dd7-94b59982bcc3}" id="{f7f0e53f-0e19-4022-acdd-5aee8a820065}" parentId="{3d3bbd32-b5e1-4c9b-95bf-2f05f18c7943}">
    <x18tc:text xml:space="preserve">418 = TPLink repeater</x18tc:text>
  </x18tc:threadedComment>
  <x18tc:threadedComment ref="G25" dT="2024-04-22T20:35:27.00" personId="{cd3f7e8d-224e-48d6-8dd7-94b59982bcc3}" id="{9935a45a-8936-4592-97a0-2c75bf69a21a}" done="0">
    <x18tc:text xml:space="preserve">299 = Telia (mobil)</x18tc:text>
  </x18tc:threadedComment>
  <x18tc:threadedComment ref="G25" dT="2024-05-02T05:47:44.00" personId="{cd3f7e8d-224e-48d6-8dd7-94b59982bcc3}" id="{25451493-b27c-4dbc-a66f-71e929799cf8}" parentId="{9935a45a-8936-4592-97a0-2c75bf69a21a}">
    <x18tc:text xml:space="preserve">115 = Fitbit</x18tc:text>
  </x18tc:threadedComment>
  <x18tc:threadedComment ref="G25" dT="2024-05-06T20:28:31.00" personId="{cd3f7e8d-224e-48d6-8dd7-94b59982bcc3}" id="{348ca5d8-35f9-4ec6-9e93-d8822a0775eb}" parentId="{9935a45a-8936-4592-97a0-2c75bf69a21a}">
    <x18tc:text xml:space="preserve">148 = Netflix</x18tc:text>
  </x18tc:threadedComment>
  <x18tc:threadedComment ref="G25" dT="2024-05-31T20:16:09.00" personId="{cd3f7e8d-224e-48d6-8dd7-94b59982bcc3}" id="{4df2b741-f75b-4265-9a9c-a5dbd356e09b}" parentId="{9935a45a-8936-4592-97a0-2c75bf69a21a}">
    <x18tc:text xml:space="preserve">149 = Youtube Music</x18tc:text>
  </x18tc:threadedComment>
  <x18tc:threadedComment ref="G46" dT="2024-05-17T09:45:11.00" personId="{cd3f7e8d-224e-48d6-8dd7-94b59982bcc3}" id="{d7471634-9343-430b-94f3-9b7b48f00efa}" done="0">
    <x18tc:text xml:space="preserve">275 = Driftsbidrag</x18tc:text>
  </x18tc:threadedComment>
  <x18tc:threadedComment ref="L49" dT="2024-10-07T05:57:45.00" personId="{cd3f7e8d-224e-48d6-8dd7-94b59982bcc3}" id="{399f0290-a1e8-4d98-b848-24a5bd5971d3}" done="0">
    <x18tc:text xml:space="preserve">50 = Gave Jon Stolpesæter</x18tc:text>
  </x18tc:threadedComment>
  <x18tc:threadedComment ref="L49" dT="2024-10-11T08:07:58.00" personId="{cd3f7e8d-224e-48d6-8dd7-94b59982bcc3}" id="{2fa1916f-1248-4e35-8978-c5c75d2da95f}" parentId="{399f0290-a1e8-4d98-b848-24a5bd5971d3}">
    <x18tc:text xml:space="preserve">100 = Gave til Ørjan</x18tc:text>
  </x18tc:threadedComment>
  <x18tc:threadedComment ref="L49" dT="2024-10-12T18:22:48.00" personId="{cd3f7e8d-224e-48d6-8dd7-94b59982bcc3}" id="{7d24028b-bf1e-41dd-ae5f-20e5f4259633}" parentId="{399f0290-a1e8-4d98-b848-24a5bd5971d3}">
    <x18tc:text xml:space="preserve">2 000 = Diverse</x18tc:text>
  </x18tc:threadedComment>
  <x18tc:threadedComment ref="L49" dT="2024-10-12T18:45:07.00" personId="{cd3f7e8d-224e-48d6-8dd7-94b59982bcc3}" id="{0342ee78-0fd5-4f38-b4bf-b7cf7fcca4ff}" parentId="{399f0290-a1e8-4d98-b848-24a5bd5971d3}">
    <x18tc:text xml:space="preserve">379 = Gave Ane</x18tc:text>
  </x18tc:threadedComment>
  <x18tc:threadedComment ref="L49" dT="2024-10-18T21:40:35.00" personId="{cd3f7e8d-224e-48d6-8dd7-94b59982bcc3}" id="{c2cb4b0a-16d3-48b5-b681-ef17f846e6df}" parentId="{399f0290-a1e8-4d98-b848-24a5bd5971d3}">
    <x18tc:text xml:space="preserve">800 = Gave Wilhelm + 500 som Ane bidro med</x18tc:text>
  </x18tc:threadedComment>
  <x18tc:threadedComment ref="G28" dT="2024-05-17T09:44:36.00" personId="{cd3f7e8d-224e-48d6-8dd7-94b59982bcc3}" id="{9794bb0f-ea42-40e9-bbf7-6c02f1f97898}" done="0">
    <x18tc:text xml:space="preserve">1 000 = Innbetaling Tribevogn
160 = Bensin XSRotte</x18tc:text>
  </x18tc:threadedComment>
  <x18tc:threadedComment ref="C49" dT="2024-01-07T13:56:45.00" personId="{cd3f7e8d-224e-48d6-8dd7-94b59982bcc3}" id="{f9ca8d04-9827-4ae3-a41c-2fb17d252255}" done="0">
    <x18tc:text xml:space="preserve">200 = Nøtter til Ane</x18tc:text>
  </x18tc:threadedComment>
  <x18tc:threadedComment ref="C49" dT="2024-01-17T22:43:44.00" personId="{cd3f7e8d-224e-48d6-8dd7-94b59982bcc3}" id="{fd413423-8d19-48b6-b356-894267c3006f}" parentId="{f9ca8d04-9827-4ae3-a41c-2fb17d252255}">
    <x18tc:text xml:space="preserve">75 = Avskjedsgave til kollega Sebastian</x18tc:text>
  </x18tc:threadedComment>
  <x18tc:threadedComment ref="C49" dT="2024-01-21T21:52:00.00" personId="{cd3f7e8d-224e-48d6-8dd7-94b59982bcc3}" id="{799fbcb3-3645-4c16-a5d0-8d33e25065dc}" parentId="{f9ca8d04-9827-4ae3-a41c-2fb17d252255}">
    <x18tc:text xml:space="preserve">300 = Medlemskap Røde Kors</x18tc:text>
  </x18tc:threadedComment>
  <x18tc:threadedComment ref="C49" dT="2024-01-21T21:52:27.00" personId="{cd3f7e8d-224e-48d6-8dd7-94b59982bcc3}" id="{6b4254ed-b99e-4abd-aac8-b38e80545bd9}" parentId="{f9ca8d04-9827-4ae3-a41c-2fb17d252255}">
    <x18tc:text xml:space="preserve">75 = Gave til Hans (kollega)</x18tc:text>
  </x18tc:threadedComment>
  <x18tc:threadedComment ref="C49" dT="2024-02-01T06:52:15.00" personId="{cd3f7e8d-224e-48d6-8dd7-94b59982bcc3}" id="{29ef8c4d-6798-4589-a7bb-dfdf85da9876}" parentId="{f9ca8d04-9827-4ae3-a41c-2fb17d252255}">
    <x18tc:text xml:space="preserve">320 = Blomster til Ane</x18tc:text>
  </x18tc:threadedComment>
  <x18tc:threadedComment ref="I46" dT="2024-08-02T09:43:44.00" personId="{cd3f7e8d-224e-48d6-8dd7-94b59982bcc3}" id="{72abf03a-25f5-4c13-931a-15d67380fa7b}" done="0">
    <x18tc:text xml:space="preserve">275 = Driftsbidrag</x18tc:text>
  </x18tc:threadedComment>
  <x18tc:threadedComment ref="G34" dT="2024-05-06T20:18:28.00" personId="{cd3f7e8d-224e-48d6-8dd7-94b59982bcc3}" id="{f0fbc048-ee38-450b-932f-1e303130e716}" done="0">
    <x18tc:text xml:space="preserve">300 = Mekkehjelp Felgen</x18tc:text>
  </x18tc:threadedComment>
  <x18tc:threadedComment ref="G34" dT="2024-05-17T09:30:51.00" personId="{cd3f7e8d-224e-48d6-8dd7-94b59982bcc3}" id="{ee584fa4-6321-4115-bf9d-492cc786793d}" parentId="{f0fbc048-ee38-450b-932f-1e303130e716}">
    <x18tc:text xml:space="preserve">910 = Styreveske og tilbehør gir fra Bikeshop</x18tc:text>
  </x18tc:threadedComment>
  <x18tc:threadedComment ref="G34" dT="2024-05-17T09:32:17.00" personId="{cd3f7e8d-224e-48d6-8dd7-94b59982bcc3}" id="{717359e0-f895-40b2-b588-dabf33b2ede2}" parentId="{f0fbc048-ee38-450b-932f-1e303130e716}">
    <x18tc:text xml:space="preserve">287 = Girvaiere og tilbehør fra Anton Sport</x18tc:text>
  </x18tc:threadedComment>
  <x18tc:threadedComment ref="G34" dT="2024-05-17T09:35:28.00" personId="{cd3f7e8d-224e-48d6-8dd7-94b59982bcc3}" id="{5c17506a-6fb3-4379-8d58-0dac0141fe1a}" parentId="{f0fbc048-ee38-450b-932f-1e303130e716}">
    <x18tc:text xml:space="preserve">202 = Sitteunderlag og gass fra XXL</x18tc:text>
  </x18tc:threadedComment>
  <x18tc:threadedComment ref="D46" dT="2024-02-13T06:19:14.00" personId="{cd3f7e8d-224e-48d6-8dd7-94b59982bcc3}" id="{bb06b889-8ba3-428c-89eb-ddae688ff364}" done="0">
    <x18tc:text xml:space="preserve">5 776 = Etablering bredbånd og månedsavgift</x18tc:text>
  </x18tc:threadedComment>
  <x18tc:threadedComment ref="D37" dT="2024-02-11T00:05:40.00" personId="{cd3f7e8d-224e-48d6-8dd7-94b59982bcc3}" id="{312567c1-e7cc-45e2-9672-475c92f02fd5}" done="0">
    <x18tc:text xml:space="preserve">394 = Min cut Hyrebil elbil-messe</x18tc:text>
  </x18tc:threadedComment>
  <x18tc:threadedComment ref="D37" dT="2024-02-18T22:21:26.00" personId="{cd3f7e8d-224e-48d6-8dd7-94b59982bcc3}" id="{cb8b21a5-97d5-4f8a-9871-d78f0505c813}" parentId="{312567c1-e7cc-45e2-9672-475c92f02fd5}">
    <x18tc:text xml:space="preserve">1 676 = Min cut Hyrebil langhelg Beitostølen</x18tc:text>
  </x18tc:threadedComment>
  <x18tc:threadedComment ref="I49" dT="2024-08-02T09:42:22.00" personId="{cd3f7e8d-224e-48d6-8dd7-94b59982bcc3}" id="{966edb59-18fb-45c4-9440-40530bdcc2dc}" done="0">
    <x18tc:text xml:space="preserve">199 = Bursdagsgave Motro (min cut)</x18tc:text>
  </x18tc:threadedComment>
  <x18tc:threadedComment ref="I49" dT="2024-08-02T09:44:44.00" personId="{cd3f7e8d-224e-48d6-8dd7-94b59982bcc3}" id="{d53fba54-d557-4746-a662-cd1aa4a8adf4}" parentId="{966edb59-18fb-45c4-9440-40530bdcc2dc}">
    <x18tc:text xml:space="preserve">1 500 = Diverse</x18tc:text>
  </x18tc:threadedComment>
  <x18tc:threadedComment ref="H25" dT="2024-05-23T22:57:33.00" personId="{cd3f7e8d-224e-48d6-8dd7-94b59982bcc3}" id="{1dab6664-89b2-44d1-a918-e4c1a72f27aa}" done="0">
    <x18tc:text xml:space="preserve">299 = Telia (mobil)</x18tc:text>
  </x18tc:threadedComment>
  <x18tc:threadedComment ref="H25" dT="2024-06-02T20:52:44.00" personId="{cd3f7e8d-224e-48d6-8dd7-94b59982bcc3}" id="{2d03176d-ce9c-4e0a-abb4-406d217a0405}" parentId="{1dab6664-89b2-44d1-a918-e4c1a72f27aa}">
    <x18tc:text xml:space="preserve">115 = Fitbit</x18tc:text>
  </x18tc:threadedComment>
  <x18tc:threadedComment ref="H25" dT="2024-06-02T20:53:39.00" personId="{cd3f7e8d-224e-48d6-8dd7-94b59982bcc3}" id="{22793bcc-8597-4385-a21c-bc2644b54a65}" parentId="{1dab6664-89b2-44d1-a918-e4c1a72f27aa}">
    <x18tc:text xml:space="preserve">239 = Årsabonnement Google One</x18tc:text>
  </x18tc:threadedComment>
  <x18tc:threadedComment ref="H25" dT="2024-06-04T21:08:44.00" personId="{cd3f7e8d-224e-48d6-8dd7-94b59982bcc3}" id="{09d43b06-91fa-42e7-bff0-3b3d4fa62014}" parentId="{1dab6664-89b2-44d1-a918-e4c1a72f27aa}">
    <x18tc:text xml:space="preserve">148 = Netflix</x18tc:text>
  </x18tc:threadedComment>
  <x18tc:threadedComment ref="H25" dT="2024-08-02T09:38:03.00" personId="{cd3f7e8d-224e-48d6-8dd7-94b59982bcc3}" id="{eb5e76f8-a9c6-4fc3-816f-1fe1324445ca}" parentId="{1dab6664-89b2-44d1-a918-e4c1a72f27aa}">
    <x18tc:text xml:space="preserve">149 = YouTube Music</x18tc:text>
  </x18tc:threadedComment>
  <x18tc:threadedComment ref="H49" dT="2024-06-02T20:52:02.00" personId="{cd3f7e8d-224e-48d6-8dd7-94b59982bcc3}" id="{ef2182b0-2373-49e2-835a-ed584ba6966c}" done="0">
    <x18tc:text xml:space="preserve">150 = Gave Liam, min cut (Ane spleiser)</x18tc:text>
  </x18tc:threadedComment>
  <x18tc:threadedComment ref="H49" dT="2024-06-02T21:23:25.00" personId="{cd3f7e8d-224e-48d6-8dd7-94b59982bcc3}" id="{b588b15c-70f8-4406-a2a3-cb469a33ab2a}" parentId="{ef2182b0-2373-49e2-835a-ed584ba6966c}">
    <x18tc:text xml:space="preserve">676 = Bursdagsgave Luis, min cut (Ane spleiser med 200)</x18tc:text>
  </x18tc:threadedComment>
  <x18tc:threadedComment ref="H49" dT="2024-06-09T20:16:41.00" personId="{cd3f7e8d-224e-48d6-8dd7-94b59982bcc3}" id="{bb672cdd-de96-45d0-beec-974211ce34af}" parentId="{ef2182b0-2373-49e2-835a-ed584ba6966c}">
    <x18tc:text xml:space="preserve">400 = Årsavgift Norsk Forening for Jus og EDB</x18tc:text>
  </x18tc:threadedComment>
  <x18tc:threadedComment ref="H49" dT="2024-08-02T09:35:31.00" personId="{cd3f7e8d-224e-48d6-8dd7-94b59982bcc3}" id="{594eac97-3814-407f-ae50-b4940cf633b0}" parentId="{ef2182b0-2373-49e2-835a-ed584ba6966c}">
    <x18tc:text xml:space="preserve">100 = Bidrag til Spleis hjertesyk vandrer</x18tc:text>
  </x18tc:threadedComment>
  <x18tc:threadedComment ref="H49" dT="2024-08-02T09:38:35.00" personId="{cd3f7e8d-224e-48d6-8dd7-94b59982bcc3}" id="{00f91efb-ef19-44a0-ae9e-637ae9ca8409}" parentId="{ef2182b0-2373-49e2-835a-ed584ba6966c}">
    <x18tc:text xml:space="preserve">1 000 = Diverse</x18tc:text>
  </x18tc:threadedComment>
  <x18tc:threadedComment ref="C14" dT="2024-01-21T21:54:07.00" personId="{cd3f7e8d-224e-48d6-8dd7-94b59982bcc3}" id="{099f46b8-6964-4d13-9a9f-d8b8cf84c130}" done="0">
    <x18tc:text xml:space="preserve">575 = UiO</x18tc:text>
  </x18tc:threadedComment>
  <x18tc:threadedComment ref="C14" dT="2024-02-01T06:53:23.00" personId="{cd3f7e8d-224e-48d6-8dd7-94b59982bcc3}" id="{a042ad52-602c-4470-8d5e-ab97a2a5c694}" parentId="{099f46b8-6964-4d13-9a9f-d8b8cf84c130}">
    <x18tc:text xml:space="preserve">2 182 = Renter</x18tc:text>
  </x18tc:threadedComment>
  <x18tc:threadedComment ref="F25" dT="2024-03-25T07:14:09.00" personId="{cd3f7e8d-224e-48d6-8dd7-94b59982bcc3}" id="{c1058a99-761c-48c4-a0f9-d34ba6e7d6f7}" done="0">
    <x18tc:text xml:space="preserve">299 = Telia (mobil)</x18tc:text>
  </x18tc:threadedComment>
  <x18tc:threadedComment ref="F25" dT="2024-04-04T21:22:02.00" personId="{cd3f7e8d-224e-48d6-8dd7-94b59982bcc3}" id="{5a40c168-c190-46ca-b255-dec9a08f0019}" parentId="{c1058a99-761c-48c4-a0f9-d34ba6e7d6f7}">
    <x18tc:text xml:space="preserve">148 = Netflix
115 = Fitbit</x18tc:text>
  </x18tc:threadedComment>
  <x18tc:threadedComment ref="F25" dT="2024-04-04T21:27:53.00" personId="{cd3f7e8d-224e-48d6-8dd7-94b59982bcc3}" id="{42ed5002-4a08-40f6-a41b-1db34d1b8547}" parentId="{c1058a99-761c-48c4-a0f9-d34ba6e7d6f7}">
    <x18tc:text xml:space="preserve">147 = Telia (internett)</x18tc:text>
  </x18tc:threadedComment>
  <x18tc:threadedComment ref="F25" dT="2024-04-16T04:58:22.00" personId="{cd3f7e8d-224e-48d6-8dd7-94b59982bcc3}" id="{f61e2f3b-1204-485e-90f1-40aab1b2e3e7}" parentId="{c1058a99-761c-48c4-a0f9-d34ba6e7d6f7}">
    <x18tc:text xml:space="preserve">379  = Garmin SAR-abonnement</x18tc:text>
  </x18tc:threadedComment>
  <x18tc:threadedComment ref="F25" dT="2024-04-29T05:08:23.00" personId="{cd3f7e8d-224e-48d6-8dd7-94b59982bcc3}" id="{8419eef5-27ad-4318-8a0a-2af3b173d2a7}" parentId="{c1058a99-761c-48c4-a0f9-d34ba6e7d6f7}">
    <x18tc:text xml:space="preserve">344 = Garmin basis-abonnnement</x18tc:text>
  </x18tc:threadedComment>
  <x18tc:threadedComment ref="F25" dT="2024-04-29T05:09:57.00" personId="{cd3f7e8d-224e-48d6-8dd7-94b59982bcc3}" id="{05acde18-10f1-4edc-8c45-50cdaf88d906}" parentId="{c1058a99-761c-48c4-a0f9-d34ba6e7d6f7}">
    <x18tc:text xml:space="preserve">149 = Youtube Music</x18tc:text>
  </x18tc:threadedComment>
  <x18tc:threadedComment ref="H31" dT="2024-06-02T20:51:18.00" personId="{cd3f7e8d-224e-48d6-8dd7-94b59982bcc3}" id="{587f7f36-a2ad-41ac-95ab-8bea7eb72820}" done="0">
    <x18tc:text xml:space="preserve">461 = Legevaktbesøk inkl. vaksine stivkrampe m.fl.</x18tc:text>
    <x18tc:extLst>
      <ext uri="{F7C98A9C-CBB3-438F-8F68-D28B6AF4A901}">
        <xltc2:checksum/>
        <xltc2:hyperlink startIndex="45" length="4" url="http://m.fl"/>
      </ext>
    </x18tc:extLst>
  </x18tc:threadedComment>
  <x18tc:threadedComment ref="H31" dT="2024-06-12T21:28:48.00" personId="{cd3f7e8d-224e-48d6-8dd7-94b59982bcc3}" id="{fe22f072-3e1f-4e37-924f-51ad32afc78d}" parentId="{587f7f36-a2ad-41ac-95ab-8bea7eb72820}">
    <x18tc:text xml:space="preserve">224 = Konsultasjon om betablokkere Storoklinikken</x18tc:text>
  </x18tc:threadedComment>
  <x18tc:threadedComment ref="G49" dT="2024-04-21T10:42:13.00" personId="{cd3f7e8d-224e-48d6-8dd7-94b59982bcc3}" id="{365c3992-2087-4869-9488-01b339478227}" done="0">
    <x18tc:text xml:space="preserve">200 = Medlemskap OBOS</x18tc:text>
  </x18tc:threadedComment>
  <x18tc:threadedComment ref="G49" dT="2024-05-06T20:16:26.00" personId="{cd3f7e8d-224e-48d6-8dd7-94b59982bcc3}" id="{cc745ba0-d16a-4e36-b56b-a0a48e28bee1}" parentId="{365c3992-2087-4869-9488-01b339478227}">
    <x18tc:text xml:space="preserve">200 = Gaver Thomas og Kåre</x18tc:text>
  </x18tc:threadedComment>
  <x18tc:threadedComment ref="G49" dT="2024-05-06T20:19:35.00" personId="{cd3f7e8d-224e-48d6-8dd7-94b59982bcc3}" id="{933fd4e9-299d-4c3c-b642-3ade1d07e89d}" parentId="{365c3992-2087-4869-9488-01b339478227}">
    <x18tc:text xml:space="preserve">149 = Hverdagsgave Ane (Mehr)</x18tc:text>
  </x18tc:threadedComment>
  <x18tc:threadedComment ref="G49" dT="2024-05-12T21:42:15.00" personId="{cd3f7e8d-224e-48d6-8dd7-94b59982bcc3}" id="{b647e729-f86e-4b99-8580-20ebbd098c62}" parentId="{365c3992-2087-4869-9488-01b339478227}">
    <x18tc:text xml:space="preserve">400 = Bursdagsgave Tor
477 =  Bursdagsgave Oda</x18tc:text>
  </x18tc:threadedComment>
  <x18tc:threadedComment ref="G49" dT="2024-05-17T09:30:11.00" personId="{cd3f7e8d-224e-48d6-8dd7-94b59982bcc3}" id="{ae9927de-8fee-47b3-86ce-0e38e1bbdbba}" parentId="{365c3992-2087-4869-9488-01b339478227}">
    <x18tc:text xml:space="preserve">343 = Blomster Ane</x18tc:text>
  </x18tc:threadedComment>
  <x18tc:threadedComment ref="G49" dT="2024-05-17T09:35:02.00" personId="{cd3f7e8d-224e-48d6-8dd7-94b59982bcc3}" id="{75e390f2-d16d-42da-8c74-5956aea2f413}" parentId="{365c3992-2087-4869-9488-01b339478227}">
    <x18tc:text xml:space="preserve">100 = Gave til Norunn</x18tc:text>
  </x18tc:threadedComment>
  <x18tc:threadedComment ref="G49" dT="2024-05-23T22:57:54.00" personId="{cd3f7e8d-224e-48d6-8dd7-94b59982bcc3}" id="{b7c5ea09-eba8-410f-8c45-d06aa5959bc9}" parentId="{365c3992-2087-4869-9488-01b339478227}">
    <x18tc:text xml:space="preserve">1 500 = Coaching Viggo</x18tc:text>
  </x18tc:threadedComment>
  <x18tc:threadedComment ref="E37" dT="2024-03-25T07:21:23.00" personId="{cd3f7e8d-224e-48d6-8dd7-94b59982bcc3}" id="{c9e9a801-dcb9-467b-89d8-94ec7ede7392}" done="0">
    <x18tc:text xml:space="preserve">470 = Min cut Hyrebil villmarksmesse</x18tc:text>
  </x18tc:threadedComment>
  <x18tc:threadedComment ref="M31" dT="2024-11-08T21:31:10.00" personId="{cd3f7e8d-224e-48d6-8dd7-94b59982bcc3}" id="{1f1df7ac-6fea-470a-92b3-7315ff45e5e9}" done="0">
    <x18tc:text xml:space="preserve">700 = Frisør</x18tc:text>
  </x18tc:threadedComment>
  <x18tc:threadedComment ref="M25" dT="2024-10-26T17:00:49.00" personId="{cd3f7e8d-224e-48d6-8dd7-94b59982bcc3}" id="{92bb3d5e-25f8-4e21-9119-d06f4cc75d21}" done="0">
    <x18tc:text xml:space="preserve">299 = Telia (mobil)</x18tc:text>
  </x18tc:threadedComment>
  <x18tc:threadedComment ref="M25" dT="2024-11-03T21:12:01.00" personId="{cd3f7e8d-224e-48d6-8dd7-94b59982bcc3}" id="{e952dcdb-f357-4fb1-9df1-ad1850372db2}" parentId="{92bb3d5e-25f8-4e21-9119-d06f4cc75d21}">
    <x18tc:text xml:space="preserve">115 = Fitbit</x18tc:text>
  </x18tc:threadedComment>
  <x18tc:threadedComment ref="M25" dT="2024-11-04T20:07:08.00" personId="{cd3f7e8d-224e-48d6-8dd7-94b59982bcc3}" id="{e24b2341-fcad-4c06-a661-4f96028adb45}" parentId="{92bb3d5e-25f8-4e21-9119-d06f4cc75d21}">
    <x18tc:text xml:space="preserve">148 = Netflix</x18tc:text>
  </x18tc:threadedComment>
  <x18tc:threadedComment ref="M25" dT="2024-11-23T10:03:09.00" personId="{cd3f7e8d-224e-48d6-8dd7-94b59982bcc3}" id="{e0f95d3a-0d47-47c9-a613-16202e3d9372}" parentId="{92bb3d5e-25f8-4e21-9119-d06f4cc75d21}">
    <x18tc:text xml:space="preserve">227 = Anthropic</x18tc:text>
  </x18tc:threadedComment>
  <x18tc:threadedComment ref="M25" dT="2024-11-29T08:18:35.00" personId="{cd3f7e8d-224e-48d6-8dd7-94b59982bcc3}" id="{ea10669a-37d4-4c83-ab83-e9691be3b107}" parentId="{92bb3d5e-25f8-4e21-9119-d06f4cc75d21}">
    <x18tc:text xml:space="preserve">219 = Youtube Music</x18tc:text>
  </x18tc:threadedComment>
  <x18tc:threadedComment ref="F28" dT="2024-04-04T21:19:58.00" personId="{cd3f7e8d-224e-48d6-8dd7-94b59982bcc3}" id="{e6641b93-f85c-4fd8-96f0-402cc6d94d52}" done="0">
    <x18tc:text xml:space="preserve">1 000 = Innbetaling Tribevogn</x18tc:text>
  </x18tc:threadedComment>
  <x18tc:threadedComment ref="H14" dT="2024-06-02T20:50:12.00" personId="{cd3f7e8d-224e-48d6-8dd7-94b59982bcc3}" id="{802f8af3-0a84-4c0b-bb68-da0f8d97a637}" done="0">
    <x18tc:text xml:space="preserve">2 897 = Tilbakebetaling overskytende forsikring XS Rotte</x18tc:text>
  </x18tc:threadedComment>
  <x18tc:threadedComment ref="H19" dT="2024-04-21T10:42:51.00" personId="{cd3f7e8d-224e-48d6-8dd7-94b59982bcc3}" id="{5c405f9b-31b5-4d0b-880a-57c839f70b1b}" done="0">
    <x18tc:text xml:space="preserve">469 = Verisure</x18tc:text>
  </x18tc:threadedComment>
  <x18tc:threadedComment ref="H19" dT="2024-05-17T09:38:47.00" personId="{cd3f7e8d-224e-48d6-8dd7-94b59982bcc3}" id="{0a3325e3-b44e-41fb-93ef-0fc8ddc40561}" parentId="{5c405f9b-31b5-4d0b-880a-57c839f70b1b}">
    <x18tc:text xml:space="preserve">7 321 = Fellesavgifter</x18tc:text>
  </x18tc:threadedComment>
  <x18tc:threadedComment ref="H19" dT="2024-06-02T21:04:36.00" personId="{cd3f7e8d-224e-48d6-8dd7-94b59982bcc3}" id="{916a8f13-01b7-415e-bbc6-0be5a08149c2}" parentId="{5c405f9b-31b5-4d0b-880a-57c839f70b1b}">
    <x18tc:text xml:space="preserve">5 627 = Lån</x18tc:text>
  </x18tc:threadedComment>
  <x18tc:threadedComment ref="H19" dT="2024-06-04T21:01:27.00" personId="{cd3f7e8d-224e-48d6-8dd7-94b59982bcc3}" id="{34c88490-6f0b-42a2-9367-10358abf3286}" parentId="{5c405f9b-31b5-4d0b-880a-57c839f70b1b}">
    <x18tc:text xml:space="preserve">224 = Tibber</x18tc:text>
  </x18tc:threadedComment>
  <x18tc:threadedComment ref="H19" dT="2024-06-04T21:17:16.00" personId="{cd3f7e8d-224e-48d6-8dd7-94b59982bcc3}" id="{82b93e58-1a73-4519-a7a9-283c867eb1f1}" parentId="{5c405f9b-31b5-4d0b-880a-57c839f70b1b}">
    <x18tc:text xml:space="preserve">333  =Elvia</x18tc:text>
  </x18tc:threadedComment>
  <x18tc:threadedComment ref="L37" dT="2024-10-26T16:58:21.00" personId="{cd3f7e8d-224e-48d6-8dd7-94b59982bcc3}" id="{464d6155-baa1-4002-9348-756127606437}" done="0">
    <x18tc:text xml:space="preserve">1 079 = Western Hotel Gardermoen</x18tc:text>
  </x18tc:threadedComment>
  <x18tc:threadedComment ref="H28" dT="2024-06-02T20:48:44.00" personId="{cd3f7e8d-224e-48d6-8dd7-94b59982bcc3}" id="{ea1da802-028a-4f2e-b511-4e7a15bc18df}" done="0">
    <x18tc:text xml:space="preserve">3 000 = Innbetaling Tribevogn</x18tc:text>
  </x18tc:threadedComment>
  <x18tc:threadedComment ref="H28" dT="2024-06-08T23:40:26.00" personId="{cd3f7e8d-224e-48d6-8dd7-94b59982bcc3}" id="{d5693b2b-9da6-4628-a8ba-9cfa311bc2b8}" parentId="{ea1da802-028a-4f2e-b511-4e7a15bc18df}">
    <x18tc:text xml:space="preserve">1 500 = Ekstraordinær innbetaling Tribevogn</x18tc:text>
  </x18tc:threadedComment>
  <x18tc:threadedComment ref="H28" dT="2024-08-02T09:28:54.00" personId="{cd3f7e8d-224e-48d6-8dd7-94b59982bcc3}" id="{6f5edd33-5c40-420c-a3d0-779ee9844cfb}" parentId="{ea1da802-028a-4f2e-b511-4e7a15bc18df}">
    <x18tc:text xml:space="preserve">600 = Ekstraordinær innbetaling Tribevogn</x18tc:text>
  </x18tc:threadedComment>
  <x18tc:threadedComment ref="C37" dT="2024-01-01T21:21:33.00" personId="{cd3f7e8d-224e-48d6-8dd7-94b59982bcc3}" id="{745a5b63-bc51-46b2-83c8-b95d1980e5fa}" done="0">
    <x18tc:text xml:space="preserve">1 681 = Min cut Hyrebil Beitostølen</x18tc:text>
  </x18tc:threadedComment>
  <x18tc:threadedComment ref="C37" dT="2024-02-08T22:27:37.00" personId="{cd3f7e8d-224e-48d6-8dd7-94b59982bcc3}" id="{0ef5e09b-fab1-435c-825b-b4658796a50a}" parentId="{745a5b63-bc51-46b2-83c8-b95d1980e5fa}">
    <x18tc:text xml:space="preserve">1 250 = Min cut Hyrebil Beitostølen</x18tc:text>
  </x18tc:threadedComment>
  <x18tc:threadedComment ref="E34" dT="2024-03-05T05:29:36.00" personId="{cd3f7e8d-224e-48d6-8dd7-94b59982bcc3}" id="{f363b261-2717-4720-848f-413787ed73cc}" done="0">
    <x18tc:text xml:space="preserve">56 = Toll reservedeler skjermer Surly</x18tc:text>
  </x18tc:threadedComment>
  <x18tc:threadedComment ref="E34" dT="2024-03-25T07:23:23.00" personId="{cd3f7e8d-224e-48d6-8dd7-94b59982bcc3}" id="{42267088-5e85-43f8-93ec-1e6b8b374878}" parentId="{f363b261-2717-4720-848f-413787ed73cc}">
    <x18tc:text xml:space="preserve">1 292 = Turklær villmarksmesse</x18tc:text>
  </x18tc:threadedComment>
  <x18tc:threadedComment ref="E34" dT="2024-03-28T11:57:22.00" personId="{cd3f7e8d-224e-48d6-8dd7-94b59982bcc3}" id="{87b1250b-34cd-4379-a433-446a329b7ef5}" parentId="{f363b261-2717-4720-848f-413787ed73cc}">
    <x18tc:text xml:space="preserve">3 751 = Dekk og felgbånd fra Bike Components</x18tc:text>
  </x18tc:threadedComment>
  <x18tc:threadedComment ref="E34" dT="2024-03-28T11:58:08.00" personId="{cd3f7e8d-224e-48d6-8dd7-94b59982bcc3}" id="{37f72e67-cdc7-45d6-a66c-f0da8d7925a8}" parentId="{f363b261-2717-4720-848f-413787ed73cc}">
    <x18tc:text xml:space="preserve">418 = Navolje fra Bikeshop</x18tc:text>
  </x18tc:threadedComment>
  <x18tc:threadedComment ref="E34" dT="2024-03-28T11:58:39.00" personId="{cd3f7e8d-224e-48d6-8dd7-94b59982bcc3}" id="{34631ff2-9ce0-4876-b6a5-188a7176c721}" parentId="{f363b261-2717-4720-848f-413787ed73cc}">
    <x18tc:text xml:space="preserve">851 = Servicedeler Rohloff og White Industries fra SJS Cycles</x18tc:text>
  </x18tc:threadedComment>
  <x18tc:threadedComment ref="H37" dT="2024-08-02T09:20:05.00" personId="{cd3f7e8d-224e-48d6-8dd7-94b59982bcc3}" id="{1d0b19f1-137a-44a6-a11d-fae340629307}" done="0">
    <x18tc:text xml:space="preserve">1 921 = Lindesnes Havhotell
1 615 = Radisson Blu Caledonien Hotel
1 119 = Revsnes Hotell
120 = Inngang Lindesnes fyr
1 190 = Bergtun hotell
933 = Raulandsakademiet
950 = Hesla Gaard
2 290 = Scandic Fagernes 
1 140 = Bygdin fjellhotell
1 600 = Sødorp Gjestgiveri 
900 = Retrohuset Folldal 
154 = Røros Vertshus 
895 = Støren Hotell
2 477 = Quality Hotell Augustin 
70 = Klesvask 
116 = Ferge til Vanvikan</x18tc:text>
  </x18tc:threadedComment>
  <x18tc:threadedComment ref="H46" dT="2024-06-02T20:47:26.00" personId="{cd3f7e8d-224e-48d6-8dd7-94b59982bcc3}" id="{de9cad4f-9679-4fd4-afca-43fc89adae26}" done="0">
    <x18tc:text xml:space="preserve">275 = Driftsbidrag</x18tc:text>
  </x18tc:threadedComment>
  <x18tc:threadedComment ref="I37" dT="2024-08-02T09:26:45.00" personId="{cd3f7e8d-224e-48d6-8dd7-94b59982bcc3}" id="{8d346a13-d12d-4d35-b4f7-cee65c4a20cd}" done="0">
    <x18tc:text xml:space="preserve">1 745 = Quality Hotell Steinkjer 
1 810 = Hotell Skolestua 
1 885 = Thon Hotell Brønnøysund 
1 315 = Scandic Syv Søstre
25 = Ferge til Hofles
350 = Polar Camp 
1 350 = Ørnes Hotell 
1 416 = Thon Partner Hotell
250 = Ferge til Moskenes
809 = Two houses and a barn
1 196 = Vesterålen Kysthotell
1 691 = Thon Hotel Andrikken
3 000 = Viking Hotell
1 242 = Reisafjord Hotell
800 = Altafjord Camping 
461 = Scandic Alta
1 050 = Olderfjord Hotell
3 098 = Scandic Nordkapp 
1 050 = Olderfjord Hotell
330 = Inngang Nordkapp 
1 053 = Verdde Hotell Lakselv 
1 000 = Matkroken Kunes Motel
770 = Mix Tana Motel 
2 853 = Thon Hotel Kirkenes 
1 214 = Scandic Østersund (min cut) 
758 = Haparanda Stadshotell (min cut)</x18tc:text>
  </x18tc:threadedComment>
  <x18tc:threadedComment ref="H34" dT="2024-06-02T21:14:02.00" personId="{cd3f7e8d-224e-48d6-8dd7-94b59982bcc3}" id="{6021b71f-f275-4d7a-8ce1-51bf3945f7bc}" done="0">
    <x18tc:text xml:space="preserve">3 299 = Wahoo Roam 2.0</x18tc:text>
  </x18tc:threadedComment>
  <x18tc:threadedComment ref="H34" dT="2024-06-07T22:24:31.00" personId="{cd3f7e8d-224e-48d6-8dd7-94b59982bcc3}" id="{f6316798-26a0-4744-9f42-5d79374b5834}" parentId="{6021b71f-f275-4d7a-8ce1-51bf3945f7bc}">
    <x18tc:text xml:space="preserve">219 = Chamois</x18tc:text>
  </x18tc:threadedComment>
  <x18tc:threadedComment ref="H34" dT="2024-06-08T23:41:09.00" personId="{cd3f7e8d-224e-48d6-8dd7-94b59982bcc3}" id="{76463dbf-dd05-44d2-8e9d-8ca9f4eab3d4}" parentId="{6021b71f-f275-4d7a-8ce1-51bf3945f7bc}">
    <x18tc:text xml:space="preserve">49 = Batteri til Lezyne minipumpe</x18tc:text>
  </x18tc:threadedComment>
  <x18tc:threadedComment ref="H34" dT="2024-06-16T10:14:00.00" personId="{cd3f7e8d-224e-48d6-8dd7-94b59982bcc3}" id="{398af5dc-163c-49d9-89de-8b7462813a5d}" parentId="{6021b71f-f275-4d7a-8ce1-51bf3945f7bc}">
    <x18tc:text xml:space="preserve">595 = Monsen ullgenser</x18tc:text>
  </x18tc:threadedComment>
  <x18tc:threadedComment ref="H34" dT="2024-06-16T10:14:26.00" personId="{cd3f7e8d-224e-48d6-8dd7-94b59982bcc3}" id="{434c8736-c868-4884-b814-868616f1d55d}" parentId="{6021b71f-f275-4d7a-8ce1-51bf3945f7bc}">
    <x18tc:text xml:space="preserve">95 = Gass Norge på langs</x18tc:text>
  </x18tc:threadedComment>
  <x18tc:threadedComment ref="H34" dT="2024-06-16T10:14:58.00" personId="{cd3f7e8d-224e-48d6-8dd7-94b59982bcc3}" id="{bf4c80aa-9077-461e-9705-7292694fe8a7}" parentId="{6021b71f-f275-4d7a-8ce1-51bf3945f7bc}">
    <x18tc:text xml:space="preserve">59 = Turmat</x18tc:text>
  </x18tc:threadedComment>
  <x18tc:threadedComment ref="H34" dT="2024-06-16T10:15:41.00" personId="{cd3f7e8d-224e-48d6-8dd7-94b59982bcc3}" id="{f676e967-28b3-4827-b476-5c4feddd70de}" parentId="{6021b71f-f275-4d7a-8ce1-51bf3945f7bc}">
    <x18tc:text xml:space="preserve">1 998 = Sykkelbukse og hjelm</x18tc:text>
  </x18tc:threadedComment>
  <x18tc:threadedComment ref="H34" dT="2024-08-02T09:28:09.00" personId="{cd3f7e8d-224e-48d6-8dd7-94b59982bcc3}" id="{c24580c3-0584-4891-a7e2-aa785376bb5e}" parentId="{6021b71f-f275-4d7a-8ce1-51bf3945f7bc}">
    <x18tc:text xml:space="preserve">1 299 = Icebug lette tursko</x18tc:text>
  </x18tc:threadedComment>
  <x18tc:threadedComment ref="H34" dT="2024-08-02T09:34:27.00" personId="{cd3f7e8d-224e-48d6-8dd7-94b59982bcc3}" id="{1775289a-fa17-46a4-9eb5-18fcf03437aa}" parentId="{6021b71f-f275-4d7a-8ce1-51bf3945f7bc}">
    <x18tc:text xml:space="preserve">50 = Styrkebånd</x18tc:text>
  </x18tc:threadedComment>
  <x18tc:threadedComment ref="H34" dT="2024-08-02T09:36:17.00" personId="{cd3f7e8d-224e-48d6-8dd7-94b59982bcc3}" id="{968a2030-ba24-465a-ab57-77ce6ffa8d59}" parentId="{6021b71f-f275-4d7a-8ce1-51bf3945f7bc}">
    <x18tc:text xml:space="preserve">999 = Sykkelbukse</x18tc:text>
  </x18tc:threadedComment>
  <x18tc:threadedComment ref="H34" dT="2024-08-02T09:37:27.00" personId="{cd3f7e8d-224e-48d6-8dd7-94b59982bcc3}" id="{4522bfc8-bf16-4c96-be0c-380d1833c9f1}" parentId="{6021b71f-f275-4d7a-8ce1-51bf3945f7bc}">
    <x18tc:text xml:space="preserve">49 = Umbraco nøkler</x18tc:text>
  </x18tc:threadedComment>
  <x18tc:threadedComment ref="H34" dT="2024-08-02T09:39:01.00" personId="{cd3f7e8d-224e-48d6-8dd7-94b59982bcc3}" id="{5d192e2d-7ba3-4dfc-9643-9384a499e523}" parentId="{6021b71f-f275-4d7a-8ce1-51bf3945f7bc}">
    <x18tc:text xml:space="preserve">200 = Eksperthjelp Sykkelbua</x18tc:text>
  </x18tc:threadedComment>
  <x18tc:threadedComment ref="L28" dT="2024-10-01T20:22:51.00" personId="{cd3f7e8d-224e-48d6-8dd7-94b59982bcc3}" id="{7b73783e-1143-4025-8b4b-2a46f5615f94}" done="0">
    <x18tc:text xml:space="preserve">10 000 = Ekstraordinær overføring
3 000 = Fast månedlig kostnad</x18tc:text>
  </x18tc:threadedComment>
  <x18tc:threadedComment ref="K34" dT="2024-09-01T20:03:50.00" personId="{cd3f7e8d-224e-48d6-8dd7-94b59982bcc3}" id="{552a6619-4617-4336-8a36-dd78eab58e91}" done="0">
    <x18tc:text xml:space="preserve">584 = 7 x B03s bremseklosser</x18tc:text>
  </x18tc:threadedComment>
  <x18tc:threadedComment ref="K34" dT="2024-09-22T20:08:24.00" personId="{cd3f7e8d-224e-48d6-8dd7-94b59982bcc3}" id="{54f29f50-46e3-4188-b796-daa0ce1dc30c}" parentId="{552a6619-4617-4336-8a36-dd78eab58e91}">
    <x18tc:text xml:space="preserve">2 109 = Nytt drivverk No Saint Touring (bikeshop.no)</x18tc:text>
    <x18tc:extLst>
      <ext uri="{F7C98A9C-CBB3-438F-8F68-D28B6AF4A901}">
        <xltc2:checksum/>
        <xltc2:hyperlink startIndex="40" length="11" url="http://bikeshop.no"/>
      </ext>
    </x18tc:extLst>
  </x18tc:threadedComment>
  <x18tc:threadedComment ref="K34" dT="2024-09-22T20:11:14.00" personId="{cd3f7e8d-224e-48d6-8dd7-94b59982bcc3}" id="{e7329458-9120-4d3b-b00e-4ea98bdc0014}" parentId="{552a6619-4617-4336-8a36-dd78eab58e91}">
    <x18tc:text xml:space="preserve">6 451 = Komponenter til nytt touring-hjulsett fra Dogstar (r2-bike)</x18tc:text>
  </x18tc:threadedComment>
  <x18tc:threadedComment ref="I19" dT="2024-06-02T21:04:55.00" personId="{cd3f7e8d-224e-48d6-8dd7-94b59982bcc3}" id="{c6547b9d-d792-441a-8a49-4d8c3ee2a24d}" done="0">
    <x18tc:text xml:space="preserve">469 = Verisure</x18tc:text>
  </x18tc:threadedComment>
  <x18tc:threadedComment ref="I19" dT="2024-08-02T09:39:45.00" personId="{cd3f7e8d-224e-48d6-8dd7-94b59982bcc3}" id="{51a38ab9-e9ff-47c9-9b71-2f1030242174}" parentId="{c6547b9d-d792-441a-8a49-4d8c3ee2a24d}">
    <x18tc:text xml:space="preserve">7 321 = Fellesavgifter
5 627 = Lån</x18tc:text>
  </x18tc:threadedComment>
  <x18tc:threadedComment ref="I19" dT="2024-08-02T09:42:55.00" personId="{cd3f7e8d-224e-48d6-8dd7-94b59982bcc3}" id="{95cd3337-f31f-42f6-8b0e-4ec11452f5da}" parentId="{c6547b9d-d792-441a-8a49-4d8c3ee2a24d}">
    <x18tc:text xml:space="preserve">192 = Tibber
306 = Elvia</x18tc:text>
  </x18tc:threadedComment>
  <x18tc:threadedComment ref="G19" dT="2024-04-04T21:18:15.00" personId="{cd3f7e8d-224e-48d6-8dd7-94b59982bcc3}" id="{dfb7a9f2-a76f-4909-b5f4-564c2d10b0fe}" done="0">
    <x18tc:text xml:space="preserve">469 = Verisure</x18tc:text>
  </x18tc:threadedComment>
  <x18tc:threadedComment ref="G19" dT="2024-04-21T10:37:15.00" personId="{cd3f7e8d-224e-48d6-8dd7-94b59982bcc3}" id="{61285a16-da07-429b-8c0c-ea2a05805f55}" parentId="{dfb7a9f2-a76f-4909-b5f4-564c2d10b0fe}">
    <x18tc:text xml:space="preserve">7 320 = Fellesavgifter</x18tc:text>
  </x18tc:threadedComment>
  <x18tc:threadedComment ref="G19" dT="2024-04-21T10:43:19.00" personId="{cd3f7e8d-224e-48d6-8dd7-94b59982bcc3}" id="{05d0e2a2-96b1-4845-b287-e619bd834bee}" parentId="{dfb7a9f2-a76f-4909-b5f4-564c2d10b0fe}">
    <x18tc:text xml:space="preserve">5 627 = Lån</x18tc:text>
  </x18tc:threadedComment>
  <x18tc:threadedComment ref="G19" dT="2024-05-06T20:18:55.00" personId="{cd3f7e8d-224e-48d6-8dd7-94b59982bcc3}" id="{8cc7f418-4117-4e2b-bcbc-39c2ca9b6f08}" parentId="{dfb7a9f2-a76f-4909-b5f4-564c2d10b0fe}">
    <x18tc:text xml:space="preserve">50 = Lyspærer LED kjøkken</x18tc:text>
  </x18tc:threadedComment>
  <x18tc:threadedComment ref="G19" dT="2024-05-06T20:19:12.00" personId="{cd3f7e8d-224e-48d6-8dd7-94b59982bcc3}" id="{05ed31cb-e31e-4557-b907-b7806e16620c}" parentId="{dfb7a9f2-a76f-4909-b5f4-564c2d10b0fe}">
    <x18tc:text xml:space="preserve">199 = Mehr duftflaske bad</x18tc:text>
  </x18tc:threadedComment>
  <x18tc:threadedComment ref="G19" dT="2024-05-06T20:30:36.00" personId="{cd3f7e8d-224e-48d6-8dd7-94b59982bcc3}" id="{fa0d5610-d267-45b0-9749-f0958c3ba346}" parentId="{dfb7a9f2-a76f-4909-b5f4-564c2d10b0fe}">
    <x18tc:text xml:space="preserve">440 = Tibber</x18tc:text>
  </x18tc:threadedComment>
  <x18tc:threadedComment ref="G19" dT="2024-05-06T20:31:27.00" personId="{cd3f7e8d-224e-48d6-8dd7-94b59982bcc3}" id="{d37edcbd-16f5-430e-b08c-bb3ff935896b}" parentId="{dfb7a9f2-a76f-4909-b5f4-564c2d10b0fe}">
    <x18tc:text xml:space="preserve">381 = Elvia</x18tc:text>
  </x18tc:threadedComment>
  <x18tc:threadedComment ref="C34" dT="2024-01-08T21:58:14.00" personId="{cd3f7e8d-224e-48d6-8dd7-94b59982bcc3}" id="{f2edb447-47a4-406b-95c3-f24be2b87522}" done="0">
    <x18tc:text xml:space="preserve">306 = Sapim-eiker til nytt bakhjul Everest Urban</x18tc:text>
  </x18tc:threadedComment>
  <x18tc:threadedComment ref="L19" dT="2024-09-01T20:05:56.00" personId="{cd3f7e8d-224e-48d6-8dd7-94b59982bcc3}" id="{930216d8-7962-4669-8343-de0125c80cc1}" done="0">
    <x18tc:text xml:space="preserve">469 = Verisure</x18tc:text>
  </x18tc:threadedComment>
  <x18tc:threadedComment ref="L19" dT="2024-09-21T07:29:06.00" personId="{cd3f7e8d-224e-48d6-8dd7-94b59982bcc3}" id="{4b688f0e-b722-4745-8ae5-474be2e41e5d}" parentId="{930216d8-7962-4669-8343-de0125c80cc1}">
    <x18tc:text xml:space="preserve">7 322 = Fellesavgifter</x18tc:text>
  </x18tc:threadedComment>
  <x18tc:threadedComment ref="L19" dT="2024-09-21T07:39:00.00" personId="{cd3f7e8d-224e-48d6-8dd7-94b59982bcc3}" id="{5a8b8199-f69d-4fcb-bec3-aae44ddd2d5d}" parentId="{930216d8-7962-4669-8343-de0125c80cc1}">
    <x18tc:text xml:space="preserve">5 627 = Lån</x18tc:text>
  </x18tc:threadedComment>
  <x18tc:threadedComment ref="L19" dT="2024-10-05T15:41:06.00" personId="{cd3f7e8d-224e-48d6-8dd7-94b59982bcc3}" id="{4bfe9bc9-183c-4a14-862b-2ea9b4b2bb8a}" parentId="{930216d8-7962-4669-8343-de0125c80cc1}">
    <x18tc:text xml:space="preserve">1 370 = Diverse fra Ikea</x18tc:text>
  </x18tc:threadedComment>
  <x18tc:threadedComment ref="L19" dT="2024-10-05T15:48:58.00" personId="{cd3f7e8d-224e-48d6-8dd7-94b59982bcc3}" id="{a032a229-d95b-48a5-8ba5-1249d808de4c}" parentId="{930216d8-7962-4669-8343-de0125c80cc1}">
    <x18tc:text xml:space="preserve">155 = Tibber</x18tc:text>
  </x18tc:threadedComment>
  <x18tc:threadedComment ref="L19" dT="2024-10-05T15:55:45.00" personId="{cd3f7e8d-224e-48d6-8dd7-94b59982bcc3}" id="{7d2b89a7-b7e4-44a6-80c4-06e1521220ab}" parentId="{930216d8-7962-4669-8343-de0125c80cc1}">
    <x18tc:text xml:space="preserve">342 = Elvia</x18tc:text>
  </x18tc:threadedComment>
  <x18tc:threadedComment ref="I25" dT="2024-08-02T09:41:04.00" personId="{cd3f7e8d-224e-48d6-8dd7-94b59982bcc3}" id="{7d351e41-df46-4f5c-be52-5220333bdba7}" done="0">
    <x18tc:text xml:space="preserve">299 = Telia (mobil)
147 = Telia (internett)</x18tc:text>
  </x18tc:threadedComment>
  <x18tc:threadedComment ref="I25" dT="2024-08-02T09:41:38.00" personId="{cd3f7e8d-224e-48d6-8dd7-94b59982bcc3}" id="{b6b4c4a1-0014-4d0a-9908-72bf37e4ac99}" parentId="{7d351e41-df46-4f5c-be52-5220333bdba7}">
    <x18tc:text xml:space="preserve">115 = Fitbit
148 = Netflix</x18tc:text>
  </x18tc:threadedComment>
  <x18tc:threadedComment ref="I25" dT="2024-08-02T09:46:57.00" personId="{cd3f7e8d-224e-48d6-8dd7-94b59982bcc3}" id="{30446089-c69a-4ac4-aed8-1f84b43786d0}" parentId="{7d351e41-df46-4f5c-be52-5220333bdba7}">
    <x18tc:text xml:space="preserve">149 = YouTube Music</x18tc:text>
  </x18tc:threadedComment>
  <x18tc:threadedComment ref="J34" dT="2024-08-09T23:07:10.00" personId="{cd3f7e8d-224e-48d6-8dd7-94b59982bcc3}" id="{0b41dbbd-7802-42cb-93dc-72be4a989a5a}" done="0">
    <x18tc:text xml:space="preserve">238 = Pensler for kjederens</x18tc:text>
  </x18tc:threadedComment>
  <x18tc:threadedComment ref="J34" dT="2024-08-09T23:07:52.00" personId="{cd3f7e8d-224e-48d6-8dd7-94b59982bcc3}" id="{f1360e42-13c4-447e-9bdc-e0f0061d924b}" parentId="{0b41dbbd-7802-42cb-93dc-72be4a989a5a}">
    <x18tc:text xml:space="preserve">180 = Reparasjon sykkelveske</x18tc:text>
  </x18tc:threadedComment>
  <x18tc:threadedComment ref="J34" dT="2024-08-26T19:14:21.00" personId="{cd3f7e8d-224e-48d6-8dd7-94b59982bcc3}" id="{507e32b2-c18c-4d2d-8531-55c57910dc83}" parentId="{0b41dbbd-7802-42cb-93dc-72be4a989a5a}">
    <x18tc:text xml:space="preserve">250 = Reparasjon av skalljakke (tur)</x18tc:text>
  </x18tc:threadedComment>
  <x18tc:threadedComment ref="J34" dT="2024-08-28T19:12:37.00" personId="{cd3f7e8d-224e-48d6-8dd7-94b59982bcc3}" id="{20b0f32f-f2b1-4fd5-bef0-317901bd5a8e}" parentId="{0b41dbbd-7802-42cb-93dc-72be4a989a5a}">
    <x18tc:text xml:space="preserve">948 = Skjermer Everest Urban</x18tc:text>
  </x18tc:threadedComment>
  <x18tc:threadedComment ref="C25" dT="2023-12-31T10:02:23.00" personId="{cd3f7e8d-224e-48d6-8dd7-94b59982bcc3}" id="{f6cca6a7-b025-406e-9e37-104daad9968c}" done="0">
    <x18tc:text xml:space="preserve">389 = Telia (mobil)</x18tc:text>
  </x18tc:threadedComment>
  <x18tc:threadedComment ref="C25" dT="2024-01-07T21:44:02.00" personId="{cd3f7e8d-224e-48d6-8dd7-94b59982bcc3}" id="{49b0abb5-2c6e-43cb-9d01-e58b204018ad}" parentId="{f6cca6a7-b025-406e-9e37-104daad9968c}">
    <x18tc:text xml:space="preserve">148 = Netflix</x18tc:text>
  </x18tc:threadedComment>
  <x18tc:threadedComment ref="C25" dT="2024-01-07T21:44:56.00" personId="{cd3f7e8d-224e-48d6-8dd7-94b59982bcc3}" id="{6d6e6089-d17b-4027-a35d-b4056e8dc014}" parentId="{f6cca6a7-b025-406e-9e37-104daad9968c}">
    <x18tc:text xml:space="preserve">115 = Fitbit</x18tc:text>
  </x18tc:threadedComment>
  <x18tc:threadedComment ref="C25" dT="2024-02-01T06:54:42.00" personId="{cd3f7e8d-224e-48d6-8dd7-94b59982bcc3}" id="{92af24ce-7ae3-4c45-8a38-572118e0b590}" parentId="{f6cca6a7-b025-406e-9e37-104daad9968c}">
    <x18tc:text xml:space="preserve">149 = Youtube Music</x18tc:text>
  </x18tc:threadedComment>
  <x18tc:threadedComment ref="C25" dT="2024-02-01T07:01:43.00" personId="{cd3f7e8d-224e-48d6-8dd7-94b59982bcc3}" id="{cb970cd7-6b41-4392-9bba-55101c70ee27}" parentId="{f6cca6a7-b025-406e-9e37-104daad9968c}">
    <x18tc:text xml:space="preserve">147 = Telia (internett)</x18tc:text>
  </x18tc:threadedComment>
  <x18tc:threadedComment ref="M28" dT="2024-11-03T21:14:56.00" personId="{cd3f7e8d-224e-48d6-8dd7-94b59982bcc3}" id="{e26dd2d7-dd3f-41a3-b525-661e9def4c8a}" done="0">
    <x18tc:text xml:space="preserve">3 000 = Innbetaling Tribevogn</x18tc:text>
  </x18tc:threadedComment>
  <x18tc:threadedComment ref="L25" dT="2024-10-01T20:25:37.00" personId="{cd3f7e8d-224e-48d6-8dd7-94b59982bcc3}" id="{c0b1d0d8-c913-45b7-8613-85681a17d9f3}" done="0">
    <x18tc:text xml:space="preserve">299 = Telia (mobil)</x18tc:text>
  </x18tc:threadedComment>
  <x18tc:threadedComment ref="L25" dT="2024-10-01T20:28:18.00" personId="{cd3f7e8d-224e-48d6-8dd7-94b59982bcc3}" id="{3d1ebdb6-188d-4130-b9ad-748586e5d411}" parentId="{c0b1d0d8-c913-45b7-8613-85681a17d9f3}">
    <x18tc:text xml:space="preserve">115 = Fitbit</x18tc:text>
  </x18tc:threadedComment>
  <x18tc:threadedComment ref="L25" dT="2024-10-05T15:42:08.00" personId="{cd3f7e8d-224e-48d6-8dd7-94b59982bcc3}" id="{f4fde278-cdc6-4c34-adb4-3e1c40b38e81}" parentId="{c0b1d0d8-c913-45b7-8613-85681a17d9f3}">
    <x18tc:text xml:space="preserve">148 = Netflix</x18tc:text>
  </x18tc:threadedComment>
  <x18tc:threadedComment ref="L25" dT="2024-10-05T15:47:07.00" personId="{cd3f7e8d-224e-48d6-8dd7-94b59982bcc3}" id="{d4eea1b4-d849-4f3d-b236-ea6a7e56b355}" parentId="{c0b1d0d8-c913-45b7-8613-85681a17d9f3}">
    <x18tc:text xml:space="preserve">147 = Telia (internett)</x18tc:text>
  </x18tc:threadedComment>
  <x18tc:threadedComment ref="L25" dT="2024-10-07T07:23:10.00" personId="{cd3f7e8d-224e-48d6-8dd7-94b59982bcc3}" id="{d435e8f1-7ea2-461b-9bca-7a696a200bea}" parentId="{c0b1d0d8-c913-45b7-8613-85681a17d9f3}">
    <x18tc:text xml:space="preserve">891 = Strava årsabonnement</x18tc:text>
  </x18tc:threadedComment>
  <x18tc:threadedComment ref="L25" dT="2024-10-21T05:53:28.00" personId="{cd3f7e8d-224e-48d6-8dd7-94b59982bcc3}" id="{97580aa5-8f34-44ac-ae68-b552c8737de3}" parentId="{c0b1d0d8-c913-45b7-8613-85681a17d9f3}">
    <x18tc:text xml:space="preserve">223 = Antrophic</x18tc:text>
  </x18tc:threadedComment>
  <x18tc:threadedComment ref="L25" dT="2024-10-28T07:05:20.00" personId="{cd3f7e8d-224e-48d6-8dd7-94b59982bcc3}" id="{253dd546-906e-4b35-b785-0c8136deb592}" parentId="{c0b1d0d8-c913-45b7-8613-85681a17d9f3}">
    <x18tc:text xml:space="preserve">219 = Youtube Music</x18tc:text>
  </x18tc:threadedComment>
  <x18tc:threadedComment ref="M34" dT="2024-11-04T20:16:34.00" personId="{cd3f7e8d-224e-48d6-8dd7-94b59982bcc3}" id="{0dadfa60-77f7-4954-ba2a-0ec1f79a5506}" done="0">
    <x18tc:text xml:space="preserve">835 = Medlemskap DNT</x18tc:text>
  </x18tc:threadedComment>
  <x18tc:threadedComment ref="M34" dT="2024-11-23T10:04:17.00" personId="{cd3f7e8d-224e-48d6-8dd7-94b59982bcc3}" id="{350b80f6-2a02-4a91-8947-b1128ee3c6ad}" parentId="{0dadfa60-77f7-4954-ba2a-0ec1f79a5506}">
    <x18tc:text xml:space="preserve">698 = Dekk og girkabel til Everest Urban (Oslo sportslager)</x18tc:text>
  </x18tc:threadedComment>
  <x18tc:threadedComment ref="M34" dT="2024-12-01T09:27:29.00" personId="{cd3f7e8d-224e-48d6-8dd7-94b59982bcc3}" id="{78573b5c-252f-43db-9baa-4c8289b8ae0b}" parentId="{0dadfa60-77f7-4954-ba2a-0ec1f79a5506}">
    <x18tc:text xml:space="preserve">938 = Dekk og skotrekk</x18tc:text>
  </x18tc:threadedComment>
  <x18tc:threadedComment ref="M34" dT="2024-12-02T21:36:55.00" personId="{cd3f7e8d-224e-48d6-8dd7-94b59982bcc3}" id="{7b37da2c-2cee-496d-ba42-5f08d8b0ddee}" parentId="{0dadfa60-77f7-4954-ba2a-0ec1f79a5506}">
    <x18tc:text xml:space="preserve">1 741 = Diverse deler fra Bikeshop</x18tc:text>
  </x18tc:threadedComment>
  <x18tc:threadedComment ref="E28" dT="2024-03-03T22:14:23.00" personId="{cd3f7e8d-224e-48d6-8dd7-94b59982bcc3}" id="{06928359-0d85-4753-8e89-20ec4ad87f8d}" done="0">
    <x18tc:text xml:space="preserve">1 000 = Innbetaling Tribevogn</x18tc:text>
  </x18tc:threadedComment>
  <x18tc:threadedComment ref="C19" dT="2023-12-31T10:01:32.00" personId="{cd3f7e8d-224e-48d6-8dd7-94b59982bcc3}" id="{4ef0e527-4f1c-4c11-8445-e139d35fd78e}" done="0">
    <x18tc:text xml:space="preserve">7 252 = Fellesavgifter
6 901 = Lån
469 = Verisure</x18tc:text>
  </x18tc:threadedComment>
  <x18tc:threadedComment ref="C19" dT="2024-01-07T21:49:35.00" personId="{cd3f7e8d-224e-48d6-8dd7-94b59982bcc3}" id="{023128f1-df3b-4f73-bf59-12577ea846a0}" parentId="{4ef0e527-4f1c-4c11-8445-e139d35fd78e}">
    <x18tc:text xml:space="preserve">1 191 = Tibber</x18tc:text>
  </x18tc:threadedComment>
  <x18tc:threadedComment ref="C19" dT="2024-01-07T21:51:23.00" personId="{cd3f7e8d-224e-48d6-8dd7-94b59982bcc3}" id="{baa9a73d-28c8-443c-a666-edf4e1bc649d}" parentId="{4ef0e527-4f1c-4c11-8445-e139d35fd78e}">
    <x18tc:text xml:space="preserve">264 = Elvia</x18tc:text>
  </x18tc:threadedComment>
  <x18tc:threadedComment ref="L46" dT="2024-10-01T20:23:28.00" personId="{cd3f7e8d-224e-48d6-8dd7-94b59982bcc3}" id="{3770dc34-d528-4524-9f6d-c572b44ac784}" done="0">
    <x18tc:text xml:space="preserve">500 = Driftsbidrag</x18tc:text>
  </x18tc:threadedComment>
  <x18tc:threadedComment ref="J31" dT="2024-08-03T08:32:39.00" personId="{cd3f7e8d-224e-48d6-8dd7-94b59982bcc3}" id="{f0444d86-261e-4271-b172-e1a4120f7c43}" done="0">
    <x18tc:text xml:space="preserve">700 = Frisør</x18tc:text>
  </x18tc:threadedComment>
  <x18tc:threadedComment ref="J31" dT="2024-08-03T09:15:27.00" personId="{cd3f7e8d-224e-48d6-8dd7-94b59982bcc3}" id="{a18a7ad4-9a46-4696-8c31-091d15d22bd5}" parentId="{f0444d86-261e-4271-b172-e1a4120f7c43}">
    <x18tc:text xml:space="preserve">379 = Børstehoder tannbørste</x18tc:text>
  </x18tc:threadedComment>
  <x18tc:threadedComment ref="J31" dT="2024-08-09T23:04:55.00" personId="{cd3f7e8d-224e-48d6-8dd7-94b59982bcc3}" id="{11c6df4b-1d17-46d0-907a-17a0bbcbf74c}" parentId="{f0444d86-261e-4271-b172-e1a4120f7c43}">
    <x18tc:text xml:space="preserve">2 180 = 2x jeans</x18tc:text>
  </x18tc:threadedComment>
  <x18tc:threadedComment ref="J46" dT="2024-08-02T09:52:09.00" personId="{cd3f7e8d-224e-48d6-8dd7-94b59982bcc3}" id="{81edce84-fdcd-4823-90e2-9e3beed360fa}" done="0">
    <x18tc:text xml:space="preserve">500 = Driftsbidrag</x18tc:text>
  </x18tc:threadedComment>
  <x18tc:threadedComment ref="E31" dT="2024-03-28T11:55:50.00" personId="{cd3f7e8d-224e-48d6-8dd7-94b59982bcc3}" id="{bac338d1-29ca-497f-b022-d30a70b63dbe}" done="0">
    <x18tc:text xml:space="preserve">357 = Sokker H&amp;M</x18tc:text>
  </x18tc:threadedComment>
  <x18tc:threadedComment ref="D31" dT="2024-02-25T11:31:09.00" personId="{cd3f7e8d-224e-48d6-8dd7-94b59982bcc3}" id="{ac17c39b-17c2-4d27-be59-c14ccb9d9707}" done="0">
    <x18tc:text xml:space="preserve">700 = Frisør</x18tc:text>
  </x18tc:threadedComment>
  <x18tc:threadedComment ref="K37" dT="2024-10-01T20:19:28.00" personId="{cd3f7e8d-224e-48d6-8dd7-94b59982bcc3}" id="{24802459-f79d-4024-9993-c011384adc2a}" done="0">
    <x18tc:text xml:space="preserve">10 789 = Ceramic Speed</x18tc:text>
  </x18tc:threadedComment>
  <x18tc:threadedComment ref="J28" dT="2024-08-02T09:51:30.00" personId="{cd3f7e8d-224e-48d6-8dd7-94b59982bcc3}" id="{5393ae62-6b31-4869-a1ec-43df20f48a59}" done="0">
    <x18tc:text xml:space="preserve">3 000 = Innbetaling Tribevogn</x18tc:text>
  </x18tc:threadedComment>
  <x18tc:threadedComment ref="N25" dT="2024-11-23T10:11:37.00" personId="{cd3f7e8d-224e-48d6-8dd7-94b59982bcc3}" id="{48e372a7-0d5b-4586-969c-4e3516d592d5}" done="0">
    <x18tc:text xml:space="preserve">302 = Telia (mobil)</x18tc:text>
  </x18tc:threadedComment>
  <x18tc:threadedComment ref="N25" dT="2024-12-02T21:30:10.00" personId="{cd3f7e8d-224e-48d6-8dd7-94b59982bcc3}" id="{e7d8f336-ff39-4af1-a5e9-11f4f74c7569}" parentId="{48e372a7-0d5b-4586-969c-4e3516d592d5}">
    <x18tc:text xml:space="preserve">115 = Fitbit</x18tc:text>
  </x18tc:threadedComment>
  <x18tc:threadedComment ref="N25" dT="2024-12-02T21:32:56.00" personId="{cd3f7e8d-224e-48d6-8dd7-94b59982bcc3}" id="{a641626a-9bf5-4655-b375-1d9691657aeb}" parentId="{48e372a7-0d5b-4586-969c-4e3516d592d5}">
    <x18tc:text xml:space="preserve">250 = Innskudd OpenAI API</x18tc:text>
  </x18tc:threadedComment>
  <x18tc:threadedComment ref="N25" dT="2024-12-07T20:12:24.00" personId="{cd3f7e8d-224e-48d6-8dd7-94b59982bcc3}" id="{6bb8741f-558a-438e-bd7f-52a18fa0c746}" parentId="{48e372a7-0d5b-4586-969c-4e3516d592d5}">
    <x18tc:text xml:space="preserve">168 = Netflix</x18tc:text>
  </x18tc:threadedComment>
  <x18tc:threadedComment ref="N25" dT="2024-12-20T23:25:02.00" personId="{cd3f7e8d-224e-48d6-8dd7-94b59982bcc3}" id="{5fc96577-05bc-4c81-9386-79715b1190cf}" parentId="{48e372a7-0d5b-4586-969c-4e3516d592d5}">
    <x18tc:text xml:space="preserve">229 = Anthropic</x18tc:text>
  </x18tc:threadedComment>
  <x18tc:threadedComment ref="N25" dT="2024-12-25T13:25:29.00" personId="{cd3f7e8d-224e-48d6-8dd7-94b59982bcc3}" id="{1b3d167c-d025-4201-a134-b4ed6ae213d4}" parentId="{48e372a7-0d5b-4586-969c-4e3516d592d5}">
    <x18tc:text xml:space="preserve">151 = Veloviewer</x18tc:text>
  </x18tc:threadedComment>
  <x18tc:threadedComment ref="N25" dT="2024-12-27T23:05:14.00" personId="{cd3f7e8d-224e-48d6-8dd7-94b59982bcc3}" id="{79a8ea19-3400-4acc-9931-435bf6116149}" parentId="{48e372a7-0d5b-4586-969c-4e3516d592d5}">
    <x18tc:text xml:space="preserve">219 = Youtube music</x18tc:text>
  </x18tc:threadedComment>
  <x18tc:threadedComment ref="K25" dT="2024-08-24T06:49:01.00" personId="{cd3f7e8d-224e-48d6-8dd7-94b59982bcc3}" id="{f710ff2a-2289-4bf0-8da6-504d25153a95}" done="0">
    <x18tc:text xml:space="preserve">299 = Telia (mobil)</x18tc:text>
  </x18tc:threadedComment>
  <x18tc:threadedComment ref="K25" dT="2024-09-01T20:01:38.00" personId="{cd3f7e8d-224e-48d6-8dd7-94b59982bcc3}" id="{72ddcbb5-08b0-424c-832f-404e7822c7fd}" parentId="{f710ff2a-2289-4bf0-8da6-504d25153a95}">
    <x18tc:text xml:space="preserve">115 = Fitbit</x18tc:text>
  </x18tc:threadedComment>
  <x18tc:threadedComment ref="K25" dT="2024-09-06T08:27:58.00" personId="{cd3f7e8d-224e-48d6-8dd7-94b59982bcc3}" id="{b7911ed8-3791-4259-a1b0-891c9ced5635}" parentId="{f710ff2a-2289-4bf0-8da6-504d25153a95}">
    <x18tc:text xml:space="preserve">148 = Netflix</x18tc:text>
  </x18tc:threadedComment>
  <x18tc:threadedComment ref="K25" dT="2024-09-27T19:20:59.00" personId="{cd3f7e8d-224e-48d6-8dd7-94b59982bcc3}" id="{992bfddb-0059-48ed-99f0-25d51d9fab94}" parentId="{f710ff2a-2289-4bf0-8da6-504d25153a95}">
    <x18tc:text xml:space="preserve">149 = Youtube Music</x18tc:text>
  </x18tc:threadedComment>
  <x18tc:threadedComment ref="G37" dT="2024-05-02T05:48:59.00" personId="{cd3f7e8d-224e-48d6-8dd7-94b59982bcc3}" id="{f5cb9d44-b36c-4b86-b7ec-606673c395e7}" done="0">
    <x18tc:text xml:space="preserve">754 = GoAhead Oslo - Kristiansand</x18tc:text>
  </x18tc:threadedComment>
  <x18tc:threadedComment ref="E25" dT="2024-02-25T11:38:08.00" personId="{cd3f7e8d-224e-48d6-8dd7-94b59982bcc3}" id="{24a22e55-beea-4c4c-a28f-fc548c1f7874}" done="0">
    <x18tc:text xml:space="preserve">172 = Telia (mobil)</x18tc:text>
  </x18tc:threadedComment>
  <x18tc:threadedComment ref="E25" dT="2024-03-03T22:20:47.00" personId="{cd3f7e8d-224e-48d6-8dd7-94b59982bcc3}" id="{1192da7f-16ce-4d23-ab05-8ad8ff0ac147}" parentId="{24a22e55-beea-4c4c-a28f-fc548c1f7874}">
    <x18tc:text xml:space="preserve">115 = Fitbit</x18tc:text>
  </x18tc:threadedComment>
  <x18tc:threadedComment ref="E25" dT="2024-03-05T05:28:22.00" personId="{cd3f7e8d-224e-48d6-8dd7-94b59982bcc3}" id="{440d1314-e51e-4dad-bdeb-d43540e5cb9c}" parentId="{24a22e55-beea-4c4c-a28f-fc548c1f7874}">
    <x18tc:text xml:space="preserve">148 = Netflix</x18tc:text>
  </x18tc:threadedComment>
  <x18tc:threadedComment ref="E25" dT="2024-03-05T05:28:37.00" personId="{cd3f7e8d-224e-48d6-8dd7-94b59982bcc3}" id="{c1778319-bbe4-4e02-a586-50a50cae9f47}" parentId="{24a22e55-beea-4c4c-a28f-fc548c1f7874}">
    <x18tc:text xml:space="preserve">18 = Google One</x18tc:text>
  </x18tc:threadedComment>
  <x18tc:threadedComment ref="E25" dT="2024-04-04T21:23:38.00" personId="{cd3f7e8d-224e-48d6-8dd7-94b59982bcc3}" id="{3afa31af-bda8-4e0e-ab98-6568241c2831}" parentId="{24a22e55-beea-4c4c-a28f-fc548c1f7874}">
    <x18tc:text xml:space="preserve">149 = Youtube Music</x18tc:text>
  </x18tc:threadedComment>
  <x18tc:threadedComment ref="J25" dT="2024-08-02T09:50:48.00" personId="{cd3f7e8d-224e-48d6-8dd7-94b59982bcc3}" id="{7e2564f0-52d0-47ce-9f80-b15590d696a3}" done="0">
    <x18tc:text xml:space="preserve">937 = Telia (mobil)
115 = Fitbit</x18tc:text>
  </x18tc:threadedComment>
  <x18tc:threadedComment ref="J25" dT="2024-08-04T09:31:46.00" personId="{cd3f7e8d-224e-48d6-8dd7-94b59982bcc3}" id="{52976e7c-5d60-4cc8-9a7f-e74710d0c3ef}" parentId="{7e2564f0-52d0-47ce-9f80-b15590d696a3}">
    <x18tc:text xml:space="preserve">148 = Netflix</x18tc:text>
  </x18tc:threadedComment>
  <x18tc:threadedComment ref="J25" dT="2024-08-28T19:11:34.00" personId="{cd3f7e8d-224e-48d6-8dd7-94b59982bcc3}" id="{485ddc7a-649d-48a0-ad69-4cfd855d56d2}" parentId="{7e2564f0-52d0-47ce-9f80-b15590d696a3}">
    <x18tc:text xml:space="preserve">149 = Youtube Music</x18tc:text>
  </x18tc:threadedComment>
  <x18tc:threadedComment ref="I28" dT="2024-08-02T09:40:37.00" personId="{cd3f7e8d-224e-48d6-8dd7-94b59982bcc3}" id="{e6ca3f6c-a9cd-49d2-8f0b-4f818d6e4486}" done="0">
    <x18tc:text xml:space="preserve">3 000 = Innbetaling Tribevogn</x18tc:text>
  </x18tc:threadedComment>
  <x18tc:threadedComment ref="K19" dT="2024-08-24T06:47:13.00" personId="{cd3f7e8d-224e-48d6-8dd7-94b59982bcc3}" id="{aefa62b4-485f-4e99-8f13-278163a3db18}" done="0">
    <x18tc:text xml:space="preserve">7 392 = Fellesavgifter</x18tc:text>
  </x18tc:threadedComment>
  <x18tc:threadedComment ref="K19" dT="2024-08-24T06:49:48.00" personId="{cd3f7e8d-224e-48d6-8dd7-94b59982bcc3}" id="{4b22cd2c-0452-46d5-abdd-624e1e0ac9f1}" parentId="{aefa62b4-485f-4e99-8f13-278163a3db18}">
    <x18tc:text xml:space="preserve">469 = Verisure</x18tc:text>
  </x18tc:threadedComment>
  <x18tc:threadedComment ref="K19" dT="2024-08-24T06:50:25.00" personId="{cd3f7e8d-224e-48d6-8dd7-94b59982bcc3}" id="{3b9a1c86-d003-4418-ae28-a42ad105afa6}" parentId="{aefa62b4-485f-4e99-8f13-278163a3db18}">
    <x18tc:text xml:space="preserve">5 627 = Lån</x18tc:text>
  </x18tc:threadedComment>
  <x18tc:threadedComment ref="K19" dT="2024-09-03T19:51:01.00" personId="{cd3f7e8d-224e-48d6-8dd7-94b59982bcc3}" id="{255c9ced-0a57-44a1-8354-a61f385c7612}" parentId="{aefa62b4-485f-4e99-8f13-278163a3db18}">
    <x18tc:text xml:space="preserve">115 = Tibber</x18tc:text>
  </x18tc:threadedComment>
  <x18tc:threadedComment ref="K19" dT="2024-09-03T19:52:09.00" personId="{cd3f7e8d-224e-48d6-8dd7-94b59982bcc3}" id="{aefababb-373a-4412-8115-321db6629443}" parentId="{aefa62b4-485f-4e99-8f13-278163a3db18}">
    <x18tc:text xml:space="preserve">346 = Elvia</x18tc:text>
  </x18tc:threadedComment>
  <x18tc:threadedComment ref="K19" dT="2024-09-07T07:18:59.00" personId="{cd3f7e8d-224e-48d6-8dd7-94b59982bcc3}" id="{b9b60c6a-7e52-4a15-ac89-a8e830fc6097}" parentId="{aefa62b4-485f-4e99-8f13-278163a3db18}">
    <x18tc:text xml:space="preserve">139 = Borr fra Jernia</x18tc:text>
  </x18tc:threadedComment>
  <x18tc:threadedComment ref="K19" dT="2024-09-07T07:25:39.00" personId="{cd3f7e8d-224e-48d6-8dd7-94b59982bcc3}" id="{60679485-6922-4859-8eb7-b95c83f9dda9}" parentId="{aefa62b4-485f-4e99-8f13-278163a3db18}">
    <x18tc:text xml:space="preserve">329 = Refill duftpinner</x18tc:text>
  </x18tc:threadedComment>
  <x18tc:threadedComment ref="N34" dT="2024-12-02T21:35:45.00" personId="{cd3f7e8d-224e-48d6-8dd7-94b59982bcc3}" id="{f07ced15-86ac-4ca8-afb0-e2b370e2a9b9}" done="0">
    <x18tc:text xml:space="preserve">8 500 = Felger og hjulbygg Dogstar TransAm</x18tc:text>
  </x18tc:threadedComment>
  <x18tc:threadedComment ref="N34" dT="2024-12-14T09:56:27.00" personId="{cd3f7e8d-224e-48d6-8dd7-94b59982bcc3}" id="{566c963e-988b-4826-b543-bdc620514def}" parentId="{f07ced15-86ac-4ca8-afb0-e2b370e2a9b9}">
    <x18tc:text xml:space="preserve">557 = Marathon-dekk fra Sykkelkomponenter</x18tc:text>
  </x18tc:threadedComment>
  <x18tc:threadedComment ref="N34" dT="2024-12-22T21:55:47.00" personId="{cd3f7e8d-224e-48d6-8dd7-94b59982bcc3}" id="{de5abc95-8ee3-4e34-ad08-a8987c64db5e}" parentId="{f07ced15-86ac-4ca8-afb0-e2b370e2a9b9}">
    <x18tc:text xml:space="preserve">499 = Snøskjerm</x18tc:text>
  </x18tc:threadedComment>
  <x18tc:threadedComment ref="D49" dT="2024-02-03T10:44:00.00" personId="{cd3f7e8d-224e-48d6-8dd7-94b59982bcc3}" id="{b977a651-d328-4088-adee-701b265ff384}" done="0">
    <x18tc:text xml:space="preserve">189 = Klistremerker englepakke</x18tc:text>
  </x18tc:threadedComment>
  <x18tc:threadedComment ref="D49" dT="2024-02-08T22:12:35.00" personId="{cd3f7e8d-224e-48d6-8dd7-94b59982bcc3}" id="{91bc9d67-145c-4218-8beb-e00cd4075a99}" parentId="{b977a651-d328-4088-adee-701b265ff384}">
    <x18tc:text xml:space="preserve">500 = Parfyme</x18tc:text>
  </x18tc:threadedComment>
  <x18tc:threadedComment ref="D49" dT="2024-02-10T23:53:07.00" personId="{cd3f7e8d-224e-48d6-8dd7-94b59982bcc3}" id="{dd935154-62d7-4bad-88d8-674b6cc4f944}" parentId="{b977a651-d328-4088-adee-701b265ff384}">
    <x18tc:text xml:space="preserve">199 = Gave Ane fra Rituals</x18tc:text>
  </x18tc:threadedComment>
  <x18tc:threadedComment ref="D49" dT="2024-02-10T23:56:36.00" personId="{cd3f7e8d-224e-48d6-8dd7-94b59982bcc3}" id="{bac2ad89-7c29-414f-af7a-4f5294b4cbe0}" parentId="{b977a651-d328-4088-adee-701b265ff384}">
    <x18tc:text xml:space="preserve">230 = Billett elbil-messe</x18tc:text>
  </x18tc:threadedComment>
  <x18tc:threadedComment ref="K49" dT="2024-09-25T20:44:19.00" personId="{cd3f7e8d-224e-48d6-8dd7-94b59982bcc3}" id="{3860def8-2f0d-4286-91ab-b91af54d5d1c}" done="0">
    <x18tc:text xml:space="preserve">479 = Gave Tante Hanne</x18tc:text>
  </x18tc:threadedComment>
  <x18tc:threadedComment ref="E46" dT="2024-04-22T14:37:04.00" personId="{cd3f7e8d-224e-48d6-8dd7-94b59982bcc3}" id="{1915dd37-0f88-4b27-9fb5-1302cf0cafab}" done="0">
    <x18tc:text xml:space="preserve">275 = Driftsbidrag</x18tc:text>
  </x18tc:threadedComment>
  <x18tc:threadedComment ref="F34" dT="2024-04-12T05:51:16.00" personId="{cd3f7e8d-224e-48d6-8dd7-94b59982bcc3}" id="{3ae753b6-c2fd-4b67-83ca-e1d71e732fa8}" done="0">
    <x18tc:text xml:space="preserve">199 = Felgbånd og bremseklosser fra Anton Sport</x18tc:text>
  </x18tc:threadedComment>
  <x18tc:threadedComment ref="F34" dT="2024-04-22T20:36:52.00" personId="{cd3f7e8d-224e-48d6-8dd7-94b59982bcc3}" id="{d0bd012d-d4a0-4646-a3da-258c1c28d55c}" parentId="{3ae753b6-c2fd-4b67-83ca-e1d71e732fa8}">
    <x18tc:text xml:space="preserve">348 = Vaskemidler Bikeshop</x18tc:text>
  </x18tc:threadedComment>
  <x18tc:threadedComment ref="F34" dT="2024-05-02T05:47:04.00" personId="{cd3f7e8d-224e-48d6-8dd7-94b59982bcc3}" id="{5892d1fe-1a3f-4b3b-a9ee-8acf866afe51}" parentId="{3ae753b6-c2fd-4b67-83ca-e1d71e732fa8}">
    <x18tc:text xml:space="preserve">2 237 = Deler til drivverk Surly fra Bikeshop</x18tc:text>
  </x18tc:threadedComment>
  <x18tc:threadedComment ref="F46" dT="2024-04-22T14:37:12.00" personId="{cd3f7e8d-224e-48d6-8dd7-94b59982bcc3}" id="{716966bf-428a-4118-94a5-fbf38a8cae71}" done="0">
    <x18tc:text xml:space="preserve">275 = Driftsbidrag</x18tc:text>
  </x18tc:threadedComment>
  <x18tc:threadedComment ref="E19" dT="2024-02-17T08:07:57.00" personId="{cd3f7e8d-224e-48d6-8dd7-94b59982bcc3}" id="{9b32c1b2-d94b-4a70-8a0e-f3a2fa875e96}" done="0">
    <x18tc:text xml:space="preserve">7 475 = Fellesavgifter</x18tc:text>
  </x18tc:threadedComment>
  <x18tc:threadedComment ref="E19" dT="2024-02-25T11:40:03.00" personId="{cd3f7e8d-224e-48d6-8dd7-94b59982bcc3}" id="{5f8cf2f0-24d5-4d69-84cb-7c0ed6e2bd9b}" parentId="{9b32c1b2-d94b-4a70-8a0e-f3a2fa875e96}">
    <x18tc:text xml:space="preserve">5 609 = Lån</x18tc:text>
  </x18tc:threadedComment>
  <x18tc:threadedComment ref="E19" dT="2024-02-25T11:40:38.00" personId="{cd3f7e8d-224e-48d6-8dd7-94b59982bcc3}" id="{1e354da3-78b4-4496-91b1-02bf8c19ffd7}" parentId="{9b32c1b2-d94b-4a70-8a0e-f3a2fa875e96}">
    <x18tc:text xml:space="preserve">469 = Verisure</x18tc:text>
  </x18tc:threadedComment>
  <x18tc:threadedComment ref="E19" dT="2024-03-05T05:30:53.00" personId="{cd3f7e8d-224e-48d6-8dd7-94b59982bcc3}" id="{b6c0733d-ed23-4930-9c7e-361a46d7de98}" parentId="{9b32c1b2-d94b-4a70-8a0e-f3a2fa875e96}">
    <x18tc:text xml:space="preserve">650 = Tibber</x18tc:text>
  </x18tc:threadedComment>
  <x18tc:threadedComment ref="E19" dT="2024-03-10T22:34:32.00" personId="{cd3f7e8d-224e-48d6-8dd7-94b59982bcc3}" id="{76bd36f7-1524-49b3-88c3-2b9dac9a330d}" parentId="{9b32c1b2-d94b-4a70-8a0e-f3a2fa875e96}">
    <x18tc:text xml:space="preserve">388 = Elvia</x18tc:text>
  </x18tc:threadedComment>
  <x18tc:threadedComment ref="E19" dT="2024-03-28T11:55:05.00" personId="{cd3f7e8d-224e-48d6-8dd7-94b59982bcc3}" id="{f6405f1d-383b-4c2d-a7a0-e02ade997e6f}" parentId="{9b32c1b2-d94b-4a70-8a0e-f3a2fa875e96}">
    <x18tc:text xml:space="preserve">172 = Oppgradert hengelås bod</x18tc:text>
  </x18tc:threadedComment>
  <x18tc:threadedComment ref="N49" dT="2024-12-07T20:08:07.00" personId="{cd3f7e8d-224e-48d6-8dd7-94b59982bcc3}" id="{cddb127d-b9a8-472c-8244-bf769e43190c}" done="0">
    <x18tc:text xml:space="preserve">1 000 = Julegaver til de som har mindre
79 = Min cut gave til Georg</x18tc:text>
  </x18tc:threadedComment>
  <x18tc:threadedComment ref="N49" dT="2024-12-08T21:14:54.00" personId="{cd3f7e8d-224e-48d6-8dd7-94b59982bcc3}" id="{48c73dca-3a49-46f8-8257-dbbf7e2936e0}" parentId="{cddb127d-b9a8-472c-8244-bf769e43190c}">
    <x18tc:text xml:space="preserve">1 000 = Julegaver til Sam og Luis</x18tc:text>
  </x18tc:threadedComment>
  <x18tc:threadedComment ref="N49" dT="2024-12-20T23:20:01.00" personId="{cd3f7e8d-224e-48d6-8dd7-94b59982bcc3}" id="{bd14f1b1-174d-4cdc-a4dd-c01b3cca089c}" parentId="{cddb127d-b9a8-472c-8244-bf769e43190c}">
    <x18tc:text xml:space="preserve">260 = Blomster til Ane</x18tc:text>
  </x18tc:threadedComment>
  <x18tc:threadedComment ref="N49" dT="2024-12-20T23:55:33.00" personId="{cd3f7e8d-224e-48d6-8dd7-94b59982bcc3}" id="{156d43c3-aef9-478a-aa7c-f17a7eb7c51e}" parentId="{cddb127d-b9a8-472c-8244-bf769e43190c}">
    <x18tc:text xml:space="preserve">234 = Julegave Mico
400 = Julegave Philip
400 = Julegave Wilhelm
500 = Julegave Sam
500 = Julegave Luis
486 = Julegave Vilma
224 = Julegave Alexandra
154 = Julegave Klara
299 = Julegave Georg
171 = Julegave Oda
159 = Julegave Aksel
336 = Julegave Ane - Te-sett
544 = Julegave Ane - Rituals-sett 
826 = Julegave Ane - Maleting 
132 = Julegave Ane - Varmeputer
100 = Julegave Ane - Yoghurt-nøtter
100 = Julegave Ane - Sour-dadler</x18tc:text>
  </x18tc:threadedComment>
  <x18tc:threadedComment ref="N49" dT="2024-12-22T21:55:16.00" personId="{cd3f7e8d-224e-48d6-8dd7-94b59982bcc3}" id="{318c44a1-c10a-4b2b-a9af-2af34be357f6}" parentId="{cddb127d-b9a8-472c-8244-bf769e43190c}">
    <x18tc:text xml:space="preserve">499 = Julegave Ane - Snøskjerm</x18tc:text>
  </x18tc:threadedComment>
  <x18tc:threadedComment ref="N49" dT="2024-12-25T13:28:42.00" personId="{cd3f7e8d-224e-48d6-8dd7-94b59982bcc3}" id="{b62718fb-72f3-443d-bf69-6841a4d4a3d1}" parentId="{cddb127d-b9a8-472c-8244-bf769e43190c}">
    <x18tc:text xml:space="preserve">460 = Julegaven til Hennie og Agnes</x18tc:text>
  </x18tc:threadedComment>
  <x18tc:threadedComment ref="N49" dT="2024-12-27T23:01:04.00" personId="{cd3f7e8d-224e-48d6-8dd7-94b59982bcc3}" id="{55446417-d02f-491c-9c44-b743ec402be0}" parentId="{cddb127d-b9a8-472c-8244-bf769e43190c}">
    <x18tc:text xml:space="preserve">94 = Sending av pakke til Finnbruker</x18tc:text>
  </x18tc:threadedComment>
  <x18tc:threadedComment ref="M10" dT="2024-11-08T21:39:29.00" personId="{cd3f7e8d-224e-48d6-8dd7-94b59982bcc3}" id="{7d72db01-05d7-4e61-8501-28e9ff75f49e}" done="0">
    <x18tc:text xml:space="preserve">Inkl overtid september</x18tc:text>
  </x18tc:threadedComment>
  <x18tc:threadedComment ref="D19" dT="2024-01-17T22:44:35.00" personId="{cd3f7e8d-224e-48d6-8dd7-94b59982bcc3}" id="{e3c34c39-fa82-4923-addc-67d6bcad8010}" done="0">
    <x18tc:text xml:space="preserve">7 252 = Fellesavgifter</x18tc:text>
  </x18tc:threadedComment>
  <x18tc:threadedComment ref="D19" dT="2024-01-17T22:45:34.00" personId="{cd3f7e8d-224e-48d6-8dd7-94b59982bcc3}" id="{f16cf94f-45d8-4b7f-9c04-7881ea067758}" parentId="{e3c34c39-fa82-4923-addc-67d6bcad8010}">
    <x18tc:text xml:space="preserve">469 = Verisure</x18tc:text>
  </x18tc:threadedComment>
  <x18tc:threadedComment ref="D19" dT="2024-01-17T22:46:11.00" personId="{cd3f7e8d-224e-48d6-8dd7-94b59982bcc3}" id="{0a0d5461-be8e-4672-852a-c026044b5b42}" parentId="{e3c34c39-fa82-4923-addc-67d6bcad8010}">
    <x18tc:text xml:space="preserve">6 901 = Lån</x18tc:text>
  </x18tc:threadedComment>
  <x18tc:threadedComment ref="D19" dT="2024-02-03T10:45:46.00" personId="{cd3f7e8d-224e-48d6-8dd7-94b59982bcc3}" id="{3e3da87a-dee0-4b6a-add6-1f2f6a546002}" parentId="{e3c34c39-fa82-4923-addc-67d6bcad8010}">
    <x18tc:text xml:space="preserve">202 = Elvia</x18tc:text>
  </x18tc:threadedComment>
  <x18tc:threadedComment ref="D19" dT="2024-02-08T22:13:45.00" personId="{cd3f7e8d-224e-48d6-8dd7-94b59982bcc3}" id="{8d40cacb-57a3-421c-81ec-f1430cea2394}" parentId="{e3c34c39-fa82-4923-addc-67d6bcad8010}">
    <x18tc:text xml:space="preserve">1 145 = Tibber</x18tc:text>
  </x18tc:threadedComment>
  <x18tc:threadedComment ref="D19" dT="2024-02-10T23:53:30.00" personId="{cd3f7e8d-224e-48d6-8dd7-94b59982bcc3}" id="{2698074b-1dfd-4c62-af96-5a05dcbf121d}" parentId="{e3c34c39-fa82-4923-addc-67d6bcad8010}">
    <x18tc:text xml:space="preserve">199 = Duftpinner Rituals bad</x18tc:text>
  </x18tc:threadedComment>
  <x18tc:threadedComment ref="D19" dT="2024-02-10T23:54:14.00" personId="{cd3f7e8d-224e-48d6-8dd7-94b59982bcc3}" id="{e89ee5bc-7a9f-4ca4-928e-5cb7e48ca2e1}" parentId="{e3c34c39-fa82-4923-addc-67d6bcad8010}">
    <x18tc:text xml:space="preserve">679 = Bordlampe og andre småting fra Ikea</x18tc:text>
  </x18tc:threadedComment>
  <x18tc:threadedComment ref="D19" dT="2024-02-10T23:54:49.00" personId="{cd3f7e8d-224e-48d6-8dd7-94b59982bcc3}" id="{b72bcced-aeac-4f30-b642-bfb8c68a0c2f}" parentId="{e3c34c39-fa82-4923-addc-67d6bcad8010}">
    <x18tc:text xml:space="preserve">369 = Philips Hue lyspære til bordlampe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.63"/>
    <col customWidth="1" min="2" max="2" width="19.13"/>
    <col customWidth="1" min="3" max="21" width="15.13"/>
  </cols>
  <sheetData>
    <row r="1" ht="27.75" customHeight="1">
      <c r="D1" s="1"/>
    </row>
    <row r="2">
      <c r="B2" s="2" t="s">
        <v>0</v>
      </c>
    </row>
    <row r="3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</row>
    <row r="4">
      <c r="B4" s="5" t="s">
        <v>15</v>
      </c>
      <c r="C4" s="6">
        <f t="shared" ref="C4:N4" si="1">(C9+C13)-SUM(C18,C21,C24,C27,C30,C33,C36,C39,C42,C45,C48)</f>
        <v>19700</v>
      </c>
      <c r="D4" s="6">
        <f t="shared" si="1"/>
        <v>8600</v>
      </c>
      <c r="E4" s="6">
        <f t="shared" si="1"/>
        <v>-3075</v>
      </c>
      <c r="F4" s="6">
        <f t="shared" si="1"/>
        <v>-1575</v>
      </c>
      <c r="G4" s="6">
        <f t="shared" si="1"/>
        <v>1125</v>
      </c>
      <c r="H4" s="6">
        <f t="shared" si="1"/>
        <v>49725</v>
      </c>
      <c r="I4" s="6">
        <f t="shared" si="1"/>
        <v>-22075</v>
      </c>
      <c r="J4" s="6">
        <f t="shared" si="1"/>
        <v>16625</v>
      </c>
      <c r="K4" s="6">
        <f t="shared" si="1"/>
        <v>24325</v>
      </c>
      <c r="L4" s="6">
        <f t="shared" si="1"/>
        <v>5325</v>
      </c>
      <c r="M4" s="6">
        <f t="shared" si="1"/>
        <v>-4775</v>
      </c>
      <c r="N4" s="6">
        <f t="shared" si="1"/>
        <v>22425</v>
      </c>
      <c r="O4" s="7">
        <f t="shared" ref="O4:O5" si="3">SUM(C4:N4)</f>
        <v>116350</v>
      </c>
    </row>
    <row r="5">
      <c r="B5" s="5" t="s">
        <v>16</v>
      </c>
      <c r="C5" s="8">
        <f t="shared" ref="C5:N5" si="2">IF((C10+C14)-SUM(C19,C22,C25,C28,C31,C34,C37,C40,C43,C46,C49)=0,"",(C10+C14)-SUM(C19,C22,C25,C28,C31,C34,C37,C40,C43,C46,C49))</f>
        <v>35640</v>
      </c>
      <c r="D5" s="8">
        <f t="shared" si="2"/>
        <v>27579</v>
      </c>
      <c r="E5" s="8">
        <f t="shared" si="2"/>
        <v>28132</v>
      </c>
      <c r="F5" s="8">
        <f t="shared" si="2"/>
        <v>31249</v>
      </c>
      <c r="G5" s="8">
        <f t="shared" si="2"/>
        <v>26556</v>
      </c>
      <c r="H5" s="8">
        <f t="shared" si="2"/>
        <v>56257</v>
      </c>
      <c r="I5" s="8">
        <f t="shared" si="2"/>
        <v>2283</v>
      </c>
      <c r="J5" s="8">
        <f t="shared" si="2"/>
        <v>9838</v>
      </c>
      <c r="K5" s="8">
        <f t="shared" si="2"/>
        <v>12037</v>
      </c>
      <c r="L5" s="8">
        <f t="shared" si="2"/>
        <v>13920</v>
      </c>
      <c r="M5" s="8">
        <f t="shared" si="2"/>
        <v>22978</v>
      </c>
      <c r="N5" s="8">
        <f t="shared" si="2"/>
        <v>29085</v>
      </c>
      <c r="O5" s="9">
        <f t="shared" si="3"/>
        <v>295554</v>
      </c>
    </row>
    <row r="6">
      <c r="B6" s="10" t="s">
        <v>17</v>
      </c>
      <c r="C6" s="11">
        <f t="shared" ref="C6:O6" si="4">IF(C5="","",C5-C4)</f>
        <v>15940</v>
      </c>
      <c r="D6" s="11">
        <f t="shared" si="4"/>
        <v>18979</v>
      </c>
      <c r="E6" s="11">
        <f t="shared" si="4"/>
        <v>31207</v>
      </c>
      <c r="F6" s="11">
        <f t="shared" si="4"/>
        <v>32824</v>
      </c>
      <c r="G6" s="11">
        <f t="shared" si="4"/>
        <v>25431</v>
      </c>
      <c r="H6" s="11">
        <f t="shared" si="4"/>
        <v>6532</v>
      </c>
      <c r="I6" s="11">
        <f t="shared" si="4"/>
        <v>24358</v>
      </c>
      <c r="J6" s="11">
        <f t="shared" si="4"/>
        <v>-6787</v>
      </c>
      <c r="K6" s="11">
        <f t="shared" si="4"/>
        <v>-12288</v>
      </c>
      <c r="L6" s="11">
        <f t="shared" si="4"/>
        <v>8595</v>
      </c>
      <c r="M6" s="11">
        <f t="shared" si="4"/>
        <v>27753</v>
      </c>
      <c r="N6" s="11">
        <f t="shared" si="4"/>
        <v>6660</v>
      </c>
      <c r="O6" s="12">
        <f t="shared" si="4"/>
        <v>179204</v>
      </c>
    </row>
    <row r="7">
      <c r="B7" s="13" t="s">
        <v>18</v>
      </c>
      <c r="C7" s="14" t="s">
        <v>2</v>
      </c>
      <c r="D7" s="14" t="s">
        <v>3</v>
      </c>
      <c r="E7" s="14" t="s">
        <v>4</v>
      </c>
      <c r="F7" s="14" t="s">
        <v>5</v>
      </c>
      <c r="G7" s="14" t="s">
        <v>6</v>
      </c>
      <c r="H7" s="14" t="s">
        <v>7</v>
      </c>
      <c r="I7" s="14" t="s">
        <v>8</v>
      </c>
      <c r="J7" s="14" t="s">
        <v>9</v>
      </c>
      <c r="K7" s="14" t="s">
        <v>10</v>
      </c>
      <c r="L7" s="14" t="s">
        <v>11</v>
      </c>
      <c r="M7" s="14" t="s">
        <v>12</v>
      </c>
      <c r="N7" s="14" t="s">
        <v>13</v>
      </c>
      <c r="O7" s="14" t="s">
        <v>14</v>
      </c>
    </row>
    <row r="8">
      <c r="B8" s="15" t="s">
        <v>19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>
      <c r="B9" s="5" t="s">
        <v>15</v>
      </c>
      <c r="C9" s="17">
        <v>52000.0</v>
      </c>
      <c r="D9" s="17">
        <v>52000.0</v>
      </c>
      <c r="E9" s="17">
        <v>52000.0</v>
      </c>
      <c r="F9" s="17">
        <v>52000.0</v>
      </c>
      <c r="G9" s="17">
        <v>52000.0</v>
      </c>
      <c r="H9" s="17">
        <v>80000.0</v>
      </c>
      <c r="I9" s="17">
        <v>52000.0</v>
      </c>
      <c r="J9" s="17">
        <v>52000.0</v>
      </c>
      <c r="K9" s="17">
        <v>52000.0</v>
      </c>
      <c r="L9" s="17">
        <v>52000.0</v>
      </c>
      <c r="M9" s="17">
        <v>52000.0</v>
      </c>
      <c r="N9" s="17">
        <v>70000.0</v>
      </c>
      <c r="O9" s="7">
        <f t="shared" ref="O9:O10" si="5">SUM(C9:N9)</f>
        <v>670000</v>
      </c>
    </row>
    <row r="10">
      <c r="B10" s="5" t="s">
        <v>16</v>
      </c>
      <c r="C10" s="18">
        <v>55615.0</v>
      </c>
      <c r="D10" s="18">
        <v>55615.0</v>
      </c>
      <c r="E10" s="18">
        <v>55615.0</v>
      </c>
      <c r="F10" s="18">
        <v>55615.0</v>
      </c>
      <c r="G10" s="18">
        <v>53051.0</v>
      </c>
      <c r="H10" s="18">
        <f>104571</f>
        <v>104571</v>
      </c>
      <c r="I10" s="18">
        <v>53051.0</v>
      </c>
      <c r="J10" s="18">
        <v>53051.0</v>
      </c>
      <c r="K10" s="18">
        <v>53051.0</v>
      </c>
      <c r="L10" s="18">
        <v>53051.0</v>
      </c>
      <c r="M10" s="18">
        <f>58249</f>
        <v>58249</v>
      </c>
      <c r="N10" s="18">
        <v>70054.0</v>
      </c>
      <c r="O10" s="9">
        <f t="shared" si="5"/>
        <v>720589</v>
      </c>
    </row>
    <row r="11">
      <c r="B11" s="10" t="s">
        <v>17</v>
      </c>
      <c r="C11" s="11">
        <f t="shared" ref="C11:O11" si="6">IF(C10="","",C10-C9)</f>
        <v>3615</v>
      </c>
      <c r="D11" s="11">
        <f t="shared" si="6"/>
        <v>3615</v>
      </c>
      <c r="E11" s="11">
        <f t="shared" si="6"/>
        <v>3615</v>
      </c>
      <c r="F11" s="11">
        <f t="shared" si="6"/>
        <v>3615</v>
      </c>
      <c r="G11" s="11">
        <f t="shared" si="6"/>
        <v>1051</v>
      </c>
      <c r="H11" s="11">
        <f t="shared" si="6"/>
        <v>24571</v>
      </c>
      <c r="I11" s="11">
        <f t="shared" si="6"/>
        <v>1051</v>
      </c>
      <c r="J11" s="11">
        <f t="shared" si="6"/>
        <v>1051</v>
      </c>
      <c r="K11" s="11">
        <f t="shared" si="6"/>
        <v>1051</v>
      </c>
      <c r="L11" s="11">
        <f t="shared" si="6"/>
        <v>1051</v>
      </c>
      <c r="M11" s="11">
        <f t="shared" si="6"/>
        <v>6249</v>
      </c>
      <c r="N11" s="11">
        <f t="shared" si="6"/>
        <v>54</v>
      </c>
      <c r="O11" s="12">
        <f t="shared" si="6"/>
        <v>50589</v>
      </c>
    </row>
    <row r="12">
      <c r="B12" s="15" t="s">
        <v>20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>
      <c r="B13" s="5" t="s">
        <v>15</v>
      </c>
      <c r="C13" s="17">
        <v>0.0</v>
      </c>
      <c r="D13" s="17">
        <v>0.0</v>
      </c>
      <c r="E13" s="17">
        <v>3000.0</v>
      </c>
      <c r="F13" s="17">
        <v>0.0</v>
      </c>
      <c r="G13" s="17">
        <v>0.0</v>
      </c>
      <c r="H13" s="17">
        <v>0.0</v>
      </c>
      <c r="I13" s="17">
        <v>0.0</v>
      </c>
      <c r="J13" s="17">
        <v>0.0</v>
      </c>
      <c r="K13" s="17">
        <v>0.0</v>
      </c>
      <c r="L13" s="17">
        <v>0.0</v>
      </c>
      <c r="M13" s="17">
        <v>0.0</v>
      </c>
      <c r="N13" s="17">
        <v>0.0</v>
      </c>
      <c r="O13" s="7">
        <f t="shared" ref="O13:O14" si="7">SUM(C13:N13)</f>
        <v>3000</v>
      </c>
    </row>
    <row r="14">
      <c r="B14" s="5" t="s">
        <v>16</v>
      </c>
      <c r="C14" s="18">
        <f>575+2182</f>
        <v>2757</v>
      </c>
      <c r="D14" s="18">
        <f>1187</f>
        <v>1187</v>
      </c>
      <c r="E14" s="18">
        <v>0.0</v>
      </c>
      <c r="F14" s="18">
        <f>1850</f>
        <v>1850</v>
      </c>
      <c r="G14" s="18">
        <v>0.0</v>
      </c>
      <c r="H14" s="18">
        <f>2897</f>
        <v>2897</v>
      </c>
      <c r="I14" s="18">
        <v>3000.0</v>
      </c>
      <c r="J14" s="18">
        <v>0.0</v>
      </c>
      <c r="K14" s="18">
        <v>0.0</v>
      </c>
      <c r="L14" s="18">
        <v>0.0</v>
      </c>
      <c r="M14" s="18"/>
      <c r="N14" s="18">
        <v>0.0</v>
      </c>
      <c r="O14" s="9">
        <f t="shared" si="7"/>
        <v>11691</v>
      </c>
    </row>
    <row r="15">
      <c r="B15" s="10" t="s">
        <v>17</v>
      </c>
      <c r="C15" s="11">
        <f t="shared" ref="C15:L15" si="8">IF(C14="","",C14-C13)</f>
        <v>2757</v>
      </c>
      <c r="D15" s="11">
        <f t="shared" si="8"/>
        <v>1187</v>
      </c>
      <c r="E15" s="11">
        <f t="shared" si="8"/>
        <v>-3000</v>
      </c>
      <c r="F15" s="11">
        <f t="shared" si="8"/>
        <v>1850</v>
      </c>
      <c r="G15" s="11">
        <f t="shared" si="8"/>
        <v>0</v>
      </c>
      <c r="H15" s="11">
        <f t="shared" si="8"/>
        <v>2897</v>
      </c>
      <c r="I15" s="11">
        <f t="shared" si="8"/>
        <v>3000</v>
      </c>
      <c r="J15" s="11">
        <f t="shared" si="8"/>
        <v>0</v>
      </c>
      <c r="K15" s="11">
        <f t="shared" si="8"/>
        <v>0</v>
      </c>
      <c r="L15" s="11">
        <f t="shared" si="8"/>
        <v>0</v>
      </c>
      <c r="M15" s="19">
        <v>0.0</v>
      </c>
      <c r="N15" s="11">
        <f t="shared" ref="N15:O15" si="9">IF(N14="","",N14-N13)</f>
        <v>0</v>
      </c>
      <c r="O15" s="12">
        <f t="shared" si="9"/>
        <v>8691</v>
      </c>
    </row>
    <row r="16">
      <c r="B16" s="20" t="s">
        <v>21</v>
      </c>
      <c r="C16" s="21" t="s">
        <v>2</v>
      </c>
      <c r="D16" s="21" t="s">
        <v>3</v>
      </c>
      <c r="E16" s="21" t="s">
        <v>4</v>
      </c>
      <c r="F16" s="21" t="s">
        <v>5</v>
      </c>
      <c r="G16" s="21" t="s">
        <v>6</v>
      </c>
      <c r="H16" s="21" t="s">
        <v>7</v>
      </c>
      <c r="I16" s="21" t="s">
        <v>8</v>
      </c>
      <c r="J16" s="21" t="s">
        <v>9</v>
      </c>
      <c r="K16" s="21" t="s">
        <v>10</v>
      </c>
      <c r="L16" s="21" t="s">
        <v>11</v>
      </c>
      <c r="M16" s="21" t="s">
        <v>12</v>
      </c>
      <c r="N16" s="21" t="s">
        <v>13</v>
      </c>
      <c r="O16" s="21" t="s">
        <v>14</v>
      </c>
    </row>
    <row r="17">
      <c r="B17" s="15" t="s">
        <v>22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>
      <c r="B18" s="5" t="s">
        <v>15</v>
      </c>
      <c r="C18" s="22">
        <v>17000.0</v>
      </c>
      <c r="D18" s="22">
        <v>17000.0</v>
      </c>
      <c r="E18" s="22">
        <v>17000.0</v>
      </c>
      <c r="F18" s="22">
        <v>17000.0</v>
      </c>
      <c r="G18" s="22">
        <v>17000.0</v>
      </c>
      <c r="H18" s="22">
        <v>17000.0</v>
      </c>
      <c r="I18" s="22">
        <v>17000.0</v>
      </c>
      <c r="J18" s="22">
        <v>17000.0</v>
      </c>
      <c r="K18" s="22">
        <v>17000.0</v>
      </c>
      <c r="L18" s="22">
        <v>17000.0</v>
      </c>
      <c r="M18" s="22">
        <v>17000.0</v>
      </c>
      <c r="N18" s="22">
        <v>17000.0</v>
      </c>
      <c r="O18" s="7">
        <f t="shared" ref="O18:O19" si="10">SUM(C18:N18)</f>
        <v>204000</v>
      </c>
    </row>
    <row r="19">
      <c r="B19" s="5" t="s">
        <v>16</v>
      </c>
      <c r="C19" s="23">
        <f>7252+6901+469+1191+264</f>
        <v>16077</v>
      </c>
      <c r="D19" s="23">
        <f>7252+469+6901+202+1145+199+679+369</f>
        <v>17216</v>
      </c>
      <c r="E19" s="23">
        <f>7475+5609+469+650+388+172</f>
        <v>14763</v>
      </c>
      <c r="F19" s="23">
        <f>7320+5627+469+596+378</f>
        <v>14390</v>
      </c>
      <c r="G19" s="23">
        <f>469+7320+5627+50+199+440+381</f>
        <v>14486</v>
      </c>
      <c r="H19" s="23">
        <f>469+7321+5627+224+333</f>
        <v>13974</v>
      </c>
      <c r="I19" s="23">
        <f>469+7321+5627+192+306</f>
        <v>13915</v>
      </c>
      <c r="J19" s="23">
        <f>469+5627+7321+120+201+2514+999+153+545+199</f>
        <v>18148</v>
      </c>
      <c r="K19" s="23">
        <f>7392+469+5627+115+346+139+329</f>
        <v>14417</v>
      </c>
      <c r="L19" s="23">
        <f>469+7322+5627+1370+155+342</f>
        <v>15285</v>
      </c>
      <c r="M19" s="23">
        <f>469+6957+5627+1357+268+1490+416</f>
        <v>16584</v>
      </c>
      <c r="N19" s="23">
        <f>495+6737+5627+534+430+675+1048</f>
        <v>15546</v>
      </c>
      <c r="O19" s="9">
        <f t="shared" si="10"/>
        <v>184801</v>
      </c>
    </row>
    <row r="20">
      <c r="B20" s="15" t="s">
        <v>23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>
      <c r="B21" s="5" t="s">
        <v>15</v>
      </c>
      <c r="C21" s="17">
        <v>3000.0</v>
      </c>
      <c r="D21" s="17">
        <v>0.0</v>
      </c>
      <c r="E21" s="17">
        <v>0.0</v>
      </c>
      <c r="F21" s="17">
        <v>0.0</v>
      </c>
      <c r="G21" s="17">
        <v>0.0</v>
      </c>
      <c r="H21" s="17">
        <v>0.0</v>
      </c>
      <c r="I21" s="17">
        <v>0.0</v>
      </c>
      <c r="J21" s="17">
        <v>0.0</v>
      </c>
      <c r="K21" s="17">
        <v>0.0</v>
      </c>
      <c r="L21" s="17">
        <v>3000.0</v>
      </c>
      <c r="M21" s="17">
        <v>12000.0</v>
      </c>
      <c r="N21" s="17">
        <v>0.0</v>
      </c>
      <c r="O21" s="7">
        <f t="shared" ref="O21:O22" si="11">SUM(C21:N21)</f>
        <v>18000</v>
      </c>
    </row>
    <row r="22">
      <c r="B22" s="5" t="s">
        <v>16</v>
      </c>
      <c r="C22" s="18">
        <v>0.0</v>
      </c>
      <c r="D22" s="18">
        <v>0.0</v>
      </c>
      <c r="E22" s="18">
        <v>0.0</v>
      </c>
      <c r="F22" s="18">
        <v>0.0</v>
      </c>
      <c r="G22" s="18">
        <v>0.0</v>
      </c>
      <c r="H22" s="18">
        <v>0.0</v>
      </c>
      <c r="I22" s="18">
        <v>0.0</v>
      </c>
      <c r="J22" s="18">
        <f>918+7215+89+418</f>
        <v>8640</v>
      </c>
      <c r="K22" s="18">
        <v>0.0</v>
      </c>
      <c r="L22" s="18">
        <f>304</f>
        <v>304</v>
      </c>
      <c r="M22" s="18">
        <v>0.0</v>
      </c>
      <c r="N22" s="18">
        <v>0.0</v>
      </c>
      <c r="O22" s="9">
        <f t="shared" si="11"/>
        <v>8944</v>
      </c>
    </row>
    <row r="23">
      <c r="B23" s="15" t="s">
        <v>24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>
      <c r="B24" s="5" t="s">
        <v>15</v>
      </c>
      <c r="C24" s="17">
        <v>1100.0</v>
      </c>
      <c r="D24" s="17">
        <v>900.0</v>
      </c>
      <c r="E24" s="17">
        <v>1300.0</v>
      </c>
      <c r="F24" s="17">
        <v>1000.0</v>
      </c>
      <c r="G24" s="17">
        <v>900.0</v>
      </c>
      <c r="H24" s="17">
        <v>1500.0</v>
      </c>
      <c r="I24" s="17">
        <v>1300.0</v>
      </c>
      <c r="J24" s="17">
        <v>900.0</v>
      </c>
      <c r="K24" s="17">
        <v>900.0</v>
      </c>
      <c r="L24" s="17">
        <v>1900.0</v>
      </c>
      <c r="M24" s="17">
        <v>1000.0</v>
      </c>
      <c r="N24" s="17">
        <v>800.0</v>
      </c>
      <c r="O24" s="7">
        <f t="shared" ref="O24:O25" si="12">SUM(C24:N24)</f>
        <v>13500</v>
      </c>
    </row>
    <row r="25">
      <c r="B25" s="5" t="s">
        <v>16</v>
      </c>
      <c r="C25" s="18">
        <f>389+148+115+149+147</f>
        <v>948</v>
      </c>
      <c r="D25" s="18">
        <f>431+115+148+149</f>
        <v>843</v>
      </c>
      <c r="E25" s="18">
        <f>172+115+148+18+149</f>
        <v>602</v>
      </c>
      <c r="F25" s="18">
        <f>299+148+115+147+379+344+149</f>
        <v>1581</v>
      </c>
      <c r="G25" s="18">
        <f>299+115+148+149</f>
        <v>711</v>
      </c>
      <c r="H25" s="18">
        <f>299+115+239+148+149</f>
        <v>950</v>
      </c>
      <c r="I25" s="18">
        <f>299+147+115+148+149</f>
        <v>858</v>
      </c>
      <c r="J25" s="18">
        <f>937+115+148+149</f>
        <v>1349</v>
      </c>
      <c r="K25" s="18">
        <f>299+115+148+149</f>
        <v>711</v>
      </c>
      <c r="L25" s="18">
        <f>299+115+148+147+891+223+219</f>
        <v>2042</v>
      </c>
      <c r="M25" s="18">
        <f>299+115+148+227+219</f>
        <v>1008</v>
      </c>
      <c r="N25" s="18">
        <f>302+115+250+168+229+151+219</f>
        <v>1434</v>
      </c>
      <c r="O25" s="9">
        <f t="shared" si="12"/>
        <v>13037</v>
      </c>
    </row>
    <row r="26">
      <c r="B26" s="15" t="s">
        <v>25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>
      <c r="B27" s="5" t="s">
        <v>15</v>
      </c>
      <c r="C27" s="17">
        <v>0.0</v>
      </c>
      <c r="D27" s="17">
        <v>0.0</v>
      </c>
      <c r="E27" s="17">
        <v>0.0</v>
      </c>
      <c r="F27" s="17">
        <v>0.0</v>
      </c>
      <c r="G27" s="17">
        <v>200.0</v>
      </c>
      <c r="H27" s="17">
        <v>3000.0</v>
      </c>
      <c r="I27" s="17">
        <v>3000.0</v>
      </c>
      <c r="J27" s="17">
        <v>3000.0</v>
      </c>
      <c r="K27" s="17">
        <v>3000.0</v>
      </c>
      <c r="L27" s="17">
        <v>3000.0</v>
      </c>
      <c r="M27" s="17">
        <v>3000.0</v>
      </c>
      <c r="N27" s="17">
        <v>3000.0</v>
      </c>
      <c r="O27" s="7">
        <f t="shared" ref="O27:O28" si="14">SUM(C27:N27)</f>
        <v>21200</v>
      </c>
    </row>
    <row r="28">
      <c r="B28" s="5" t="s">
        <v>16</v>
      </c>
      <c r="C28" s="18">
        <v>0.0</v>
      </c>
      <c r="D28" s="18">
        <v>0.0</v>
      </c>
      <c r="E28" s="18">
        <f t="shared" ref="E28:F28" si="13">1000</f>
        <v>1000</v>
      </c>
      <c r="F28" s="18">
        <f t="shared" si="13"/>
        <v>1000</v>
      </c>
      <c r="G28" s="18">
        <f>1000+160</f>
        <v>1160</v>
      </c>
      <c r="H28" s="18">
        <f>3000+1500+600</f>
        <v>5100</v>
      </c>
      <c r="I28" s="18">
        <v>3000.0</v>
      </c>
      <c r="J28" s="18">
        <v>3000.0</v>
      </c>
      <c r="K28" s="18">
        <f>3000</f>
        <v>3000</v>
      </c>
      <c r="L28" s="18">
        <f>10000+3000</f>
        <v>13000</v>
      </c>
      <c r="M28" s="18">
        <v>3000.0</v>
      </c>
      <c r="N28" s="18">
        <v>3000.0</v>
      </c>
      <c r="O28" s="9">
        <f t="shared" si="14"/>
        <v>36260</v>
      </c>
    </row>
    <row r="29">
      <c r="B29" s="15" t="s">
        <v>26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>
      <c r="B30" s="5" t="s">
        <v>15</v>
      </c>
      <c r="C30" s="17">
        <v>3000.0</v>
      </c>
      <c r="D30" s="17">
        <v>3000.0</v>
      </c>
      <c r="E30" s="17">
        <v>3000.0</v>
      </c>
      <c r="F30" s="17">
        <v>2800.0</v>
      </c>
      <c r="G30" s="17">
        <v>2000.0</v>
      </c>
      <c r="H30" s="17">
        <v>0.0</v>
      </c>
      <c r="I30" s="17">
        <v>0.0</v>
      </c>
      <c r="J30" s="17">
        <v>700.0</v>
      </c>
      <c r="K30" s="17">
        <v>1000.0</v>
      </c>
      <c r="L30" s="17">
        <v>2000.0</v>
      </c>
      <c r="M30" s="17">
        <v>500.0</v>
      </c>
      <c r="N30" s="17">
        <v>2000.0</v>
      </c>
      <c r="O30" s="7">
        <f t="shared" ref="O30:O31" si="15">SUM(C30:N30)</f>
        <v>20000</v>
      </c>
    </row>
    <row r="31">
      <c r="B31" s="5" t="s">
        <v>16</v>
      </c>
      <c r="C31" s="18">
        <v>0.0</v>
      </c>
      <c r="D31" s="18">
        <f>700</f>
        <v>700</v>
      </c>
      <c r="E31" s="18">
        <f>357</f>
        <v>357</v>
      </c>
      <c r="F31" s="18">
        <v>0.0</v>
      </c>
      <c r="G31" s="18">
        <f>700+1405+436</f>
        <v>2541</v>
      </c>
      <c r="H31" s="18">
        <f>461+224</f>
        <v>685</v>
      </c>
      <c r="I31" s="18">
        <v>0.0</v>
      </c>
      <c r="J31" s="18">
        <f>700+379+2180</f>
        <v>3259</v>
      </c>
      <c r="K31" s="18">
        <v>0.0</v>
      </c>
      <c r="L31" s="18">
        <v>0.0</v>
      </c>
      <c r="M31" s="18">
        <f>700</f>
        <v>700</v>
      </c>
      <c r="N31" s="18">
        <f>328+148</f>
        <v>476</v>
      </c>
      <c r="O31" s="9">
        <f t="shared" si="15"/>
        <v>8718</v>
      </c>
    </row>
    <row r="32">
      <c r="B32" s="15" t="s">
        <v>27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>
      <c r="B33" s="5" t="s">
        <v>15</v>
      </c>
      <c r="C33" s="17">
        <v>4000.0</v>
      </c>
      <c r="D33" s="17">
        <v>11000.0</v>
      </c>
      <c r="E33" s="17">
        <v>30000.0</v>
      </c>
      <c r="F33" s="17">
        <v>20000.0</v>
      </c>
      <c r="G33" s="17">
        <v>20000.0</v>
      </c>
      <c r="H33" s="17">
        <v>0.0</v>
      </c>
      <c r="I33" s="17">
        <v>0.0</v>
      </c>
      <c r="J33" s="17">
        <v>4000.0</v>
      </c>
      <c r="K33" s="17">
        <v>3000.0</v>
      </c>
      <c r="L33" s="17">
        <v>2000.0</v>
      </c>
      <c r="M33" s="17">
        <v>5000.0</v>
      </c>
      <c r="N33" s="17">
        <v>1000.0</v>
      </c>
      <c r="O33" s="7">
        <f t="shared" ref="O33:O34" si="16">SUM(C33:N33)</f>
        <v>100000</v>
      </c>
    </row>
    <row r="34">
      <c r="B34" s="5" t="s">
        <v>16</v>
      </c>
      <c r="C34" s="18">
        <f>306</f>
        <v>306</v>
      </c>
      <c r="D34" s="18">
        <v>0.0</v>
      </c>
      <c r="E34" s="18">
        <f>56+1292+3751+418+851</f>
        <v>6368</v>
      </c>
      <c r="F34" s="18">
        <f>199+348+2237</f>
        <v>2784</v>
      </c>
      <c r="G34" s="18">
        <f>300+910+287+202</f>
        <v>1699</v>
      </c>
      <c r="H34" s="18">
        <f>3299+219+49+595+95+59+1998+1299+50+999+49+200</f>
        <v>8911</v>
      </c>
      <c r="I34" s="18">
        <v>0.0</v>
      </c>
      <c r="J34" s="18">
        <f>238+180+250+948</f>
        <v>1616</v>
      </c>
      <c r="K34" s="18">
        <f>584+2109+6451</f>
        <v>9144</v>
      </c>
      <c r="L34" s="18">
        <v>0.0</v>
      </c>
      <c r="M34" s="18">
        <f>835+698+938+1741</f>
        <v>4212</v>
      </c>
      <c r="N34" s="18">
        <f>8500+557+499</f>
        <v>9556</v>
      </c>
      <c r="O34" s="9">
        <f t="shared" si="16"/>
        <v>44596</v>
      </c>
    </row>
    <row r="35">
      <c r="B35" s="15" t="s">
        <v>28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24" t="s">
        <v>29</v>
      </c>
      <c r="O35" s="16"/>
    </row>
    <row r="36">
      <c r="B36" s="5" t="s">
        <v>15</v>
      </c>
      <c r="C36" s="17">
        <v>2000.0</v>
      </c>
      <c r="D36" s="17">
        <v>2000.0</v>
      </c>
      <c r="E36" s="17">
        <v>2000.0</v>
      </c>
      <c r="F36" s="17">
        <v>2000.0</v>
      </c>
      <c r="G36" s="17">
        <v>4000.0</v>
      </c>
      <c r="H36" s="17">
        <v>2000.0</v>
      </c>
      <c r="I36" s="17">
        <v>50000.0</v>
      </c>
      <c r="J36" s="17">
        <v>5000.0</v>
      </c>
      <c r="K36" s="17">
        <v>0.0</v>
      </c>
      <c r="L36" s="17">
        <v>15000.0</v>
      </c>
      <c r="M36" s="17">
        <v>15000.0</v>
      </c>
      <c r="N36" s="17">
        <v>10000.0</v>
      </c>
      <c r="O36" s="7">
        <f t="shared" ref="O36:O37" si="17">SUM(C36:N36)</f>
        <v>109000</v>
      </c>
    </row>
    <row r="37">
      <c r="B37" s="5" t="s">
        <v>16</v>
      </c>
      <c r="C37" s="18">
        <f>1681+1250</f>
        <v>2931</v>
      </c>
      <c r="D37" s="18">
        <f>394+1676</f>
        <v>2070</v>
      </c>
      <c r="E37" s="18">
        <f>470</f>
        <v>470</v>
      </c>
      <c r="F37" s="18">
        <f>1443</f>
        <v>1443</v>
      </c>
      <c r="G37" s="18">
        <f>754</f>
        <v>754</v>
      </c>
      <c r="H37" s="18">
        <v>17490.0</v>
      </c>
      <c r="I37" s="18">
        <v>32521.0</v>
      </c>
      <c r="J37" s="18">
        <v>0.0</v>
      </c>
      <c r="K37" s="18">
        <f>10789</f>
        <v>10789</v>
      </c>
      <c r="L37" s="18">
        <f>1079+2092</f>
        <v>3171</v>
      </c>
      <c r="M37" s="18">
        <f>2092</f>
        <v>2092</v>
      </c>
      <c r="N37" s="18">
        <v>0.0</v>
      </c>
      <c r="O37" s="9">
        <f t="shared" si="17"/>
        <v>73731</v>
      </c>
    </row>
    <row r="38">
      <c r="B38" s="15" t="s">
        <v>30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>
      <c r="B39" s="5" t="s">
        <v>15</v>
      </c>
      <c r="C39" s="17">
        <v>1000.0</v>
      </c>
      <c r="D39" s="17">
        <v>1000.0</v>
      </c>
      <c r="E39" s="17">
        <v>1000.0</v>
      </c>
      <c r="F39" s="17">
        <v>1000.0</v>
      </c>
      <c r="G39" s="17">
        <v>1000.0</v>
      </c>
      <c r="H39" s="17">
        <v>1000.0</v>
      </c>
      <c r="I39" s="17">
        <v>1000.0</v>
      </c>
      <c r="J39" s="17">
        <v>1000.0</v>
      </c>
      <c r="K39" s="17">
        <v>1000.0</v>
      </c>
      <c r="L39" s="17">
        <v>1000.0</v>
      </c>
      <c r="M39" s="17">
        <v>1000.0</v>
      </c>
      <c r="N39" s="17">
        <v>1000.0</v>
      </c>
      <c r="O39" s="7">
        <f t="shared" ref="O39:O40" si="18">SUM(C39:N39)</f>
        <v>12000</v>
      </c>
    </row>
    <row r="40">
      <c r="B40" s="5" t="s">
        <v>16</v>
      </c>
      <c r="C40" s="18">
        <v>1000.0</v>
      </c>
      <c r="D40" s="18">
        <v>1000.0</v>
      </c>
      <c r="E40" s="18">
        <v>1000.0</v>
      </c>
      <c r="F40" s="18">
        <v>1000.0</v>
      </c>
      <c r="G40" s="18">
        <v>1000.0</v>
      </c>
      <c r="H40" s="18">
        <v>1000.0</v>
      </c>
      <c r="I40" s="18">
        <v>1000.0</v>
      </c>
      <c r="J40" s="18">
        <v>1000.0</v>
      </c>
      <c r="K40" s="18">
        <v>1000.0</v>
      </c>
      <c r="L40" s="18">
        <v>1000.0</v>
      </c>
      <c r="M40" s="18">
        <v>1000.0</v>
      </c>
      <c r="N40" s="18">
        <v>1000.0</v>
      </c>
      <c r="O40" s="9">
        <f t="shared" si="18"/>
        <v>12000</v>
      </c>
    </row>
    <row r="41">
      <c r="B41" s="15" t="s">
        <v>31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>
      <c r="B42" s="5" t="s">
        <v>15</v>
      </c>
      <c r="C42" s="17">
        <v>500.0</v>
      </c>
      <c r="D42" s="17">
        <v>500.0</v>
      </c>
      <c r="E42" s="17">
        <v>500.0</v>
      </c>
      <c r="F42" s="17">
        <v>500.0</v>
      </c>
      <c r="G42" s="17">
        <v>500.0</v>
      </c>
      <c r="H42" s="17">
        <v>500.0</v>
      </c>
      <c r="I42" s="17">
        <v>500.0</v>
      </c>
      <c r="J42" s="17">
        <v>500.0</v>
      </c>
      <c r="K42" s="17">
        <v>500.0</v>
      </c>
      <c r="L42" s="17">
        <v>500.0</v>
      </c>
      <c r="M42" s="17">
        <v>500.0</v>
      </c>
      <c r="N42" s="17">
        <v>500.0</v>
      </c>
      <c r="O42" s="7">
        <f t="shared" ref="O42:O43" si="19">SUM(C42:N42)</f>
        <v>6000</v>
      </c>
    </row>
    <row r="43">
      <c r="B43" s="5" t="s">
        <v>16</v>
      </c>
      <c r="C43" s="18">
        <v>500.0</v>
      </c>
      <c r="D43" s="18">
        <v>500.0</v>
      </c>
      <c r="E43" s="18">
        <v>500.0</v>
      </c>
      <c r="F43" s="18">
        <v>500.0</v>
      </c>
      <c r="G43" s="18">
        <v>500.0</v>
      </c>
      <c r="H43" s="18">
        <v>500.0</v>
      </c>
      <c r="I43" s="18">
        <v>500.0</v>
      </c>
      <c r="J43" s="18">
        <v>500.0</v>
      </c>
      <c r="K43" s="18">
        <v>500.0</v>
      </c>
      <c r="L43" s="18">
        <v>500.0</v>
      </c>
      <c r="M43" s="18">
        <v>500.0</v>
      </c>
      <c r="N43" s="18">
        <v>500.0</v>
      </c>
      <c r="O43" s="9">
        <f t="shared" si="19"/>
        <v>6000</v>
      </c>
    </row>
    <row r="44">
      <c r="B44" s="15" t="s">
        <v>32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>
      <c r="B45" s="5" t="s">
        <v>15</v>
      </c>
      <c r="C45" s="17">
        <v>0.0</v>
      </c>
      <c r="D45" s="17">
        <v>6000.0</v>
      </c>
      <c r="E45" s="17">
        <v>275.0</v>
      </c>
      <c r="F45" s="17">
        <v>275.0</v>
      </c>
      <c r="G45" s="17">
        <v>275.0</v>
      </c>
      <c r="H45" s="17">
        <v>275.0</v>
      </c>
      <c r="I45" s="17">
        <v>275.0</v>
      </c>
      <c r="J45" s="17">
        <v>275.0</v>
      </c>
      <c r="K45" s="17">
        <v>275.0</v>
      </c>
      <c r="L45" s="17">
        <v>275.0</v>
      </c>
      <c r="M45" s="17">
        <v>275.0</v>
      </c>
      <c r="N45" s="17">
        <v>275.0</v>
      </c>
      <c r="O45" s="7">
        <f t="shared" ref="O45:O46" si="21">SUM(C45:N45)</f>
        <v>8750</v>
      </c>
    </row>
    <row r="46">
      <c r="B46" s="5" t="s">
        <v>16</v>
      </c>
      <c r="C46" s="18">
        <v>0.0</v>
      </c>
      <c r="D46" s="18">
        <f>5776</f>
        <v>5776</v>
      </c>
      <c r="E46" s="18">
        <f t="shared" ref="E46:H46" si="20">275</f>
        <v>275</v>
      </c>
      <c r="F46" s="18">
        <f t="shared" si="20"/>
        <v>275</v>
      </c>
      <c r="G46" s="18">
        <f t="shared" si="20"/>
        <v>275</v>
      </c>
      <c r="H46" s="18">
        <f t="shared" si="20"/>
        <v>275</v>
      </c>
      <c r="I46" s="18">
        <v>275.0</v>
      </c>
      <c r="J46" s="18">
        <v>500.0</v>
      </c>
      <c r="K46" s="18">
        <f>500+319+155</f>
        <v>974</v>
      </c>
      <c r="L46" s="18">
        <f>500</f>
        <v>500</v>
      </c>
      <c r="M46" s="18">
        <v>500.0</v>
      </c>
      <c r="N46" s="18">
        <v>500.0</v>
      </c>
      <c r="O46" s="9">
        <f t="shared" si="21"/>
        <v>10125</v>
      </c>
    </row>
    <row r="47">
      <c r="B47" s="15" t="s">
        <v>33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</row>
    <row r="48">
      <c r="B48" s="5" t="s">
        <v>15</v>
      </c>
      <c r="C48" s="17">
        <v>700.0</v>
      </c>
      <c r="D48" s="17">
        <v>2000.0</v>
      </c>
      <c r="E48" s="17">
        <v>3000.0</v>
      </c>
      <c r="F48" s="17">
        <v>9000.0</v>
      </c>
      <c r="G48" s="17">
        <v>5000.0</v>
      </c>
      <c r="H48" s="17">
        <v>5000.0</v>
      </c>
      <c r="I48" s="17">
        <v>1000.0</v>
      </c>
      <c r="J48" s="17">
        <v>3000.0</v>
      </c>
      <c r="K48" s="17">
        <v>1000.0</v>
      </c>
      <c r="L48" s="17">
        <v>1000.0</v>
      </c>
      <c r="M48" s="17">
        <v>1500.0</v>
      </c>
      <c r="N48" s="17">
        <v>12000.0</v>
      </c>
      <c r="O48" s="7">
        <f t="shared" ref="O48:O49" si="22">SUM(C48:N48)</f>
        <v>44200</v>
      </c>
    </row>
    <row r="49">
      <c r="B49" s="5" t="s">
        <v>16</v>
      </c>
      <c r="C49" s="18">
        <f>200+75+300+75+320</f>
        <v>970</v>
      </c>
      <c r="D49" s="18">
        <f>189+500+199+230</f>
        <v>1118</v>
      </c>
      <c r="E49" s="18">
        <f>250+1100+100+320+378</f>
        <v>2148</v>
      </c>
      <c r="F49" s="18">
        <f>1943+100+250+950</f>
        <v>3243</v>
      </c>
      <c r="G49" s="18">
        <f>200+200+149+400+477+343+100+1500</f>
        <v>3369</v>
      </c>
      <c r="H49" s="18">
        <f>150+676+400+100+1000</f>
        <v>2326</v>
      </c>
      <c r="I49" s="18">
        <f>199+1500</f>
        <v>1699</v>
      </c>
      <c r="J49" s="18">
        <f>200+530+149+360+1124+2600+238</f>
        <v>5201</v>
      </c>
      <c r="K49" s="18">
        <f>479</f>
        <v>479</v>
      </c>
      <c r="L49" s="18">
        <f>50+100+2000+379+800</f>
        <v>3329</v>
      </c>
      <c r="M49" s="18">
        <f>330+400+3445+1500</f>
        <v>5675</v>
      </c>
      <c r="N49" s="18">
        <f>1000+79+1000+260+5565+499+460+94</f>
        <v>8957</v>
      </c>
      <c r="O49" s="9">
        <f t="shared" si="22"/>
        <v>38514</v>
      </c>
    </row>
    <row r="50"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7"/>
      <c r="M50" s="26"/>
      <c r="N50" s="26"/>
      <c r="O50" s="25"/>
    </row>
    <row r="51">
      <c r="B51" s="28" t="s">
        <v>34</v>
      </c>
      <c r="I51" s="17"/>
      <c r="J51" s="17"/>
      <c r="K51" s="17"/>
      <c r="L51" s="17"/>
      <c r="M51" s="29"/>
      <c r="N51" s="29"/>
    </row>
    <row r="52">
      <c r="C52" s="30"/>
      <c r="D52" s="30"/>
      <c r="E52" s="30"/>
      <c r="F52" s="30"/>
      <c r="G52" s="30"/>
      <c r="H52" s="30"/>
      <c r="I52" s="31"/>
      <c r="J52" s="31"/>
      <c r="K52" s="31"/>
      <c r="L52" s="31"/>
      <c r="M52" s="32"/>
      <c r="N52" s="31"/>
    </row>
    <row r="53">
      <c r="C53" s="30"/>
      <c r="D53" s="30"/>
      <c r="E53" s="30"/>
      <c r="F53" s="30"/>
      <c r="G53" s="30"/>
      <c r="H53" s="30"/>
    </row>
    <row r="54">
      <c r="C54" s="30"/>
      <c r="D54" s="30"/>
      <c r="E54" s="30"/>
      <c r="F54" s="30"/>
      <c r="G54" s="30"/>
      <c r="H54" s="30"/>
      <c r="U54" s="33"/>
    </row>
    <row r="55">
      <c r="C55" s="30"/>
      <c r="D55" s="30"/>
      <c r="E55" s="30"/>
      <c r="F55" s="30"/>
      <c r="G55" s="30"/>
      <c r="H55" s="30"/>
    </row>
    <row r="56">
      <c r="C56" s="30"/>
      <c r="D56" s="30"/>
      <c r="E56" s="30"/>
      <c r="F56" s="30"/>
      <c r="G56" s="30"/>
      <c r="H56" s="30"/>
    </row>
    <row r="60">
      <c r="K60" s="10"/>
    </row>
  </sheetData>
  <mergeCells count="2">
    <mergeCell ref="B2:O2"/>
    <mergeCell ref="B51:H51"/>
  </mergeCells>
  <conditionalFormatting sqref="C6:O6 C11:O11 C15:O15">
    <cfRule type="cellIs" dxfId="0" priority="1" operator="greaterThan">
      <formula>0</formula>
    </cfRule>
  </conditionalFormatting>
  <conditionalFormatting sqref="C6:O6 C11:O11 C15:O15">
    <cfRule type="cellIs" dxfId="1" priority="2" operator="lessThan">
      <formula>0</formula>
    </cfRule>
  </conditionalFormatting>
  <conditionalFormatting sqref="C19:O19 C22:O22 C25:O25 C28:O28 C31:O31 C34:O34 C37:O37 C40:O40 C43:O43 C46:O46 C49:O49">
    <cfRule type="containsBlanks" dxfId="2" priority="3">
      <formula>LEN(TRIM(C19))=0</formula>
    </cfRule>
  </conditionalFormatting>
  <conditionalFormatting sqref="C19:O19 C22:O22 C25:O25 C28:O28 C31:O31 C34:O34 C37:O37 C40:O40 C43:O43 C46:O46 C49:O49">
    <cfRule type="expression" dxfId="3" priority="4">
      <formula>C19 &gt; C18</formula>
    </cfRule>
  </conditionalFormatting>
  <conditionalFormatting sqref="C19:O19 C22:O22 C25:O25 C28:O28 C31:O31 C34:O34 C37:O37 C40:O40 C43:O43 C46:O46 C49:O49">
    <cfRule type="expression" dxfId="4" priority="5">
      <formula>C19 &lt; C18</formula>
    </cfRule>
  </conditionalFormatting>
  <conditionalFormatting sqref="C19:O19 C22:O22 C25:O25 C28:O28 C31:O31 C34:O34 C37:O37 C40:O40 C43:O43 C46:O46 C49:O49">
    <cfRule type="cellIs" dxfId="5" priority="6" operator="equal">
      <formula>"C18"</formula>
    </cfRule>
  </conditionalFormatting>
  <conditionalFormatting sqref="C6:O6 C11:O11 C15:O15">
    <cfRule type="containsBlanks" dxfId="2" priority="7">
      <formula>LEN(TRIM(C6))=0</formula>
    </cfRule>
  </conditionalFormatting>
  <drawing r:id="rId4"/>
  <legacyDrawing r:id="rId5"/>
</worksheet>
</file>