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13a2fe206d3e4a/Documents/RICE- Portfolio/2 Portfolio/"/>
    </mc:Choice>
  </mc:AlternateContent>
  <xr:revisionPtr revIDLastSave="1084" documentId="8_{365C7EE0-643C-4FBA-A570-B66FB40D0496}" xr6:coauthVersionLast="47" xr6:coauthVersionMax="47" xr10:uidLastSave="{BD4ED676-8493-4105-AF8C-C8D6FF9E5CCF}"/>
  <bookViews>
    <workbookView xWindow="28680" yWindow="-120" windowWidth="29040" windowHeight="15720" activeTab="6" xr2:uid="{909795CA-EA5A-468B-A944-62304E16809A}"/>
  </bookViews>
  <sheets>
    <sheet name="Sheet1" sheetId="1" r:id="rId1"/>
    <sheet name="Capital Allocation Line" sheetId="2" r:id="rId2"/>
    <sheet name="Calculation For CAL" sheetId="3" r:id="rId3"/>
    <sheet name="Portfolio Construction" sheetId="4" r:id="rId4"/>
    <sheet name="CAPM" sheetId="5" r:id="rId5"/>
    <sheet name="Semivar_Downside" sheetId="6" r:id="rId6"/>
    <sheet name="Performance Attribution" sheetId="7" r:id="rId7"/>
  </sheets>
  <definedNames>
    <definedName name="solver_adj" localSheetId="5" hidden="1">Semivar_Downside!$G$9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Semivar_Downside!$G$9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nwt" localSheetId="5" hidden="1">1</definedName>
    <definedName name="solver_opt" localSheetId="5" hidden="1">Semivar_Downside!$G$10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hs1" localSheetId="5" hidden="1">2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192</definedName>
    <definedName name="solver_ver" localSheetId="5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" l="1"/>
  <c r="G5" i="7"/>
  <c r="G6" i="7"/>
  <c r="G4" i="7"/>
  <c r="D10" i="7"/>
  <c r="F5" i="7"/>
  <c r="F6" i="7"/>
  <c r="F4" i="7"/>
  <c r="D9" i="7"/>
  <c r="E8" i="7"/>
  <c r="D8" i="7"/>
  <c r="B75" i="6"/>
  <c r="C63" i="6"/>
  <c r="G63" i="6"/>
  <c r="C64" i="6"/>
  <c r="G64" i="6"/>
  <c r="C65" i="6"/>
  <c r="G65" i="6"/>
  <c r="C66" i="6"/>
  <c r="G66" i="6"/>
  <c r="C67" i="6"/>
  <c r="G67" i="6"/>
  <c r="C68" i="6"/>
  <c r="G68" i="6"/>
  <c r="C69" i="6"/>
  <c r="G69" i="6"/>
  <c r="G78" i="6"/>
  <c r="G79" i="6"/>
  <c r="C70" i="6"/>
  <c r="G70" i="6"/>
  <c r="C71" i="6"/>
  <c r="G71" i="6"/>
  <c r="C72" i="6"/>
  <c r="G72" i="6"/>
  <c r="C73" i="6"/>
  <c r="G73" i="6"/>
  <c r="C74" i="6"/>
  <c r="G74" i="6"/>
  <c r="B76" i="6"/>
  <c r="D64" i="6"/>
  <c r="D65" i="6"/>
  <c r="D66" i="6"/>
  <c r="D67" i="6"/>
  <c r="D68" i="6"/>
  <c r="D69" i="6"/>
  <c r="D70" i="6"/>
  <c r="D71" i="6"/>
  <c r="D72" i="6"/>
  <c r="D73" i="6"/>
  <c r="D74" i="6"/>
  <c r="D63" i="6"/>
  <c r="F63" i="6"/>
  <c r="F64" i="6"/>
  <c r="F65" i="6"/>
  <c r="F66" i="6"/>
  <c r="F67" i="6"/>
  <c r="F68" i="6"/>
  <c r="F69" i="6"/>
  <c r="F70" i="6"/>
  <c r="F71" i="6"/>
  <c r="F72" i="6"/>
  <c r="F73" i="6"/>
  <c r="F74" i="6"/>
  <c r="F76" i="6"/>
  <c r="F75" i="6"/>
  <c r="C43" i="6"/>
  <c r="C44" i="6"/>
  <c r="C45" i="6"/>
  <c r="C46" i="6"/>
  <c r="C47" i="6"/>
  <c r="C48" i="6"/>
  <c r="C49" i="6"/>
  <c r="C50" i="6"/>
  <c r="C51" i="6"/>
  <c r="C52" i="6"/>
  <c r="C53" i="6"/>
  <c r="C54" i="6"/>
  <c r="A56" i="6"/>
  <c r="B56" i="6"/>
  <c r="B21" i="6"/>
  <c r="C21" i="6"/>
  <c r="D21" i="6"/>
  <c r="B22" i="6"/>
  <c r="C22" i="6"/>
  <c r="D22" i="6"/>
  <c r="G10" i="6"/>
  <c r="B32" i="6"/>
  <c r="B31" i="6"/>
  <c r="C25" i="6"/>
  <c r="B25" i="6"/>
  <c r="B28" i="6"/>
  <c r="B29" i="6"/>
  <c r="B27" i="6"/>
  <c r="D20" i="5"/>
  <c r="B7" i="5"/>
  <c r="C6" i="5"/>
  <c r="E20" i="5"/>
  <c r="D18" i="5"/>
  <c r="E21" i="5"/>
  <c r="E22" i="5"/>
  <c r="E18" i="5" a="1"/>
  <c r="E18" i="5"/>
  <c r="D12" i="5"/>
  <c r="D13" i="5"/>
  <c r="D14" i="5"/>
  <c r="D11" i="5"/>
  <c r="J12" i="4"/>
  <c r="H14" i="4"/>
  <c r="F12" i="4" a="1"/>
  <c r="F12" i="4"/>
  <c r="E12" i="4"/>
  <c r="D13" i="4"/>
  <c r="D12" i="4"/>
  <c r="D5" i="4"/>
  <c r="E5" i="4"/>
  <c r="C38" i="3"/>
  <c r="F38" i="3"/>
  <c r="C37" i="3"/>
  <c r="F37" i="3"/>
  <c r="C36" i="3"/>
  <c r="F36" i="3"/>
  <c r="C35" i="3"/>
  <c r="F35" i="3"/>
  <c r="C34" i="3"/>
  <c r="F34" i="3"/>
  <c r="C33" i="3"/>
  <c r="C32" i="3"/>
  <c r="F32" i="3"/>
  <c r="C31" i="3"/>
  <c r="F31" i="3"/>
  <c r="C30" i="3"/>
  <c r="F30" i="3"/>
  <c r="C29" i="3"/>
  <c r="F29" i="3"/>
  <c r="F26" i="3"/>
  <c r="E26" i="3"/>
  <c r="C26" i="3"/>
  <c r="F25" i="3"/>
  <c r="E25" i="3"/>
  <c r="D25" i="3"/>
  <c r="C25" i="3"/>
  <c r="F24" i="3"/>
  <c r="E24" i="3"/>
  <c r="C24" i="3"/>
  <c r="F23" i="3"/>
  <c r="E23" i="3"/>
  <c r="C23" i="3"/>
  <c r="F22" i="3"/>
  <c r="E22" i="3"/>
  <c r="D22" i="3"/>
  <c r="C22" i="3"/>
  <c r="F21" i="3"/>
  <c r="E21" i="3"/>
  <c r="C21" i="3"/>
  <c r="F20" i="3"/>
  <c r="E20" i="3"/>
  <c r="C20" i="3"/>
  <c r="F19" i="3"/>
  <c r="E19" i="3"/>
  <c r="D19" i="3"/>
  <c r="C19" i="3"/>
  <c r="F18" i="3"/>
  <c r="E18" i="3"/>
  <c r="C18" i="3"/>
  <c r="F17" i="3"/>
  <c r="E17" i="3"/>
  <c r="D17" i="3"/>
  <c r="C17" i="3"/>
  <c r="F16" i="3"/>
  <c r="E16" i="3"/>
  <c r="C16" i="3"/>
  <c r="F15" i="3"/>
  <c r="E15" i="3"/>
  <c r="C15" i="3"/>
  <c r="F14" i="3"/>
  <c r="E14" i="3"/>
  <c r="D14" i="3"/>
  <c r="C14" i="3"/>
  <c r="F13" i="3"/>
  <c r="E13" i="3"/>
  <c r="C13" i="3"/>
  <c r="F12" i="3"/>
  <c r="E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C5" i="3"/>
  <c r="D26" i="3"/>
  <c r="C4" i="2"/>
  <c r="C5" i="2"/>
  <c r="B21" i="2"/>
  <c r="C21" i="2"/>
  <c r="B11" i="2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83" i="1"/>
  <c r="D72" i="1" a="1"/>
  <c r="D72" i="1"/>
  <c r="C72" i="1"/>
  <c r="D69" i="1"/>
  <c r="D64" i="1"/>
  <c r="K55" i="1"/>
  <c r="K56" i="1"/>
  <c r="J56" i="1"/>
  <c r="J55" i="1"/>
  <c r="K54" i="1"/>
  <c r="J54" i="1"/>
  <c r="D61" i="1"/>
  <c r="E61" i="1"/>
  <c r="C61" i="1"/>
  <c r="C60" i="1" a="1"/>
  <c r="C60" i="1"/>
  <c r="D60" i="1" a="1"/>
  <c r="D60" i="1"/>
  <c r="E60" i="1" a="1"/>
  <c r="E60" i="1"/>
  <c r="H55" i="1"/>
  <c r="H56" i="1"/>
  <c r="G55" i="1"/>
  <c r="G56" i="1"/>
  <c r="F54" i="1"/>
  <c r="F55" i="1"/>
  <c r="F56" i="1"/>
  <c r="G54" i="1"/>
  <c r="H54" i="1"/>
  <c r="D59" i="1"/>
  <c r="E59" i="1"/>
  <c r="C59" i="1"/>
  <c r="K48" i="1"/>
  <c r="J48" i="1"/>
  <c r="J49" i="1" a="1"/>
  <c r="J49" i="1"/>
  <c r="I48" i="1"/>
  <c r="D49" i="1"/>
  <c r="D48" i="1"/>
  <c r="B45" i="1"/>
  <c r="C42" i="1"/>
  <c r="J38" i="1"/>
  <c r="J37" i="1"/>
  <c r="I38" i="1" a="1"/>
  <c r="I38" i="1"/>
  <c r="I37" i="1" a="1"/>
  <c r="I37" i="1"/>
  <c r="E38" i="1"/>
  <c r="E39" i="1"/>
  <c r="E37" i="1"/>
  <c r="D38" i="1"/>
  <c r="D39" i="1"/>
  <c r="D37" i="1"/>
  <c r="H38" i="1"/>
  <c r="H37" i="1"/>
  <c r="D26" i="1"/>
  <c r="C9" i="1"/>
  <c r="F3" i="1"/>
  <c r="C10" i="1"/>
  <c r="G5" i="1"/>
  <c r="C8" i="1"/>
  <c r="E3" i="1"/>
  <c r="D24" i="3"/>
  <c r="D16" i="3"/>
  <c r="D23" i="3"/>
  <c r="D13" i="3"/>
  <c r="D20" i="3"/>
  <c r="D30" i="3"/>
  <c r="D33" i="3"/>
  <c r="E33" i="3"/>
  <c r="D36" i="3"/>
  <c r="E36" i="3"/>
  <c r="E30" i="3"/>
  <c r="F33" i="3"/>
  <c r="D31" i="3"/>
  <c r="E31" i="3"/>
  <c r="D34" i="3"/>
  <c r="E34" i="3"/>
  <c r="D37" i="3"/>
  <c r="E37" i="3"/>
  <c r="B20" i="2"/>
  <c r="C20" i="2"/>
  <c r="B18" i="2"/>
  <c r="C18" i="2"/>
  <c r="B19" i="2"/>
  <c r="C19" i="2"/>
  <c r="D12" i="3"/>
  <c r="D15" i="3"/>
  <c r="D18" i="3"/>
  <c r="D21" i="3"/>
  <c r="D32" i="3"/>
  <c r="E32" i="3"/>
  <c r="D35" i="3"/>
  <c r="E35" i="3"/>
  <c r="D38" i="3"/>
  <c r="E38" i="3"/>
  <c r="D29" i="3"/>
  <c r="E29" i="3"/>
  <c r="B17" i="2"/>
  <c r="C17" i="2"/>
  <c r="B23" i="2"/>
  <c r="C23" i="2"/>
  <c r="B22" i="2"/>
  <c r="C22" i="2"/>
  <c r="B10" i="2"/>
  <c r="B12" i="2"/>
  <c r="B13" i="2"/>
  <c r="B9" i="2"/>
  <c r="B8" i="2"/>
  <c r="G3" i="1"/>
  <c r="D14" i="1" a="1"/>
  <c r="D14" i="1"/>
  <c r="F4" i="1"/>
  <c r="B26" i="1"/>
  <c r="F5" i="1"/>
  <c r="C14" i="1" a="1"/>
  <c r="C14" i="1"/>
  <c r="D15" i="1" a="1"/>
  <c r="D15" i="1"/>
  <c r="G4" i="1"/>
  <c r="D10" i="1" a="1"/>
  <c r="D10" i="1"/>
  <c r="B32" i="1"/>
  <c r="E5" i="1"/>
  <c r="E4" i="1"/>
  <c r="D8" i="1" a="1"/>
  <c r="D8" i="1"/>
  <c r="G8" i="1"/>
  <c r="D9" i="1" a="1"/>
  <c r="D9" i="1"/>
  <c r="D21" i="1"/>
  <c r="D20" i="1"/>
  <c r="C26" i="1"/>
  <c r="C20" i="1"/>
  <c r="D32" i="1"/>
  <c r="C32" i="1"/>
  <c r="E11" i="5"/>
  <c r="F1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<sst xmlns="http://schemas.openxmlformats.org/spreadsheetml/2006/main" count="277" uniqueCount="181">
  <si>
    <t>Probability</t>
  </si>
  <si>
    <t>Return on A</t>
  </si>
  <si>
    <t>Return on B</t>
  </si>
  <si>
    <t>Return on C</t>
  </si>
  <si>
    <t>A</t>
  </si>
  <si>
    <t>B</t>
  </si>
  <si>
    <t>C</t>
  </si>
  <si>
    <t>Return</t>
  </si>
  <si>
    <t>Stdev</t>
  </si>
  <si>
    <t>Weightage</t>
  </si>
  <si>
    <t>Covariance Matrix</t>
  </si>
  <si>
    <t>Correlation Coefficient</t>
  </si>
  <si>
    <t>DivA</t>
  </si>
  <si>
    <t>DivB</t>
  </si>
  <si>
    <t>DivC</t>
  </si>
  <si>
    <t>Portfolio1</t>
  </si>
  <si>
    <t>Portfolio 2</t>
  </si>
  <si>
    <t>Var\</t>
  </si>
  <si>
    <t>Var</t>
  </si>
  <si>
    <t>Cov</t>
  </si>
  <si>
    <t>R</t>
  </si>
  <si>
    <t>Diff A</t>
  </si>
  <si>
    <t>Diff B</t>
  </si>
  <si>
    <t>Corr(A,B)</t>
  </si>
  <si>
    <t>J</t>
  </si>
  <si>
    <t>Price</t>
  </si>
  <si>
    <t>Number</t>
  </si>
  <si>
    <t>Equity</t>
  </si>
  <si>
    <t>W</t>
  </si>
  <si>
    <t>E®</t>
  </si>
  <si>
    <t>Corr(J,R)</t>
  </si>
  <si>
    <t>V</t>
  </si>
  <si>
    <t>State of the economy</t>
  </si>
  <si>
    <t>Prob.</t>
  </si>
  <si>
    <t>Depression</t>
  </si>
  <si>
    <t>Normal</t>
  </si>
  <si>
    <t>Expansion</t>
  </si>
  <si>
    <t>E(r)</t>
  </si>
  <si>
    <t>Diff C</t>
  </si>
  <si>
    <t>COV</t>
  </si>
  <si>
    <t>CORR</t>
  </si>
  <si>
    <t>Portfolio</t>
  </si>
  <si>
    <t>Tbill</t>
  </si>
  <si>
    <t>Volatility</t>
  </si>
  <si>
    <t>Stocks</t>
  </si>
  <si>
    <t>Mean</t>
  </si>
  <si>
    <t xml:space="preserve">Bonds </t>
  </si>
  <si>
    <t>Corr (stocks and bonds)</t>
  </si>
  <si>
    <t>Portfolio Choice Problem</t>
  </si>
  <si>
    <t>weightage (s)</t>
  </si>
  <si>
    <t>w(b)</t>
  </si>
  <si>
    <t xml:space="preserve">E(r) </t>
  </si>
  <si>
    <t>stdev</t>
  </si>
  <si>
    <t>mean Variance Frontier</t>
  </si>
  <si>
    <t>Risky Portfolio</t>
  </si>
  <si>
    <t>Risk Free Asset</t>
  </si>
  <si>
    <t>T-bill</t>
  </si>
  <si>
    <t>US Equity</t>
  </si>
  <si>
    <t>E(r )</t>
  </si>
  <si>
    <t>E(rp)</t>
  </si>
  <si>
    <t>Sharpe Ratio</t>
  </si>
  <si>
    <t>CAPITAL ALLOCATION LINE</t>
  </si>
  <si>
    <t>Maximise Utility Function</t>
  </si>
  <si>
    <t>E(rus-rf)/var(rUS)</t>
  </si>
  <si>
    <t>A (risk aversion)</t>
  </si>
  <si>
    <t>w (US)</t>
  </si>
  <si>
    <t>w (risk Free)</t>
  </si>
  <si>
    <t>Long in US Equity and Long in Tbill</t>
  </si>
  <si>
    <t>Long in US Equity and short Tbill</t>
  </si>
  <si>
    <t>Leveraged portfolios -&gt;</t>
  </si>
  <si>
    <t>Comments</t>
  </si>
  <si>
    <t>Risk Free</t>
  </si>
  <si>
    <t>Risky Asset</t>
  </si>
  <si>
    <t xml:space="preserve">Return </t>
  </si>
  <si>
    <t>Deviation</t>
  </si>
  <si>
    <t>weight US</t>
  </si>
  <si>
    <t>weight rf</t>
  </si>
  <si>
    <t>E[r]</t>
  </si>
  <si>
    <t>Variance</t>
  </si>
  <si>
    <t>Capital Allocation Line</t>
  </si>
  <si>
    <t>Values to change</t>
  </si>
  <si>
    <t>Auto calculated</t>
  </si>
  <si>
    <t>w*(US)</t>
  </si>
  <si>
    <t>1-w*</t>
  </si>
  <si>
    <t>Take respective w given risk level A</t>
  </si>
  <si>
    <t>Risky</t>
  </si>
  <si>
    <t>w</t>
  </si>
  <si>
    <t>Total Assets</t>
  </si>
  <si>
    <t>Expected return</t>
  </si>
  <si>
    <t>Standard Deviation</t>
  </si>
  <si>
    <t>Your diversified portfolio</t>
  </si>
  <si>
    <t>Felix Company</t>
  </si>
  <si>
    <t>corr</t>
  </si>
  <si>
    <t>Govt</t>
  </si>
  <si>
    <t>Portfolio B</t>
  </si>
  <si>
    <t>Portfolio A</t>
  </si>
  <si>
    <t>r</t>
  </si>
  <si>
    <t>Market</t>
  </si>
  <si>
    <t>E(ri)=rf-Bi * E(rm-rf)</t>
  </si>
  <si>
    <t>Security</t>
  </si>
  <si>
    <t>Amount Invested</t>
  </si>
  <si>
    <t>Beta</t>
  </si>
  <si>
    <t>Stock A</t>
  </si>
  <si>
    <t>Stock B</t>
  </si>
  <si>
    <t>Stock C</t>
  </si>
  <si>
    <t>Stock D</t>
  </si>
  <si>
    <t>rf</t>
  </si>
  <si>
    <t>rm</t>
  </si>
  <si>
    <t>B(p)</t>
  </si>
  <si>
    <t>Recession</t>
  </si>
  <si>
    <t xml:space="preserve">Normal </t>
  </si>
  <si>
    <t>probability</t>
  </si>
  <si>
    <r>
      <t>σ</t>
    </r>
    <r>
      <rPr>
        <sz val="9"/>
        <color rgb="FF0F1114"/>
        <rFont val="Arial"/>
        <family val="2"/>
      </rPr>
      <t>M</t>
    </r>
  </si>
  <si>
    <t>σ</t>
  </si>
  <si>
    <t>corr(B,m)</t>
  </si>
  <si>
    <t>corr(A,M)</t>
  </si>
  <si>
    <t>corr(A,B)</t>
  </si>
  <si>
    <t>E(p)</t>
  </si>
  <si>
    <t>E(ra)</t>
  </si>
  <si>
    <t>σa</t>
  </si>
  <si>
    <t>p*(r-rmean)</t>
  </si>
  <si>
    <t>Best Volatility Alternative</t>
  </si>
  <si>
    <t>Capital Market Line</t>
  </si>
  <si>
    <t>E(r) = (E(rm(-rf ) /σm*σ + rf</t>
  </si>
  <si>
    <t>Stock P</t>
  </si>
  <si>
    <t>Expected Return for given volatility</t>
  </si>
  <si>
    <t>P(A)</t>
  </si>
  <si>
    <t>Return Calculations</t>
  </si>
  <si>
    <t>Div date</t>
  </si>
  <si>
    <t>Div Pay</t>
  </si>
  <si>
    <t>Share Price</t>
  </si>
  <si>
    <t>t=0</t>
  </si>
  <si>
    <t>t=1</t>
  </si>
  <si>
    <t>t=2</t>
  </si>
  <si>
    <t>M1</t>
  </si>
  <si>
    <t>m2</t>
  </si>
  <si>
    <t>m3</t>
  </si>
  <si>
    <t>portfolio return</t>
  </si>
  <si>
    <t>Benchmark return</t>
  </si>
  <si>
    <t>difference\</t>
  </si>
  <si>
    <t>Geometric average</t>
  </si>
  <si>
    <t>Arithmatic</t>
  </si>
  <si>
    <t>Cumulative Return</t>
  </si>
  <si>
    <t>Portfolio Comparison</t>
  </si>
  <si>
    <t>Starting Value</t>
  </si>
  <si>
    <t>Ending Value</t>
  </si>
  <si>
    <t>Excess Return</t>
  </si>
  <si>
    <t>Monthly Excess Return</t>
  </si>
  <si>
    <t>(97.99/104.17)^1/3 -1</t>
  </si>
  <si>
    <t>Cumulative Excess Return</t>
  </si>
  <si>
    <t>Loss of $5.94 on $100</t>
  </si>
  <si>
    <t>Compound excess return</t>
  </si>
  <si>
    <t>Same formula</t>
  </si>
  <si>
    <t>3*3</t>
  </si>
  <si>
    <t>3*2</t>
  </si>
  <si>
    <t>Date</t>
  </si>
  <si>
    <t>Portfolio P</t>
  </si>
  <si>
    <t>Benchmark</t>
  </si>
  <si>
    <t>Divident yields</t>
  </si>
  <si>
    <t>Share</t>
  </si>
  <si>
    <t>Stdev Calculation</t>
  </si>
  <si>
    <t>Question 1</t>
  </si>
  <si>
    <t>Mean Return</t>
  </si>
  <si>
    <t>Deviation From Mean</t>
  </si>
  <si>
    <t>Squared Deviation From Mean</t>
  </si>
  <si>
    <t>Semivariance</t>
  </si>
  <si>
    <t>Downside Risk</t>
  </si>
  <si>
    <t>Quarter</t>
  </si>
  <si>
    <t>% Return</t>
  </si>
  <si>
    <t>Portfolio P weights</t>
  </si>
  <si>
    <t>Benchmark weights</t>
  </si>
  <si>
    <t>Portfolio P return</t>
  </si>
  <si>
    <t>Equities</t>
  </si>
  <si>
    <t>Fixed income</t>
  </si>
  <si>
    <t>Money market securities</t>
  </si>
  <si>
    <t>Total Return</t>
  </si>
  <si>
    <t>Return Difference</t>
  </si>
  <si>
    <t>Asset Allocation</t>
  </si>
  <si>
    <t>Weightage Diff</t>
  </si>
  <si>
    <t>Return Diff</t>
  </si>
  <si>
    <t>Stock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</si>
</sst>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\-&quot;$&quot;#,##0"/>
    <numFmt numFmtId="44" formatCode="_-&quot;$&quot;* #,##0.00_-;\-&quot;$&quot;* #,##0.00_-;_-&quot;$&quot;* &quot;-&quot;??_-;_-@_-"/>
    <numFmt numFmtId="164" formatCode="0.0000"/>
    <numFmt numFmtId="165" formatCode="0.00000"/>
    <numFmt numFmtId="166" formatCode="0.000"/>
    <numFmt numFmtId="167" formatCode="0.000%"/>
    <numFmt numFmtId="168" formatCode="0.0000000000000000%"/>
    <numFmt numFmtId="169" formatCode="0.0000%"/>
    <numFmt numFmtId="170" formatCode="0.0000000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2"/>
      <color rgb="FF0F1114"/>
      <name val="Arial"/>
      <family val="2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F1114"/>
      <name val="Arial"/>
      <family val="2"/>
    </font>
    <font>
      <b/>
      <sz val="13"/>
      <color theme="3"/>
      <name val="Aptos Narrow"/>
      <family val="2"/>
      <scheme val="minor"/>
    </font>
    <font>
      <sz val="11"/>
      <color rgb="FF3333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3" applyNumberFormat="0" applyAlignment="0" applyProtection="0"/>
    <xf numFmtId="0" fontId="5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44" fontId="1" fillId="0" borderId="0" applyFont="0" applyFill="0" applyBorder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23" applyNumberFormat="0" applyFill="0" applyAlignment="0" applyProtection="0"/>
    <xf numFmtId="0" fontId="1" fillId="13" borderId="0" applyNumberFormat="0" applyBorder="0" applyAlignment="0" applyProtection="0"/>
  </cellStyleXfs>
  <cellXfs count="93">
    <xf numFmtId="0" fontId="0" fillId="0" borderId="0" xfId="0"/>
    <xf numFmtId="9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2" xfId="3"/>
    <xf numFmtId="0" fontId="1" fillId="3" borderId="4" xfId="7" applyBorder="1"/>
    <xf numFmtId="10" fontId="4" fillId="2" borderId="3" xfId="5" applyNumberFormat="1"/>
    <xf numFmtId="9" fontId="4" fillId="2" borderId="3" xfId="5" applyNumberFormat="1"/>
    <xf numFmtId="0" fontId="4" fillId="2" borderId="3" xfId="5"/>
    <xf numFmtId="0" fontId="1" fillId="3" borderId="7" xfId="7" applyBorder="1"/>
    <xf numFmtId="0" fontId="3" fillId="0" borderId="8" xfId="3" applyBorder="1"/>
    <xf numFmtId="0" fontId="1" fillId="5" borderId="9" xfId="9" applyBorder="1"/>
    <xf numFmtId="0" fontId="1" fillId="5" borderId="11" xfId="9" applyBorder="1"/>
    <xf numFmtId="0" fontId="0" fillId="0" borderId="4" xfId="0" applyBorder="1"/>
    <xf numFmtId="0" fontId="3" fillId="0" borderId="4" xfId="4" applyBorder="1"/>
    <xf numFmtId="0" fontId="3" fillId="0" borderId="13" xfId="3" applyBorder="1"/>
    <xf numFmtId="0" fontId="3" fillId="0" borderId="14" xfId="3" applyBorder="1"/>
    <xf numFmtId="0" fontId="3" fillId="0" borderId="15" xfId="3" applyBorder="1"/>
    <xf numFmtId="0" fontId="3" fillId="0" borderId="16" xfId="3" applyBorder="1"/>
    <xf numFmtId="0" fontId="1" fillId="4" borderId="9" xfId="8" applyBorder="1"/>
    <xf numFmtId="0" fontId="1" fillId="4" borderId="0" xfId="8" applyBorder="1"/>
    <xf numFmtId="0" fontId="1" fillId="4" borderId="10" xfId="8" applyBorder="1"/>
    <xf numFmtId="0" fontId="1" fillId="4" borderId="11" xfId="8" applyBorder="1"/>
    <xf numFmtId="0" fontId="1" fillId="4" borderId="17" xfId="8" applyBorder="1"/>
    <xf numFmtId="0" fontId="1" fillId="4" borderId="12" xfId="8" applyBorder="1"/>
    <xf numFmtId="0" fontId="3" fillId="0" borderId="18" xfId="3" applyBorder="1"/>
    <xf numFmtId="0" fontId="3" fillId="0" borderId="18" xfId="4" applyBorder="1"/>
    <xf numFmtId="0" fontId="0" fillId="0" borderId="5" xfId="0" applyBorder="1"/>
    <xf numFmtId="10" fontId="1" fillId="5" borderId="19" xfId="9" applyNumberFormat="1" applyBorder="1"/>
    <xf numFmtId="10" fontId="1" fillId="5" borderId="20" xfId="9" applyNumberFormat="1" applyBorder="1"/>
    <xf numFmtId="0" fontId="0" fillId="0" borderId="6" xfId="0" applyBorder="1"/>
    <xf numFmtId="0" fontId="0" fillId="0" borderId="21" xfId="0" applyBorder="1"/>
    <xf numFmtId="0" fontId="0" fillId="8" borderId="0" xfId="0" applyFill="1"/>
    <xf numFmtId="0" fontId="1" fillId="6" borderId="0" xfId="10"/>
    <xf numFmtId="0" fontId="0" fillId="7" borderId="18" xfId="0" applyFill="1" applyBorder="1"/>
    <xf numFmtId="0" fontId="0" fillId="7" borderId="21" xfId="0" applyFill="1" applyBorder="1"/>
    <xf numFmtId="0" fontId="5" fillId="0" borderId="0" xfId="6"/>
    <xf numFmtId="0" fontId="2" fillId="0" borderId="1" xfId="2"/>
    <xf numFmtId="167" fontId="0" fillId="0" borderId="0" xfId="0" applyNumberFormat="1"/>
    <xf numFmtId="3" fontId="0" fillId="0" borderId="0" xfId="0" applyNumberFormat="1"/>
    <xf numFmtId="0" fontId="6" fillId="0" borderId="0" xfId="0" applyFont="1"/>
    <xf numFmtId="168" fontId="0" fillId="0" borderId="0" xfId="0" applyNumberFormat="1"/>
    <xf numFmtId="167" fontId="0" fillId="0" borderId="0" xfId="1" applyNumberFormat="1" applyFont="1"/>
    <xf numFmtId="6" fontId="0" fillId="0" borderId="0" xfId="0" applyNumberFormat="1"/>
    <xf numFmtId="2" fontId="0" fillId="0" borderId="0" xfId="0" applyNumberFormat="1"/>
    <xf numFmtId="9" fontId="1" fillId="10" borderId="0" xfId="13" applyNumberFormat="1"/>
    <xf numFmtId="9" fontId="1" fillId="4" borderId="0" xfId="8" applyNumberFormat="1"/>
    <xf numFmtId="0" fontId="1" fillId="4" borderId="0" xfId="8"/>
    <xf numFmtId="0" fontId="8" fillId="9" borderId="0" xfId="12" applyBorder="1"/>
    <xf numFmtId="0" fontId="8" fillId="9" borderId="22" xfId="12" applyBorder="1"/>
    <xf numFmtId="0" fontId="8" fillId="9" borderId="4" xfId="12" applyBorder="1"/>
    <xf numFmtId="0" fontId="8" fillId="9" borderId="7" xfId="12" applyBorder="1"/>
    <xf numFmtId="9" fontId="1" fillId="10" borderId="0" xfId="13" applyNumberFormat="1" applyBorder="1"/>
    <xf numFmtId="9" fontId="7" fillId="0" borderId="4" xfId="0" applyNumberFormat="1" applyFont="1" applyBorder="1"/>
    <xf numFmtId="10" fontId="0" fillId="12" borderId="4" xfId="0" applyNumberFormat="1" applyFill="1" applyBorder="1"/>
    <xf numFmtId="10" fontId="0" fillId="12" borderId="4" xfId="1" applyNumberFormat="1" applyFont="1" applyFill="1" applyBorder="1"/>
    <xf numFmtId="44" fontId="1" fillId="10" borderId="0" xfId="11" applyFill="1"/>
    <xf numFmtId="44" fontId="1" fillId="4" borderId="0" xfId="11" applyFill="1"/>
    <xf numFmtId="9" fontId="1" fillId="4" borderId="0" xfId="1" applyFill="1"/>
    <xf numFmtId="0" fontId="1" fillId="11" borderId="0" xfId="14"/>
    <xf numFmtId="167" fontId="1" fillId="11" borderId="0" xfId="14" applyNumberFormat="1"/>
    <xf numFmtId="0" fontId="8" fillId="9" borderId="2" xfId="12" applyBorder="1"/>
    <xf numFmtId="6" fontId="1" fillId="4" borderId="0" xfId="8" applyNumberFormat="1"/>
    <xf numFmtId="9" fontId="1" fillId="10" borderId="0" xfId="1" applyFill="1"/>
    <xf numFmtId="0" fontId="1" fillId="4" borderId="2" xfId="8" applyBorder="1"/>
    <xf numFmtId="0" fontId="10" fillId="0" borderId="23" xfId="15"/>
    <xf numFmtId="16" fontId="0" fillId="0" borderId="0" xfId="0" applyNumberFormat="1"/>
    <xf numFmtId="0" fontId="1" fillId="13" borderId="0" xfId="16"/>
    <xf numFmtId="10" fontId="1" fillId="4" borderId="0" xfId="8" applyNumberFormat="1"/>
    <xf numFmtId="0" fontId="1" fillId="10" borderId="0" xfId="13"/>
    <xf numFmtId="10" fontId="1" fillId="10" borderId="0" xfId="13" applyNumberFormat="1"/>
    <xf numFmtId="169" fontId="0" fillId="0" borderId="0" xfId="1" applyNumberFormat="1" applyFont="1"/>
    <xf numFmtId="170" fontId="0" fillId="0" borderId="0" xfId="0" applyNumberFormat="1"/>
    <xf numFmtId="17" fontId="0" fillId="0" borderId="0" xfId="0" applyNumberFormat="1"/>
    <xf numFmtId="169" fontId="1" fillId="10" borderId="0" xfId="13" applyNumberFormat="1"/>
    <xf numFmtId="169" fontId="1" fillId="4" borderId="0" xfId="8" applyNumberFormat="1"/>
    <xf numFmtId="0" fontId="11" fillId="0" borderId="0" xfId="0" applyFont="1" applyAlignment="1">
      <alignment vertical="center" wrapText="1"/>
    </xf>
    <xf numFmtId="0" fontId="1" fillId="5" borderId="22" xfId="9" applyBorder="1"/>
    <xf numFmtId="167" fontId="1" fillId="5" borderId="22" xfId="9" applyNumberFormat="1" applyBorder="1"/>
    <xf numFmtId="0" fontId="0" fillId="0" borderId="22" xfId="0" applyBorder="1"/>
    <xf numFmtId="10" fontId="0" fillId="0" borderId="22" xfId="0" applyNumberFormat="1" applyBorder="1"/>
    <xf numFmtId="17" fontId="1" fillId="4" borderId="0" xfId="8" applyNumberFormat="1" applyAlignment="1">
      <alignment horizontal="left" vertical="center" wrapText="1"/>
    </xf>
    <xf numFmtId="10" fontId="1" fillId="4" borderId="0" xfId="8" applyNumberFormat="1" applyAlignment="1">
      <alignment horizontal="left" vertical="center" wrapText="1"/>
    </xf>
    <xf numFmtId="17" fontId="1" fillId="10" borderId="0" xfId="13" applyNumberFormat="1" applyAlignment="1">
      <alignment horizontal="left" vertical="center" wrapText="1"/>
    </xf>
    <xf numFmtId="10" fontId="1" fillId="10" borderId="0" xfId="13" applyNumberFormat="1" applyAlignment="1">
      <alignment horizontal="left" vertical="center" wrapText="1"/>
    </xf>
    <xf numFmtId="0" fontId="8" fillId="9" borderId="22" xfId="12" applyBorder="1" applyAlignment="1">
      <alignment horizontal="left" vertical="center" wrapText="1"/>
    </xf>
    <xf numFmtId="0" fontId="0" fillId="0" borderId="24" xfId="0" applyBorder="1"/>
    <xf numFmtId="167" fontId="1" fillId="5" borderId="25" xfId="9" applyNumberFormat="1" applyBorder="1"/>
    <xf numFmtId="0" fontId="0" fillId="0" borderId="11" xfId="0" applyBorder="1"/>
    <xf numFmtId="167" fontId="1" fillId="5" borderId="12" xfId="9" applyNumberFormat="1" applyBorder="1"/>
  </cellXfs>
  <cellStyles count="17">
    <cellStyle name="20% - Accent4" xfId="8" builtinId="42"/>
    <cellStyle name="20% - Accent6" xfId="9" builtinId="50"/>
    <cellStyle name="40% - Accent3" xfId="7" builtinId="39"/>
    <cellStyle name="40% - Accent4" xfId="13" builtinId="43"/>
    <cellStyle name="40% - Accent6" xfId="14" builtinId="51"/>
    <cellStyle name="60% - Accent4" xfId="16" builtinId="44"/>
    <cellStyle name="60% - Accent6" xfId="10" builtinId="52"/>
    <cellStyle name="Accent4" xfId="12" builtinId="41"/>
    <cellStyle name="Currency" xfId="11" builtinId="4"/>
    <cellStyle name="Explanatory Text" xfId="6" builtinId="53"/>
    <cellStyle name="Heading 1" xfId="2" builtinId="16"/>
    <cellStyle name="Heading 2" xfId="15" builtinId="17"/>
    <cellStyle name="Heading 3" xfId="3" builtinId="18"/>
    <cellStyle name="Heading 4" xfId="4" builtinId="19"/>
    <cellStyle name="Normal" xfId="0" builtinId="0"/>
    <cellStyle name="Output" xfId="5" builtinId="21"/>
    <cellStyle name="Percent" xfId="1" builtinId="5"/>
  </cellStyles>
  <dxfs count="6">
    <dxf>
      <numFmt numFmtId="14" formatCode="0.00%"/>
    </dxf>
    <dxf>
      <numFmt numFmtId="14" formatCode="0.00%"/>
    </dxf>
    <dxf>
      <numFmt numFmtId="164" formatCode="0.0000"/>
    </dxf>
    <dxf>
      <numFmt numFmtId="164" formatCode="0.0000"/>
    </dxf>
    <dxf>
      <numFmt numFmtId="166" formatCode="0.000"/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Mean Variance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34008B8-73DE-4B04-8FC9-92D80A22E866}" type="CELLREF">
                      <a:rPr lang="en-US"/>
                      <a:pPr/>
                      <a:t>[CELLREF]</a:t>
                    </a:fld>
                    <a:endParaRPr lang="en-SG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{334008B8-73DE-4B04-8FC9-92D80A22E866}</c15:txfldGUID>
                      <c15:f>Sheet1!$A$83</c15:f>
                      <c15:dlblFieldTableCache>
                        <c:ptCount val="1"/>
                        <c:pt idx="0">
                          <c:v>Stocks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5A4C-4E10-9E0B-922278470E8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FFBC980-2348-446E-9A41-ACA88307EC3A}" type="CELLREF">
                      <a:rPr lang="en-US"/>
                      <a:pPr/>
                      <a:t>[CELLREF]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{AFFBC980-2348-446E-9A41-ACA88307EC3A}</c15:txfldGUID>
                      <c15:f>Sheet1!$A$84</c15:f>
                      <c15:dlblFieldTableCache>
                        <c:ptCount val="1"/>
                        <c:pt idx="0">
                          <c:v>Bonds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5A4C-4E10-9E0B-922278470E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Sheet1!$H$83:$H$103</c:f>
              <c:numCache>
                <c:formatCode>General</c:formatCode>
                <c:ptCount val="21"/>
                <c:pt idx="0">
                  <c:v>0.1915</c:v>
                </c:pt>
                <c:pt idx="1">
                  <c:v>0.18244258558036827</c:v>
                </c:pt>
                <c:pt idx="2">
                  <c:v>0.17348882979315991</c:v>
                </c:pt>
                <c:pt idx="3">
                  <c:v>0.16465564396415325</c:v>
                </c:pt>
                <c:pt idx="4">
                  <c:v>0.15596351532329605</c:v>
                </c:pt>
                <c:pt idx="5">
                  <c:v>0.14743739393807123</c:v>
                </c:pt>
                <c:pt idx="6">
                  <c:v>0.13910780764213057</c:v>
                </c:pt>
                <c:pt idx="7">
                  <c:v>0.131012248126845</c:v>
                </c:pt>
                <c:pt idx="8">
                  <c:v>0.12319685940802225</c:v>
                </c:pt>
                <c:pt idx="9">
                  <c:v>0.11571842192689115</c:v>
                </c:pt>
                <c:pt idx="10">
                  <c:v>0.10864653779573467</c:v>
                </c:pt>
                <c:pt idx="11">
                  <c:v>0.10206574926609809</c:v>
                </c:pt>
                <c:pt idx="12">
                  <c:v>9.6077022060428049E-2</c:v>
                </c:pt>
                <c:pt idx="13">
                  <c:v>9.0797583443888982E-2</c:v>
                </c:pt>
                <c:pt idx="14">
                  <c:v>8.6357617770524378E-2</c:v>
                </c:pt>
                <c:pt idx="15">
                  <c:v>8.2892129489174002E-2</c:v>
                </c:pt>
                <c:pt idx="16">
                  <c:v>8.0527027214470012E-2</c:v>
                </c:pt>
                <c:pt idx="17">
                  <c:v>7.9360752826885386E-2</c:v>
                </c:pt>
                <c:pt idx="18">
                  <c:v>7.9446120503143522E-2</c:v>
                </c:pt>
                <c:pt idx="19">
                  <c:v>8.0779162122728204E-2</c:v>
                </c:pt>
                <c:pt idx="20">
                  <c:v>8.3299999999999999E-2</c:v>
                </c:pt>
              </c:numCache>
            </c:numRef>
          </c:xVal>
          <c:yVal>
            <c:numRef>
              <c:f>Sheet1!$G$83:$G$103</c:f>
              <c:numCache>
                <c:formatCode>General</c:formatCode>
                <c:ptCount val="21"/>
                <c:pt idx="0">
                  <c:v>0.11899999999999999</c:v>
                </c:pt>
                <c:pt idx="1">
                  <c:v>0.11600499999999998</c:v>
                </c:pt>
                <c:pt idx="2">
                  <c:v>0.11301</c:v>
                </c:pt>
                <c:pt idx="3">
                  <c:v>0.11001499999999999</c:v>
                </c:pt>
                <c:pt idx="4">
                  <c:v>0.10702</c:v>
                </c:pt>
                <c:pt idx="5">
                  <c:v>0.10402499999999999</c:v>
                </c:pt>
                <c:pt idx="6">
                  <c:v>0.10102999999999998</c:v>
                </c:pt>
                <c:pt idx="7">
                  <c:v>9.8034999999999997E-2</c:v>
                </c:pt>
                <c:pt idx="8">
                  <c:v>9.5039999999999986E-2</c:v>
                </c:pt>
                <c:pt idx="9">
                  <c:v>9.2045000000000002E-2</c:v>
                </c:pt>
                <c:pt idx="10">
                  <c:v>8.904999999999999E-2</c:v>
                </c:pt>
                <c:pt idx="11">
                  <c:v>8.6054999999999993E-2</c:v>
                </c:pt>
                <c:pt idx="12">
                  <c:v>8.3059999999999939E-2</c:v>
                </c:pt>
                <c:pt idx="13">
                  <c:v>8.0064999999999942E-2</c:v>
                </c:pt>
                <c:pt idx="14">
                  <c:v>7.7069999999999944E-2</c:v>
                </c:pt>
                <c:pt idx="15">
                  <c:v>7.4074999999999946E-2</c:v>
                </c:pt>
                <c:pt idx="16">
                  <c:v>7.1079999999999935E-2</c:v>
                </c:pt>
                <c:pt idx="17">
                  <c:v>6.8084999999999937E-2</c:v>
                </c:pt>
                <c:pt idx="18">
                  <c:v>6.508999999999994E-2</c:v>
                </c:pt>
                <c:pt idx="19">
                  <c:v>6.2094999999999935E-2</c:v>
                </c:pt>
                <c:pt idx="20">
                  <c:v>5.91E-2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4C-4E10-9E0B-922278470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994895"/>
        <c:axId val="879257039"/>
      </c:scatterChart>
      <c:valAx>
        <c:axId val="1272994895"/>
        <c:scaling>
          <c:orientation val="minMax"/>
          <c:max val="0.2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57039"/>
        <c:crosses val="autoZero"/>
        <c:crossBetween val="midCat"/>
      </c:valAx>
      <c:valAx>
        <c:axId val="879257039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Exp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99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Expected</a:t>
            </a:r>
            <a:r>
              <a:rPr lang="en-SG" baseline="0"/>
              <a:t> Return vs Volatility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4">
                    <a:lumMod val="40000"/>
                    <a:lumOff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>
                  <a:solidFill>
                    <a:schemeClr val="accent4">
                      <a:lumMod val="40000"/>
                      <a:lumOff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03C-4DA7-B39A-6E2108273BFB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8D648626-7AF5-402E-B0F2-2F2C61A5E74B}" type="CELLREF">
                      <a:rPr lang="en-US"/>
                      <a:pPr/>
                      <a:t>[CELLREF]</a:t>
                    </a:fld>
                    <a:endParaRPr lang="en-SG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{8D648626-7AF5-402E-B0F2-2F2C61A5E74B}</c15:txfldGUID>
                      <c15:f>'Capital Allocation Line'!$C$9</c15:f>
                      <c15:dlblFieldTableCache>
                        <c:ptCount val="1"/>
                        <c:pt idx="0">
                          <c:v>Long in US Equity and Long in Tbill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E03C-4DA7-B39A-6E2108273BF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DC0CD5C-3B3D-43B5-BA49-C75E879938E6}" type="CELLREF">
                      <a:rPr lang="en-US"/>
                      <a:pPr/>
                      <a:t>[CELLREF]</a:t>
                    </a:fld>
                    <a:r>
                      <a:rPr lang="en-US" baseline="0"/>
                      <a:t>, </a:t>
                    </a:r>
                    <a:fld id="{A25C93F6-68A8-4203-8F58-A2F0A6BB299B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680AFA7A-6FAE-4823-A1BC-E19DE7FCD54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{EDC0CD5C-3B3D-43B5-BA49-C75E879938E6}</c15:txfldGUID>
                      <c15:f>'Capital Allocation Line'!$B$2</c15:f>
                      <c15:dlblFieldTableCache>
                        <c:ptCount val="1"/>
                        <c:pt idx="0">
                          <c:v>US Equity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E03C-4DA7-B39A-6E2108273BF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ACA67A1-F2DE-4D84-B0B0-8A548F2D8ED8}" type="CELLREF">
                      <a:rPr lang="en-US"/>
                      <a:pPr/>
                      <a:t>[CELLREF]</a:t>
                    </a:fld>
                    <a:endParaRPr lang="en-SG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{BACA67A1-F2DE-4D84-B0B0-8A548F2D8ED8}</c15:txfldGUID>
                      <c15:f>'Capital Allocation Line'!$C$11</c15:f>
                      <c15:dlblFieldTableCache>
                        <c:ptCount val="1"/>
                        <c:pt idx="0">
                          <c:v>Leveraged portfolios -&gt;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E03C-4DA7-B39A-6E2108273BF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4EF448C-1742-419F-97F1-905DEB1C2AFB}" type="CELLREF">
                      <a:rPr lang="en-US"/>
                      <a:pPr/>
                      <a:t>[CELLREF]</a:t>
                    </a:fld>
                    <a:endParaRPr lang="en-SG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{04EF448C-1742-419F-97F1-905DEB1C2AFB}</c15:txfldGUID>
                      <c15:f>'Capital Allocation Line'!$C$12</c15:f>
                      <c15:dlblFieldTableCache>
                        <c:ptCount val="1"/>
                        <c:pt idx="0">
                          <c:v>Long in US Equity and short Tbill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E03C-4DA7-B39A-6E2108273B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'Capital Allocation Line'!$A$8:$A$13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0.1915</c:v>
                </c:pt>
                <c:pt idx="3">
                  <c:v>0.28299999999999997</c:v>
                </c:pt>
                <c:pt idx="4">
                  <c:v>0.3745</c:v>
                </c:pt>
                <c:pt idx="5">
                  <c:v>0.46600000000000003</c:v>
                </c:pt>
              </c:numCache>
            </c:numRef>
          </c:xVal>
          <c:yVal>
            <c:numRef>
              <c:f>'Capital Allocation Line'!$B$8:$B$13</c:f>
              <c:numCache>
                <c:formatCode>0.00%</c:formatCode>
                <c:ptCount val="6"/>
                <c:pt idx="0">
                  <c:v>0.01</c:v>
                </c:pt>
                <c:pt idx="1">
                  <c:v>6.6919060052219315E-2</c:v>
                </c:pt>
                <c:pt idx="2">
                  <c:v>0.11899999999999999</c:v>
                </c:pt>
                <c:pt idx="3">
                  <c:v>0.17108093994778065</c:v>
                </c:pt>
                <c:pt idx="4">
                  <c:v>0.22316187989556135</c:v>
                </c:pt>
                <c:pt idx="5">
                  <c:v>0.27524281984334203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C-4DA7-B39A-6E2108273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691567"/>
        <c:axId val="1442681007"/>
      </c:scatterChart>
      <c:valAx>
        <c:axId val="144269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81007"/>
        <c:crosses val="autoZero"/>
        <c:crossBetween val="midCat"/>
      </c:valAx>
      <c:valAx>
        <c:axId val="144268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9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'Calculation For CAL'!$B$7</c:f>
              <c:strCache>
                <c:ptCount val="1"/>
                <c:pt idx="0">
                  <c:v>Capital Allocation 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'Calculation For CAL'!$F$9:$F$26</c:f>
              <c:numCache>
                <c:formatCode>0.0000</c:formatCode>
                <c:ptCount val="18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0.22499999999999998</c:v>
                </c:pt>
                <c:pt idx="16">
                  <c:v>0.24</c:v>
                </c:pt>
                <c:pt idx="17">
                  <c:v>0.255</c:v>
                </c:pt>
              </c:numCache>
            </c:numRef>
          </c:xVal>
          <c:yVal>
            <c:numRef>
              <c:f>'Calculation For CAL'!$D$9:$D$26</c:f>
              <c:numCache>
                <c:formatCode>0.000</c:formatCode>
                <c:ptCount val="18"/>
                <c:pt idx="0">
                  <c:v>0.05</c:v>
                </c:pt>
                <c:pt idx="1">
                  <c:v>5.5E-2</c:v>
                </c:pt>
                <c:pt idx="2">
                  <c:v>6.0000000000000005E-2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7.5000000000000011E-2</c:v>
                </c:pt>
                <c:pt idx="6">
                  <c:v>0.08</c:v>
                </c:pt>
                <c:pt idx="7">
                  <c:v>8.5000000000000006E-2</c:v>
                </c:pt>
                <c:pt idx="8">
                  <c:v>0.09</c:v>
                </c:pt>
                <c:pt idx="9">
                  <c:v>9.5000000000000001E-2</c:v>
                </c:pt>
                <c:pt idx="10">
                  <c:v>0.1</c:v>
                </c:pt>
                <c:pt idx="11">
                  <c:v>0.10500000000000001</c:v>
                </c:pt>
                <c:pt idx="12">
                  <c:v>0.11000000000000001</c:v>
                </c:pt>
                <c:pt idx="13">
                  <c:v>0.11500000000000002</c:v>
                </c:pt>
                <c:pt idx="14">
                  <c:v>0.12000000000000001</c:v>
                </c:pt>
                <c:pt idx="15">
                  <c:v>0.125</c:v>
                </c:pt>
                <c:pt idx="16">
                  <c:v>0.13</c:v>
                </c:pt>
                <c:pt idx="17">
                  <c:v>0.13500000000000001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53-47F2-82A6-C5FE66B85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911423"/>
        <c:axId val="1288909983"/>
      </c:scatterChart>
      <c:valAx>
        <c:axId val="128891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909983"/>
        <c:crosses val="autoZero"/>
        <c:crossBetween val="midCat"/>
      </c:valAx>
      <c:valAx>
        <c:axId val="128890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911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3.xml"/><Relationship Id="rId5" Type="http://schemas.openxmlformats.org/officeDocument/2006/relationships/image" Target="../media/image2.png"/><Relationship Id="rId4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361905</xdr:colOff>
      <xdr:row>91</xdr:row>
      <xdr:rowOff>142710</xdr:rowOff>
    </xdr:from>
    <xdr:to>
      <xdr:col>11</xdr:col>
      <xdr:colOff>76425</xdr:colOff>
      <xdr:row>94</xdr:row>
      <xdr:rowOff>56985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93BF193-7DD3-273D-701E-885BB3A01674}"/>
                </a:ext>
              </a:extLst>
            </xdr14:cNvPr>
            <xdr14:cNvContentPartPr/>
          </xdr14:nvContentPartPr>
          <xdr14:nvPr macro=""/>
          <xdr14:xfrm>
            <a:off x="8086680" y="16611435"/>
            <a:ext cx="400320" cy="4572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93BF193-7DD3-273D-701E-885BB3A0167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80560" y="16605315"/>
              <a:ext cx="412560" cy="469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242887</xdr:colOff>
      <xdr:row>81</xdr:row>
      <xdr:rowOff>33337</xdr:rowOff>
    </xdr:from>
    <xdr:to>
      <xdr:col>17</xdr:col>
      <xdr:colOff>200025</xdr:colOff>
      <xdr:row>102</xdr:row>
      <xdr:rowOff>133350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B142C2E9-E42A-E053-9FAE-DA54C9EFF48B}"/>
            </a:ext>
          </a:extLst>
        </xdr:cNvPr>
        <xdr:cNvGrpSpPr/>
      </xdr:nvGrpSpPr>
      <xdr:grpSpPr>
        <a:xfrm>
          <a:off x="6596062" y="14692312"/>
          <a:ext cx="6129338" cy="3900488"/>
          <a:chOff x="6596062" y="14692312"/>
          <a:chExt cx="6129338" cy="3900488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C571960-CA9F-E7AF-9FDC-69C4205256B5}"/>
              </a:ext>
            </a:extLst>
          </xdr:cNvPr>
          <xdr:cNvGraphicFramePr/>
        </xdr:nvGraphicFramePr>
        <xdr:xfrm>
          <a:off x="6596062" y="14692312"/>
          <a:ext cx="6129338" cy="39004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48" name="Ink 47">
                <a:extLst>
                  <a:ext uri="{FF2B5EF4-FFF2-40B4-BE49-F238E27FC236}">
                    <a16:creationId xmlns:a16="http://schemas.microsoft.com/office/drawing/2014/main" id="{611E4C2E-C855-1397-E41D-244301AE33D7}"/>
                  </a:ext>
                </a:extLst>
              </xdr14:cNvPr>
              <xdr14:cNvContentPartPr/>
            </xdr14:nvContentPartPr>
            <xdr14:nvPr macro=""/>
            <xdr14:xfrm>
              <a:off x="7067445" y="15174285"/>
              <a:ext cx="3877200" cy="2836080"/>
            </xdr14:xfrm>
          </xdr14:contentPart>
        </mc:Choice>
        <mc:Fallback xmlns="">
          <xdr:pic>
            <xdr:nvPicPr>
              <xdr:cNvPr id="48" name="Ink 47">
                <a:extLst>
                  <a:ext uri="{FF2B5EF4-FFF2-40B4-BE49-F238E27FC236}">
                    <a16:creationId xmlns:a16="http://schemas.microsoft.com/office/drawing/2014/main" id="{611E4C2E-C855-1397-E41D-244301AE33D7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7061324" y="15168165"/>
                <a:ext cx="3889441" cy="2848320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11</xdr:col>
      <xdr:colOff>2265</xdr:colOff>
      <xdr:row>89</xdr:row>
      <xdr:rowOff>123420</xdr:rowOff>
    </xdr:from>
    <xdr:to>
      <xdr:col>12</xdr:col>
      <xdr:colOff>143385</xdr:colOff>
      <xdr:row>91</xdr:row>
      <xdr:rowOff>171150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3CF48846-778C-56CA-8742-8FA7FB3683AE}"/>
                </a:ext>
              </a:extLst>
            </xdr14:cNvPr>
            <xdr14:cNvContentPartPr/>
          </xdr14:nvContentPartPr>
          <xdr14:nvPr macro=""/>
          <xdr14:xfrm>
            <a:off x="8412840" y="16230195"/>
            <a:ext cx="826920" cy="40968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3CF48846-778C-56CA-8742-8FA7FB3683A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406717" y="16224070"/>
              <a:ext cx="839165" cy="4219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733425</xdr:colOff>
      <xdr:row>103</xdr:row>
      <xdr:rowOff>85725</xdr:rowOff>
    </xdr:from>
    <xdr:to>
      <xdr:col>11</xdr:col>
      <xdr:colOff>629372</xdr:colOff>
      <xdr:row>125</xdr:row>
      <xdr:rowOff>29123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92E581D-136D-55B2-74C7-8E7B4B51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67150" y="18726150"/>
          <a:ext cx="5172797" cy="39248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0</xdr:row>
      <xdr:rowOff>52387</xdr:rowOff>
    </xdr:from>
    <xdr:to>
      <xdr:col>11</xdr:col>
      <xdr:colOff>428625</xdr:colOff>
      <xdr:row>15</xdr:row>
      <xdr:rowOff>195262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495CEE-385A-3CF6-BE94-E17B379E2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171450</xdr:rowOff>
    </xdr:from>
    <xdr:to>
      <xdr:col>15</xdr:col>
      <xdr:colOff>109537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F16D7-5E98-9335-AAFF-6DD7FF1C0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0T05:55:51.0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1111 1270 24233,'-1111'-1269'0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0T05:55:26.2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7461 1453 24575,'-2'20'0,"-1"1"0,0-1 0,-2 0 0,0 0 0,-11 24 0,1 1 0,6-16 0,-1 0 0,-2-1 0,-1 0 0,-25 40 0,25-45 0,-20 49 0,-8 12 0,-94 148 0,48-83 0,-61 79 0,-6 32 0,25-38 0,110-191 0,3 1 0,-16 39 0,-2 5 0,-72 138 0,-87 102 0,123-223 0,14-20 0,-51 89 0,67-89 0,-49 78 0,52-85 0,30-50 0,-1-1 0,-20 28 0,-4 1 0,19-25 0,-1-1 0,-23 24 0,23-28 0,1 1 0,1 1 0,0 0 0,-9 18 0,-5 8 0,-84 95 0,65-88 0,36-40 0,-1 1 0,1 0 0,-11 16 0,-35 54 0,-87 95 0,140-172 0,-14 17 0,-23 41 0,28-42 0,-1 0 0,0-1 0,-22 23 0,-183 169 0,206-199 0,-1-1 0,-25 18 0,-12 9 0,-71 54 0,83-60 0,-150 137 0,165-148 0,-1-1 0,0-1 0,-2-1 0,-29 15 0,-40 28 0,54-33 0,-66 33 0,7-6 0,-48 33 0,102-61 0,-54 22 0,15-7 0,-132 58 0,118-56 0,21-14 0,51-20 0,1 0 0,-36 20 0,-151 77 0,187-93 0,-1-1 0,-41 14 0,36-16 0,-46 23 0,-69 32 0,94-44 0,-58 31 0,80-36 0,-45 15 0,-5 2 0,53-19-79,13-7-242,1 0-1,-1-1 0,-29 8 1,24-10-6505</inkml:trace>
  <inkml:trace contextRef="#ctx0" brushRef="#br0" timeOffset="1523.31">8970 1294 24575,'-1'11'0,"0"-1"0,-1 1 0,-1-1 0,-5 17 0,-2 9 0,-74 285 0,46-216 0,-54 102 0,28-68 0,11-39 0,33-65 0,-18 42 0,24-47 0,-27 41 0,-1 4 0,-42 79 0,64-114 0,-32 49 0,-2 3 0,-1-8 0,3-7 0,-99 163 0,90-148 0,25-40 0,17-24 0,0 0 0,-17 36 0,15-24 0,-50 70 0,2-5 0,45-67 0,-53 63 0,7-12 0,-58 119 0,89-146 0,24-37 0,-33 43 0,-40 54 0,57-82 0,2 2 0,-26 48 0,34-53 0,-2-4 0,-1-1 0,-1-1 0,-2-1 0,-36 31 0,-14 16 0,46-46 0,11-10 0,1 0 0,-19 27 0,30-38 0,0 0 0,0-1 0,-18 15 0,16-16 0,0 1 0,1 0 0,-12 15 0,13-14 0,0 0 0,-1-1 0,0 0 0,-14 10 0,12-11 0,1 1 0,0 0 0,-14 17 0,-26 27 0,39-44 0,1 2 0,0-1 0,0 1 0,-9 15 0,-1 3 0,-2 0 0,-47 48 0,-91 61 0,107-93 0,-67 42 0,10-8 0,-43 29 0,55-41 0,34-21 0,12-6 0,-2-4 0,-107 56 0,102-62 0,-58 39 0,-17 9 0,-38 21 0,107-67 0,-11 6 0,52-25 0,0 0 0,-44 16 0,40-18 0,-47 26 0,-64 36 0,-3 1 0,-91 56 0,48-22 0,31-40 0,25-6 0,83-42 0,-57 34 0,10-8 0,15-9 0,-101 48 0,59-30 0,27-17 0,61-26 0,0 2 0,-32 18 0,-13 9 0,49-27 0,1 1 0,0 2 0,-25 19 0,15-12-1365,21-16-5461</inkml:trace>
  <inkml:trace contextRef="#ctx0" brushRef="#br0" timeOffset="3063.49">10769 1373 24575,'-1'15'0,"0"1"0,-1-1 0,-1 0 0,0 0 0,-1 0 0,-1 0 0,0 0 0,-1-1 0,-1 0 0,0 0 0,-14 19 0,-58 123 0,-17 28 0,24-77 0,44-67 0,0 2 0,3 0 0,-23 52 0,17-26 0,-50 80 0,47-90 0,-102 178 0,-89 116 0,107-170 0,-9 30 0,11-42 0,-21 81 0,131-240 0,-33 57 0,-58 78 0,77-117 0,-1 4 0,-21 43 0,-7 15 0,-74 104 0,40-61 0,37-53 0,34-58 0,-1 0 0,-1 0 0,-19 22 0,-23 24 0,25-28 0,-61 59 0,72-80 0,1 2 0,1 0 0,-19 31 0,20-27 0,-1-2 0,-31 34 0,-23 34 0,36-58 0,8-7 0,-46 36 0,46-42 0,-39 42 0,43-39 0,-51 40 0,45-41 0,2 2 0,1 0 0,-32 40 0,28-31 0,-54 48 0,-84 56 0,68-52 0,3 15 0,73-72 0,-1-1 0,-1-1 0,-2-2 0,-1-1 0,-34 22 0,38-29 0,1 1 0,1 1 0,-23 24 0,-35 27 0,68-59 0,1 1 0,1 0 0,-19 23 0,6-7 0,1-4 0,-33 27 0,-12 10 0,33-29 0,-2-2 0,0-1 0,-66 36 0,15-10 0,-123 80 0,2 7 0,129-102 0,58-31 0,-42 26 0,-49 27 0,4-3 0,84-44 0,-1-1 0,-35 13 0,39-18 0,0 0 0,1 2 0,0 1 0,-27 19 0,37-22-273,0-1 0,-1 0 0,0 0 0,-20 8 0,16-11-6553</inkml:trace>
  <inkml:trace contextRef="#ctx0" brushRef="#br0" timeOffset="11223.48">6482 1267 24575,'-1'5'0,"0"-1"0,-1 1 0,1 0 0,-1-1 0,0 1 0,-1-1 0,1 1 0,-5 5 0,-6 11 0,-60 113 0,4-8 0,59-109 0,0 0 0,-24 30 0,21-31 0,1 1 0,-16 28 0,6-3 0,-36 51 0,28-42 0,23-37 0,-1-1 0,0 0 0,-19 24 0,-1-3 0,1 2 0,-25 45 0,40-61 0,-29 55 0,29-52 0,0 0 0,-1-1 0,-2 0 0,-18 21 0,20-26 0,0 1 0,1 0 0,-12 24 0,1-1 0,-42 62 0,-49 86 0,17-16 0,43-72 0,-11 24 0,23-52 0,6-13 0,23-35 0,-77 139 0,74-136 0,-20 49 0,23-47 0,-27 47 0,-66 107 0,98-171 0,1 1 0,1 0 0,-6 20 0,8-21 0,-1 0 0,0-1 0,0 0 0,-1 0 0,-11 15 0,-7 8 0,-33 64 0,1 0 0,-39 70 0,67-120 0,11-19 0,-1-1 0,-1 0 0,-36 42 0,48-63 0,1 0 0,0 1 0,0-1 0,-5 13 0,7-12 0,-1-1 0,0 0 0,0 0 0,-1 0 0,-7 8 0,-9 7 0,2 1 0,-21 32 0,26-34 0,-2 0 0,0-1 0,-33 32 0,-103 78 0,36-35 0,69-62 0,-80 73 0,103-86 0,0-1 0,-2-1 0,-36 20 0,31-19 0,-15 7 0,29-18 0,1 1 0,-1 1 0,-27 25 0,32-26 0,1-1 0,-1 0 0,-1-1 0,0 0 0,-20 8 0,17-8 0,0 0 0,0 2 0,-16 11 0,20-12 0,0-1 0,-1-1 0,-22 9 0,-3 3 0,-73 39 0,28-20 0,66-32 0,1 1 0,0 1 0,1 0 0,-28 20 0,27-17 0,1-1 0,-2-1 0,1 0 0,-1-2 0,0 0 0,-26 7 0,25-9 0,1 0 0,0 2 0,0 0 0,1 2 0,0-1 0,-20 15 0,19-11 0,0 0 0,-1-2 0,0 0 0,-1-1 0,-29 8 0,22-7 0,0 0 0,-29 18 0,26-13 0,0-1 0,-40 13 0,12-6 0,-7 10 0,46-21 0,-1-1 0,-36 13 0,5-5 0,-75 35 0,54-19 0,61-29 0,-50 23 0,-2-3 0,0-2 0,-73 14 0,97-28 0,0 1 0,1 2 0,-50 23 0,51-21 0,0-1 0,-61 11 0,40-10 0,-30 18 0,67-22 0,-2-1 0,-30 8 0,5-5 0,0 4 0,-67 28 0,80-25-1365,20-11-5461</inkml:trace>
  <inkml:trace contextRef="#ctx0" brushRef="#br0" timeOffset="16028.05">4313 2855 24575,'-1'-4'0,"-1"1"0,1-1 0,-1 0 0,0 1 0,0 0 0,0-1 0,-1 1 0,1 0 0,-1 0 0,0 1 0,1-1 0,-1 0 0,-1 1 0,-4-4 0,-7-7 0,7 5 0,-20-20 0,-57-44 0,-98-80 0,-212-184 0,379 322 0,-141-143 0,-164-211 0,293 333 0,-78-104 0,101 130 0,0 0 0,1-1 0,0 0 0,-3-12 0,5 15 0,0-1 0,0 1 0,-1 0 0,0 1 0,0-1 0,-1 0 0,0 1 0,0 0 0,-7-9 0,10 15 0,0 0 0,1 0 0,-1 1 0,1-1 0,-1 0 0,1 0 0,-1 1 0,1-1 0,-1 1 0,1-1 0,0 0 0,-1 1 0,1-1 0,-1 1 0,1-1 0,0 1 0,-1-1 0,1 1 0,0-1 0,0 1 0,0-1 0,-1 1 0,1 0 0,0-1 0,0 1 0,0-1 0,0 1 0,0 0 0,0-1 0,0 1 0,0-1 0,0 1 0,0-1 0,0 1 0,1 1 0,-3 27 0,3 22 0,2 0 0,14 72 0,-13-94 0,-2 0 0,-3 47 0,0-43 0,4 47 0,9-26 0,2 9 0,-13-28 0,-2-25 0,1 0 0,0 0 0,1 0 0,0 0 0,1 0 0,0 0 0,0 0 0,1-1 0,0 1 0,8 14 0,-11-23 0,1-1 0,-1 1 0,0-1 0,0 1 0,0-1 0,1 1 0,-1-1 0,0 0 0,1 1 0,-1-1 0,0 0 0,1 1 0,-1-1 0,0 0 0,1 1 0,-1-1 0,1 0 0,-1 0 0,0 1 0,1-1 0,-1 0 0,1 0 0,-1 0 0,1 0 0,-1 1 0,1-1 0,-1 0 0,1 0 0,-1 0 0,1 0 0,-1 0 0,1 0 0,0-1 0,7-13 0,-2-26 0,-4-369 0,-5 201 0,3 200 0,0 0 0,0 0 0,1 0 0,0 0 0,0 0 0,1 0 0,4-13 0,-5 18 0,1 1 0,-1 0 0,1 0 0,0 0 0,-1 0 0,1 0 0,0 0 0,0 0 0,0 0 0,1 1 0,-1-1 0,0 1 0,0 0 0,1 0 0,-1 0 0,1 0 0,-1 0 0,1 0 0,-1 0 0,1 1 0,0 0 0,-1-1 0,1 1 0,0 0 0,-1 0 0,6 1 0,7 1 0,0 1 0,0 0 0,0 1 0,-1 1 0,0 0 0,0 1 0,18 10 0,50 19 0,-17-17 0,1-4 0,95 10 0,-135-22-1365,-3-1-5461</inkml:trace>
  <inkml:trace contextRef="#ctx0" brushRef="#br0" timeOffset="17405.78">3704 209 24575,'-1'20'0,"-1"0"0,-8 35 0,5-34 0,1 1 0,0 25 0,3-18 0,-1 0 0,-11 58 0,8-59 0,1 1 0,2 1 0,1 45 0,2-595 0,-1 515 0,0 1 0,0-1 0,0 1 0,-1-1 0,0 0 0,0 1 0,0-1 0,0 1 0,-1 0 0,-2-6 0,3 9 0,0 0 0,0 0 0,0 0 0,0 0 0,0 0 0,0 0 0,-1 0 0,1 0 0,0 0 0,-1 1 0,1-1 0,0 1 0,-1-1 0,1 1 0,-1-1 0,1 1 0,-1 0 0,1-1 0,-1 1 0,1 0 0,-1 0 0,1 0 0,-1 0 0,1 1 0,-1-1 0,1 0 0,-1 1 0,1-1 0,0 1 0,-1-1 0,1 1 0,-1-1 0,1 1 0,-2 1 0,-74 31 0,-52 25 0,24 3 0,95-54 0,11-2 0,25 1 0,51-6 0,-69 0 0,553-1 0,-560 1 0,0 0 0,1 1 0,-1-1 0,1 0 0,-1 0 0,1-1 0,-1 1 0,1 0 0,-1 0 0,0-1 0,1 1 0,-1-1 0,0 1 0,1-1 0,-1 1 0,0-1 0,1 0 0,-1 0 0,0 0 0,1-1 0,-2 2 0,1-1 0,-1 0 0,0 0 0,0 0 0,0 0 0,0 0 0,0 0 0,0 0 0,-1 1 0,1-1 0,0 0 0,0 0 0,0 0 0,-1 0 0,1 0 0,-1 1 0,1-1 0,0 0 0,-1 0 0,1 1 0,-1-1 0,0 0 0,0 0 0,-9-9 0,0 0 0,-1 0 0,-12-8 0,11 9 0,-28-31 0,32 31 0,0 0 0,-1 0 0,0 1 0,-17-12 0,9 9 0,6 5 0,0 0 0,1-1 0,0 0 0,0-1 0,0 0 0,-13-16 0,22 23-45,1 1-1,-1-1 1,1 0-1,0 1 1,-1-1-1,1 0 1,-1 1-1,1-1 1,0 0-1,0 1 1,-1-1-1,1 0 1,0 0-1,0 1 1,0-1-1,0 0 1,0 0-1,0 1 1,0-1-1,0 0 1,0 0-1,0 1 1,0-1-1,1 0 0,-1 1 1,0-1-1,0 0 1,1 1-1,0-2 1,6-5-6781</inkml:trace>
  <inkml:trace contextRef="#ctx0" brushRef="#br0" timeOffset="17995.27">4286 341 24575,'-2'1'0,"0"0"0,-1 0 0,1 0 0,0 0 0,0 0 0,0 1 0,0-1 0,0 1 0,1 0 0,-1-1 0,0 1 0,1 0 0,-1 0 0,1 0 0,-2 2 0,-22 35 0,24-38 0,-4 12 0,0 0 0,0 0 0,1 0 0,1 1 0,0-1 0,0 1 0,1 17 0,-7 29 0,6-47 0,0-1 0,2 1 0,-1 1 0,2 23 0,0-35 0,0 1 0,0 0 0,1-1 0,-1 1 0,1-1 0,0 1 0,0-1 0,-1 1 0,2-1 0,-1 1 0,0-1 0,0 0 0,1 0 0,0 1 0,-1-1 0,1 0 0,0 0 0,0-1 0,0 1 0,0 0 0,0-1 0,0 1 0,1-1 0,-1 0 0,0 0 0,1 1 0,-1-2 0,1 1 0,-1 0 0,5 0 0,-1 1 0,0-1 0,0-1 0,0 1 0,0-1 0,1 0 0,-1 0 0,0-1 0,0 0 0,0 0 0,0-1 0,0 1 0,0-1 0,0 0 0,0-1 0,0 0 0,-1 1 0,0-2 0,1 1 0,-1-1 0,0 0 0,-1 0 0,1 0 0,-1 0 0,0-1 0,7-9 0,20-30 0,-19 28 0,0-1 0,-1-1 0,-1 1 0,9-23 0,34-100 0,-39 93-1365,-10 25-5461</inkml:trace>
  <inkml:trace contextRef="#ctx0" brushRef="#br0" timeOffset="18414.59">4657 394 24575,'5'0'0,"5"0"0,6 0 0,5 0 0,3 0 0,2 0 0,1 0 0,1 0 0,-10 0 0,-11 0 0</inkml:trace>
  <inkml:trace contextRef="#ctx0" brushRef="#br0" timeOffset="18771.62">4736 288 24575,'0'611'0,"1"-628"-136,0 0-1,1 0 1,1 0-1,1 0 1,0 1-1,2-1 1,-1 1-1,2 1 0,13-25 1,-10 26-6690</inkml:trace>
  <inkml:trace contextRef="#ctx0" brushRef="#br0" timeOffset="19023.66">5001 315 24575</inkml:trace>
  <inkml:trace contextRef="#ctx0" brushRef="#br0" timeOffset="19253.44">5001 394 24575,'-2'129'0,"5"139"0,-3-265-136,0 0-1,1 0 1,-1 0-1,1 0 1,0 0-1,0 0 1,0-1-1,0 1 0,2 4 1,3-1-6690</inkml:trace>
  <inkml:trace contextRef="#ctx0" brushRef="#br0" timeOffset="19592.29">5186 288 24575,'0'525'0,"3"-510"-75,3-21 262,5-22-1664,-7 9-5349</inkml:trace>
  <inkml:trace contextRef="#ctx0" brushRef="#br0" timeOffset="19854.86">5318 368 24575,'0'-5'0,"0"4"0</inkml:trace>
  <inkml:trace contextRef="#ctx0" brushRef="#br0" timeOffset="20073.09">5318 500 24575,'0'5'0,"0"5"0,0 6 0,0 5 0,0 3 0,0 2 0,0 1 0,0 1 0,0-1 0,0 1 0,0-1 0,5-5 0,5-5 0,2-7-8191</inkml:trace>
  <inkml:trace contextRef="#ctx0" brushRef="#br0" timeOffset="20417.43">5451 447 24575,'5'0'0,"0"-5"0,5 0 0,5-1 0,5 1 0,3 2 0,2 1 0,-3 1-8191</inkml:trace>
  <inkml:trace contextRef="#ctx0" brushRef="#br0" timeOffset="20820.03">5556 288 24575,'-1'0'0,"0"1"0,0-1 0,-1 1 0,1-1 0,0 1 0,0 0 0,0 0 0,0-1 0,0 1 0,0 0 0,0 0 0,1 0 0,-1 0 0,0 0 0,0 0 0,1 0 0,-1 0 0,1 0 0,-1 0 0,1 1 0,-1-1 0,1 0 0,-1 0 0,1 0 0,0 1 0,0-1 0,0 2 0,-5 41 0,5-39 0,-2 228 0,3-119 0,-1-108-105,0 1 0,0-1 0,1 0 0,-1 1 0,1-1 0,1 0 0,-1 0 0,1 0 0,0 0 0,1 0 0,-1-1 0,5 7 0,3 1-6721</inkml:trace>
  <inkml:trace contextRef="#ctx0" brushRef="#br0" timeOffset="21488.09">5742 474 24575,'-1'67'0,"-1"-24"0,6 53 0,-4-92 0,1-1 0,-1 1 0,1 0 0,0 0 0,0-1 0,0 1 0,1-1 0,-1 1 0,1-1 0,0 0 0,0 0 0,0 1 0,0-1 0,1 0 0,-1-1 0,1 1 0,-1 0 0,1-1 0,0 0 0,0 1 0,0-1 0,1 0 0,-1-1 0,0 1 0,1-1 0,-1 1 0,1-1 0,0 0 0,-1 0 0,1 0 0,0-1 0,0 0 0,5 1 0,-4-1 0,1 0 0,0-1 0,0 0 0,-1 0 0,1 0 0,0 0 0,-1-1 0,1 0 0,-1 0 0,0 0 0,0-1 0,0 0 0,0 0 0,0 0 0,0-1 0,-1 1 0,0-1 0,1 0 0,-2 0 0,1-1 0,3-4 0,2-7 0,0-1 0,-1 1 0,-1-1 0,-1-1 0,-1 1 0,0-1 0,-1 0 0,-1 0 0,0-1 0,-1-28 0,-2 47 0,0 0 0,0 0 0,0-1 0,0 1 0,1 0 0,-1 0 0,0-1 0,0 1 0,0 0 0,0-1 0,0 1 0,0 0 0,0 0 0,0-1 0,0 1 0,-1 0 0,1-1 0,0 1 0,0 0 0,0 0 0,0-1 0,0 1 0,0 0 0,0 0 0,-1-1 0,1 1 0,0 0 0,0 0 0,0 0 0,-1-1 0,1 1 0,0 0 0,0 0 0,-1 0 0,1 0 0,0 0 0,0-1 0,-1 1 0,1 0 0,0 0 0,0 0 0,-1 0 0,1 0 0,0 0 0,-1 0 0,-9 12 0,-7 23 0,10-14 0,2 1 0,1 0 0,0 0 0,0 25 0,-8 48 0,-1 8 0,11-73 0,-10 48 0,7-52 0,-2-1 0,-1 0 0,-1 0 0,0-1 0,-19 32 0,24-49 0,-1 0 0,0 0 0,0 0 0,-1 0 0,0-1 0,0 0 0,-1 0 0,1-1 0,-1 0 0,-1 0 0,1 0 0,0-1 0,-1 0 0,0-1 0,0 1 0,0-2 0,-1 1 0,1-1 0,0 0 0,-10 0 0,6 0-105,-1-2 0,0 1 0,1-1 0,-1-1 0,1-1 0,-1 1 0,1-2 0,-1 0 0,1 0 0,0-1 0,0-1 0,-19-10 0,17 7-6721</inkml:trace>
  <inkml:trace contextRef="#ctx0" brushRef="#br0" timeOffset="24041.85">3704 5342 24575,'42'-7'0,"-37"6"0,1-1 0,-1 1 0,0 0 0,0 1 0,1-1 0,-1 1 0,10 1 0,-13-1 0,0 1 0,0 0 0,0 0 0,0 0 0,0 0 0,-1 0 0,1 0 0,0 0 0,0 1 0,-1-1 0,1 0 0,-1 1 0,1 0 0,-1-1 0,0 1 0,0 0 0,0 0 0,0 0 0,0-1 0,0 1 0,0 0 0,0 0 0,-1 0 0,1 4 0,1 2 0,0-1 0,0 1 0,-1-1 0,0 1 0,-1 0 0,0 0 0,0 0 0,-1-1 0,-2 14 0,2-17 0,0 0 0,0 0 0,-1 0 0,1-1 0,-1 1 0,0 0 0,0-1 0,0 0 0,0 1 0,-1-1 0,0 0 0,1 0 0,-1-1 0,0 1 0,0 0 0,0-1 0,-1 0 0,1 0 0,-1 0 0,-4 2 0,-1 0 0,5-2 0,-1 0 0,1 0 0,-1 0 0,1-1 0,-1 0 0,1 0 0,-1 0 0,-8 1 0,12-3 0,-1 1 0,1-1 0,0 0 0,-1 1 0,1-1 0,0 0 0,0 0 0,-1 0 0,1 0 0,0 0 0,0 0 0,0 0 0,0 0 0,0 0 0,1-1 0,-1 1 0,0 0 0,0-1 0,1 1 0,-1 0 0,1-1 0,-1 1 0,1-1 0,0 1 0,-1-1 0,1 1 0,0-1 0,0 1 0,0-1 0,0 1 0,0-1 0,1-1 0,-2-16 0,1 0 0,0 0 0,2 0 0,0 0 0,5-20 0,-6 34 0,1-1 0,-1 1 0,1 0 0,0 0 0,0 0 0,1 0 0,-1 0 0,1 0 0,0 1 0,1-1 0,-1 1 0,1 0 0,0 0 0,0 0 0,0 0 0,0 1 0,1 0 0,-1 0 0,1 0 0,0 0 0,0 1 0,6-3 0,-10 5 0,0 0 0,0-1 0,0 1 0,1 0 0,-1 0 0,0-1 0,0 1 0,0 0 0,0 0 0,0 1 0,1-1 0,-1 0 0,0 0 0,0 0 0,0 1 0,0-1 0,0 1 0,0-1 0,0 1 0,0-1 0,0 1 0,0-1 0,0 1 0,1 1 0,0 0 0,0 0 0,-1 0 0,1 1 0,-1-1 0,0 0 0,0 1 0,0-1 0,0 1 0,0-1 0,0 5 0,1 7 0,0 0 0,-1 0 0,-1 18 0,-1-24 0,1 12 0,1-7 0,-2 1 0,1 0 0,-5 18 0,5-28 0,-1-1 0,0 0 0,0 1 0,-1-1 0,1 0 0,-1 0 0,1 0 0,-1 0 0,0 0 0,0 0 0,0 0 0,-1-1 0,1 1 0,-1-1 0,1 1 0,-1-1 0,0 0 0,-3 2 0,5-3 0,0-1 0,0 0 0,0 1 0,0-1 0,0 0 0,0 1 0,0-1 0,0 0 0,0 0 0,-1 0 0,1 0 0,0 0 0,0 0 0,0 0 0,0-1 0,0 1 0,0 0 0,0 0 0,0-1 0,0 1 0,0-1 0,0 1 0,0-1 0,1 1 0,-1-1 0,0 1 0,0-1 0,0 0 0,1 0 0,-1 1 0,0-1 0,1 0 0,-1 0 0,0 0 0,1 0 0,-1 0 0,1 0 0,0 0 0,-1 0 0,1 0 0,0 0 0,-1 0 0,1 0 0,0 0 0,0 0 0,0 0 0,0-1 0,-6-57 0,6 56 0,0-8 0,1 0 0,-1 0 0,2 0 0,-1 0 0,2 0 0,-1 0 0,7-14 0,-8 22 0,0 1 0,0-1 0,0 1 0,0 0 0,1 0 0,-1-1 0,1 1 0,-1 0 0,1 0 0,0 1 0,0-1 0,0 0 0,0 0 0,0 1 0,0 0 0,0-1 0,1 1 0,-1 0 0,1 0 0,-1 0 0,1 0 0,-1 0 0,1 1 0,-1-1 0,1 1 0,-1 0 0,1 0 0,0 0 0,-1 0 0,1 0 0,0 0 0,-1 1 0,1-1 0,-1 1 0,1 0 0,-1 0 0,4 1 0,-4-1-33,0 0 0,-1 0-1,1 0 1,0 1 0,0-1-1,0 0 1,-1 1 0,1 0 0,-1-1-1,0 1 1,1 0 0,-1-1-1,0 1 1,0 0 0,0 0-1,0 0 1,0 0 0,0 0 0,-1 0-1,1 1 1,-1-1 0,1 0-1,-1 0 1,0 0 0,0 0-1,0 1 1,0-1 0,0 0 0,-1 0-1,1 0 1,0 1 0,-1-1-1,0 0 1,0 0 0,1 0-1,-1 0 1,0 0 0,-1 0 0,1-1-1,-2 3 1,-7 9-6793</inkml:trace>
  <inkml:trace contextRef="#ctx0" brushRef="#br0" timeOffset="26617.27">344 3093 24575,'-12'1'0,"1"0"0,-1 0 0,1 2 0,-1-1 0,1 2 0,0-1 0,0 1 0,0 1 0,0 0 0,1 1 0,0 0 0,0 0 0,1 1 0,-1 0 0,2 1 0,-14 14 0,4-2 0,1 1 0,1 1 0,0 0 0,2 1 0,1 1 0,-11 28 0,18-39 0,0 0 0,1 1 0,1-1 0,0 1 0,-4 28 0,8-37 0,0-1 0,0 1 0,0-1 0,1 0 0,0 1 0,0-1 0,0 0 0,0 1 0,1-1 0,-1 0 0,1 0 0,0 0 0,0 0 0,1-1 0,-1 1 0,1 0 0,0-1 0,0 0 0,0 0 0,0 0 0,1 0 0,-1 0 0,6 3 0,0-1 0,-1-1 0,1 0 0,1 0 0,-1-1 0,0 0 0,1 0 0,0-1 0,0-1 0,-1 1 0,1-2 0,0 1 0,0-1 0,0-1 0,12-1 0,-5-1 0,0 0 0,-1-1 0,1-1 0,-1 0 0,0-1 0,0-1 0,20-12 0,-23 11 0,-1 1 0,0-2 0,-1 0 0,0 0 0,0-1 0,-1 0 0,0-1 0,-1 0 0,0-1 0,-1 0 0,0 0 0,12-27 0,-13 23 0,-1-2 0,-1 1 0,0-1 0,3-29 0,-6 38 0,-2-1 0,1 0 0,-1 0 0,-1-1 0,0 2 0,0-1 0,-1 0 0,0 0 0,-7-19 0,6 25 6,0-1 0,0 1-1,-1 0 1,1 0 0,-1 0-1,0 1 1,0-1 0,0 1 0,-1 0-1,1 0 1,-1 0 0,0 0-1,0 1 1,0 0 0,0 0 0,0 1-1,0-1 1,0 1 0,0 0-1,-7 0 1,-14-3-501,0 2 0,-42 2 0,56 0-6331</inkml:trace>
  <inkml:trace contextRef="#ctx0" brushRef="#br0" timeOffset="27269.92">582 3278 24575,'-2'111'0,"5"124"0,2-201 0,11 41 0,-13-63 0,0-130 0,-5 61 0,0 13 0,7-67 0,-4 99 0,0 1 0,2-1 0,-1 1 0,2 0 0,-1-1 0,1 1 0,1 1 0,0-1 0,1 1 0,11-17 0,-15 24 0,1 1 0,-1-1 0,1 1 0,0 0 0,-1 0 0,1 0 0,0 0 0,0 0 0,0 1 0,0-1 0,1 1 0,-1 0 0,0 0 0,0 0 0,1 0 0,-1 1 0,1-1 0,-1 1 0,7 0 0,-4 0 0,0 1 0,0 0 0,0 0 0,-1 1 0,1-1 0,0 1 0,-1 1 0,1-1 0,-1 1 0,0 0 0,6 3 0,-7-3 0,-1-1 0,1 1 0,-1 0 0,0 0 0,0 0 0,0 1 0,0-1 0,-1 1 0,1-1 0,-1 1 0,0 0 0,0 0 0,0 0 0,1 6 0,-2-7 0,-1-1 0,0 1 0,0 0 0,0 0 0,0-1 0,0 1 0,0 0 0,-1 0 0,1-1 0,-1 1 0,0 0 0,0-1 0,0 1 0,0-1 0,0 1 0,-1-1 0,1 0 0,-1 1 0,0-1 0,1 0 0,-1 0 0,0 0 0,0 0 0,-4 2 0,-11 9 0,-1-2 0,0 0 0,-1-1 0,-26 10 0,-39 21 0,74-32 105,10-8-146,0-1 0,0 0 0,0 1 0,0-1 1,1 0-1,-1 0 0,0 1 0,0-1 0,0 0 0,0 1 1,1-1-1,-1 0 0,0 0 0,0 1 0,0-1 0,1 0 1,-1 0-1,0 0 0,0 1 0,1-1 0,-1 0 1,0 0-1,1 0 0,-1 0 0,0 0 0,0 1 0,1-1 1,-1 0-1,0 0 0,1 0 0,-1 0 0,0 0 0,1 0 1,-1 0-1,1 0 0,11 1-6785</inkml:trace>
  <inkml:trace contextRef="#ctx0" brushRef="#br0" timeOffset="27612.09">873 3252 24575,'0'-5'0,"5"-1"0,5 0 0,7 2 0,3 0 0,5 2 0,1 1 0,1 1 0,0 0 0,1 0 0,-1 0 0,-4 0-8191</inkml:trace>
  <inkml:trace contextRef="#ctx0" brushRef="#br0" timeOffset="28078.45">1058 2987 24575,'0'478'0,"5"-433"120,-5-43-160,0-1 0,1 0 0,-1 0-1,0 0 1,1 0 0,-1 0 0,1 0 0,-1 0 0,1 1 0,-1-1-1,1-1 1,0 1 0,-1 0 0,1 0 0,0 0 0,0 0 0,0 0 0,0-1-1,0 1 1,0 0 0,0-1 0,0 1 0,0-1 0,0 1 0,0-1-1,0 1 1,0-1 0,0 0 0,0 0 0,1 0 0,-1 1 0,0-1 0,0 0-1,0 0 1,0 0 0,2-1 0,5-2-6786</inkml:trace>
  <inkml:trace contextRef="#ctx0" brushRef="#br0" timeOffset="28344.01">1244 3120 24575,'0'4'0,"0"7"0,0 0-8191</inkml:trace>
  <inkml:trace contextRef="#ctx0" brushRef="#br0" timeOffset="28548.18">1244 3252 24575,'0'4'0,"0"7"0,0 5 0,0 5 0,0 3 0,0 2 0,0 1 0,0 1 0,0-1 0,0 1 0,0-1 0,0-5-8191</inkml:trace>
  <inkml:trace contextRef="#ctx0" brushRef="#br0" timeOffset="29262.7">1350 3305 24575,'-2'59'0,"0"-38"0,1-1 0,1 1 0,1-1 0,1 0 0,5 24 0,-7-43 0,0 0 0,0-1 0,0 1 0,0 0 0,0-1 0,1 1 0,-1 0 0,0 0 0,0-1 0,1 1 0,-1-1 0,0 1 0,1 0 0,-1-1 0,1 1 0,-1-1 0,1 1 0,-1-1 0,1 1 0,-1-1 0,1 1 0,-1-1 0,1 1 0,0-1 0,-1 0 0,1 1 0,0-1 0,-1 0 0,1 0 0,0 0 0,-1 1 0,1-1 0,1 0 0,-1-1 0,1 1 0,-1-1 0,1 0 0,-1 0 0,1 0 0,-1 0 0,0 0 0,1 0 0,-1 0 0,0 0 0,0-1 0,0 1 0,2-2 0,25-49 0,-23 31 0,0 0 0,2-34 0,3-13 0,-7 48 0,-3 16 0,0 0 0,0 1 0,1-1 0,-1 0 0,1 0 0,0 1 0,0-1 0,0 1 0,1-1 0,-1 1 0,1-1 0,0 1 0,3-5 0,-4 8 0,0 0 0,-1 1 0,1-1 0,-1 0 0,1 0 0,-1 1 0,1-1 0,-1 0 0,1 0 0,-1 1 0,1-1 0,-1 1 0,1-1 0,-1 0 0,1 1 0,-1-1 0,0 1 0,1-1 0,-1 1 0,0-1 0,0 1 0,1 0 0,-1-1 0,0 1 0,0-1 0,0 1 0,1-1 0,-1 1 0,0 0 0,0-1 0,0 1 0,0 0 0,8 30 0,-7-25 0,20 115 0,-4-11 0,-12-81 0,-5-23 0,0 0 0,1-1 0,0 1 0,0-1 0,1 0 0,-1 1 0,4 4 0,-5-10 0,0 1 0,0-1 0,0 0 0,0 0 0,0 1 0,0-1 0,1 0 0,-1 0 0,0 1 0,0-1 0,0 0 0,1 0 0,-1 0 0,0 0 0,0 1 0,1-1 0,-1 0 0,0 0 0,0 0 0,1 0 0,-1 0 0,0 0 0,0 0 0,1 0 0,-1 0 0,0 0 0,1 0 0,-1 0 0,0 0 0,0 0 0,1 0 0,-1 0 0,0 0 0,0 0 0,1 0 0,-1 0 0,0 0 0,1 0 0,-1-1 0,0 1 0,12-13 0,3-18 0,-6 8 0,1 1 0,0 0 0,2 0 0,0 1 0,1 0 0,2 1 0,28-32 0,-41 50 0,-1 0 0,1 0 0,-1 1 0,1-1 0,0 0 0,-1 1 0,1-1 0,0 1 0,0-1 0,0 1 0,0 0 0,0 0 0,1 0 0,-1 0 0,0 0 0,0 0 0,1 1 0,-1-1 0,0 1 0,1-1 0,-1 1 0,1 0 0,-1 0 0,0 0 0,1 0 0,-1 1 0,1-1 0,-1 1 0,4 1 0,-3 0 0,0 0 0,-1 0 0,1 1 0,-1-1 0,0 1 0,1-1 0,-1 1 0,-1 0 0,1 0 0,0 0 0,-1 0 0,1 0 0,-1 0 0,0 0 0,0 1 0,0-1 0,0 0 0,-1 1 0,0-1 0,1 5 0,0 35-7,-1-29-332,0 1-1,2-1 1,4 26-1,-1-22-6486</inkml:trace>
  <inkml:trace contextRef="#ctx0" brushRef="#br0" timeOffset="30010.07">2090 3384 24575,'1'-21'0,"-1"11"0,0 1 0,0 0 0,0-1 0,-1 1 0,-3-12 0,3 18 0,0 1 0,0-1 0,0 1 0,0 0 0,-1-1 0,1 1 0,0 0 0,-1 0 0,0 0 0,1 0 0,-1 0 0,0 0 0,0 1 0,0-1 0,0 1 0,0-1 0,-1 1 0,1 0 0,0 0 0,-1 0 0,1 0 0,-1 0 0,-4-1 0,0 1 0,0-1 0,1 1 0,-1 1 0,0-1 0,0 1 0,0 0 0,0 1 0,0 0 0,0 0 0,0 0 0,1 1 0,-1 0 0,0 0 0,-7 4 0,10-4 0,1 1 0,-1-1 0,1 1 0,-1-1 0,1 1 0,0 0 0,0 1 0,1-1 0,-1 0 0,1 1 0,-1-1 0,1 1 0,0 0 0,1 0 0,-1 0 0,1 0 0,-1 0 0,1 0 0,0 0 0,1 0 0,-1 0 0,1 1 0,-1-1 0,2 6 0,-1-7 0,1 1 0,-1 0 0,1 0 0,0-1 0,0 1 0,1-1 0,-1 1 0,1-1 0,0 1 0,0-1 0,0 0 0,0 0 0,0 0 0,1 0 0,-1 0 0,1-1 0,0 1 0,0-1 0,0 0 0,0 1 0,0-1 0,0-1 0,1 1 0,-1 0 0,1-1 0,-1 0 0,1 0 0,-1 0 0,1 0 0,7 0 0,-6 1 0,1-1 0,0-1 0,0 1 0,0-1 0,0 0 0,-1-1 0,1 1 0,0-1 0,0 0 0,-1-1 0,1 1 0,-1-1 0,1 0 0,-1-1 0,1 1 0,-1-1 0,0 0 0,0 0 0,4-5 0,5-2 0,-8 13 0,-3 24 0,-1-3 0,-2-21 0,0-1 0,0 1 0,1 0 0,0-1 0,-1 1 0,1-1 0,0 1 0,0-1 0,1 0 0,-1 1 0,0-1 0,1 0 0,-1 0 0,1 0 0,0 0 0,0 0 0,0 0 0,0 0 0,0-1 0,0 1 0,0-1 0,0 1 0,1-1 0,-1 0 0,0 0 0,1 0 0,-1 0 0,1 0 0,0-1 0,3 1 0,-2-1 0,1 0 0,0-1 0,0 0 0,-1 0 0,1 0 0,0-1 0,-1 1 0,0-1 0,1 0 0,-1 0 0,0-1 0,0 1 0,0-1 0,0 0 0,0 0 0,3-5 0,7-4-227,-1-1-1,-1 0 1,0-1-1,-1-1 1,15-25-1,-19 25-6598</inkml:trace>
  <inkml:trace contextRef="#ctx0" brushRef="#br0" timeOffset="30318.88">2408 3014 24575,'0'398'0,"-5"-351"-1365,-1-30-5461</inkml:trace>
  <inkml:trace contextRef="#ctx0" brushRef="#br0" timeOffset="31237.21">318 3913 24575,'-9'1'0,"-1"0"0,1 0 0,0 1 0,0 0 0,0 1 0,0 0 0,0 1 0,0-1 0,1 2 0,-14 8 0,-1 3 0,1 0 0,-27 28 0,45-39 0,0 0 0,0 0 0,1 0 0,-1 1 0,1-1 0,1 1 0,-1 0 0,1 0 0,0 0 0,1 0 0,-1 0 0,1 1 0,0-1 0,0 10 0,0 10 0,2-1 0,3 31 0,-3-50 0,1-1 0,-1 1 0,1 0 0,-1-1 0,2 1 0,-1-1 0,1 0 0,-1 0 0,1 0 0,1 0 0,-1 0 0,1-1 0,0 1 0,0-1 0,0 0 0,0 0 0,1-1 0,-1 1 0,1-1 0,0 0 0,0 0 0,0-1 0,1 1 0,-1-1 0,10 2 0,8 2 0,0-1 0,1 0 0,0-2 0,46 0 0,-9-2 0,168-4 0,-223 2 0,0-1 0,-1 1 0,1-1 0,-1-1 0,0 1 0,0-1 0,0 0 0,0 0 0,0 0 0,8-8 0,40-44 0,-50 49-25,0 0-1,0 0 0,-1 0 1,0-1-1,0 0 0,-1 1 1,0-1-1,0 0 0,-1 1 1,1-1-1,-1 0 0,-1 0 1,-1-9-1,1-3-980,1-4-5820</inkml:trace>
  <inkml:trace contextRef="#ctx0" brushRef="#br0" timeOffset="31779.83">794 3966 24575,'0'31'0,"1"1"0,2-1 0,9 43 0,-6-21 0,-6-45 0,0 0 0,0-1 0,1 1 0,0-1 0,1 1 0,-1-1 0,1 1 0,1-1 0,-1 0 0,1 0 0,8 13 0,-11-20 0,1 0 0,-1 1 0,0-1 0,1 1 0,-1-1 0,0 0 0,1 1 0,-1-1 0,0 0 0,1 0 0,-1 1 0,1-1 0,-1 0 0,1 0 0,-1 1 0,0-1 0,1 0 0,-1 0 0,1 0 0,-1 0 0,1 0 0,-1 0 0,1 0 0,-1 0 0,1 0 0,-1 0 0,1 0 0,-1 0 0,1 0 0,-1 0 0,1-1 0,-1 1 0,0 0 0,1 0 0,-1 0 0,1-1 0,-1 1 0,1 0 0,-1-1 0,1 1 0,14-25 0,1-30 0,19-87 0,-33 135 0,0 0 0,1 0 0,0 1 0,0-1 0,1 1 0,0 0 0,0 0 0,9-10 0,-12 15 0,1-1 0,0 0 0,-1 1 0,1-1 0,0 1 0,0 0 0,0-1 0,0 1 0,0 0 0,0 0 0,1 0 0,-1 1 0,3-2 0,-4 2 0,0 0 0,1 0 0,-1 1 0,0-1 0,0 0 0,1 0 0,-1 1 0,0-1 0,0 0 0,0 1 0,1-1 0,-1 1 0,0 0 0,0-1 0,0 1 0,0 0 0,0 0 0,0 0 0,0-1 0,0 1 0,-1 0 0,1 0 0,0 0 0,0 1 0,0 0 0,9 15 0,-1 1 0,0 0 0,-2 0 0,0 0 0,-1 1 0,0 0 0,-2 0 0,4 39 0,-3-20-1365,-6-27-5461</inkml:trace>
  <inkml:trace contextRef="#ctx0" brushRef="#br0" timeOffset="32540.51">1323 3966 24575,'-13'2'0,"-1"1"0,1 0 0,0 1 0,0 0 0,1 1 0,-1 1 0,1 0 0,0 0 0,1 2 0,-22 16 0,29-21 0,0 0 0,0 1 0,0 0 0,1 0 0,-1 0 0,1 0 0,0 1 0,0-1 0,0 1 0,1 0 0,-1 0 0,1 0 0,1 0 0,-1 0 0,1 0 0,-1 0 0,1 1 0,1-1 0,-1 0 0,1 1 0,1 6 0,-1-8 0,0 0 0,1 0 0,0 0 0,0 0 0,0 0 0,1-1 0,-1 1 0,1 0 0,0-1 0,0 0 0,0 1 0,1-1 0,-1 0 0,1 0 0,-1 0 0,1 0 0,0-1 0,0 1 0,0-1 0,1 1 0,-1-1 0,0 0 0,1-1 0,0 1 0,-1-1 0,1 1 0,0-1 0,0 0 0,4 0 0,13 3 0,0-2 0,1 0 0,42-3 0,-56 1 0,-1 0 0,0-1 0,0 0 0,0-1 0,0 0 0,0 0 0,0 0 0,-1-1 0,1 0 0,-1 0 0,0-1 0,1 1 0,-2-1 0,1-1 0,9-7 0,-12 5-91,1 0 1,-1 0-1,0 0 0,0 0 0,-1 0 1,0 0-1,-1-1 0,1 1 0,-1 0 0,-1-1 1,1 0-1,-1 1 0,-2-13 0,2 19-3,0-22-6732</inkml:trace>
  <inkml:trace contextRef="#ctx0" brushRef="#br0" timeOffset="32851.14">1641 3781 24575,'0'4'0,"0"7"0,0 5 0,0 5 0,0 3 0,0-3-8191</inkml:trace>
  <inkml:trace contextRef="#ctx0" brushRef="#br0" timeOffset="33035.28">1641 4019 24575,'0'5'0,"0"5"0,0 6 0,0 5 0,0 3 0,5-3 0,0 1 0,5-5 0,1 0 0,-2-3-8191</inkml:trace>
  <inkml:trace contextRef="#ctx0" brushRef="#br0" timeOffset="33376.92">1879 3913 24575,'-1'4'0,"0"1"0,-1-1 0,1 1 0,-1-1 0,0 0 0,0 0 0,-3 5 0,-4 8 0,2 0 0,1 0 0,0 0 0,-2 20 0,6-30 0,1 1 0,0-1 0,1 1 0,-1 0 0,2-1 0,-1 1 0,1 0 0,0-1 0,4 14 0,-4-18 4,0-1 0,0 0 1,1 0-1,-1 1 0,1-1 0,0 0 0,-1-1 0,1 1 0,0 0 0,0 0 0,0-1 1,0 1-1,1-1 0,-1 0 0,0 0 0,0 0 0,1 0 0,-1 0 0,1 0 0,-1 0 1,1-1-1,2 1 0,61 1-851,-55-2 234,12-2-6213</inkml:trace>
  <inkml:trace contextRef="#ctx0" brushRef="#br0" timeOffset="33842.11">2064 4098 24575,'6'-2'0,"0"1"0,0-2 0,0 1 0,-1 0 0,1-1 0,-1 0 0,10-7 0,-2 1 0,-1 2 0,-1-1 0,0 0 0,0-1 0,0 0 0,-1-1 0,16-21 0,-22 27 0,-1 0 0,0 0 0,0-1 0,-1 1 0,1-1 0,-1 1 0,0-1 0,-1 0 0,1 0 0,-1 0 0,0 0 0,0 0 0,0 0 0,-1 0 0,1-1 0,-1 1 0,-1 0 0,1 0 0,-1 0 0,0 0 0,-3-9 0,4 12 0,0 1 0,0-1 0,-1 1 0,1 0 0,-1-1 0,1 1 0,-1 0 0,0-1 0,1 1 0,-1 0 0,0 0 0,0 0 0,0-1 0,0 1 0,0 0 0,0 0 0,0 0 0,0 1 0,0-1 0,-1 0 0,1 0 0,0 1 0,0-1 0,-1 0 0,1 1 0,0 0 0,-1-1 0,1 1 0,-1 0 0,1-1 0,-1 1 0,1 0 0,-1 0 0,1 0 0,0 1 0,-1-1 0,1 0 0,-1 0 0,1 1 0,0-1 0,-1 1 0,1-1 0,0 1 0,-1 0 0,1-1 0,0 1 0,0 0 0,-1 0 0,1 0 0,0 0 0,-1 1 0,-4 4 0,0 0 0,0 0 0,1 1 0,0 0 0,0-1 0,1 2 0,-6 11 0,4-3 0,0 1 0,2-1 0,0 1 0,1 0 0,-2 30 0,6 91 0,1-60 0,-2-74 0,0 1 0,0-1 0,1 0 0,-1 1 0,1-1 0,0 1 0,0-1 0,0 0 0,1 0 0,0 0 0,-1 0 0,2 0 0,-1 0 0,0 0 0,1-1 0,-1 1 0,1-1 0,0 0 0,6 5 0,-4-4 0,0-1 0,0-1 0,1 1 0,-1-1 0,1 0 0,-1 0 0,1 0 0,0-1 0,0 0 0,0 0 0,0 0 0,0-1 0,0 0 0,7-1 0,-8 1-151,0-1-1,0 0 0,-1 0 0,1 0 1,-1 0-1,1-1 0,-1 0 1,9-4-1,5-6-6674</inkml:trace>
  <inkml:trace contextRef="#ctx0" brushRef="#br0" timeOffset="35417.28">3016 3120 24575,'-6'0'0,"-1"0"0,0 0 0,1 0 0,-1 1 0,1 0 0,-1 1 0,1-1 0,0 1 0,-1 0 0,-8 5 0,11-4 0,0 0 0,1 0 0,-1 1 0,1-1 0,0 1 0,0-1 0,0 1 0,0 0 0,1 0 0,0 0 0,-1 1 0,2-1 0,-1 0 0,0 1 0,-1 8 0,-47 176 0,44-155 0,1 1 0,1-1 0,3 1 0,0 0 0,5 35 0,-1 22 0,-3-85 0,0 1 0,0-1 0,0 0 0,1 1 0,0-1 0,1 0 0,0 1 0,3 9 0,-3-15 0,0 1 0,0-1 0,0 1 0,0-1 0,0 0 0,0 0 0,0 0 0,1 0 0,-1-1 0,1 1 0,0 0 0,-1-1 0,1 0 0,0 0 0,0 0 0,0 0 0,0 0 0,0 0 0,0-1 0,0 0 0,0 1 0,0-1 0,4-1 0,28 3 0,49-4 0,-71 1 0,0-1 0,0 0 0,0-1 0,-1 0 0,1-1 0,-1-1 0,12-6 0,-1 0-151,-1-1-1,0-1 0,-1-1 0,0-1 1,-1 0-1,-1-2 0,0 0 1,16-21-1,-25 24-6674</inkml:trace>
  <inkml:trace contextRef="#ctx0" brushRef="#br0" timeOffset="35743.18">3228 3305 24575,'19'-2'0,"-1"0"0,1-1 0,-1-1 0,32-11 0,38-7 0,-6 11 0,-30 5 0,0-2 0,54-17 0,-104 25 0,0-1 0,0 1 0,-1-1 0,1 0 0,0 1 0,0-1 0,0 0 0,-1 0 0,1 0 0,-1-1 0,1 1 0,-1 0 0,1-1 0,-1 1 0,3-3 0,-8-5 0,-17 2 0,14 7-170,-1 0-1,1 0 0,0 0 1,0 1-1,-1 0 0,1 0 1,-9 4-1,-3 1-6655</inkml:trace>
  <inkml:trace contextRef="#ctx0" brushRef="#br0" timeOffset="36007.98">3519 3278 24575,'-1'0'0,"0"1"0,0-1 0,-1 1 0,1-1 0,0 1 0,0 0 0,0 0 0,0-1 0,0 1 0,0 0 0,0 0 0,1 0 0,-1 0 0,0 0 0,0 0 0,1 0 0,-1 0 0,1 0 0,-1 0 0,1 1 0,-1-1 0,1 0 0,-1 0 0,1 0 0,0 1 0,0-1 0,0 2 0,-5 41 0,5-39 0,-14 90 0,8-68 0,2 1 0,-1 32 0,4-49 33,0 0 1,-1 0-1,-6 21 0,-2 16-1531,8-28-5328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0T05:56:06.2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364 345 24575,'-17'1'0,"1"1"0,-1 0 0,0 2 0,1 0 0,-31 11 0,-78 41 0,112-50 0,4-1 0,0 0 0,0 1 0,0 1 0,0-1 0,-12 14 0,18-18 0,1 0 0,-1 1 0,1 0 0,0-1 0,0 1 0,0 0 0,0 0 0,0 0 0,1 1 0,-1-1 0,1 0 0,0 0 0,0 1 0,0-1 0,0 1 0,1-1 0,-1 1 0,1-1 0,0 1 0,1 6 0,-1-9 0,1 1 0,0 0 0,0 0 0,0 0 0,0-1 0,1 1 0,-1-1 0,0 1 0,1-1 0,-1 1 0,1-1 0,0 0 0,-1 0 0,1 0 0,0 0 0,0 0 0,-1 0 0,1 0 0,0-1 0,0 1 0,0 0 0,0-1 0,0 0 0,0 1 0,0-1 0,0 0 0,0 0 0,0 0 0,0-1 0,0 1 0,0 0 0,0-1 0,4 0 0,3-1 0,1-1 0,-1 1 0,0-1 0,0-1 0,16-7 0,31-17 0,-44 23 0,0 0 0,-1-1 0,0-1 0,0 1 0,0-2 0,13-11 0,-24 19 0,0-1 0,0 1 0,0 0 0,0 0 0,0 0 0,1 0 0,-1-1 0,0 1 0,0 0 0,0 0 0,0 0 0,0 0 0,0-1 0,0 1 0,0 0 0,1 0 0,-1 0 0,0 0 0,0 0 0,0 0 0,0 0 0,1-1 0,-1 1 0,0 0 0,0 0 0,0 0 0,0 0 0,1 0 0,-1 0 0,0 0 0,0 0 0,0 0 0,0 0 0,1 0 0,-1 0 0,0 0 0,0 0 0,0 0 0,1 0 0,-1 0 0,0 0 0,0 0 0,0 0 0,0 1 0,0-1 0,1 0 0,-1 0 0,0 0 0,0 0 0,0 0 0,0 0 0,0 0 0,1 1 0,-2 12 0,-9 17 0,9-28 0,0 0 0,1-1 0,-1 1 0,0 0 0,1 0 0,-1 0 0,1 0 0,-1 0 0,1 0 0,0 0 0,0 0 0,0 0 0,0-1 0,0 1 0,0 0 0,1 0 0,-1 0 0,1 0 0,-1 0 0,1 0 0,0 0 0,-1-1 0,1 1 0,0 0 0,0 0 0,0-1 0,1 1 0,-1-1 0,2 3 0,0-3 0,0 1 0,0-1 0,0 0 0,1 0 0,-1 0 0,0 0 0,0 0 0,1-1 0,-1 0 0,0 1 0,0-1 0,1 0 0,-1-1 0,0 1 0,1-1 0,-1 1 0,5-3 0,-2 2 0,0-1 0,-1 0 0,1 0 0,0-1 0,-1 0 0,0 0 0,1 0 0,-1-1 0,-1 1 0,1-1 0,0 0 0,4-7 0,1-1 0,-1-1 0,0-1 0,8-18 0,-3 7 0,-14 25 0,0-1 0,0 1 0,0 0 0,0-1 0,0 1 0,1-1 0,-1 1 0,0 0 0,0-1 0,0 1 0,1 0 0,-1 0 0,0-1 0,0 1 0,1 0 0,-1-1 0,0 1 0,0 0 0,1 0 0,-1 0 0,0-1 0,1 1 0,-1 0 0,1 0 0,-1 0 0,0 0 0,1-1 0,-1 1 0,0 0 0,1 0 0,-1 0 0,1 0 0,-1 0 0,5 13 0,-2 32 0,-2-34 0,0-1 0,0 1 0,1-1 0,0 0 0,0 0 0,6 12 0,-8-21 0,1 0 0,-1 1 0,1-1 0,-1 0 0,1 0 0,-1 1 0,1-1 0,0 0 0,0 0 0,-1 0 0,1 0 0,0 0 0,0 0 0,0 0 0,0 0 0,0-1 0,0 1 0,1 0 0,-1-1 0,0 1 0,0 0 0,0-1 0,1 0 0,-1 1 0,0-1 0,0 0 0,1 1 0,-1-1 0,0 0 0,1 0 0,-1 0 0,0 0 0,1 0 0,-1 0 0,0-1 0,1 1 0,-1 0 0,0-1 0,0 1 0,1-1 0,-1 1 0,0-1 0,0 0 0,0 1 0,0-1 0,0 0 0,0 0 0,0 0 0,2-1 0,6-8 0,0 0 0,0 0 0,-1-1 0,0 0 0,7-13 0,33-43 0,-45 63 0,0 1 0,1 0 0,-1 0 0,1 0 0,0 0 0,0 0 0,0 1 0,0 0 0,0 0 0,0 0 0,1 0 0,-1 0 0,10-1 0,-12 3 0,1 0 0,0 0 0,0 0 0,-1 0 0,1 1 0,0-1 0,-1 1 0,1 0 0,-1 0 0,1 0 0,-1 0 0,1 0 0,-1 0 0,0 1 0,1-1 0,-1 1 0,0-1 0,0 1 0,0 0 0,0 0 0,0 0 0,-1 0 0,1 0 0,-1 1 0,1-1 0,-1 0 0,0 1 0,0-1 0,0 1 0,0-1 0,0 1 0,0-1 0,0 5 0,2 8 0,0 1 0,-1-1 0,0 1 0,-1 20 0,-2 9 0,3-50 0,0 0 0,1 0 0,0 1 0,0-1 0,0 0 0,1 1 0,0 0 0,0 0 0,6-5 0,16-21 0,-18 21 0,0 0 0,0 1 0,0 0 0,1 0 0,1 0 0,-1 1 0,19-9 0,-21 12 0,1 0 0,-1-1 0,1 0 0,-1 0 0,-1 0 0,1-1 0,-1 0 0,0 0 0,0-1 0,-1 0 0,1 0 0,-2 0 0,1 0 0,-1-1 0,6-14 0,-9 18 0,0 0 0,0 0 0,0 0 0,0 0 0,-1 0 0,1 0 0,-1 0 0,0-1 0,-1 1 0,1 0 0,-1 0 0,0 0 0,1 0 0,-2 0 0,0-4 0,0 7 0,1-1 0,0 1 0,0 0 0,0-1 0,-1 1 0,1 0 0,-1 0 0,1 0 0,-1 0 0,1 0 0,-1 0 0,1 0 0,-1 0 0,0 1 0,0-1 0,1 1 0,-1-1 0,0 1 0,0 0 0,0-1 0,0 1 0,1 0 0,-1 0 0,0 0 0,0 1 0,0-1 0,0 0 0,1 1 0,-1-1 0,0 1 0,0 0 0,1-1 0,-1 1 0,1 0 0,-3 1 0,0 0 0,0 1 0,0-1 0,0 1 0,0-1 0,0 1 0,0 0 0,1 1 0,0-1 0,-1 1 0,1-1 0,1 1 0,-1 0 0,0 0 0,1 0 0,0 0 0,0 1 0,0-1 0,1 0 0,-1 1 0,-1 8 0,1 2 0,1 0 0,0-1 0,0 1 0,2 0 0,2 22 0,-3-34 0,1-1 0,-1 1 0,1 0 0,0-1 0,-1 1 0,1 0 0,0-1 0,1 1 0,-1-1 0,0 1 0,1-1 0,-1 0 0,1 0 0,0 0 0,0 0 0,-1 0 0,2 0 0,-1 0 0,0 0 0,0-1 0,0 1 0,5 1 0,-2-1 0,0 0 0,0-1 0,0 0 0,0 0 0,0 0 0,1-1 0,-1 0 0,0 0 0,1 0 0,-1 0 0,8-2 0,-4 0 0,0 0 0,0 0 0,-1-1 0,1 0 0,0-1 0,-1 0 0,0 0 0,0 0 0,0-1 0,-1-1 0,1 1 0,-1-1 0,11-12 0,-12 9 0,-1 1 0,-1-1 0,1 0 0,-2-1 0,1 1 0,-1-1 0,3-12 0,-9 47 0,2 1 0,3 37 0,-1-3 0,-1-30 0,-1 0 0,-1 0 0,-11 52 0,4-48 0,1-3 0,1-1 0,1 1 0,-2 43 0,6-48 0,-1 1 0,-1-1 0,-2-1 0,0 1 0,-16 39 0,21-62 0,0-1 0,0 0 0,-1 1 0,1-1 0,0 0 0,-1 0 0,0 0 0,1 0 0,-1 0 0,0 0 0,0 0 0,0-1 0,0 1 0,0 0 0,0-1 0,-1 0 0,1 0 0,0 1 0,-1-2 0,-2 2 0,0-1 0,1 0 0,-1-1 0,0 1 0,1-1 0,-1 0 0,0-1 0,1 1 0,-1-1 0,0 0 0,-7-2 0,2 0 0,0-1 0,0-1 0,1 1 0,-1-2 0,1 1 0,0-1 0,1 0 0,-1-1 0,-10-11 0,2-1 0,4 7 0,2-1 0,0-1 0,0 0 0,-12-22 0,22 34 0,-1-1 0,1 1 0,0-1 0,0 1 0,0-1 0,0 1 0,0-1 0,1 0 0,-1 1 0,1-1 0,0 0 0,-1 0 0,1 0 0,0 1 0,1-1 0,-1 0 0,1 0 0,-1 1 0,1-1 0,0 0 0,0 1 0,0-1 0,0 1 0,0-1 0,0 1 0,1 0 0,0-1 0,-1 1 0,1 0 0,0 0 0,0 0 0,0 0 0,0 0 0,4-2 0,11-6 0,0 0 0,0 2 0,32-12 0,28-14 0,28-18 0,-88 43-1365,0 3-5461</inkml:trace>
  <inkml:trace contextRef="#ctx0" brushRef="#br0" timeOffset="1057.64">1290 477 24575,'1'-2'0,"-1"1"0,0-1 0,1 1 0,-1 0 0,1-1 0,0 1 0,0 0 0,-1-1 0,1 1 0,0 0 0,0 0 0,0-1 0,0 1 0,0 0 0,1 0 0,-1 0 0,0 1 0,0-1 0,3-1 0,33-17 0,-22 12 0,-5 2 0,0-1 0,-1-1 0,0 0 0,0 0 0,0-1 0,-1 0 0,0-1 0,-1 1 0,0-2 0,0 1 0,-1-1 0,0 0 0,0 0 0,-1 0 0,-1-1 0,5-15 0,-8 25 0,-1 0 0,1-1 0,-1 1 0,1 0 0,-1 0 0,0-1 0,1 1 0,-1 0 0,0-1 0,0 1 0,0 0 0,0-1 0,0 1 0,0 0 0,0 0 0,0-1 0,-1 1 0,1 0 0,-1-1 0,1 1 0,-1 0 0,1 0 0,-1 0 0,1 0 0,-1-1 0,0 1 0,0 0 0,0 0 0,0 0 0,0 0 0,0 1 0,0-1 0,0 0 0,0 0 0,0 1 0,0-1 0,0 0 0,0 1 0,-1-1 0,1 1 0,0 0 0,0-1 0,-1 1 0,1 0 0,0 0 0,-1-1 0,1 1 0,0 0 0,-1 1 0,-1-1 0,-2 1 0,1-1 0,-1 1 0,1 1 0,-1-1 0,1 1 0,0 0 0,-1 0 0,1 0 0,0 0 0,0 1 0,0-1 0,1 1 0,-6 5 0,3-1 0,0 1 0,0 0 0,1 1 0,0 0 0,1-1 0,0 1 0,0 1 0,1-1 0,0 0 0,1 1 0,-2 14 0,1-2 0,2 1 0,1 0 0,4 43 0,-4-64 0,1 1 0,-1-1 0,0 1 0,1-1 0,0 1 0,-1-1 0,1 1 0,0-1 0,0 0 0,0 1 0,1-1 0,-1 0 0,1 0 0,-1 0 0,1 0 0,0 0 0,-1 0 0,1 0 0,0-1 0,0 1 0,0-1 0,1 1 0,-1-1 0,0 0 0,0 0 0,1 0 0,-1 0 0,1 0 0,-1 0 0,1-1 0,-1 1 0,1-1 0,-1 0 0,1 0 0,-1 0 0,1 0 0,0 0 0,-1 0 0,1-1 0,-1 1 0,1-1 0,2-1 0,2 1 0,0-2 0,0 1 0,-1 0 0,1-1 0,-1 0 0,1-1 0,-1 0 0,0 0 0,0 0 0,-1 0 0,1-1 0,-1 0 0,0 0 0,5-8 0,-4 2 0,0-1 0,-1 1 0,-1-1 0,0 0 0,0 0 0,-1 0 0,-1 0 0,0 0 0,-1-1 0,0 1 0,-2-23 0,0 58 0,-2 59 0,3-79 0,0 0 0,1 0 0,-1 0 0,0 0 0,1 0 0,0 0 0,-1 0 0,1 0 0,1 0 0,-1 0 0,0-1 0,1 1 0,-1 0 0,1-1 0,0 1 0,0-1 0,0 1 0,0-1 0,0 0 0,0 0 0,1 0 0,2 2 0,-3-4 0,-1 1 0,0-1 0,1 0 0,-1 0 0,1 0 0,-1 0 0,1 0 0,-1 0 0,0 0 0,1 0 0,-1-1 0,1 1 0,-1-1 0,0 1 0,1-1 0,-1 1 0,0-1 0,1 0 0,-1 1 0,0-1 0,0 0 0,0 0 0,0 0 0,0 0 0,0 0 0,0 0 0,0 0 0,1-3 0,28-44 0,-15 22 0,-14 24 0,0 0 0,1 0 0,-1 1 0,0-1 0,1 0 0,0 1 0,-1-1 0,1 1 0,0-1 0,0 1 0,-1 0 0,1 0 0,0 0 0,0 0 0,1 0 0,-1 0 0,0 0 0,0 1 0,0-1 0,0 1 0,1 0 0,-1 0 0,0 0 0,0 0 0,4 0 0,-3 1 0,-1 0 0,1 0 0,0 0 0,-1 1 0,0-1 0,1 1 0,-1-1 0,0 1 0,0 0 0,0 0 0,0 0 0,0 0 0,0 0 0,0 1 0,-1-1 0,1 0 0,-1 1 0,0 0 0,2 4 0,33 120 0,-30-115-1365,0-7-5461</inkml:trace>
  <inkml:trace contextRef="#ctx0" brushRef="#br0" timeOffset="1445.66">1872 398 24575,'0'-5'0,"5"-5"0,5-2 0,6 2 0,1-2 0,1 0 0,2 4 0,3-3 0,1 1 0,-3-2 0,-1 1 0,-3-2 0,-1 0 0,-7 4 0,-5 7 0</inkml:trace>
  <inkml:trace contextRef="#ctx0" brushRef="#br0" timeOffset="1756.04">2004 134 24575,'0'424'0,"1"-417"0,-1 0 0,1 0 0,0 0 0,1 0 0,4 12 0,-6-18 0,1 0 0,-1 0 0,0 0 0,1-1 0,-1 1 0,1 0 0,-1 0 0,1-1 0,-1 1 0,1 0 0,0 0 0,-1-1 0,1 1 0,0-1 0,-1 1 0,1-1 0,0 1 0,0-1 0,0 1 0,1 0 0,-1-1 0,0-1 0,1 1 0,-1 0 0,0-1 0,0 1 0,0-1 0,0 1 0,0-1 0,0 0 0,0 1 0,-1-1 0,1 0 0,0 1 0,0-1 0,0 0 0,-1 0 0,1 0 0,0 0 0,-1 0 0,1 0 0,-1 0 0,1-2 0,25-52-1365,-20 35-5461</inkml:trace>
  <inkml:trace contextRef="#ctx0" brushRef="#br0" timeOffset="2236.54">2110 1 24575,'3'0'0,"0"0"0,-1 1 0,1-1 0,0 1 0,0 0 0,-1 0 0,1-1 0,-1 2 0,1-1 0,-1 0 0,1 0 0,-1 1 0,0 0 0,0-1 0,0 1 0,0 0 0,0 0 0,2 2 0,29 48 0,-12-17 0,-10-20 0,-2 0 0,0 1 0,-1 0 0,0 1 0,-1 0 0,-1 0 0,-1 1 0,-1 0 0,4 26 0,-2 15 0,-3 93 0,-4-110 0,2-36 0,-1-1 0,-1 1 0,1 0 0,-1-1 0,0 1 0,0 0 0,-1-1 0,1 1 0,-1-1 0,0 0 0,-4 6 0,4-8 0,-1 0 0,1 0 0,-1 0 0,0 0 0,0-1 0,0 0 0,-1 1 0,1-1 0,0 0 0,-1 0 0,0-1 0,1 1 0,-1-1 0,0 0 0,0 0 0,-5 1 0,-2 1-227,1 0-1,-1 1 1,1 0-1,0 0 1,-13 8-1,9-3-6598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2DC81-946F-4AD4-95B2-BD44AFB615D6}" name="Table1" displayName="Table1" ref="C1:D3" totalsRowShown="0">
  <autoFilter ref="C1:D3" xr:uid="{1EF2DC81-946F-4AD4-95B2-BD44AFB615D6}"/>
  <tableColumns count="2">
    <tableColumn id="1" xr3:uid="{87175331-1C78-4F28-BDAE-24877FFA5952}" name="Return " dataDxfId="5"/>
    <tableColumn id="2" xr3:uid="{2A32AE5D-6C7C-4F39-8CF8-1702B3470112}" name="Deviatio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62937-77FE-43CA-861D-413F736DDEEE}" name="Table2" displayName="Table2" ref="B8:F26" totalsRowShown="0">
  <autoFilter ref="B8:F26" xr:uid="{F0062937-77FE-43CA-861D-413F736DDEEE}"/>
  <tableColumns count="5">
    <tableColumn id="1" xr3:uid="{9D29E6AC-57A3-46FB-AAAA-F51BE81A2538}" name="weight US"/>
    <tableColumn id="2" xr3:uid="{92C2121C-5472-4E14-A305-FE8A276BD3C6}" name="weight rf">
      <calculatedColumnFormula>1-B9</calculatedColumnFormula>
    </tableColumn>
    <tableColumn id="3" xr3:uid="{1D86FDA4-B2AF-4DA3-BB23-5FF1A1B0A80E}" name="E[r]" dataDxfId="4">
      <calculatedColumnFormula>$C$3+$C$5*F9</calculatedColumnFormula>
    </tableColumn>
    <tableColumn id="4" xr3:uid="{641C5735-D6AE-4C36-9BCE-58B1DB497283}" name="Variance" dataDxfId="3">
      <calculatedColumnFormula>F9^2</calculatedColumnFormula>
    </tableColumn>
    <tableColumn id="5" xr3:uid="{0C04DDED-A25D-4080-9842-631316DB3F6E}" name="Stdev" dataDxfId="2">
      <calculatedColumnFormula>B9*$D$2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C59943-783D-4BEB-A07A-74C2AF3AF4BA}" name="Table3" displayName="Table3" ref="B28:F38" totalsRowShown="0">
  <autoFilter ref="B28:F38" xr:uid="{F4C59943-783D-4BEB-A07A-74C2AF3AF4BA}"/>
  <tableColumns count="5">
    <tableColumn id="1" xr3:uid="{8677EDBF-0411-49DB-BEEE-DC36DBFD15C4}" name="A"/>
    <tableColumn id="2" xr3:uid="{600C2171-C997-4B14-847F-82C89756383D}" name="w*(US)">
      <calculatedColumnFormula>($C$2-$C$3)/($D$2^2*B29)</calculatedColumnFormula>
    </tableColumn>
    <tableColumn id="3" xr3:uid="{0D662B3E-56D0-49CA-9088-E803FB845A2D}" name="1-w*">
      <calculatedColumnFormula>1-C29</calculatedColumnFormula>
    </tableColumn>
    <tableColumn id="4" xr3:uid="{37EA5CF7-2A60-4C65-B6D6-FF31F601DBB7}" name="E[r]" dataDxfId="1" dataCellStyle="Percent">
      <calculatedColumnFormula>C29*$C$2+D29*$C$3</calculatedColumnFormula>
    </tableColumn>
    <tableColumn id="5" xr3:uid="{009EA07C-A73A-4979-92B5-B4D593C07F25}" name="Stdev" dataDxfId="0" dataCellStyle="Percent">
      <calculatedColumnFormula>C29*$D$2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F2EC-23C5-4B48-8BDA-5EE29FFB0FF5}">
  <dimension ref="A2:K103"/>
  <sheetViews>
    <sheetView topLeftCell="A79" workbookViewId="0">
      <selection activeCell="A89" sqref="A89"/>
    </sheetView>
  </sheetViews>
  <sheetFormatPr defaultRowHeight="14.25"/>
  <cols>
    <col min="1" max="1" width="9.25" bestFit="1" customWidth="1"/>
    <col min="2" max="2" width="10.5" bestFit="1" customWidth="1"/>
    <col min="3" max="3" width="10.625" bestFit="1" customWidth="1"/>
    <col min="4" max="4" width="10.75" bestFit="1" customWidth="1"/>
    <col min="5" max="5" width="15.25" bestFit="1" customWidth="1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</row>
    <row r="3" spans="1:8">
      <c r="A3" s="1">
        <v>0.3</v>
      </c>
      <c r="B3" s="1">
        <v>-0.2</v>
      </c>
      <c r="C3" s="1">
        <v>-0.05</v>
      </c>
      <c r="D3" s="1">
        <v>0.05</v>
      </c>
      <c r="E3" s="3">
        <f>B3-$C8</f>
        <v>-0.28000000000000003</v>
      </c>
      <c r="F3" s="3">
        <f>C3-$C$9</f>
        <v>-0.12000000000000001</v>
      </c>
      <c r="G3" s="3">
        <f>D3-$C$10</f>
        <v>1.7000000000000001E-2</v>
      </c>
    </row>
    <row r="4" spans="1:8">
      <c r="A4" s="1">
        <v>0.4</v>
      </c>
      <c r="B4" s="1">
        <v>0.05</v>
      </c>
      <c r="C4" s="1">
        <v>0.1</v>
      </c>
      <c r="D4" s="1">
        <v>0.03</v>
      </c>
      <c r="E4" s="3">
        <f t="shared" ref="E4:E5" si="0">B4-$C$8</f>
        <v>-0.03</v>
      </c>
      <c r="F4" s="3">
        <f t="shared" ref="F4:F5" si="1">C4-$C$9</f>
        <v>0.03</v>
      </c>
      <c r="G4" s="3">
        <f t="shared" ref="G4:G5" si="2">D4-$C$10</f>
        <v>-3.0000000000000027E-3</v>
      </c>
    </row>
    <row r="5" spans="1:8">
      <c r="A5" s="1">
        <v>0.3</v>
      </c>
      <c r="B5" s="1">
        <v>0.4</v>
      </c>
      <c r="C5" s="1">
        <v>0.15</v>
      </c>
      <c r="D5" s="1">
        <v>0.02</v>
      </c>
      <c r="E5" s="3">
        <f t="shared" si="0"/>
        <v>0.32</v>
      </c>
      <c r="F5" s="3">
        <f t="shared" si="1"/>
        <v>7.9999999999999988E-2</v>
      </c>
      <c r="G5" s="3">
        <f t="shared" si="2"/>
        <v>-1.3000000000000001E-2</v>
      </c>
    </row>
    <row r="7" spans="1:8">
      <c r="C7" t="s">
        <v>7</v>
      </c>
      <c r="D7" t="s">
        <v>8</v>
      </c>
      <c r="F7" t="s">
        <v>9</v>
      </c>
      <c r="G7" t="s">
        <v>7</v>
      </c>
      <c r="H7" t="s">
        <v>8</v>
      </c>
    </row>
    <row r="8" spans="1:8">
      <c r="A8" t="s">
        <v>4</v>
      </c>
      <c r="C8" s="2">
        <f>SUMPRODUCT($A$3:$A$5,$B3:$B5)</f>
        <v>0.08</v>
      </c>
      <c r="D8" s="2" cm="1">
        <f t="array" ref="D8">SQRT(SUMPRODUCT(A3:A5,(E3:E5)^2))</f>
        <v>0.23366642891095846</v>
      </c>
      <c r="F8">
        <v>0.4</v>
      </c>
      <c r="G8" s="2">
        <f>SUMPRODUCT(F8:F10,C8:C10)</f>
        <v>5.9200000000000003E-2</v>
      </c>
    </row>
    <row r="9" spans="1:8">
      <c r="A9" t="s">
        <v>5</v>
      </c>
      <c r="C9" s="2">
        <f>SUMPRODUCT($A$3:$A$5,C3:C5)</f>
        <v>7.0000000000000007E-2</v>
      </c>
      <c r="D9" s="2" cm="1">
        <f t="array" ref="D9">SQRT(SUMPRODUCT(A3:A5,(F3:F5)^2))</f>
        <v>8.1240384046359609E-2</v>
      </c>
      <c r="F9">
        <v>0.2</v>
      </c>
    </row>
    <row r="10" spans="1:8">
      <c r="A10" t="s">
        <v>6</v>
      </c>
      <c r="C10" s="2">
        <f>SUMPRODUCT($A$3:$A$5,D3:D5)</f>
        <v>3.3000000000000002E-2</v>
      </c>
      <c r="D10" s="2" cm="1">
        <f t="array" ref="D10">SQRT(SUMPRODUCT(A3:A5,(G3:G5)^2))</f>
        <v>1.1874342087037918E-2</v>
      </c>
      <c r="F10">
        <v>0.4</v>
      </c>
    </row>
    <row r="12" spans="1:8">
      <c r="A12" t="s">
        <v>10</v>
      </c>
    </row>
    <row r="13" spans="1:8">
      <c r="B13" t="s">
        <v>4</v>
      </c>
      <c r="C13" t="s">
        <v>5</v>
      </c>
      <c r="D13" t="s">
        <v>6</v>
      </c>
    </row>
    <row r="14" spans="1:8">
      <c r="A14" t="s">
        <v>4</v>
      </c>
      <c r="C14" cm="1">
        <f t="array" ref="C14">SUMPRODUCT(A3:A5,(B3:B5-C8)*(C3:C5-C9))</f>
        <v>1.7399999999999999E-2</v>
      </c>
      <c r="D14" cm="1">
        <f t="array" ref="D14">SUMPRODUCT(A3:A5,(B3:B5-C8)*(D3:D5-C9))</f>
        <v>-2.6399999999999991E-3</v>
      </c>
    </row>
    <row r="15" spans="1:8">
      <c r="A15" t="s">
        <v>5</v>
      </c>
      <c r="D15" cm="1">
        <f t="array" ref="D15">SUMPRODUCT(A3:A5,(C3:C5-C9)*(D3:D5-C10))</f>
        <v>-9.5999999999999992E-4</v>
      </c>
    </row>
    <row r="16" spans="1:8">
      <c r="A16" t="s">
        <v>6</v>
      </c>
    </row>
    <row r="18" spans="1:4">
      <c r="A18" t="s">
        <v>11</v>
      </c>
    </row>
    <row r="19" spans="1:4">
      <c r="B19" t="s">
        <v>4</v>
      </c>
      <c r="C19" t="s">
        <v>5</v>
      </c>
      <c r="D19" t="s">
        <v>6</v>
      </c>
    </row>
    <row r="20" spans="1:4">
      <c r="A20" t="s">
        <v>4</v>
      </c>
      <c r="B20">
        <v>1</v>
      </c>
      <c r="C20">
        <f>C14/(D8*D9)</f>
        <v>0.91660233479947018</v>
      </c>
      <c r="D20">
        <f>D14/(D8*D10)</f>
        <v>-0.95147646239880634</v>
      </c>
    </row>
    <row r="21" spans="1:4">
      <c r="A21" t="s">
        <v>5</v>
      </c>
      <c r="B21">
        <v>0.91660233479947018</v>
      </c>
      <c r="C21">
        <v>1</v>
      </c>
      <c r="D21">
        <f>D15/(D9*D10)</f>
        <v>-0.99515266171379635</v>
      </c>
    </row>
    <row r="22" spans="1:4">
      <c r="A22" t="s">
        <v>6</v>
      </c>
      <c r="B22">
        <v>-0.95147646239880634</v>
      </c>
      <c r="C22">
        <v>-0.99515266171379635</v>
      </c>
      <c r="D22">
        <v>1</v>
      </c>
    </row>
    <row r="24" spans="1:4">
      <c r="A24" t="s">
        <v>15</v>
      </c>
    </row>
    <row r="25" spans="1:4">
      <c r="A25" t="s">
        <v>9</v>
      </c>
      <c r="B25" t="s">
        <v>7</v>
      </c>
      <c r="C25" t="s">
        <v>8</v>
      </c>
      <c r="D25" t="s">
        <v>17</v>
      </c>
    </row>
    <row r="26" spans="1:4">
      <c r="A26">
        <v>0.5</v>
      </c>
      <c r="B26" s="2">
        <f>SUMPRODUCT(A26:A28,$C$8:$C$10)</f>
        <v>5.6500000000000002E-2</v>
      </c>
      <c r="C26" s="2">
        <f>+SQRT(D26)</f>
        <v>0.11119914568017149</v>
      </c>
      <c r="D26" s="2">
        <f>D8^2*A26^2+A28^2*D10^2+2*(D8*D10*A26*A28*D20)</f>
        <v>1.2365250000000001E-2</v>
      </c>
    </row>
    <row r="27" spans="1:4">
      <c r="A27">
        <v>0</v>
      </c>
    </row>
    <row r="28" spans="1:4">
      <c r="A28">
        <v>0.5</v>
      </c>
    </row>
    <row r="30" spans="1:4">
      <c r="A30" t="s">
        <v>16</v>
      </c>
    </row>
    <row r="31" spans="1:4">
      <c r="A31" t="s">
        <v>9</v>
      </c>
      <c r="B31" t="s">
        <v>7</v>
      </c>
      <c r="C31" t="s">
        <v>8</v>
      </c>
      <c r="D31" t="s">
        <v>18</v>
      </c>
    </row>
    <row r="32" spans="1:4">
      <c r="A32">
        <v>0.6</v>
      </c>
      <c r="B32" s="2">
        <f>SUMPRODUCT(A32:A34,$C$8:$C$10)</f>
        <v>7.6000000000000012E-2</v>
      </c>
      <c r="C32" s="2">
        <f>SQRT(D32)</f>
        <v>0.17048167056900868</v>
      </c>
      <c r="D32" s="2">
        <f>D8^2*A32^2+D9^2*A33^2+2*PRODUCT(D8,D9,A32,A33,C20)</f>
        <v>2.9064E-2</v>
      </c>
    </row>
    <row r="33" spans="1:11">
      <c r="A33">
        <v>0.4</v>
      </c>
    </row>
    <row r="34" spans="1:11">
      <c r="A34">
        <v>0</v>
      </c>
    </row>
    <row r="36" spans="1:11">
      <c r="A36" t="s">
        <v>0</v>
      </c>
      <c r="B36" t="s">
        <v>1</v>
      </c>
      <c r="C36" t="s">
        <v>2</v>
      </c>
      <c r="D36" t="s">
        <v>21</v>
      </c>
      <c r="E36" t="s">
        <v>22</v>
      </c>
      <c r="H36" t="s">
        <v>20</v>
      </c>
      <c r="I36" t="s">
        <v>18</v>
      </c>
      <c r="J36" t="s">
        <v>8</v>
      </c>
    </row>
    <row r="37" spans="1:11">
      <c r="A37" s="1">
        <v>0.3</v>
      </c>
      <c r="B37" s="1">
        <v>-0.1</v>
      </c>
      <c r="C37" s="1">
        <v>0.1</v>
      </c>
      <c r="D37" s="3">
        <f>B37-$H$37</f>
        <v>-0.18</v>
      </c>
      <c r="E37" s="3">
        <f>C37-$H$38</f>
        <v>-0.1</v>
      </c>
      <c r="F37" t="s">
        <v>4</v>
      </c>
      <c r="H37" s="3">
        <f>B37*A37+B38*A38+B39*A39</f>
        <v>0.08</v>
      </c>
      <c r="I37" s="2" cm="1">
        <f t="array" ref="I37">SUMPRODUCT(A37:A39,(D37:D39)^2)</f>
        <v>2.4599999999999997E-2</v>
      </c>
      <c r="J37" s="2">
        <f>SQRT(I37)</f>
        <v>0.15684387141358122</v>
      </c>
    </row>
    <row r="38" spans="1:11">
      <c r="A38" s="1">
        <v>0.4</v>
      </c>
      <c r="B38" s="1">
        <v>0.05</v>
      </c>
      <c r="C38" s="1">
        <v>0.2</v>
      </c>
      <c r="D38" s="3">
        <f>B38-$H$37</f>
        <v>-0.03</v>
      </c>
      <c r="E38" s="3">
        <f>C38-$H$38</f>
        <v>0</v>
      </c>
      <c r="F38" t="s">
        <v>5</v>
      </c>
      <c r="H38" s="3">
        <f>SUMPRODUCT(A37:A39,C37:C39)</f>
        <v>0.2</v>
      </c>
      <c r="I38" s="2" cm="1">
        <f t="array" ref="I38">SUMPRODUCT(A37:A39,(E37:E39)^2)</f>
        <v>5.9999999999999984E-3</v>
      </c>
      <c r="J38" s="2">
        <f>SQRT(I38)</f>
        <v>7.7459666924148324E-2</v>
      </c>
    </row>
    <row r="39" spans="1:11">
      <c r="A39" s="1">
        <v>0.3</v>
      </c>
      <c r="B39" s="1">
        <v>0.3</v>
      </c>
      <c r="C39" s="1">
        <v>0.3</v>
      </c>
      <c r="D39" s="3">
        <f>B39-$H$37</f>
        <v>0.21999999999999997</v>
      </c>
      <c r="E39" s="3">
        <f>C39-$H$38</f>
        <v>9.9999999999999978E-2</v>
      </c>
      <c r="I39" s="3"/>
      <c r="J39" s="3"/>
    </row>
    <row r="41" spans="1:11">
      <c r="A41" t="s">
        <v>19</v>
      </c>
      <c r="B41" t="s">
        <v>4</v>
      </c>
      <c r="C41" t="s">
        <v>5</v>
      </c>
    </row>
    <row r="42" spans="1:11">
      <c r="A42" t="s">
        <v>4</v>
      </c>
      <c r="C42" s="5">
        <f>SUMPRODUCT(A37:A39,E37:E39,D37:D39)</f>
        <v>1.1999999999999997E-2</v>
      </c>
    </row>
    <row r="43" spans="1:11">
      <c r="A43" t="s">
        <v>5</v>
      </c>
      <c r="B43">
        <v>1.1999999999999997E-2</v>
      </c>
    </row>
    <row r="45" spans="1:11">
      <c r="A45" t="s">
        <v>23</v>
      </c>
      <c r="B45">
        <f>C42/(J37*J38)</f>
        <v>0.98772959664958959</v>
      </c>
    </row>
    <row r="47" spans="1:11">
      <c r="B47" t="s">
        <v>25</v>
      </c>
      <c r="C47" t="s">
        <v>26</v>
      </c>
      <c r="D47" t="s">
        <v>27</v>
      </c>
      <c r="F47" t="s">
        <v>20</v>
      </c>
      <c r="G47" t="s">
        <v>8</v>
      </c>
      <c r="H47" t="s">
        <v>28</v>
      </c>
      <c r="I47" t="s">
        <v>29</v>
      </c>
      <c r="J47" t="s">
        <v>31</v>
      </c>
    </row>
    <row r="48" spans="1:11">
      <c r="A48" t="s">
        <v>24</v>
      </c>
      <c r="B48">
        <v>50</v>
      </c>
      <c r="C48">
        <v>120</v>
      </c>
      <c r="D48">
        <f>B48*C48</f>
        <v>6000</v>
      </c>
      <c r="F48">
        <v>0.12</v>
      </c>
      <c r="G48">
        <v>0.09</v>
      </c>
      <c r="H48">
        <v>0.3</v>
      </c>
      <c r="I48" s="5">
        <f>H48*F48+H49*F49</f>
        <v>0.16200000000000001</v>
      </c>
      <c r="J48">
        <f>G48^2*H48^2+G49^2*H49^2+2*(G51*G48*H48*H49*G49)</f>
        <v>3.3243999999999996E-2</v>
      </c>
      <c r="K48">
        <f>0.3^2*(9)^2+0.7^2*(25)^2+2*(0.3*0.7*0.2*9*25)</f>
        <v>332.43999999999994</v>
      </c>
    </row>
    <row r="49" spans="1:11">
      <c r="A49" t="s">
        <v>20</v>
      </c>
      <c r="B49">
        <v>20</v>
      </c>
      <c r="C49">
        <v>150</v>
      </c>
      <c r="D49">
        <f>B49*C49</f>
        <v>3000</v>
      </c>
      <c r="F49">
        <v>0.18</v>
      </c>
      <c r="G49">
        <v>0.25</v>
      </c>
      <c r="H49">
        <v>0.7</v>
      </c>
      <c r="J49" cm="1">
        <f t="array" ref="J49">SUMPRODUCT((G48:G49)^2,(H48:H49)^2)+2*PRODUCT(G48,H48,G49,H49,G51)</f>
        <v>3.3243999999999996E-2</v>
      </c>
    </row>
    <row r="51" spans="1:11">
      <c r="F51" t="s">
        <v>30</v>
      </c>
      <c r="G51">
        <v>0.2</v>
      </c>
    </row>
    <row r="53" spans="1:11">
      <c r="A53" t="s">
        <v>32</v>
      </c>
      <c r="B53" t="s">
        <v>33</v>
      </c>
      <c r="C53" t="s">
        <v>1</v>
      </c>
      <c r="D53" t="s">
        <v>2</v>
      </c>
      <c r="E53" t="s">
        <v>3</v>
      </c>
      <c r="F53" t="s">
        <v>21</v>
      </c>
      <c r="G53" t="s">
        <v>22</v>
      </c>
      <c r="H53" t="s">
        <v>38</v>
      </c>
      <c r="J53">
        <v>100</v>
      </c>
    </row>
    <row r="54" spans="1:11">
      <c r="A54" t="s">
        <v>34</v>
      </c>
      <c r="B54" s="1">
        <v>0.3</v>
      </c>
      <c r="C54" s="1">
        <v>0.1</v>
      </c>
      <c r="D54" s="1">
        <v>-0.05</v>
      </c>
      <c r="E54" s="1">
        <v>-0.03</v>
      </c>
      <c r="F54" s="1">
        <f>C54-C$59</f>
        <v>-5.4999999999999993E-2</v>
      </c>
      <c r="G54" s="1">
        <f t="shared" ref="G54:H56" si="3">D54-D$59</f>
        <v>-0.19500000000000001</v>
      </c>
      <c r="H54" s="1">
        <f t="shared" si="3"/>
        <v>-7.5999999999999998E-2</v>
      </c>
      <c r="J54" s="4">
        <f>F54*100</f>
        <v>-5.4999999999999991</v>
      </c>
      <c r="K54" s="4">
        <f>G54*100</f>
        <v>-19.5</v>
      </c>
    </row>
    <row r="55" spans="1:11">
      <c r="A55" t="s">
        <v>35</v>
      </c>
      <c r="B55" s="1">
        <v>0.5</v>
      </c>
      <c r="C55" s="1">
        <v>0.15</v>
      </c>
      <c r="D55" s="1">
        <v>0.2</v>
      </c>
      <c r="E55" s="1">
        <v>0.05</v>
      </c>
      <c r="F55" s="1">
        <f t="shared" ref="F55:F56" si="4">C55-C$59</f>
        <v>-5.0000000000000044E-3</v>
      </c>
      <c r="G55" s="1">
        <f t="shared" si="3"/>
        <v>5.4999999999999993E-2</v>
      </c>
      <c r="H55" s="1">
        <f t="shared" si="3"/>
        <v>4.0000000000000036E-3</v>
      </c>
      <c r="J55" s="4">
        <f>F55*100</f>
        <v>-0.50000000000000044</v>
      </c>
      <c r="K55" s="4">
        <f t="shared" ref="K55:K56" si="5">G55*100</f>
        <v>5.4999999999999991</v>
      </c>
    </row>
    <row r="56" spans="1:11">
      <c r="A56" t="s">
        <v>36</v>
      </c>
      <c r="B56" s="1">
        <v>0.2</v>
      </c>
      <c r="C56" s="1">
        <v>0.25</v>
      </c>
      <c r="D56" s="1">
        <v>0.3</v>
      </c>
      <c r="E56" s="1">
        <v>0.15</v>
      </c>
      <c r="F56" s="1">
        <f t="shared" si="4"/>
        <v>9.5000000000000001E-2</v>
      </c>
      <c r="G56" s="1">
        <f t="shared" si="3"/>
        <v>0.15499999999999997</v>
      </c>
      <c r="H56" s="1">
        <f t="shared" si="3"/>
        <v>0.104</v>
      </c>
      <c r="J56" s="4">
        <f>F56*100</f>
        <v>9.5</v>
      </c>
      <c r="K56" s="4">
        <f t="shared" si="5"/>
        <v>15.499999999999996</v>
      </c>
    </row>
    <row r="59" spans="1:11">
      <c r="B59" t="s">
        <v>37</v>
      </c>
      <c r="C59" s="2">
        <f>SUMPRODUCT($B$54:$B$56,C54:C56)</f>
        <v>0.155</v>
      </c>
      <c r="D59" s="2">
        <f t="shared" ref="D59:E59" si="6">SUMPRODUCT($B$54:$B$56,D54:D56)</f>
        <v>0.14500000000000002</v>
      </c>
      <c r="E59" s="2">
        <f t="shared" si="6"/>
        <v>4.5999999999999999E-2</v>
      </c>
      <c r="F59" s="3"/>
    </row>
    <row r="60" spans="1:11">
      <c r="B60" t="s">
        <v>18</v>
      </c>
      <c r="C60" s="2" cm="1">
        <f t="array" ref="C60">SUMPRODUCT($B$54:$B$56,(F54:F56)^2)</f>
        <v>2.725E-3</v>
      </c>
      <c r="D60" s="2" cm="1">
        <f t="array" ref="D60">SUMPRODUCT($B$54:$B$56,(G54:G56)^2)</f>
        <v>1.7724999999999998E-2</v>
      </c>
      <c r="E60" s="2" cm="1">
        <f t="array" ref="E60">SUMPRODUCT($B$54:$B$56,(H54:H56)^2)</f>
        <v>3.9039999999999999E-3</v>
      </c>
      <c r="F60" s="3"/>
    </row>
    <row r="61" spans="1:11">
      <c r="B61" t="s">
        <v>8</v>
      </c>
      <c r="C61" s="2">
        <f>SQRT(C60)</f>
        <v>5.2201532544552752E-2</v>
      </c>
      <c r="D61" s="2">
        <f t="shared" ref="D61:E61" si="7">SQRT(D60)</f>
        <v>0.13313526955694346</v>
      </c>
      <c r="E61" s="2">
        <f t="shared" si="7"/>
        <v>6.2481997407253236E-2</v>
      </c>
      <c r="F61" s="3"/>
    </row>
    <row r="63" spans="1:11">
      <c r="B63" t="s">
        <v>39</v>
      </c>
      <c r="C63" t="s">
        <v>4</v>
      </c>
      <c r="D63" t="s">
        <v>5</v>
      </c>
    </row>
    <row r="64" spans="1:11">
      <c r="B64" t="s">
        <v>4</v>
      </c>
      <c r="D64">
        <f>SUMPRODUCT(B54:B56,J54:J56,K54:K56)</f>
        <v>60.249999999999993</v>
      </c>
    </row>
    <row r="68" spans="1:4">
      <c r="B68" t="s">
        <v>40</v>
      </c>
      <c r="D68" t="s">
        <v>5</v>
      </c>
    </row>
    <row r="69" spans="1:4">
      <c r="B69" t="s">
        <v>4</v>
      </c>
      <c r="D69">
        <f>D64/(5.22*13.31)</f>
        <v>0.86717848188352598</v>
      </c>
    </row>
    <row r="71" spans="1:4">
      <c r="A71" t="s">
        <v>41</v>
      </c>
      <c r="B71" t="s">
        <v>9</v>
      </c>
      <c r="C71" t="s">
        <v>7</v>
      </c>
      <c r="D71" t="s">
        <v>8</v>
      </c>
    </row>
    <row r="72" spans="1:4">
      <c r="A72" t="s">
        <v>4</v>
      </c>
      <c r="B72">
        <v>0.6</v>
      </c>
      <c r="C72">
        <f>B72*C59+B73*D59</f>
        <v>0.15100000000000002</v>
      </c>
      <c r="D72" cm="1">
        <f t="array" ref="D72">SQRT(SUMPRODUCT((B72:B73)^2,TRANSPOSE(C61:D61)^2)+2*C61*D61*B72*B73*D69)</f>
        <v>8.1913681804516122E-2</v>
      </c>
    </row>
    <row r="73" spans="1:4">
      <c r="A73" t="s">
        <v>5</v>
      </c>
      <c r="B73">
        <v>0.4</v>
      </c>
    </row>
    <row r="76" spans="1:4">
      <c r="B76" t="s">
        <v>7</v>
      </c>
      <c r="C76" t="s">
        <v>43</v>
      </c>
      <c r="D76" t="s">
        <v>9</v>
      </c>
    </row>
    <row r="77" spans="1:4">
      <c r="A77" t="s">
        <v>42</v>
      </c>
      <c r="B77">
        <v>7.0000000000000007E-2</v>
      </c>
      <c r="C77">
        <v>0</v>
      </c>
      <c r="D77">
        <v>0.4</v>
      </c>
    </row>
    <row r="78" spans="1:4">
      <c r="A78" t="s">
        <v>27</v>
      </c>
      <c r="B78">
        <v>0.12</v>
      </c>
      <c r="C78">
        <v>0.18</v>
      </c>
      <c r="D78">
        <v>0.6</v>
      </c>
    </row>
    <row r="81" spans="1:8">
      <c r="A81" t="s">
        <v>48</v>
      </c>
      <c r="E81" t="s">
        <v>53</v>
      </c>
    </row>
    <row r="82" spans="1:8">
      <c r="B82" t="s">
        <v>45</v>
      </c>
      <c r="C82" t="s">
        <v>8</v>
      </c>
      <c r="E82" t="s">
        <v>49</v>
      </c>
      <c r="F82" t="s">
        <v>50</v>
      </c>
      <c r="G82" t="s">
        <v>51</v>
      </c>
      <c r="H82" t="s">
        <v>52</v>
      </c>
    </row>
    <row r="83" spans="1:8">
      <c r="A83" t="s">
        <v>44</v>
      </c>
      <c r="B83" s="3">
        <v>0.11899999999999999</v>
      </c>
      <c r="C83" s="3">
        <v>0.1915</v>
      </c>
      <c r="E83">
        <v>1</v>
      </c>
      <c r="F83">
        <f>1-E83</f>
        <v>0</v>
      </c>
      <c r="G83">
        <f>$B$83*E83+$B$84*F83</f>
        <v>0.11899999999999999</v>
      </c>
      <c r="H83">
        <f>SQRT(E83^2*$C$83^2+F83^2*$C$84^2+2*$B$85*$C$83*$C$84*E83*F83)</f>
        <v>0.1915</v>
      </c>
    </row>
    <row r="84" spans="1:8">
      <c r="A84" t="s">
        <v>46</v>
      </c>
      <c r="B84" s="3">
        <v>5.91E-2</v>
      </c>
      <c r="C84" s="3">
        <v>8.3299999999999999E-2</v>
      </c>
      <c r="E84">
        <v>0.95</v>
      </c>
      <c r="F84">
        <f t="shared" ref="F84:F103" si="8">1-E84</f>
        <v>5.0000000000000044E-2</v>
      </c>
      <c r="G84">
        <f t="shared" ref="G84:G103" si="9">$B$83*E84+$B$84*F84</f>
        <v>0.11600499999999998</v>
      </c>
      <c r="H84">
        <f t="shared" ref="H84:H103" si="10">SQRT(E84^2*$C$83^2+F84^2*$C$84^2+2*$B$85*$C$83*$C$84*E84*F84)</f>
        <v>0.18244258558036827</v>
      </c>
    </row>
    <row r="85" spans="1:8">
      <c r="A85" t="s">
        <v>47</v>
      </c>
      <c r="B85">
        <v>0.113</v>
      </c>
      <c r="E85">
        <v>0.9</v>
      </c>
      <c r="F85">
        <f t="shared" si="8"/>
        <v>9.9999999999999978E-2</v>
      </c>
      <c r="G85">
        <f t="shared" si="9"/>
        <v>0.11301</v>
      </c>
      <c r="H85">
        <f t="shared" si="10"/>
        <v>0.17348882979315991</v>
      </c>
    </row>
    <row r="86" spans="1:8">
      <c r="E86">
        <v>0.85</v>
      </c>
      <c r="F86">
        <f t="shared" si="8"/>
        <v>0.15000000000000002</v>
      </c>
      <c r="G86">
        <f t="shared" si="9"/>
        <v>0.11001499999999999</v>
      </c>
      <c r="H86">
        <f t="shared" si="10"/>
        <v>0.16465564396415325</v>
      </c>
    </row>
    <row r="87" spans="1:8">
      <c r="E87">
        <v>0.8</v>
      </c>
      <c r="F87">
        <f t="shared" si="8"/>
        <v>0.19999999999999996</v>
      </c>
      <c r="G87">
        <f t="shared" si="9"/>
        <v>0.10702</v>
      </c>
      <c r="H87">
        <f t="shared" si="10"/>
        <v>0.15596351532329605</v>
      </c>
    </row>
    <row r="88" spans="1:8">
      <c r="E88">
        <v>0.75</v>
      </c>
      <c r="F88">
        <f t="shared" si="8"/>
        <v>0.25</v>
      </c>
      <c r="G88">
        <f t="shared" si="9"/>
        <v>0.10402499999999999</v>
      </c>
      <c r="H88">
        <f t="shared" si="10"/>
        <v>0.14743739393807123</v>
      </c>
    </row>
    <row r="89" spans="1:8">
      <c r="E89">
        <v>0.7</v>
      </c>
      <c r="F89">
        <f t="shared" si="8"/>
        <v>0.30000000000000004</v>
      </c>
      <c r="G89">
        <f t="shared" si="9"/>
        <v>0.10102999999999998</v>
      </c>
      <c r="H89">
        <f t="shared" si="10"/>
        <v>0.13910780764213057</v>
      </c>
    </row>
    <row r="90" spans="1:8">
      <c r="E90">
        <v>0.65</v>
      </c>
      <c r="F90">
        <f t="shared" si="8"/>
        <v>0.35</v>
      </c>
      <c r="G90">
        <f t="shared" si="9"/>
        <v>9.8034999999999997E-2</v>
      </c>
      <c r="H90">
        <f t="shared" si="10"/>
        <v>0.131012248126845</v>
      </c>
    </row>
    <row r="91" spans="1:8">
      <c r="E91">
        <v>0.6</v>
      </c>
      <c r="F91">
        <f t="shared" si="8"/>
        <v>0.4</v>
      </c>
      <c r="G91">
        <f t="shared" si="9"/>
        <v>9.5039999999999986E-2</v>
      </c>
      <c r="H91">
        <f t="shared" si="10"/>
        <v>0.12319685940802225</v>
      </c>
    </row>
    <row r="92" spans="1:8">
      <c r="E92">
        <v>0.55000000000000004</v>
      </c>
      <c r="F92">
        <f t="shared" si="8"/>
        <v>0.44999999999999996</v>
      </c>
      <c r="G92">
        <f t="shared" si="9"/>
        <v>9.2045000000000002E-2</v>
      </c>
      <c r="H92">
        <f t="shared" si="10"/>
        <v>0.11571842192689115</v>
      </c>
    </row>
    <row r="93" spans="1:8">
      <c r="E93">
        <v>0.5</v>
      </c>
      <c r="F93">
        <f t="shared" si="8"/>
        <v>0.5</v>
      </c>
      <c r="G93">
        <f t="shared" si="9"/>
        <v>8.904999999999999E-2</v>
      </c>
      <c r="H93">
        <f t="shared" si="10"/>
        <v>0.10864653779573467</v>
      </c>
    </row>
    <row r="94" spans="1:8">
      <c r="E94">
        <v>0.45</v>
      </c>
      <c r="F94">
        <f t="shared" si="8"/>
        <v>0.55000000000000004</v>
      </c>
      <c r="G94">
        <f t="shared" si="9"/>
        <v>8.6054999999999993E-2</v>
      </c>
      <c r="H94">
        <f t="shared" si="10"/>
        <v>0.10206574926609809</v>
      </c>
    </row>
    <row r="95" spans="1:8">
      <c r="E95">
        <v>0.39999999999999902</v>
      </c>
      <c r="F95">
        <f t="shared" si="8"/>
        <v>0.60000000000000098</v>
      </c>
      <c r="G95">
        <f t="shared" si="9"/>
        <v>8.3059999999999939E-2</v>
      </c>
      <c r="H95">
        <f t="shared" si="10"/>
        <v>9.6077022060428049E-2</v>
      </c>
    </row>
    <row r="96" spans="1:8">
      <c r="E96">
        <v>0.34999999999999898</v>
      </c>
      <c r="F96">
        <f t="shared" si="8"/>
        <v>0.65000000000000102</v>
      </c>
      <c r="G96">
        <f t="shared" si="9"/>
        <v>8.0064999999999942E-2</v>
      </c>
      <c r="H96">
        <f t="shared" si="10"/>
        <v>9.0797583443888982E-2</v>
      </c>
    </row>
    <row r="97" spans="5:8">
      <c r="E97">
        <v>0.29999999999999899</v>
      </c>
      <c r="F97">
        <f t="shared" si="8"/>
        <v>0.70000000000000107</v>
      </c>
      <c r="G97">
        <f t="shared" si="9"/>
        <v>7.7069999999999944E-2</v>
      </c>
      <c r="H97">
        <f t="shared" si="10"/>
        <v>8.6357617770524378E-2</v>
      </c>
    </row>
    <row r="98" spans="5:8">
      <c r="E98">
        <v>0.249999999999999</v>
      </c>
      <c r="F98">
        <f t="shared" si="8"/>
        <v>0.750000000000001</v>
      </c>
      <c r="G98">
        <f t="shared" si="9"/>
        <v>7.4074999999999946E-2</v>
      </c>
      <c r="H98">
        <f t="shared" si="10"/>
        <v>8.2892129489174002E-2</v>
      </c>
    </row>
    <row r="99" spans="5:8">
      <c r="E99">
        <v>0.19999999999999901</v>
      </c>
      <c r="F99">
        <f t="shared" si="8"/>
        <v>0.80000000000000093</v>
      </c>
      <c r="G99">
        <f t="shared" si="9"/>
        <v>7.1079999999999935E-2</v>
      </c>
      <c r="H99">
        <f t="shared" si="10"/>
        <v>8.0527027214470012E-2</v>
      </c>
    </row>
    <row r="100" spans="5:8">
      <c r="E100">
        <v>0.149999999999999</v>
      </c>
      <c r="F100">
        <f t="shared" si="8"/>
        <v>0.85000000000000098</v>
      </c>
      <c r="G100">
        <f t="shared" si="9"/>
        <v>6.8084999999999937E-2</v>
      </c>
      <c r="H100">
        <f t="shared" si="10"/>
        <v>7.9360752826885386E-2</v>
      </c>
    </row>
    <row r="101" spans="5:8">
      <c r="E101">
        <v>9.9999999999999006E-2</v>
      </c>
      <c r="F101">
        <f t="shared" si="8"/>
        <v>0.90000000000000102</v>
      </c>
      <c r="G101">
        <f t="shared" si="9"/>
        <v>6.508999999999994E-2</v>
      </c>
      <c r="H101">
        <f t="shared" si="10"/>
        <v>7.9446120503143522E-2</v>
      </c>
    </row>
    <row r="102" spans="5:8">
      <c r="E102">
        <v>4.9999999999998997E-2</v>
      </c>
      <c r="F102">
        <f t="shared" si="8"/>
        <v>0.95000000000000095</v>
      </c>
      <c r="G102">
        <f t="shared" si="9"/>
        <v>6.2094999999999935E-2</v>
      </c>
      <c r="H102">
        <f t="shared" si="10"/>
        <v>8.0779162122728204E-2</v>
      </c>
    </row>
    <row r="103" spans="5:8">
      <c r="E103">
        <v>0</v>
      </c>
      <c r="F103">
        <f t="shared" si="8"/>
        <v>1</v>
      </c>
      <c r="G103">
        <f t="shared" si="9"/>
        <v>5.91E-2</v>
      </c>
      <c r="H103">
        <f t="shared" si="10"/>
        <v>8.3299999999999999E-2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25EC-2779-4C80-8CC5-03F7271E9B65}">
  <dimension ref="A1:D23"/>
  <sheetViews>
    <sheetView topLeftCell="A8" workbookViewId="0">
      <selection activeCell="A26" sqref="A26:G63"/>
    </sheetView>
  </sheetViews>
  <sheetFormatPr defaultRowHeight="14.25"/>
  <cols>
    <col min="1" max="1" width="14" bestFit="1" customWidth="1"/>
    <col min="2" max="2" width="11.5" bestFit="1" customWidth="1"/>
    <col min="3" max="3" width="29.5" bestFit="1" customWidth="1"/>
    <col min="4" max="4" width="15.625" bestFit="1" customWidth="1"/>
  </cols>
  <sheetData>
    <row r="1" spans="1:4" ht="15.75" thickBot="1">
      <c r="C1" s="7" t="s">
        <v>58</v>
      </c>
      <c r="D1" s="7" t="s">
        <v>52</v>
      </c>
    </row>
    <row r="2" spans="1:4" ht="15">
      <c r="A2" s="8" t="s">
        <v>54</v>
      </c>
      <c r="B2" s="8" t="s">
        <v>57</v>
      </c>
      <c r="C2" s="9">
        <v>0.11899999999999999</v>
      </c>
      <c r="D2" s="9">
        <v>0.1915</v>
      </c>
    </row>
    <row r="3" spans="1:4" ht="15">
      <c r="A3" s="8" t="s">
        <v>55</v>
      </c>
      <c r="B3" s="8" t="s">
        <v>56</v>
      </c>
      <c r="C3" s="10">
        <v>0.01</v>
      </c>
      <c r="D3" s="11"/>
    </row>
    <row r="4" spans="1:4" ht="15">
      <c r="B4" s="12" t="s">
        <v>60</v>
      </c>
      <c r="C4" s="9">
        <f>(C2-C3)/D2</f>
        <v>0.56919060052219317</v>
      </c>
    </row>
    <row r="5" spans="1:4">
      <c r="B5" t="s">
        <v>63</v>
      </c>
      <c r="C5">
        <f>(C2-C3)/D2^2</f>
        <v>2.9722746763561001</v>
      </c>
    </row>
    <row r="6" spans="1:4" ht="15">
      <c r="A6" s="28" t="s">
        <v>61</v>
      </c>
      <c r="B6" s="16"/>
    </row>
    <row r="7" spans="1:4" ht="15">
      <c r="A7" s="29" t="s">
        <v>52</v>
      </c>
      <c r="B7" s="17" t="s">
        <v>59</v>
      </c>
      <c r="C7" s="34" t="s">
        <v>70</v>
      </c>
    </row>
    <row r="8" spans="1:4">
      <c r="A8" s="14">
        <v>0</v>
      </c>
      <c r="B8" s="31">
        <f t="shared" ref="B8:B13" si="0">$C$3+$C$4*A8</f>
        <v>0.01</v>
      </c>
      <c r="C8" s="30"/>
    </row>
    <row r="9" spans="1:4">
      <c r="A9" s="14">
        <v>0.1</v>
      </c>
      <c r="B9" s="31">
        <f t="shared" si="0"/>
        <v>6.6919060052219315E-2</v>
      </c>
      <c r="C9" s="30" t="s">
        <v>67</v>
      </c>
    </row>
    <row r="10" spans="1:4">
      <c r="A10" s="14">
        <v>0.1915</v>
      </c>
      <c r="B10" s="31">
        <f t="shared" si="0"/>
        <v>0.11899999999999999</v>
      </c>
      <c r="C10" s="30"/>
    </row>
    <row r="11" spans="1:4">
      <c r="A11" s="14">
        <v>0.28299999999999997</v>
      </c>
      <c r="B11" s="31">
        <f t="shared" si="0"/>
        <v>0.17108093994778065</v>
      </c>
      <c r="C11" s="30" t="s">
        <v>69</v>
      </c>
    </row>
    <row r="12" spans="1:4">
      <c r="A12" s="14">
        <v>0.3745</v>
      </c>
      <c r="B12" s="31">
        <f t="shared" si="0"/>
        <v>0.22316187989556135</v>
      </c>
      <c r="C12" s="30" t="s">
        <v>68</v>
      </c>
    </row>
    <row r="13" spans="1:4" ht="15" thickBot="1">
      <c r="A13" s="15">
        <v>0.46600000000000003</v>
      </c>
      <c r="B13" s="32">
        <f t="shared" si="0"/>
        <v>0.27524281984334203</v>
      </c>
      <c r="C13" s="33"/>
    </row>
    <row r="14" spans="1:4" ht="15" thickBot="1"/>
    <row r="15" spans="1:4" ht="15.75" thickBot="1">
      <c r="A15" s="13" t="s">
        <v>62</v>
      </c>
      <c r="B15" s="18"/>
      <c r="C15" s="19"/>
    </row>
    <row r="16" spans="1:4" ht="15.75" thickBot="1">
      <c r="A16" s="20" t="s">
        <v>64</v>
      </c>
      <c r="B16" s="7" t="s">
        <v>65</v>
      </c>
      <c r="C16" s="21" t="s">
        <v>66</v>
      </c>
    </row>
    <row r="17" spans="1:3">
      <c r="A17" s="22">
        <v>1</v>
      </c>
      <c r="B17" s="23">
        <f t="shared" ref="B17:B23" si="1">$C$5/A17</f>
        <v>2.9722746763561001</v>
      </c>
      <c r="C17" s="24">
        <f t="shared" ref="C17:C23" si="2">1-B17</f>
        <v>-1.9722746763561001</v>
      </c>
    </row>
    <row r="18" spans="1:3">
      <c r="A18" s="22">
        <v>2</v>
      </c>
      <c r="B18" s="23">
        <f t="shared" si="1"/>
        <v>1.48613733817805</v>
      </c>
      <c r="C18" s="24">
        <f t="shared" si="2"/>
        <v>-0.48613733817805005</v>
      </c>
    </row>
    <row r="19" spans="1:3">
      <c r="A19" s="22">
        <v>3</v>
      </c>
      <c r="B19" s="23">
        <f t="shared" si="1"/>
        <v>0.9907582254520334</v>
      </c>
      <c r="C19" s="24">
        <f t="shared" si="2"/>
        <v>9.2417745479665969E-3</v>
      </c>
    </row>
    <row r="20" spans="1:3">
      <c r="A20" s="22">
        <v>4</v>
      </c>
      <c r="B20" s="23">
        <f t="shared" si="1"/>
        <v>0.74306866908902502</v>
      </c>
      <c r="C20" s="24">
        <f t="shared" si="2"/>
        <v>0.25693133091097498</v>
      </c>
    </row>
    <row r="21" spans="1:3">
      <c r="A21" s="22">
        <v>5</v>
      </c>
      <c r="B21" s="23">
        <f t="shared" si="1"/>
        <v>0.59445493527122006</v>
      </c>
      <c r="C21" s="24">
        <f t="shared" si="2"/>
        <v>0.40554506472877994</v>
      </c>
    </row>
    <row r="22" spans="1:3">
      <c r="A22" s="22">
        <v>6</v>
      </c>
      <c r="B22" s="23">
        <f t="shared" si="1"/>
        <v>0.4953791127260167</v>
      </c>
      <c r="C22" s="24">
        <f t="shared" si="2"/>
        <v>0.50462088727398324</v>
      </c>
    </row>
    <row r="23" spans="1:3" ht="15" thickBot="1">
      <c r="A23" s="25">
        <v>7</v>
      </c>
      <c r="B23" s="26">
        <f t="shared" si="1"/>
        <v>0.42461066805087144</v>
      </c>
      <c r="C23" s="27">
        <f t="shared" si="2"/>
        <v>0.57538933194912856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D1EF-1E90-46BB-A7C1-2745680DA945}">
  <dimension ref="B1:G38"/>
  <sheetViews>
    <sheetView topLeftCell="A21" workbookViewId="0">
      <selection activeCell="U26" sqref="U26"/>
    </sheetView>
  </sheetViews>
  <sheetFormatPr defaultRowHeight="14.25"/>
  <cols>
    <col min="2" max="2" width="27.875" bestFit="1" customWidth="1"/>
  </cols>
  <sheetData>
    <row r="1" spans="2:7">
      <c r="C1" t="s">
        <v>73</v>
      </c>
      <c r="D1" t="s">
        <v>74</v>
      </c>
    </row>
    <row r="2" spans="2:7">
      <c r="B2" s="36" t="s">
        <v>72</v>
      </c>
      <c r="C2" s="35">
        <v>0.1</v>
      </c>
      <c r="D2" s="35">
        <v>0.15</v>
      </c>
      <c r="E2" s="39" t="s">
        <v>80</v>
      </c>
    </row>
    <row r="3" spans="2:7">
      <c r="B3" s="36" t="s">
        <v>71</v>
      </c>
      <c r="C3" s="35">
        <v>0.05</v>
      </c>
      <c r="D3">
        <v>0</v>
      </c>
    </row>
    <row r="5" spans="2:7">
      <c r="B5" s="37" t="s">
        <v>60</v>
      </c>
      <c r="C5" s="38">
        <f>(C2-C3)/D2</f>
        <v>0.33333333333333337</v>
      </c>
      <c r="D5" s="39" t="s">
        <v>81</v>
      </c>
    </row>
    <row r="7" spans="2:7" ht="20.25" thickBot="1">
      <c r="B7" s="40" t="s">
        <v>79</v>
      </c>
    </row>
    <row r="8" spans="2:7" ht="15" thickTop="1">
      <c r="B8" t="s">
        <v>75</v>
      </c>
      <c r="C8" t="s">
        <v>76</v>
      </c>
      <c r="D8" t="s">
        <v>77</v>
      </c>
      <c r="E8" t="s">
        <v>78</v>
      </c>
      <c r="F8" t="s">
        <v>8</v>
      </c>
      <c r="G8" s="39" t="s">
        <v>81</v>
      </c>
    </row>
    <row r="9" spans="2:7">
      <c r="B9">
        <v>0</v>
      </c>
      <c r="C9">
        <f t="shared" ref="C9:C26" si="0">1-B9</f>
        <v>1</v>
      </c>
      <c r="D9" s="6">
        <f t="shared" ref="D9:D26" si="1">$C$3+$C$5*F9</f>
        <v>0.05</v>
      </c>
      <c r="E9" s="4">
        <f t="shared" ref="E9:E26" si="2">F9^2</f>
        <v>0</v>
      </c>
      <c r="F9" s="4">
        <f t="shared" ref="F9:F26" si="3">B9*$D$2</f>
        <v>0</v>
      </c>
    </row>
    <row r="10" spans="2:7">
      <c r="B10">
        <v>0.1</v>
      </c>
      <c r="C10">
        <f t="shared" si="0"/>
        <v>0.9</v>
      </c>
      <c r="D10" s="6">
        <f t="shared" si="1"/>
        <v>5.5E-2</v>
      </c>
      <c r="E10" s="4">
        <f t="shared" si="2"/>
        <v>2.2499999999999999E-4</v>
      </c>
      <c r="F10" s="4">
        <f t="shared" si="3"/>
        <v>1.4999999999999999E-2</v>
      </c>
    </row>
    <row r="11" spans="2:7">
      <c r="B11">
        <v>0.2</v>
      </c>
      <c r="C11">
        <f t="shared" si="0"/>
        <v>0.8</v>
      </c>
      <c r="D11" s="6">
        <f t="shared" si="1"/>
        <v>6.0000000000000005E-2</v>
      </c>
      <c r="E11" s="4">
        <f t="shared" si="2"/>
        <v>8.9999999999999998E-4</v>
      </c>
      <c r="F11" s="4">
        <f t="shared" si="3"/>
        <v>0.03</v>
      </c>
    </row>
    <row r="12" spans="2:7">
      <c r="B12">
        <v>0.3</v>
      </c>
      <c r="C12">
        <f t="shared" si="0"/>
        <v>0.7</v>
      </c>
      <c r="D12" s="6">
        <f t="shared" si="1"/>
        <v>6.5000000000000002E-2</v>
      </c>
      <c r="E12" s="4">
        <f t="shared" si="2"/>
        <v>2.0249999999999999E-3</v>
      </c>
      <c r="F12" s="4">
        <f t="shared" si="3"/>
        <v>4.4999999999999998E-2</v>
      </c>
    </row>
    <row r="13" spans="2:7">
      <c r="B13">
        <v>0.4</v>
      </c>
      <c r="C13">
        <f t="shared" si="0"/>
        <v>0.6</v>
      </c>
      <c r="D13" s="6">
        <f t="shared" si="1"/>
        <v>7.0000000000000007E-2</v>
      </c>
      <c r="E13" s="4">
        <f t="shared" si="2"/>
        <v>3.5999999999999999E-3</v>
      </c>
      <c r="F13" s="4">
        <f t="shared" si="3"/>
        <v>0.06</v>
      </c>
    </row>
    <row r="14" spans="2:7">
      <c r="B14">
        <v>0.5</v>
      </c>
      <c r="C14">
        <f t="shared" si="0"/>
        <v>0.5</v>
      </c>
      <c r="D14" s="6">
        <f t="shared" si="1"/>
        <v>7.5000000000000011E-2</v>
      </c>
      <c r="E14" s="4">
        <f t="shared" si="2"/>
        <v>5.6249999999999998E-3</v>
      </c>
      <c r="F14" s="4">
        <f t="shared" si="3"/>
        <v>7.4999999999999997E-2</v>
      </c>
    </row>
    <row r="15" spans="2:7">
      <c r="B15">
        <v>0.6</v>
      </c>
      <c r="C15">
        <f t="shared" si="0"/>
        <v>0.4</v>
      </c>
      <c r="D15" s="6">
        <f t="shared" si="1"/>
        <v>0.08</v>
      </c>
      <c r="E15" s="4">
        <f t="shared" si="2"/>
        <v>8.0999999999999996E-3</v>
      </c>
      <c r="F15" s="4">
        <f t="shared" si="3"/>
        <v>0.09</v>
      </c>
    </row>
    <row r="16" spans="2:7">
      <c r="B16">
        <v>0.7</v>
      </c>
      <c r="C16">
        <f t="shared" si="0"/>
        <v>0.30000000000000004</v>
      </c>
      <c r="D16" s="6">
        <f t="shared" si="1"/>
        <v>8.5000000000000006E-2</v>
      </c>
      <c r="E16" s="4">
        <f t="shared" si="2"/>
        <v>1.1024999999999998E-2</v>
      </c>
      <c r="F16" s="4">
        <f t="shared" si="3"/>
        <v>0.105</v>
      </c>
    </row>
    <row r="17" spans="2:7">
      <c r="B17">
        <v>0.8</v>
      </c>
      <c r="C17">
        <f t="shared" si="0"/>
        <v>0.19999999999999996</v>
      </c>
      <c r="D17" s="6">
        <f t="shared" si="1"/>
        <v>0.09</v>
      </c>
      <c r="E17" s="4">
        <f t="shared" si="2"/>
        <v>1.44E-2</v>
      </c>
      <c r="F17" s="4">
        <f t="shared" si="3"/>
        <v>0.12</v>
      </c>
    </row>
    <row r="18" spans="2:7">
      <c r="B18">
        <v>0.9</v>
      </c>
      <c r="C18">
        <f t="shared" si="0"/>
        <v>9.9999999999999978E-2</v>
      </c>
      <c r="D18" s="6">
        <f t="shared" si="1"/>
        <v>9.5000000000000001E-2</v>
      </c>
      <c r="E18" s="4">
        <f t="shared" si="2"/>
        <v>1.8225000000000002E-2</v>
      </c>
      <c r="F18" s="4">
        <f t="shared" si="3"/>
        <v>0.13500000000000001</v>
      </c>
    </row>
    <row r="19" spans="2:7">
      <c r="B19">
        <v>1</v>
      </c>
      <c r="C19">
        <f t="shared" si="0"/>
        <v>0</v>
      </c>
      <c r="D19" s="6">
        <f t="shared" si="1"/>
        <v>0.1</v>
      </c>
      <c r="E19" s="4">
        <f t="shared" si="2"/>
        <v>2.2499999999999999E-2</v>
      </c>
      <c r="F19" s="4">
        <f t="shared" si="3"/>
        <v>0.15</v>
      </c>
    </row>
    <row r="20" spans="2:7">
      <c r="B20">
        <v>1.1000000000000001</v>
      </c>
      <c r="C20">
        <f t="shared" si="0"/>
        <v>-0.10000000000000009</v>
      </c>
      <c r="D20" s="6">
        <f t="shared" si="1"/>
        <v>0.10500000000000001</v>
      </c>
      <c r="E20" s="4">
        <f t="shared" si="2"/>
        <v>2.7225000000000003E-2</v>
      </c>
      <c r="F20" s="4">
        <f t="shared" si="3"/>
        <v>0.16500000000000001</v>
      </c>
    </row>
    <row r="21" spans="2:7">
      <c r="B21">
        <v>1.2</v>
      </c>
      <c r="C21">
        <f t="shared" si="0"/>
        <v>-0.19999999999999996</v>
      </c>
      <c r="D21" s="6">
        <f t="shared" si="1"/>
        <v>0.11000000000000001</v>
      </c>
      <c r="E21" s="4">
        <f t="shared" si="2"/>
        <v>3.2399999999999998E-2</v>
      </c>
      <c r="F21" s="4">
        <f t="shared" si="3"/>
        <v>0.18</v>
      </c>
    </row>
    <row r="22" spans="2:7">
      <c r="B22">
        <v>1.3</v>
      </c>
      <c r="C22">
        <f t="shared" si="0"/>
        <v>-0.30000000000000004</v>
      </c>
      <c r="D22" s="6">
        <f t="shared" si="1"/>
        <v>0.11500000000000002</v>
      </c>
      <c r="E22" s="4">
        <f t="shared" si="2"/>
        <v>3.8025000000000003E-2</v>
      </c>
      <c r="F22" s="4">
        <f t="shared" si="3"/>
        <v>0.19500000000000001</v>
      </c>
    </row>
    <row r="23" spans="2:7">
      <c r="B23">
        <v>1.4</v>
      </c>
      <c r="C23">
        <f t="shared" si="0"/>
        <v>-0.39999999999999991</v>
      </c>
      <c r="D23" s="6">
        <f t="shared" si="1"/>
        <v>0.12000000000000001</v>
      </c>
      <c r="E23" s="4">
        <f t="shared" si="2"/>
        <v>4.4099999999999993E-2</v>
      </c>
      <c r="F23" s="4">
        <f t="shared" si="3"/>
        <v>0.21</v>
      </c>
    </row>
    <row r="24" spans="2:7">
      <c r="B24">
        <v>1.5</v>
      </c>
      <c r="C24">
        <f t="shared" si="0"/>
        <v>-0.5</v>
      </c>
      <c r="D24" s="6">
        <f t="shared" si="1"/>
        <v>0.125</v>
      </c>
      <c r="E24" s="4">
        <f t="shared" si="2"/>
        <v>5.0624999999999989E-2</v>
      </c>
      <c r="F24" s="4">
        <f t="shared" si="3"/>
        <v>0.22499999999999998</v>
      </c>
    </row>
    <row r="25" spans="2:7">
      <c r="B25">
        <v>1.6</v>
      </c>
      <c r="C25">
        <f t="shared" si="0"/>
        <v>-0.60000000000000009</v>
      </c>
      <c r="D25" s="6">
        <f t="shared" si="1"/>
        <v>0.13</v>
      </c>
      <c r="E25" s="4">
        <f t="shared" si="2"/>
        <v>5.7599999999999998E-2</v>
      </c>
      <c r="F25" s="4">
        <f t="shared" si="3"/>
        <v>0.24</v>
      </c>
    </row>
    <row r="26" spans="2:7">
      <c r="B26">
        <v>1.7</v>
      </c>
      <c r="C26">
        <f t="shared" si="0"/>
        <v>-0.7</v>
      </c>
      <c r="D26" s="6">
        <f t="shared" si="1"/>
        <v>0.13500000000000001</v>
      </c>
      <c r="E26" s="4">
        <f t="shared" si="2"/>
        <v>6.5024999999999999E-2</v>
      </c>
      <c r="F26" s="4">
        <f t="shared" si="3"/>
        <v>0.255</v>
      </c>
    </row>
    <row r="28" spans="2:7">
      <c r="B28" t="s">
        <v>4</v>
      </c>
      <c r="C28" t="s">
        <v>82</v>
      </c>
      <c r="D28" t="s">
        <v>83</v>
      </c>
      <c r="E28" t="s">
        <v>77</v>
      </c>
      <c r="F28" t="s">
        <v>8</v>
      </c>
      <c r="G28" s="39" t="s">
        <v>81</v>
      </c>
    </row>
    <row r="29" spans="2:7">
      <c r="B29">
        <v>1</v>
      </c>
      <c r="C29">
        <f t="shared" ref="C29:C38" si="4">($C$2-$C$3)/($D$2^2*B29)</f>
        <v>2.2222222222222223</v>
      </c>
      <c r="D29">
        <f t="shared" ref="D29:D38" si="5">1-C29</f>
        <v>-1.2222222222222223</v>
      </c>
      <c r="E29" s="2">
        <f t="shared" ref="E29:E38" si="6">C29*$C$2+D29*$C$3</f>
        <v>0.16111111111111112</v>
      </c>
      <c r="F29" s="2">
        <f t="shared" ref="F29:F38" si="7">C29*$D$2</f>
        <v>0.33333333333333331</v>
      </c>
      <c r="G29" s="39" t="s">
        <v>84</v>
      </c>
    </row>
    <row r="30" spans="2:7">
      <c r="B30">
        <v>2</v>
      </c>
      <c r="C30">
        <f t="shared" si="4"/>
        <v>1.1111111111111112</v>
      </c>
      <c r="D30">
        <f t="shared" si="5"/>
        <v>-0.11111111111111116</v>
      </c>
      <c r="E30" s="2">
        <f t="shared" si="6"/>
        <v>0.10555555555555556</v>
      </c>
      <c r="F30" s="2">
        <f t="shared" si="7"/>
        <v>0.16666666666666666</v>
      </c>
    </row>
    <row r="31" spans="2:7">
      <c r="B31">
        <v>3</v>
      </c>
      <c r="C31">
        <f t="shared" si="4"/>
        <v>0.7407407407407407</v>
      </c>
      <c r="D31">
        <f t="shared" si="5"/>
        <v>0.2592592592592593</v>
      </c>
      <c r="E31" s="2">
        <f t="shared" si="6"/>
        <v>8.7037037037037038E-2</v>
      </c>
      <c r="F31" s="2">
        <f t="shared" si="7"/>
        <v>0.1111111111111111</v>
      </c>
    </row>
    <row r="32" spans="2:7">
      <c r="B32">
        <v>4</v>
      </c>
      <c r="C32">
        <f t="shared" si="4"/>
        <v>0.55555555555555558</v>
      </c>
      <c r="D32">
        <f t="shared" si="5"/>
        <v>0.44444444444444442</v>
      </c>
      <c r="E32" s="2">
        <f t="shared" si="6"/>
        <v>7.7777777777777779E-2</v>
      </c>
      <c r="F32" s="2">
        <f t="shared" si="7"/>
        <v>8.3333333333333329E-2</v>
      </c>
    </row>
    <row r="33" spans="2:6">
      <c r="B33">
        <v>5</v>
      </c>
      <c r="C33">
        <f t="shared" si="4"/>
        <v>0.44444444444444453</v>
      </c>
      <c r="D33">
        <f t="shared" si="5"/>
        <v>0.55555555555555547</v>
      </c>
      <c r="E33" s="2">
        <f t="shared" si="6"/>
        <v>7.2222222222222229E-2</v>
      </c>
      <c r="F33" s="2">
        <f t="shared" si="7"/>
        <v>6.666666666666668E-2</v>
      </c>
    </row>
    <row r="34" spans="2:6">
      <c r="B34">
        <v>6</v>
      </c>
      <c r="C34">
        <f t="shared" si="4"/>
        <v>0.37037037037037035</v>
      </c>
      <c r="D34">
        <f t="shared" si="5"/>
        <v>0.62962962962962965</v>
      </c>
      <c r="E34" s="2">
        <f t="shared" si="6"/>
        <v>6.851851851851852E-2</v>
      </c>
      <c r="F34" s="2">
        <f t="shared" si="7"/>
        <v>5.5555555555555552E-2</v>
      </c>
    </row>
    <row r="35" spans="2:6">
      <c r="B35">
        <v>7</v>
      </c>
      <c r="C35">
        <f t="shared" si="4"/>
        <v>0.3174603174603175</v>
      </c>
      <c r="D35">
        <f t="shared" si="5"/>
        <v>0.68253968253968256</v>
      </c>
      <c r="E35" s="2">
        <f t="shared" si="6"/>
        <v>6.5873015873015889E-2</v>
      </c>
      <c r="F35" s="2">
        <f t="shared" si="7"/>
        <v>4.7619047619047623E-2</v>
      </c>
    </row>
    <row r="36" spans="2:6">
      <c r="B36">
        <v>8</v>
      </c>
      <c r="C36">
        <f t="shared" si="4"/>
        <v>0.27777777777777779</v>
      </c>
      <c r="D36">
        <f t="shared" si="5"/>
        <v>0.72222222222222221</v>
      </c>
      <c r="E36" s="2">
        <f t="shared" si="6"/>
        <v>6.3888888888888898E-2</v>
      </c>
      <c r="F36" s="2">
        <f t="shared" si="7"/>
        <v>4.1666666666666664E-2</v>
      </c>
    </row>
    <row r="37" spans="2:6">
      <c r="B37">
        <v>9</v>
      </c>
      <c r="C37">
        <f t="shared" si="4"/>
        <v>0.24691358024691362</v>
      </c>
      <c r="D37">
        <f t="shared" si="5"/>
        <v>0.75308641975308643</v>
      </c>
      <c r="E37" s="2">
        <f t="shared" si="6"/>
        <v>6.2345679012345688E-2</v>
      </c>
      <c r="F37" s="2">
        <f t="shared" si="7"/>
        <v>3.7037037037037042E-2</v>
      </c>
    </row>
    <row r="38" spans="2:6">
      <c r="B38">
        <v>10</v>
      </c>
      <c r="C38">
        <f t="shared" si="4"/>
        <v>0.22222222222222227</v>
      </c>
      <c r="D38">
        <f t="shared" si="5"/>
        <v>0.77777777777777768</v>
      </c>
      <c r="E38" s="2">
        <f t="shared" si="6"/>
        <v>6.1111111111111116E-2</v>
      </c>
      <c r="F38" s="2">
        <f t="shared" si="7"/>
        <v>3.333333333333334E-2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CD2C-4432-4A6B-91C7-370F46B8C9B5}">
  <dimension ref="A2:J16"/>
  <sheetViews>
    <sheetView workbookViewId="0">
      <selection activeCell="E5" sqref="E5"/>
    </sheetView>
  </sheetViews>
  <sheetFormatPr defaultRowHeight="14.25"/>
  <cols>
    <col min="1" max="1" width="20.375" bestFit="1" customWidth="1"/>
    <col min="2" max="2" width="13.875" bestFit="1" customWidth="1"/>
    <col min="3" max="3" width="16.375" bestFit="1" customWidth="1"/>
    <col min="9" max="9" width="20.25" bestFit="1" customWidth="1"/>
  </cols>
  <sheetData>
    <row r="2" spans="1:10">
      <c r="A2" t="s">
        <v>87</v>
      </c>
      <c r="B2">
        <v>100000</v>
      </c>
    </row>
    <row r="3" spans="1:10">
      <c r="B3" t="s">
        <v>7</v>
      </c>
      <c r="C3" t="s">
        <v>8</v>
      </c>
      <c r="D3" t="s">
        <v>41</v>
      </c>
    </row>
    <row r="4" spans="1:10">
      <c r="A4" t="s">
        <v>85</v>
      </c>
      <c r="B4" s="1">
        <v>0.15</v>
      </c>
      <c r="C4" s="1">
        <v>0.25</v>
      </c>
      <c r="D4" t="s">
        <v>86</v>
      </c>
      <c r="E4" t="s">
        <v>7</v>
      </c>
      <c r="F4" t="s">
        <v>8</v>
      </c>
    </row>
    <row r="5" spans="1:10">
      <c r="A5" t="s">
        <v>71</v>
      </c>
      <c r="B5" s="1">
        <v>0.06</v>
      </c>
      <c r="D5" s="3">
        <f>F5/C4</f>
        <v>0.8</v>
      </c>
      <c r="E5" s="41">
        <f>B5+D5*(B4-B5)</f>
        <v>0.13200000000000001</v>
      </c>
      <c r="F5" s="1">
        <v>0.2</v>
      </c>
    </row>
    <row r="9" spans="1:10">
      <c r="B9" s="42">
        <v>600000</v>
      </c>
    </row>
    <row r="10" spans="1:10">
      <c r="B10" s="42">
        <v>100000</v>
      </c>
      <c r="D10" t="s">
        <v>95</v>
      </c>
      <c r="H10" t="s">
        <v>94</v>
      </c>
    </row>
    <row r="11" spans="1:10">
      <c r="B11" t="s">
        <v>88</v>
      </c>
      <c r="C11" t="s">
        <v>89</v>
      </c>
      <c r="D11" t="s">
        <v>86</v>
      </c>
      <c r="E11" t="s">
        <v>7</v>
      </c>
      <c r="F11" t="s">
        <v>8</v>
      </c>
      <c r="H11" t="s">
        <v>86</v>
      </c>
      <c r="I11" t="s">
        <v>7</v>
      </c>
      <c r="J11" t="s">
        <v>8</v>
      </c>
    </row>
    <row r="12" spans="1:10">
      <c r="A12" t="s">
        <v>90</v>
      </c>
      <c r="B12" s="1">
        <v>0.08</v>
      </c>
      <c r="C12" s="1">
        <v>0.28000000000000003</v>
      </c>
      <c r="D12">
        <f>B9/(B9+B10)</f>
        <v>0.8571428571428571</v>
      </c>
      <c r="E12" s="2">
        <f>SUMPRODUCT(D12:D13,B12:B13)</f>
        <v>9.0000000000000011E-2</v>
      </c>
      <c r="F12" s="2" cm="1">
        <f t="array" ref="F12">SQRT(SUMPRODUCT((D12:D13)^2,(C12:C13)^2)+2*C13*C12*D12*D13*B16)</f>
        <v>0.26400757564888172</v>
      </c>
      <c r="H12">
        <v>0.8571428571428571</v>
      </c>
      <c r="I12" s="45">
        <v>7.5714285714285706E-2</v>
      </c>
      <c r="J12" s="2">
        <f>H12*C12</f>
        <v>0.24000000000000002</v>
      </c>
    </row>
    <row r="13" spans="1:10">
      <c r="A13" t="s">
        <v>91</v>
      </c>
      <c r="B13" s="1">
        <v>0.15</v>
      </c>
      <c r="C13" s="1">
        <v>0.35</v>
      </c>
      <c r="D13">
        <f>1-D12</f>
        <v>0.1428571428571429</v>
      </c>
      <c r="H13">
        <v>0</v>
      </c>
      <c r="I13" s="44"/>
    </row>
    <row r="14" spans="1:10">
      <c r="A14" t="s">
        <v>93</v>
      </c>
      <c r="B14" s="1">
        <v>0.05</v>
      </c>
      <c r="D14">
        <v>0</v>
      </c>
      <c r="H14">
        <f>1-H12</f>
        <v>0.1428571428571429</v>
      </c>
    </row>
    <row r="16" spans="1:10" ht="15">
      <c r="A16" t="s">
        <v>92</v>
      </c>
      <c r="B16" s="43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307C-2CF7-44B1-819E-98B4F5FCC5AD}">
  <dimension ref="A2:J28"/>
  <sheetViews>
    <sheetView topLeftCell="A7" workbookViewId="0">
      <selection activeCell="A30" sqref="A30"/>
    </sheetView>
  </sheetViews>
  <sheetFormatPr defaultRowHeight="14.25"/>
  <cols>
    <col min="1" max="2" width="20.75" bestFit="1" customWidth="1"/>
    <col min="3" max="3" width="8.75" bestFit="1" customWidth="1"/>
  </cols>
  <sheetData>
    <row r="2" spans="1:10">
      <c r="B2" s="52" t="s">
        <v>37</v>
      </c>
      <c r="C2" s="52" t="s">
        <v>43</v>
      </c>
      <c r="E2" s="39" t="s">
        <v>122</v>
      </c>
    </row>
    <row r="3" spans="1:10">
      <c r="A3" s="53" t="s">
        <v>124</v>
      </c>
      <c r="B3" s="48">
        <v>0.12</v>
      </c>
      <c r="C3" s="48">
        <v>0.4</v>
      </c>
      <c r="E3" s="39" t="s">
        <v>123</v>
      </c>
    </row>
    <row r="4" spans="1:10">
      <c r="A4" s="53" t="s">
        <v>71</v>
      </c>
      <c r="B4" s="49">
        <v>0.03</v>
      </c>
      <c r="C4" s="50"/>
    </row>
    <row r="5" spans="1:10" ht="13.5" customHeight="1">
      <c r="A5" s="54" t="s">
        <v>97</v>
      </c>
      <c r="B5" s="55">
        <v>0.1</v>
      </c>
      <c r="C5" s="55">
        <v>0.18</v>
      </c>
    </row>
    <row r="6" spans="1:10">
      <c r="A6" s="53" t="s">
        <v>121</v>
      </c>
      <c r="B6" s="56">
        <v>0.12</v>
      </c>
      <c r="C6" s="57">
        <f>(B3-B4)*C5/(B5-B4)</f>
        <v>0.2314285714285714</v>
      </c>
    </row>
    <row r="7" spans="1:10">
      <c r="A7" s="53" t="s">
        <v>125</v>
      </c>
      <c r="B7" s="58">
        <f>(B5-B4)/C5*C3+B4</f>
        <v>0.18555555555555558</v>
      </c>
      <c r="C7" s="56">
        <v>0.4</v>
      </c>
    </row>
    <row r="10" spans="1:10">
      <c r="A10" s="52" t="s">
        <v>99</v>
      </c>
      <c r="B10" s="52" t="s">
        <v>100</v>
      </c>
      <c r="C10" s="52" t="s">
        <v>101</v>
      </c>
      <c r="D10" s="52" t="s">
        <v>86</v>
      </c>
      <c r="E10" s="52" t="s">
        <v>108</v>
      </c>
      <c r="F10" s="52" t="s">
        <v>59</v>
      </c>
      <c r="I10" s="51" t="s">
        <v>37</v>
      </c>
    </row>
    <row r="11" spans="1:10">
      <c r="A11" s="52" t="s">
        <v>102</v>
      </c>
      <c r="B11" s="59">
        <v>5000</v>
      </c>
      <c r="C11" s="59">
        <v>0.75</v>
      </c>
      <c r="D11" s="48">
        <f>B11/30000</f>
        <v>0.16666666666666666</v>
      </c>
      <c r="E11" s="62">
        <f>SUMPRODUCT(C11:C14,D11:D14)</f>
        <v>1.2930000000000001</v>
      </c>
      <c r="F11" s="63">
        <f>I11+E11*(I12-I11)</f>
        <v>9.7580000000000014E-2</v>
      </c>
      <c r="H11" s="52" t="s">
        <v>106</v>
      </c>
      <c r="I11" s="49">
        <v>0.02</v>
      </c>
      <c r="J11" s="39" t="s">
        <v>98</v>
      </c>
    </row>
    <row r="12" spans="1:10">
      <c r="A12" s="52" t="s">
        <v>103</v>
      </c>
      <c r="B12" s="60">
        <v>10000</v>
      </c>
      <c r="C12" s="60">
        <v>1.1000000000000001</v>
      </c>
      <c r="D12" s="61">
        <f>B12/30000</f>
        <v>0.33333333333333331</v>
      </c>
      <c r="E12" s="39" t="s">
        <v>98</v>
      </c>
      <c r="H12" s="52" t="s">
        <v>107</v>
      </c>
      <c r="I12" s="49">
        <v>0.08</v>
      </c>
    </row>
    <row r="13" spans="1:10">
      <c r="A13" s="52" t="s">
        <v>104</v>
      </c>
      <c r="B13" s="59">
        <v>8000</v>
      </c>
      <c r="C13" s="59">
        <v>1.36</v>
      </c>
      <c r="D13" s="48">
        <f>B13/30000</f>
        <v>0.26666666666666666</v>
      </c>
    </row>
    <row r="14" spans="1:10">
      <c r="A14" s="52" t="s">
        <v>105</v>
      </c>
      <c r="B14" s="60">
        <v>7000</v>
      </c>
      <c r="C14" s="60">
        <v>1.88</v>
      </c>
      <c r="D14" s="61">
        <f>B14/30000</f>
        <v>0.23333333333333334</v>
      </c>
    </row>
    <row r="15" spans="1:10">
      <c r="B15" s="46"/>
      <c r="G15" s="47"/>
    </row>
    <row r="16" spans="1:10">
      <c r="G16" s="47"/>
    </row>
    <row r="17" spans="1:6" ht="15" thickBot="1">
      <c r="A17" s="64" t="s">
        <v>126</v>
      </c>
      <c r="B17" s="64" t="s">
        <v>115</v>
      </c>
      <c r="C17" s="64" t="s">
        <v>116</v>
      </c>
      <c r="D17" s="64" t="s">
        <v>118</v>
      </c>
      <c r="E17" s="64" t="s">
        <v>119</v>
      </c>
    </row>
    <row r="18" spans="1:6">
      <c r="A18" s="65">
        <v>50</v>
      </c>
      <c r="B18" s="50">
        <v>0.8</v>
      </c>
      <c r="C18" s="50">
        <v>0.6</v>
      </c>
      <c r="D18" s="50">
        <f>(D20-A18)/A18</f>
        <v>0.08</v>
      </c>
      <c r="E18" s="50" cm="1">
        <f t="array" ref="E18">SQRT(SUMPRODUCT(B20:B22,(E20:E22-D18)^2))</f>
        <v>9.7979589711327142E-2</v>
      </c>
      <c r="F18" s="39" t="s">
        <v>120</v>
      </c>
    </row>
    <row r="19" spans="1:6" ht="15" thickBot="1">
      <c r="B19" s="64" t="s">
        <v>111</v>
      </c>
      <c r="C19" s="64" t="s">
        <v>25</v>
      </c>
      <c r="D19" s="64" t="s">
        <v>117</v>
      </c>
      <c r="E19" s="64" t="s">
        <v>96</v>
      </c>
    </row>
    <row r="20" spans="1:6" ht="15" thickBot="1">
      <c r="A20" s="64" t="s">
        <v>109</v>
      </c>
      <c r="B20" s="59">
        <v>0.1</v>
      </c>
      <c r="C20" s="59">
        <v>40</v>
      </c>
      <c r="D20" s="59">
        <f>SUMPRODUCT(B20:B22,C20:C22)</f>
        <v>54</v>
      </c>
      <c r="E20" s="66">
        <f>(C20-$A$18)/$A$18</f>
        <v>-0.2</v>
      </c>
    </row>
    <row r="21" spans="1:6" ht="15" thickBot="1">
      <c r="A21" s="64" t="s">
        <v>110</v>
      </c>
      <c r="B21" s="60">
        <v>0.8</v>
      </c>
      <c r="C21" s="60">
        <v>55</v>
      </c>
      <c r="D21" s="61"/>
      <c r="E21" s="61">
        <f>(C21-$A$18)/$A$18</f>
        <v>0.1</v>
      </c>
    </row>
    <row r="22" spans="1:6" ht="15" thickBot="1">
      <c r="A22" s="64" t="s">
        <v>36</v>
      </c>
      <c r="B22" s="59">
        <v>0.1</v>
      </c>
      <c r="C22" s="59">
        <v>60</v>
      </c>
      <c r="D22" s="48"/>
      <c r="E22" s="66">
        <f>(C22-$A$18)/$A$18</f>
        <v>0.2</v>
      </c>
    </row>
    <row r="24" spans="1:6" ht="15" thickBot="1">
      <c r="A24" s="64" t="s">
        <v>112</v>
      </c>
      <c r="B24" s="64">
        <v>0.1</v>
      </c>
    </row>
    <row r="26" spans="1:6" ht="15" thickBot="1">
      <c r="A26" s="64" t="s">
        <v>5</v>
      </c>
    </row>
    <row r="27" spans="1:6" ht="15" thickBot="1">
      <c r="A27" s="64" t="s">
        <v>96</v>
      </c>
      <c r="B27" s="64" t="s">
        <v>113</v>
      </c>
      <c r="C27" s="64" t="s">
        <v>114</v>
      </c>
    </row>
    <row r="28" spans="1:6" ht="15" thickBot="1">
      <c r="A28" s="67">
        <v>7.0000000000000007E-2</v>
      </c>
      <c r="B28" s="67">
        <v>0.12</v>
      </c>
      <c r="C28" s="67">
        <v>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8927-7550-43E4-879C-9CCED459B5E9}">
  <dimension ref="A2:G79"/>
  <sheetViews>
    <sheetView topLeftCell="A51" workbookViewId="0">
      <selection activeCell="B42" sqref="B42:B53"/>
    </sheetView>
  </sheetViews>
  <sheetFormatPr defaultRowHeight="14.25"/>
  <cols>
    <col min="1" max="1" width="23" bestFit="1" customWidth="1"/>
    <col min="2" max="2" width="12.5" bestFit="1" customWidth="1"/>
    <col min="3" max="3" width="19.125" bestFit="1" customWidth="1"/>
    <col min="6" max="6" width="13.25" bestFit="1" customWidth="1"/>
    <col min="7" max="7" width="11.875" bestFit="1" customWidth="1"/>
  </cols>
  <sheetData>
    <row r="2" spans="1:7" ht="17.25" thickBot="1">
      <c r="A2" s="68" t="s">
        <v>127</v>
      </c>
    </row>
    <row r="3" spans="1:7" ht="15" thickTop="1"/>
    <row r="4" spans="1:7">
      <c r="A4" t="s">
        <v>128</v>
      </c>
      <c r="B4" s="69">
        <v>45657</v>
      </c>
    </row>
    <row r="5" spans="1:7">
      <c r="A5" t="s">
        <v>129</v>
      </c>
      <c r="B5">
        <v>3</v>
      </c>
    </row>
    <row r="7" spans="1:7">
      <c r="A7" t="s">
        <v>130</v>
      </c>
      <c r="B7" t="s">
        <v>25</v>
      </c>
      <c r="C7" t="s">
        <v>158</v>
      </c>
      <c r="D7" t="s">
        <v>159</v>
      </c>
      <c r="E7" t="s">
        <v>7</v>
      </c>
    </row>
    <row r="8" spans="1:7">
      <c r="A8" t="s">
        <v>131</v>
      </c>
      <c r="B8">
        <v>64</v>
      </c>
      <c r="D8">
        <v>3</v>
      </c>
      <c r="E8" s="3">
        <v>0.125</v>
      </c>
    </row>
    <row r="9" spans="1:7">
      <c r="A9" t="s">
        <v>132</v>
      </c>
      <c r="B9">
        <v>69</v>
      </c>
      <c r="C9" t="s">
        <v>153</v>
      </c>
      <c r="D9">
        <v>3</v>
      </c>
      <c r="E9" s="3">
        <v>-5.7971000000000002E-2</v>
      </c>
      <c r="G9" s="75">
        <v>1.0506763372198085</v>
      </c>
    </row>
    <row r="10" spans="1:7">
      <c r="A10" t="s">
        <v>133</v>
      </c>
      <c r="B10">
        <v>62</v>
      </c>
      <c r="C10" t="s">
        <v>154</v>
      </c>
      <c r="D10">
        <v>2</v>
      </c>
      <c r="F10">
        <v>192</v>
      </c>
      <c r="G10">
        <f>(78/G9)+(130/(G9^2))</f>
        <v>191.99997038661337</v>
      </c>
    </row>
    <row r="15" spans="1:7" ht="15.75" thickBot="1">
      <c r="A15" s="7" t="s">
        <v>143</v>
      </c>
    </row>
    <row r="16" spans="1:7">
      <c r="B16" s="70" t="s">
        <v>137</v>
      </c>
      <c r="C16" s="70" t="s">
        <v>138</v>
      </c>
      <c r="D16" s="70" t="s">
        <v>139</v>
      </c>
    </row>
    <row r="17" spans="1:4">
      <c r="A17" s="50" t="s">
        <v>134</v>
      </c>
      <c r="B17" s="71">
        <v>9.4999999999999998E-3</v>
      </c>
      <c r="C17" s="49">
        <v>8.6E-3</v>
      </c>
      <c r="D17" s="71">
        <v>0.21199999999999999</v>
      </c>
    </row>
    <row r="18" spans="1:4">
      <c r="A18" s="72" t="s">
        <v>135</v>
      </c>
      <c r="B18" s="73">
        <v>2.01E-2</v>
      </c>
      <c r="C18" s="73">
        <v>1.9E-2</v>
      </c>
      <c r="D18" s="73">
        <v>-0.123</v>
      </c>
    </row>
    <row r="19" spans="1:4">
      <c r="A19" s="50" t="s">
        <v>136</v>
      </c>
      <c r="B19" s="71">
        <v>3.1399999999999997E-2</v>
      </c>
      <c r="C19" s="49">
        <v>2.9399999999999999E-2</v>
      </c>
      <c r="D19" s="71">
        <v>-0.125</v>
      </c>
    </row>
    <row r="20" spans="1:4">
      <c r="A20" s="72" t="s">
        <v>140</v>
      </c>
      <c r="B20" s="73">
        <v>-6.7484499999999996E-3</v>
      </c>
      <c r="C20" s="73">
        <v>1.3721799999999999E-2</v>
      </c>
      <c r="D20" s="73">
        <v>-2.0400000000000001E-2</v>
      </c>
    </row>
    <row r="21" spans="1:4">
      <c r="A21" s="50" t="s">
        <v>141</v>
      </c>
      <c r="B21" s="71">
        <f>SUM(B17:B19)/3</f>
        <v>2.0333333333333332E-2</v>
      </c>
      <c r="C21" s="71">
        <f t="shared" ref="C21" si="0">SUM(C17:C19)/3</f>
        <v>1.9E-2</v>
      </c>
      <c r="D21" s="78">
        <f>B21-C21</f>
        <v>1.3333333333333322E-3</v>
      </c>
    </row>
    <row r="22" spans="1:4">
      <c r="A22" s="72" t="s">
        <v>142</v>
      </c>
      <c r="B22" s="73">
        <f>(1+B17)*(1+B18)*(1+B19)-1</f>
        <v>6.2126385830000075E-2</v>
      </c>
      <c r="C22" s="73">
        <f>(1+C17)*(1+C18)*(1+C19)-1</f>
        <v>5.7979643959999771E-2</v>
      </c>
      <c r="D22" s="77">
        <f>B22-C22</f>
        <v>4.1467418700003034E-3</v>
      </c>
    </row>
    <row r="24" spans="1:4">
      <c r="A24" t="s">
        <v>144</v>
      </c>
      <c r="B24">
        <v>100</v>
      </c>
      <c r="C24">
        <v>100</v>
      </c>
    </row>
    <row r="25" spans="1:4">
      <c r="A25" t="s">
        <v>145</v>
      </c>
      <c r="B25">
        <f>100*(1-0.0201)</f>
        <v>97.99</v>
      </c>
      <c r="C25">
        <f>100*(1+C22)</f>
        <v>105.79796439599998</v>
      </c>
    </row>
    <row r="27" spans="1:4">
      <c r="A27" t="s">
        <v>146</v>
      </c>
      <c r="B27" s="6">
        <f>C25-B25</f>
        <v>7.8079643959999885</v>
      </c>
    </row>
    <row r="28" spans="1:4">
      <c r="A28" t="s">
        <v>147</v>
      </c>
      <c r="B28" s="2">
        <f>(B25/C25)^(1/3) -1</f>
        <v>-2.5231509830762278E-2</v>
      </c>
      <c r="C28" s="39" t="s">
        <v>148</v>
      </c>
    </row>
    <row r="29" spans="1:4">
      <c r="A29" t="s">
        <v>149</v>
      </c>
      <c r="B29" s="2">
        <f>(1+B28)^3 -1</f>
        <v>-7.3800705340368311E-2</v>
      </c>
      <c r="C29" t="s">
        <v>150</v>
      </c>
    </row>
    <row r="31" spans="1:4">
      <c r="A31" t="s">
        <v>151</v>
      </c>
      <c r="B31" s="74">
        <f>(((1+B17)/(1+C17))*((1+B18)/(1+C18))*((1+B19)/(1+C19)))^(1/3)-1</f>
        <v>1.3047938284664884E-3</v>
      </c>
    </row>
    <row r="32" spans="1:4">
      <c r="A32" t="s">
        <v>152</v>
      </c>
      <c r="B32" s="74">
        <f>((1+B20)/(1+C20))-1</f>
        <v>-2.0193163449774842E-2</v>
      </c>
    </row>
    <row r="35" spans="1:3">
      <c r="A35" t="s">
        <v>155</v>
      </c>
      <c r="B35" t="s">
        <v>156</v>
      </c>
      <c r="C35" t="s">
        <v>157</v>
      </c>
    </row>
    <row r="36" spans="1:3">
      <c r="A36" s="76">
        <v>37926</v>
      </c>
      <c r="B36" s="3">
        <v>9.4999999999999998E-3</v>
      </c>
      <c r="C36" s="3">
        <v>8.6E-3</v>
      </c>
    </row>
    <row r="37" spans="1:3">
      <c r="A37" s="76">
        <v>37956</v>
      </c>
      <c r="B37" s="3">
        <v>2.01E-2</v>
      </c>
      <c r="C37" s="3">
        <v>1.9E-2</v>
      </c>
    </row>
    <row r="38" spans="1:3">
      <c r="A38" s="76">
        <v>37987</v>
      </c>
      <c r="B38" s="3">
        <v>3.1399999999999997E-2</v>
      </c>
      <c r="C38" s="3">
        <v>2.9399999999999999E-2</v>
      </c>
    </row>
    <row r="41" spans="1:3">
      <c r="A41" t="s">
        <v>160</v>
      </c>
    </row>
    <row r="42" spans="1:3">
      <c r="A42" t="s">
        <v>167</v>
      </c>
      <c r="B42" t="s">
        <v>7</v>
      </c>
      <c r="C42" t="s">
        <v>168</v>
      </c>
    </row>
    <row r="43" spans="1:3">
      <c r="A43">
        <v>200109</v>
      </c>
      <c r="B43">
        <v>-13.39</v>
      </c>
      <c r="C43">
        <f>B43/100</f>
        <v>-0.13390000000000002</v>
      </c>
    </row>
    <row r="44" spans="1:3">
      <c r="A44">
        <v>200112</v>
      </c>
      <c r="B44">
        <v>8.98</v>
      </c>
      <c r="C44">
        <f t="shared" ref="C44:C54" si="1">B44/100</f>
        <v>8.9800000000000005E-2</v>
      </c>
    </row>
    <row r="45" spans="1:3">
      <c r="A45">
        <v>200203</v>
      </c>
      <c r="B45">
        <v>-1.69</v>
      </c>
      <c r="C45">
        <f t="shared" si="1"/>
        <v>-1.6899999999999998E-2</v>
      </c>
    </row>
    <row r="46" spans="1:3">
      <c r="A46">
        <v>200206</v>
      </c>
      <c r="B46">
        <v>-16.399999999999999</v>
      </c>
      <c r="C46">
        <f t="shared" si="1"/>
        <v>-0.16399999999999998</v>
      </c>
    </row>
    <row r="47" spans="1:3">
      <c r="A47">
        <v>200209</v>
      </c>
      <c r="B47">
        <v>-15.93</v>
      </c>
      <c r="C47">
        <f t="shared" si="1"/>
        <v>-0.1593</v>
      </c>
    </row>
    <row r="48" spans="1:3">
      <c r="A48">
        <v>200212</v>
      </c>
      <c r="B48">
        <v>10.55</v>
      </c>
      <c r="C48">
        <f t="shared" si="1"/>
        <v>0.10550000000000001</v>
      </c>
    </row>
    <row r="49" spans="1:7">
      <c r="A49">
        <v>200303</v>
      </c>
      <c r="B49">
        <v>-2.52</v>
      </c>
      <c r="C49">
        <f t="shared" si="1"/>
        <v>-2.52E-2</v>
      </c>
    </row>
    <row r="50" spans="1:7">
      <c r="A50">
        <v>200306</v>
      </c>
      <c r="B50">
        <v>13.95</v>
      </c>
      <c r="C50">
        <f t="shared" si="1"/>
        <v>0.13949999999999999</v>
      </c>
    </row>
    <row r="51" spans="1:7">
      <c r="A51">
        <v>200309</v>
      </c>
      <c r="B51">
        <v>1.1599999999999999</v>
      </c>
      <c r="C51">
        <f t="shared" si="1"/>
        <v>1.1599999999999999E-2</v>
      </c>
    </row>
    <row r="52" spans="1:7">
      <c r="A52">
        <v>200312</v>
      </c>
      <c r="B52">
        <v>10.17</v>
      </c>
      <c r="C52">
        <f t="shared" si="1"/>
        <v>0.1017</v>
      </c>
    </row>
    <row r="53" spans="1:7">
      <c r="A53">
        <v>200403</v>
      </c>
      <c r="B53">
        <v>-0.56999999999999995</v>
      </c>
      <c r="C53">
        <f t="shared" si="1"/>
        <v>-5.6999999999999993E-3</v>
      </c>
    </row>
    <row r="54" spans="1:7">
      <c r="A54">
        <v>200406</v>
      </c>
      <c r="B54">
        <v>1.04</v>
      </c>
      <c r="C54">
        <f t="shared" si="1"/>
        <v>1.04E-2</v>
      </c>
    </row>
    <row r="56" spans="1:7">
      <c r="A56" s="45">
        <f>_xlfn.STDEV.S(C43:C54)</f>
        <v>0.10454003256691147</v>
      </c>
      <c r="B56">
        <f>AVERAGE(B43:B54)</f>
        <v>-0.38749999999999996</v>
      </c>
    </row>
    <row r="60" spans="1:7">
      <c r="A60" s="79" t="s">
        <v>161</v>
      </c>
    </row>
    <row r="61" spans="1:7">
      <c r="A61" s="79"/>
    </row>
    <row r="62" spans="1:7" ht="42.75">
      <c r="A62" s="88" t="s">
        <v>155</v>
      </c>
      <c r="B62" s="88" t="s">
        <v>156</v>
      </c>
      <c r="C62" s="88" t="s">
        <v>163</v>
      </c>
      <c r="D62" s="52"/>
      <c r="E62" s="88" t="s">
        <v>157</v>
      </c>
      <c r="F62" s="88" t="s">
        <v>146</v>
      </c>
      <c r="G62" s="88" t="s">
        <v>164</v>
      </c>
    </row>
    <row r="63" spans="1:7">
      <c r="A63" s="84">
        <v>37926</v>
      </c>
      <c r="B63" s="85">
        <v>9.4999999999999998E-3</v>
      </c>
      <c r="C63" s="71">
        <f>B63-$B$75</f>
        <v>-5.9650000000000002E-2</v>
      </c>
      <c r="D63" s="50">
        <f>IF(C63&gt;0,0,1)</f>
        <v>1</v>
      </c>
      <c r="E63" s="85">
        <v>8.6E-3</v>
      </c>
      <c r="F63" s="71">
        <f t="shared" ref="F63:F74" si="2">B63-E63</f>
        <v>8.9999999999999976E-4</v>
      </c>
      <c r="G63" s="78">
        <f>C63*C63</f>
        <v>3.5581225000000001E-3</v>
      </c>
    </row>
    <row r="64" spans="1:7">
      <c r="A64" s="86">
        <v>37956</v>
      </c>
      <c r="B64" s="87">
        <v>2.01E-2</v>
      </c>
      <c r="C64" s="73">
        <f t="shared" ref="C64:C74" si="3">B64-$B$75</f>
        <v>-4.9050000000000003E-2</v>
      </c>
      <c r="D64" s="72">
        <f t="shared" ref="D64:D74" si="4">IF(C64&gt;0,0,1)</f>
        <v>1</v>
      </c>
      <c r="E64" s="87">
        <v>1.9E-2</v>
      </c>
      <c r="F64" s="73">
        <f t="shared" si="2"/>
        <v>1.1000000000000003E-3</v>
      </c>
      <c r="G64" s="77">
        <f t="shared" ref="G64:G74" si="5">C64*C64</f>
        <v>2.4059025000000003E-3</v>
      </c>
    </row>
    <row r="65" spans="1:7">
      <c r="A65" s="84">
        <v>37987</v>
      </c>
      <c r="B65" s="85">
        <v>3.1399999999999997E-2</v>
      </c>
      <c r="C65" s="71">
        <f t="shared" si="3"/>
        <v>-3.7750000000000006E-2</v>
      </c>
      <c r="D65" s="50">
        <f t="shared" si="4"/>
        <v>1</v>
      </c>
      <c r="E65" s="85">
        <v>2.9399999999999999E-2</v>
      </c>
      <c r="F65" s="71">
        <f t="shared" si="2"/>
        <v>1.9999999999999983E-3</v>
      </c>
      <c r="G65" s="78">
        <f t="shared" si="5"/>
        <v>1.4250625000000003E-3</v>
      </c>
    </row>
    <row r="66" spans="1:7">
      <c r="A66" s="86">
        <v>38018</v>
      </c>
      <c r="B66" s="87">
        <v>5.3400000000000003E-2</v>
      </c>
      <c r="C66" s="73">
        <f t="shared" si="3"/>
        <v>-1.575E-2</v>
      </c>
      <c r="D66" s="72">
        <f t="shared" si="4"/>
        <v>1</v>
      </c>
      <c r="E66" s="87">
        <v>5.0999999999999997E-2</v>
      </c>
      <c r="F66" s="73">
        <f t="shared" si="2"/>
        <v>2.4000000000000063E-3</v>
      </c>
      <c r="G66" s="77">
        <f t="shared" si="5"/>
        <v>2.4806250000000002E-4</v>
      </c>
    </row>
    <row r="67" spans="1:7">
      <c r="A67" s="84">
        <v>38047</v>
      </c>
      <c r="B67" s="85">
        <v>6.1100000000000002E-2</v>
      </c>
      <c r="C67" s="71">
        <f t="shared" si="3"/>
        <v>-8.0500000000000016E-3</v>
      </c>
      <c r="D67" s="50">
        <f t="shared" si="4"/>
        <v>1</v>
      </c>
      <c r="E67" s="85">
        <v>5.8000000000000003E-2</v>
      </c>
      <c r="F67" s="71">
        <f t="shared" si="2"/>
        <v>3.0999999999999986E-3</v>
      </c>
      <c r="G67" s="78">
        <f t="shared" si="5"/>
        <v>6.4802500000000029E-5</v>
      </c>
    </row>
    <row r="68" spans="1:7">
      <c r="A68" s="86">
        <v>38078</v>
      </c>
      <c r="B68" s="87">
        <v>6.3500000000000001E-2</v>
      </c>
      <c r="C68" s="73">
        <f t="shared" si="3"/>
        <v>-5.6500000000000022E-3</v>
      </c>
      <c r="D68" s="72">
        <f t="shared" si="4"/>
        <v>1</v>
      </c>
      <c r="E68" s="87">
        <v>6.2E-2</v>
      </c>
      <c r="F68" s="73">
        <f t="shared" si="2"/>
        <v>1.5000000000000013E-3</v>
      </c>
      <c r="G68" s="77">
        <f t="shared" si="5"/>
        <v>3.1922500000000025E-5</v>
      </c>
    </row>
    <row r="69" spans="1:7">
      <c r="A69" s="84">
        <v>38108</v>
      </c>
      <c r="B69" s="85">
        <v>6.83E-2</v>
      </c>
      <c r="C69" s="71">
        <f t="shared" si="3"/>
        <v>-8.5000000000000353E-4</v>
      </c>
      <c r="D69" s="50">
        <f t="shared" si="4"/>
        <v>1</v>
      </c>
      <c r="E69" s="85">
        <v>6.5000000000000002E-2</v>
      </c>
      <c r="F69" s="71">
        <f t="shared" si="2"/>
        <v>3.2999999999999974E-3</v>
      </c>
      <c r="G69" s="78">
        <f t="shared" si="5"/>
        <v>7.22500000000006E-7</v>
      </c>
    </row>
    <row r="70" spans="1:7">
      <c r="A70" s="86">
        <v>38139</v>
      </c>
      <c r="B70" s="87">
        <v>8.0100000000000005E-2</v>
      </c>
      <c r="C70" s="73">
        <f t="shared" si="3"/>
        <v>1.0950000000000001E-2</v>
      </c>
      <c r="D70" s="72">
        <f t="shared" si="4"/>
        <v>0</v>
      </c>
      <c r="E70" s="87">
        <v>7.5700000000000003E-2</v>
      </c>
      <c r="F70" s="73">
        <f t="shared" si="2"/>
        <v>4.4000000000000011E-3</v>
      </c>
      <c r="G70" s="77">
        <f t="shared" si="5"/>
        <v>1.1990250000000003E-4</v>
      </c>
    </row>
    <row r="71" spans="1:7">
      <c r="A71" s="84">
        <v>38169</v>
      </c>
      <c r="B71" s="85">
        <v>9.2999999999999999E-2</v>
      </c>
      <c r="C71" s="71">
        <f t="shared" si="3"/>
        <v>2.3849999999999996E-2</v>
      </c>
      <c r="D71" s="50">
        <f t="shared" si="4"/>
        <v>0</v>
      </c>
      <c r="E71" s="85">
        <v>8.8200000000000001E-2</v>
      </c>
      <c r="F71" s="71">
        <f t="shared" si="2"/>
        <v>4.7999999999999987E-3</v>
      </c>
      <c r="G71" s="78">
        <f t="shared" si="5"/>
        <v>5.6882249999999981E-4</v>
      </c>
    </row>
    <row r="72" spans="1:7">
      <c r="A72" s="86">
        <v>38200</v>
      </c>
      <c r="B72" s="87">
        <v>0.1056</v>
      </c>
      <c r="C72" s="73">
        <f t="shared" si="3"/>
        <v>3.6449999999999996E-2</v>
      </c>
      <c r="D72" s="72">
        <f t="shared" si="4"/>
        <v>0</v>
      </c>
      <c r="E72" s="87">
        <v>0.1</v>
      </c>
      <c r="F72" s="73">
        <f t="shared" si="2"/>
        <v>5.5999999999999939E-3</v>
      </c>
      <c r="G72" s="77">
        <f t="shared" si="5"/>
        <v>1.3286024999999996E-3</v>
      </c>
    </row>
    <row r="73" spans="1:7">
      <c r="A73" s="84">
        <v>38231</v>
      </c>
      <c r="B73" s="85">
        <v>0.1142</v>
      </c>
      <c r="C73" s="71">
        <f t="shared" si="3"/>
        <v>4.5049999999999993E-2</v>
      </c>
      <c r="D73" s="50">
        <f t="shared" si="4"/>
        <v>0</v>
      </c>
      <c r="E73" s="85">
        <v>0.10829999999999999</v>
      </c>
      <c r="F73" s="71">
        <f t="shared" si="2"/>
        <v>5.9000000000000025E-3</v>
      </c>
      <c r="G73" s="78">
        <f t="shared" si="5"/>
        <v>2.0295024999999992E-3</v>
      </c>
    </row>
    <row r="74" spans="1:7">
      <c r="A74" s="86">
        <v>38261</v>
      </c>
      <c r="B74" s="87">
        <v>0.12959999999999999</v>
      </c>
      <c r="C74" s="73">
        <f t="shared" si="3"/>
        <v>6.044999999999999E-2</v>
      </c>
      <c r="D74" s="72">
        <f t="shared" si="4"/>
        <v>0</v>
      </c>
      <c r="E74" s="87">
        <v>0.1235</v>
      </c>
      <c r="F74" s="73">
        <f t="shared" si="2"/>
        <v>6.0999999999999943E-3</v>
      </c>
      <c r="G74" s="77">
        <f t="shared" si="5"/>
        <v>3.6542024999999989E-3</v>
      </c>
    </row>
    <row r="75" spans="1:7">
      <c r="A75" s="82" t="s">
        <v>162</v>
      </c>
      <c r="B75" s="83">
        <f>AVERAGE(B63:B74)</f>
        <v>6.9150000000000003E-2</v>
      </c>
      <c r="C75" s="82"/>
      <c r="D75" s="82"/>
      <c r="E75" s="82"/>
      <c r="F75" s="83">
        <f>AVERAGE(F63:F74)</f>
        <v>3.4249999999999992E-3</v>
      </c>
      <c r="G75" s="82"/>
    </row>
    <row r="76" spans="1:7">
      <c r="A76" s="80" t="s">
        <v>43</v>
      </c>
      <c r="B76" s="81">
        <f>_xlfn.STDEV.S(B63:B74)</f>
        <v>3.7459833033652051E-2</v>
      </c>
      <c r="C76" s="82"/>
      <c r="D76" s="82"/>
      <c r="E76" s="82"/>
      <c r="F76" s="81">
        <f>_xlfn.STDEV.S(F63:F74)</f>
        <v>1.8959885883814605E-3</v>
      </c>
      <c r="G76" s="82"/>
    </row>
    <row r="77" spans="1:7" ht="15" thickBot="1"/>
    <row r="78" spans="1:7">
      <c r="B78" s="45"/>
      <c r="F78" s="89" t="s">
        <v>165</v>
      </c>
      <c r="G78" s="90">
        <f>SUM(G63:G69)/7</f>
        <v>1.1049425E-3</v>
      </c>
    </row>
    <row r="79" spans="1:7" ht="15" thickBot="1">
      <c r="F79" s="91" t="s">
        <v>166</v>
      </c>
      <c r="G79" s="92">
        <f>SQRT(G78)</f>
        <v>3.3240675384233698E-2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BF3C-E163-4BCA-9128-D195E97A6797}">
  <dimension ref="A3:G11"/>
  <sheetViews>
    <sheetView tabSelected="1" workbookViewId="0">
      <selection activeCell="D11" sqref="D11"/>
    </sheetView>
  </sheetViews>
  <sheetFormatPr defaultRowHeight="14.25"/>
  <cols>
    <col min="1" max="1" width="20.875" bestFit="1" customWidth="1"/>
    <col min="2" max="2" width="16.125" bestFit="1" customWidth="1"/>
    <col min="3" max="3" width="17.25" bestFit="1" customWidth="1"/>
    <col min="4" max="4" width="14.625" bestFit="1" customWidth="1"/>
    <col min="5" max="5" width="15.625" bestFit="1" customWidth="1"/>
  </cols>
  <sheetData>
    <row r="3" spans="1:7">
      <c r="B3" t="s">
        <v>169</v>
      </c>
      <c r="C3" t="s">
        <v>170</v>
      </c>
      <c r="D3" t="s">
        <v>171</v>
      </c>
      <c r="E3" t="s">
        <v>138</v>
      </c>
      <c r="F3" t="s">
        <v>178</v>
      </c>
      <c r="G3" t="s">
        <v>179</v>
      </c>
    </row>
    <row r="4" spans="1:7">
      <c r="A4" t="s">
        <v>172</v>
      </c>
      <c r="B4" s="1">
        <v>0.7</v>
      </c>
      <c r="C4" s="1">
        <v>0.6</v>
      </c>
      <c r="D4" s="3">
        <v>7.3400000000000007E-2</v>
      </c>
      <c r="E4" s="3">
        <v>5.7500000000000002E-2</v>
      </c>
      <c r="F4" s="1">
        <f>B4-C4</f>
        <v>9.9999999999999978E-2</v>
      </c>
      <c r="G4" s="3">
        <f>D4-E4</f>
        <v>1.5900000000000004E-2</v>
      </c>
    </row>
    <row r="5" spans="1:7">
      <c r="A5" t="s">
        <v>173</v>
      </c>
      <c r="B5" s="1">
        <v>7.0000000000000007E-2</v>
      </c>
      <c r="C5" s="1">
        <v>0.3</v>
      </c>
      <c r="D5" s="3">
        <v>1.9800000000000002E-2</v>
      </c>
      <c r="E5" s="3">
        <v>1.35E-2</v>
      </c>
      <c r="F5" s="1">
        <f t="shared" ref="F5:F6" si="0">B5-C5</f>
        <v>-0.22999999999999998</v>
      </c>
      <c r="G5" s="3">
        <f t="shared" ref="G5:G6" si="1">D5-E5</f>
        <v>6.3000000000000018E-3</v>
      </c>
    </row>
    <row r="6" spans="1:7">
      <c r="A6" t="s">
        <v>174</v>
      </c>
      <c r="B6" s="1">
        <v>0.23</v>
      </c>
      <c r="C6" s="1">
        <v>0.1</v>
      </c>
      <c r="D6" s="3">
        <v>2.5000000000000001E-3</v>
      </c>
      <c r="E6" s="3">
        <v>3.5000000000000001E-3</v>
      </c>
      <c r="F6" s="1">
        <f t="shared" si="0"/>
        <v>0.13</v>
      </c>
      <c r="G6" s="3">
        <f t="shared" si="1"/>
        <v>-1E-3</v>
      </c>
    </row>
    <row r="8" spans="1:7">
      <c r="C8" t="s">
        <v>175</v>
      </c>
      <c r="D8" s="2">
        <f>SUMPRODUCT(B4:B6,D4:D6)</f>
        <v>5.3341E-2</v>
      </c>
      <c r="E8" s="2">
        <f>SUMPRODUCT(C4:C6,E4:E6)</f>
        <v>3.8900000000000004E-2</v>
      </c>
    </row>
    <row r="9" spans="1:7">
      <c r="C9" t="s">
        <v>176</v>
      </c>
      <c r="D9" s="45">
        <f>D8-E8</f>
        <v>1.4440999999999996E-2</v>
      </c>
      <c r="E9" s="2"/>
    </row>
    <row r="10" spans="1:7">
      <c r="C10" t="s">
        <v>177</v>
      </c>
      <c r="D10" s="45">
        <f>SUMPRODUCT(F4:F6,E4:E6)</f>
        <v>3.0999999999999995E-3</v>
      </c>
    </row>
    <row r="11" spans="1:7">
      <c r="C11" t="s">
        <v>180</v>
      </c>
      <c r="D11" s="45">
        <f>SUMPRODUCT(G4:G6,B4:B6)</f>
        <v>1.1341000000000004E-2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Capital Allocation Line</vt:lpstr>
      <vt:lpstr>Calculation For CAL</vt:lpstr>
      <vt:lpstr>Portfolio Construction</vt:lpstr>
      <vt:lpstr>CAPM</vt:lpstr>
      <vt:lpstr>Semivar_Downside</vt:lpstr>
      <vt:lpstr>Performance Attribution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xizo Thirteen</dc:creator>
  <cp:lastModifiedBy>xizo Thirteen</cp:lastModifiedBy>
  <dcterms:created xsi:type="dcterms:W3CDTF">2024-12-19T07:48:36Z</dcterms:created>
  <dcterms:modified xsi:type="dcterms:W3CDTF">2024-12-30T09:48:39Z</dcterms:modified>
</cp:coreProperties>
</file>