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58560\Documents\personal\"/>
    </mc:Choice>
  </mc:AlternateContent>
  <bookViews>
    <workbookView xWindow="0" yWindow="0" windowWidth="21300" windowHeight="7296" tabRatio="720" firstSheet="10" activeTab="14"/>
  </bookViews>
  <sheets>
    <sheet name="SÚHRN" sheetId="24" r:id="rId1"/>
    <sheet name="Cammembert s vajíčkom" sheetId="1" r:id="rId2"/>
    <sheet name="Bageta Debrecínka" sheetId="3" r:id="rId3"/>
    <sheet name="Bageta Grilované mäso" sheetId="4" r:id="rId4"/>
    <sheet name="Bageta Kurací gyros" sheetId="25" r:id="rId5"/>
    <sheet name="Sendič Kurací gyros" sheetId="5" r:id="rId6"/>
    <sheet name="Bageta Moravia" sheetId="6" r:id="rId7"/>
    <sheet name="Bageta Šunka, Syr" sheetId="7" r:id="rId8"/>
    <sheet name="Bageta Salámová" sheetId="27" r:id="rId9"/>
    <sheet name="Bageta Syr" sheetId="28" r:id="rId10"/>
    <sheet name="Bageta Syr_veľká" sheetId="29" r:id="rId11"/>
    <sheet name="Bageta  Šunka, Syr_veľká" sheetId="30" r:id="rId12"/>
    <sheet name="Kuracie Nugetky" sheetId="32" r:id="rId13"/>
    <sheet name="Kuracie Sote, Cestoviny" sheetId="35" r:id="rId14"/>
    <sheet name="Kuracie Sote, Ryza" sheetId="37" r:id="rId15"/>
    <sheet name="Bravcove medailonky" sheetId="36" r:id="rId16"/>
    <sheet name="Sheet1" sheetId="31" r:id="rId17"/>
    <sheet name="Croissant s mozzarellou" sheetId="8" r:id="rId18"/>
    <sheet name="Croissant syrový" sheetId="9" r:id="rId19"/>
    <sheet name="Croissant šunkovo syrový" sheetId="10" r:id="rId20"/>
    <sheet name="Kornbageta syrová" sheetId="11" r:id="rId21"/>
    <sheet name="Kornbageta syrová RYAN" sheetId="26" r:id="rId22"/>
    <sheet name="Panini Bacon S." sheetId="12" r:id="rId23"/>
    <sheet name="Panini Bacon T." sheetId="18" r:id="rId24"/>
    <sheet name="Panini Mozzarella S." sheetId="13" r:id="rId25"/>
    <sheet name="Panini Mozzarella T." sheetId="19" r:id="rId26"/>
    <sheet name="Panini Šunka Syr S." sheetId="14" r:id="rId27"/>
    <sheet name="Panini Šunka Syr T." sheetId="20" r:id="rId28"/>
    <sheet name="Panini Tuniak S." sheetId="15" r:id="rId29"/>
    <sheet name="Panini Tuniak T." sheetId="21" r:id="rId30"/>
    <sheet name="Panini Prosciutto S." sheetId="22" r:id="rId31"/>
    <sheet name="Panini Prosciutto T." sheetId="23" r:id="rId32"/>
    <sheet name="Chlebíček s moravským mäsom" sheetId="16" r:id="rId33"/>
    <sheet name="Chlebíček so salámou, Šunka syr" sheetId="17" r:id="rId34"/>
  </sheets>
  <definedNames>
    <definedName name="Celkova_Hmot" localSheetId="15">'Bravcove medailonky'!$N$31</definedName>
    <definedName name="Celkova_Hmot" localSheetId="13">'Kuracie Sote, Cestoviny'!$N$31</definedName>
    <definedName name="Celkova_Hmot" localSheetId="14">'Kuracie Sote, Ryza'!$N$31</definedName>
    <definedName name="Celkova_Hmot">'Kuracie Nugetky'!$N$31</definedName>
    <definedName name="CHK" localSheetId="15">'Bravcove medailonky'!$N$31</definedName>
    <definedName name="CHK" localSheetId="13">'Kuracie Sote, Cestoviny'!$N$31</definedName>
    <definedName name="CHK" localSheetId="14">'Kuracie Sote, Ryza'!$N$31</definedName>
    <definedName name="CHK">'Kuracie Nugetky'!$N$31</definedName>
    <definedName name="const" localSheetId="15">'Bravcove medailonky'!$M$6</definedName>
    <definedName name="const" localSheetId="13">'Kuracie Sote, Cestoviny'!$M$6</definedName>
    <definedName name="const" localSheetId="14">'Kuracie Sote, Ryza'!$M$6</definedName>
    <definedName name="const">'Kuracie Nugetky'!$M$6</definedName>
    <definedName name="Hmotnost_Produktu" localSheetId="15">'Bravcove medailonky'!$N$31</definedName>
    <definedName name="Hmotnost_Produktu" localSheetId="13">'Kuracie Sote, Cestoviny'!$N$31</definedName>
    <definedName name="Hmotnost_Produktu" localSheetId="14">'Kuracie Sote, Ryza'!$N$31</definedName>
    <definedName name="Hmotnost_Produktu">'Kuracie Nugetky'!$N$31</definedName>
    <definedName name="J" localSheetId="15">'Bravcove medailonky'!$M$16</definedName>
    <definedName name="J" localSheetId="13">'Kuracie Sote, Cestoviny'!$M$16</definedName>
    <definedName name="J" localSheetId="14">'Kuracie Sote, Ryza'!$M$16</definedName>
    <definedName name="J">'Kuracie Nugetky'!$M$16</definedName>
    <definedName name="K" localSheetId="15">'Bravcove medailonky'!$M$18</definedName>
    <definedName name="K" localSheetId="13">'Kuracie Sote, Cestoviny'!$M$18</definedName>
    <definedName name="K" localSheetId="14">'Kuracie Sote, Ryza'!$M$18</definedName>
    <definedName name="K">'Kuracie Nugetky'!$M$18</definedName>
    <definedName name="M" localSheetId="15">'Bravcove medailonky'!$M$22</definedName>
    <definedName name="M" localSheetId="13">'Kuracie Sote, Cestoviny'!$M$22</definedName>
    <definedName name="M" localSheetId="14">'Kuracie Sote, Ryza'!$M$22</definedName>
    <definedName name="M">'Kuracie Nugetky'!$M$22</definedName>
    <definedName name="N" localSheetId="15">'Bravcove medailonky'!$M$24</definedName>
    <definedName name="N" localSheetId="13">'Kuracie Sote, Cestoviny'!$M$24</definedName>
    <definedName name="N" localSheetId="14">'Kuracie Sote, Ryza'!$M$24</definedName>
    <definedName name="N">'Kuracie Nugetky'!$M$24</definedName>
    <definedName name="U" localSheetId="15">'Bravcove medailonky'!$M$26</definedName>
    <definedName name="U" localSheetId="13">'Kuracie Sote, Cestoviny'!$M$26</definedName>
    <definedName name="U" localSheetId="14">'Kuracie Sote, Ryza'!$M$26</definedName>
    <definedName name="U">'Kuracie Nugetky'!$M$26</definedName>
    <definedName name="W" localSheetId="15">'Bravcove medailonky'!$M$20</definedName>
    <definedName name="W" localSheetId="13">'Kuracie Sote, Cestoviny'!$M$20</definedName>
    <definedName name="W" localSheetId="14">'Kuracie Sote, Ryza'!$M$20</definedName>
    <definedName name="W">'Kuracie Nugetky'!$M$20</definedName>
    <definedName name="X" localSheetId="15">'Bravcove medailonky'!$M$10</definedName>
    <definedName name="X" localSheetId="13">'Kuracie Sote, Cestoviny'!$M$10</definedName>
    <definedName name="X" localSheetId="14">'Kuracie Sote, Ryza'!$M$10</definedName>
    <definedName name="X">'Kuracie Nugetky'!$M$10</definedName>
    <definedName name="Y" localSheetId="15">'Bravcove medailonky'!$M$12</definedName>
    <definedName name="Y" localSheetId="13">'Kuracie Sote, Cestoviny'!$M$12</definedName>
    <definedName name="Y" localSheetId="14">'Kuracie Sote, Ryza'!$M$12</definedName>
    <definedName name="Y">'Kuracie Nugetky'!$M$12</definedName>
    <definedName name="Z" localSheetId="15">'Bravcove medailonky'!$M$14</definedName>
    <definedName name="Z" localSheetId="13">'Kuracie Sote, Cestoviny'!$M$14</definedName>
    <definedName name="Z" localSheetId="14">'Kuracie Sote, Ryza'!$M$14</definedName>
    <definedName name="Z">'Kuracie Nugetky'!$M$14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37" l="1"/>
  <c r="R12" i="37"/>
  <c r="R14" i="37"/>
  <c r="R16" i="37"/>
  <c r="R18" i="37"/>
  <c r="R20" i="37"/>
  <c r="R22" i="37"/>
  <c r="R24" i="37"/>
  <c r="R26" i="37"/>
  <c r="R32" i="37"/>
  <c r="N10" i="37"/>
  <c r="N12" i="37"/>
  <c r="N14" i="37"/>
  <c r="N16" i="37"/>
  <c r="N18" i="37"/>
  <c r="N20" i="37"/>
  <c r="N22" i="37"/>
  <c r="N24" i="37"/>
  <c r="N26" i="37"/>
  <c r="N32" i="37"/>
  <c r="P10" i="37"/>
  <c r="P12" i="37"/>
  <c r="P14" i="37"/>
  <c r="P16" i="37"/>
  <c r="P18" i="37"/>
  <c r="P20" i="37"/>
  <c r="P22" i="37"/>
  <c r="P24" i="37"/>
  <c r="P26" i="37"/>
  <c r="P32" i="37"/>
  <c r="N34" i="37"/>
  <c r="N33" i="37"/>
  <c r="S10" i="37"/>
  <c r="S12" i="37"/>
  <c r="S14" i="37"/>
  <c r="S16" i="37"/>
  <c r="S18" i="37"/>
  <c r="S20" i="37"/>
  <c r="S22" i="37"/>
  <c r="S24" i="37"/>
  <c r="S26" i="37"/>
  <c r="S32" i="37"/>
  <c r="Q10" i="37"/>
  <c r="Q12" i="37"/>
  <c r="Q14" i="37"/>
  <c r="Q16" i="37"/>
  <c r="Q18" i="37"/>
  <c r="Q20" i="37"/>
  <c r="Q22" i="37"/>
  <c r="Q24" i="37"/>
  <c r="Q26" i="37"/>
  <c r="Q32" i="37"/>
  <c r="O10" i="37"/>
  <c r="O12" i="37"/>
  <c r="O14" i="37"/>
  <c r="O16" i="37"/>
  <c r="O18" i="37"/>
  <c r="O20" i="37"/>
  <c r="O22" i="37"/>
  <c r="O24" i="37"/>
  <c r="O26" i="37"/>
  <c r="O32" i="37"/>
  <c r="N31" i="37"/>
  <c r="R10" i="36"/>
  <c r="R12" i="36"/>
  <c r="R14" i="36"/>
  <c r="R16" i="36"/>
  <c r="R18" i="36"/>
  <c r="R20" i="36"/>
  <c r="R22" i="36"/>
  <c r="R24" i="36"/>
  <c r="R26" i="36"/>
  <c r="R32" i="36"/>
  <c r="N10" i="36"/>
  <c r="N12" i="36"/>
  <c r="N14" i="36"/>
  <c r="N16" i="36"/>
  <c r="N18" i="36"/>
  <c r="N20" i="36"/>
  <c r="N22" i="36"/>
  <c r="N24" i="36"/>
  <c r="N26" i="36"/>
  <c r="N32" i="36"/>
  <c r="P10" i="36"/>
  <c r="P12" i="36"/>
  <c r="P14" i="36"/>
  <c r="P16" i="36"/>
  <c r="P18" i="36"/>
  <c r="P20" i="36"/>
  <c r="P22" i="36"/>
  <c r="P24" i="36"/>
  <c r="P26" i="36"/>
  <c r="P32" i="36"/>
  <c r="N34" i="36"/>
  <c r="N33" i="36"/>
  <c r="S10" i="36"/>
  <c r="S12" i="36"/>
  <c r="S14" i="36"/>
  <c r="S16" i="36"/>
  <c r="S18" i="36"/>
  <c r="S20" i="36"/>
  <c r="S22" i="36"/>
  <c r="S24" i="36"/>
  <c r="S26" i="36"/>
  <c r="S32" i="36"/>
  <c r="Q10" i="36"/>
  <c r="Q12" i="36"/>
  <c r="Q14" i="36"/>
  <c r="Q16" i="36"/>
  <c r="Q18" i="36"/>
  <c r="Q20" i="36"/>
  <c r="Q22" i="36"/>
  <c r="Q24" i="36"/>
  <c r="Q26" i="36"/>
  <c r="Q32" i="36"/>
  <c r="O10" i="36"/>
  <c r="O12" i="36"/>
  <c r="O14" i="36"/>
  <c r="O16" i="36"/>
  <c r="O18" i="36"/>
  <c r="O20" i="36"/>
  <c r="O22" i="36"/>
  <c r="O24" i="36"/>
  <c r="O26" i="36"/>
  <c r="O32" i="36"/>
  <c r="N31" i="36"/>
  <c r="R10" i="35"/>
  <c r="R12" i="35"/>
  <c r="R14" i="35"/>
  <c r="R16" i="35"/>
  <c r="R18" i="35"/>
  <c r="R20" i="35"/>
  <c r="R22" i="35"/>
  <c r="R24" i="35"/>
  <c r="R26" i="35"/>
  <c r="R32" i="35"/>
  <c r="N10" i="35"/>
  <c r="N12" i="35"/>
  <c r="N14" i="35"/>
  <c r="N16" i="35"/>
  <c r="N18" i="35"/>
  <c r="N20" i="35"/>
  <c r="N22" i="35"/>
  <c r="N24" i="35"/>
  <c r="N26" i="35"/>
  <c r="N32" i="35"/>
  <c r="P10" i="35"/>
  <c r="P12" i="35"/>
  <c r="P14" i="35"/>
  <c r="P16" i="35"/>
  <c r="P18" i="35"/>
  <c r="P20" i="35"/>
  <c r="P22" i="35"/>
  <c r="P24" i="35"/>
  <c r="P26" i="35"/>
  <c r="P32" i="35"/>
  <c r="N34" i="35"/>
  <c r="N33" i="35"/>
  <c r="S10" i="35"/>
  <c r="S12" i="35"/>
  <c r="S14" i="35"/>
  <c r="S16" i="35"/>
  <c r="S18" i="35"/>
  <c r="S20" i="35"/>
  <c r="S22" i="35"/>
  <c r="S24" i="35"/>
  <c r="S26" i="35"/>
  <c r="S32" i="35"/>
  <c r="Q10" i="35"/>
  <c r="Q12" i="35"/>
  <c r="Q14" i="35"/>
  <c r="Q16" i="35"/>
  <c r="Q18" i="35"/>
  <c r="Q20" i="35"/>
  <c r="Q22" i="35"/>
  <c r="Q24" i="35"/>
  <c r="Q26" i="35"/>
  <c r="Q32" i="35"/>
  <c r="O10" i="35"/>
  <c r="O12" i="35"/>
  <c r="O14" i="35"/>
  <c r="O16" i="35"/>
  <c r="O18" i="35"/>
  <c r="O20" i="35"/>
  <c r="O22" i="35"/>
  <c r="O24" i="35"/>
  <c r="O26" i="35"/>
  <c r="O32" i="35"/>
  <c r="N31" i="35"/>
  <c r="R10" i="32"/>
  <c r="R12" i="32"/>
  <c r="R14" i="32"/>
  <c r="R16" i="32"/>
  <c r="R18" i="32"/>
  <c r="R20" i="32"/>
  <c r="R22" i="32"/>
  <c r="R24" i="32"/>
  <c r="R26" i="32"/>
  <c r="R32" i="32"/>
  <c r="N10" i="32"/>
  <c r="N12" i="32"/>
  <c r="N14" i="32"/>
  <c r="N16" i="32"/>
  <c r="N18" i="32"/>
  <c r="N20" i="32"/>
  <c r="N22" i="32"/>
  <c r="N24" i="32"/>
  <c r="N26" i="32"/>
  <c r="N32" i="32"/>
  <c r="P10" i="32"/>
  <c r="P12" i="32"/>
  <c r="P14" i="32"/>
  <c r="P16" i="32"/>
  <c r="P18" i="32"/>
  <c r="P20" i="32"/>
  <c r="P22" i="32"/>
  <c r="P24" i="32"/>
  <c r="P26" i="32"/>
  <c r="P32" i="32"/>
  <c r="N34" i="32"/>
  <c r="N33" i="32"/>
  <c r="O26" i="32"/>
  <c r="Q26" i="32"/>
  <c r="S26" i="32"/>
  <c r="O24" i="32"/>
  <c r="Q24" i="32"/>
  <c r="S24" i="32"/>
  <c r="O22" i="32"/>
  <c r="Q22" i="32"/>
  <c r="S22" i="32"/>
  <c r="O20" i="32"/>
  <c r="Q20" i="32"/>
  <c r="S20" i="32"/>
  <c r="O18" i="32"/>
  <c r="Q18" i="32"/>
  <c r="S18" i="32"/>
  <c r="O16" i="32"/>
  <c r="Q16" i="32"/>
  <c r="S16" i="32"/>
  <c r="O14" i="32"/>
  <c r="Q14" i="32"/>
  <c r="S14" i="32"/>
  <c r="O12" i="32"/>
  <c r="Q12" i="32"/>
  <c r="S12" i="32"/>
  <c r="O10" i="32"/>
  <c r="Q10" i="32"/>
  <c r="S10" i="32"/>
  <c r="O32" i="32"/>
  <c r="N31" i="32"/>
  <c r="Q32" i="32"/>
  <c r="S32" i="32"/>
  <c r="L107" i="30"/>
  <c r="L103" i="30"/>
  <c r="M92" i="30"/>
  <c r="M94" i="30"/>
  <c r="M96" i="30"/>
  <c r="M98" i="30"/>
  <c r="M100" i="30"/>
  <c r="M104" i="30"/>
  <c r="M105" i="30"/>
  <c r="N92" i="30"/>
  <c r="N94" i="30"/>
  <c r="N96" i="30"/>
  <c r="N98" i="30"/>
  <c r="N100" i="30"/>
  <c r="N104" i="30"/>
  <c r="N105" i="30"/>
  <c r="O92" i="30"/>
  <c r="O94" i="30"/>
  <c r="O96" i="30"/>
  <c r="O98" i="30"/>
  <c r="O100" i="30"/>
  <c r="O104" i="30"/>
  <c r="O105" i="30"/>
  <c r="P92" i="30"/>
  <c r="P94" i="30"/>
  <c r="P96" i="30"/>
  <c r="P98" i="30"/>
  <c r="P100" i="30"/>
  <c r="P104" i="30"/>
  <c r="P105" i="30"/>
  <c r="Q92" i="30"/>
  <c r="Q94" i="30"/>
  <c r="Q96" i="30"/>
  <c r="Q98" i="30"/>
  <c r="Q100" i="30"/>
  <c r="Q104" i="30"/>
  <c r="Q105" i="30"/>
  <c r="L92" i="30"/>
  <c r="L94" i="30"/>
  <c r="L96" i="30"/>
  <c r="L98" i="30"/>
  <c r="L100" i="30"/>
  <c r="L104" i="30"/>
  <c r="L105" i="30"/>
  <c r="M23" i="30"/>
  <c r="N23" i="30"/>
  <c r="M24" i="30"/>
  <c r="N24" i="30"/>
  <c r="M25" i="30"/>
  <c r="N25" i="30"/>
  <c r="M26" i="30"/>
  <c r="N26" i="30"/>
  <c r="M27" i="30"/>
  <c r="N27" i="30"/>
  <c r="M22" i="30"/>
  <c r="N22" i="30"/>
  <c r="F68" i="30"/>
  <c r="F69" i="30"/>
  <c r="F70" i="30"/>
  <c r="F71" i="30"/>
  <c r="F72" i="30"/>
  <c r="F67" i="30"/>
  <c r="F59" i="30"/>
  <c r="F60" i="30"/>
  <c r="F61" i="30"/>
  <c r="F62" i="30"/>
  <c r="F63" i="30"/>
  <c r="F58" i="30"/>
  <c r="F50" i="30"/>
  <c r="F51" i="30"/>
  <c r="F52" i="30"/>
  <c r="F53" i="30"/>
  <c r="F54" i="30"/>
  <c r="F49" i="30"/>
  <c r="F41" i="30"/>
  <c r="F42" i="30"/>
  <c r="F43" i="30"/>
  <c r="F44" i="30"/>
  <c r="F45" i="30"/>
  <c r="F40" i="30"/>
  <c r="O44" i="30"/>
  <c r="O45" i="30"/>
  <c r="O46" i="30"/>
  <c r="O49" i="30"/>
  <c r="O50" i="30"/>
  <c r="K44" i="30"/>
  <c r="K45" i="30"/>
  <c r="K46" i="30"/>
  <c r="K47" i="30"/>
  <c r="K48" i="30"/>
  <c r="K49" i="30"/>
  <c r="K50" i="30"/>
  <c r="M44" i="30"/>
  <c r="M45" i="30"/>
  <c r="M46" i="30"/>
  <c r="M49" i="30"/>
  <c r="M50" i="30"/>
  <c r="R50" i="30"/>
  <c r="Q50" i="30"/>
  <c r="P44" i="30"/>
  <c r="P45" i="30"/>
  <c r="P46" i="30"/>
  <c r="P49" i="30"/>
  <c r="P50" i="30"/>
  <c r="N44" i="30"/>
  <c r="N45" i="30"/>
  <c r="N46" i="30"/>
  <c r="N49" i="30"/>
  <c r="N50" i="30"/>
  <c r="L44" i="30"/>
  <c r="L45" i="30"/>
  <c r="L46" i="30"/>
  <c r="L49" i="30"/>
  <c r="L50" i="30"/>
  <c r="F36" i="30"/>
  <c r="F35" i="30"/>
  <c r="F34" i="30"/>
  <c r="F33" i="30"/>
  <c r="F32" i="30"/>
  <c r="F31" i="30"/>
  <c r="E8" i="30"/>
  <c r="D8" i="30"/>
  <c r="C8" i="30"/>
  <c r="J45" i="29"/>
  <c r="J46" i="29"/>
  <c r="J47" i="29"/>
  <c r="J48" i="29"/>
  <c r="J49" i="29"/>
  <c r="J44" i="29"/>
  <c r="O45" i="28"/>
  <c r="O46" i="28"/>
  <c r="O47" i="28"/>
  <c r="O48" i="28"/>
  <c r="O49" i="28"/>
  <c r="O44" i="28"/>
  <c r="N45" i="28"/>
  <c r="N46" i="28"/>
  <c r="N47" i="28"/>
  <c r="N48" i="28"/>
  <c r="N49" i="28"/>
  <c r="N44" i="28"/>
  <c r="M45" i="28"/>
  <c r="M46" i="28"/>
  <c r="M47" i="28"/>
  <c r="M48" i="28"/>
  <c r="M49" i="28"/>
  <c r="M44" i="28"/>
  <c r="L45" i="28"/>
  <c r="L46" i="28"/>
  <c r="L47" i="28"/>
  <c r="L48" i="28"/>
  <c r="L49" i="28"/>
  <c r="L44" i="28"/>
  <c r="K45" i="28"/>
  <c r="K46" i="28"/>
  <c r="K47" i="28"/>
  <c r="K48" i="28"/>
  <c r="K49" i="28"/>
  <c r="K44" i="28"/>
  <c r="J45" i="28"/>
  <c r="J46" i="28"/>
  <c r="J47" i="28"/>
  <c r="J48" i="28"/>
  <c r="J49" i="28"/>
  <c r="J44" i="28"/>
  <c r="L23" i="28"/>
  <c r="M23" i="28"/>
  <c r="L24" i="28"/>
  <c r="M24" i="28"/>
  <c r="L25" i="28"/>
  <c r="M25" i="28"/>
  <c r="L26" i="28"/>
  <c r="M26" i="28"/>
  <c r="L27" i="28"/>
  <c r="M27" i="28"/>
  <c r="L22" i="28"/>
  <c r="M22" i="28"/>
  <c r="O45" i="27"/>
  <c r="O46" i="27"/>
  <c r="O47" i="27"/>
  <c r="O48" i="27"/>
  <c r="O49" i="27"/>
  <c r="O44" i="27"/>
  <c r="N45" i="27"/>
  <c r="N46" i="27"/>
  <c r="N47" i="27"/>
  <c r="N48" i="27"/>
  <c r="N49" i="27"/>
  <c r="N44" i="27"/>
  <c r="M45" i="27"/>
  <c r="M46" i="27"/>
  <c r="M47" i="27"/>
  <c r="M48" i="27"/>
  <c r="M49" i="27"/>
  <c r="M44" i="27"/>
  <c r="L45" i="27"/>
  <c r="L46" i="27"/>
  <c r="L47" i="27"/>
  <c r="L48" i="27"/>
  <c r="L49" i="27"/>
  <c r="L44" i="27"/>
  <c r="K49" i="27"/>
  <c r="K48" i="27"/>
  <c r="K47" i="27"/>
  <c r="K46" i="27"/>
  <c r="K45" i="27"/>
  <c r="K44" i="27"/>
  <c r="J45" i="27"/>
  <c r="J46" i="27"/>
  <c r="J47" i="27"/>
  <c r="J48" i="27"/>
  <c r="J49" i="27"/>
  <c r="J44" i="27"/>
  <c r="L23" i="27"/>
  <c r="M23" i="27"/>
  <c r="L24" i="27"/>
  <c r="M24" i="27"/>
  <c r="L25" i="27"/>
  <c r="M25" i="27"/>
  <c r="L26" i="27"/>
  <c r="M26" i="27"/>
  <c r="L27" i="27"/>
  <c r="M27" i="27"/>
  <c r="L22" i="27"/>
  <c r="M22" i="27"/>
  <c r="O45" i="7"/>
  <c r="O46" i="7"/>
  <c r="O47" i="7"/>
  <c r="O48" i="7"/>
  <c r="O49" i="7"/>
  <c r="O44" i="7"/>
  <c r="N45" i="7"/>
  <c r="N46" i="7"/>
  <c r="N47" i="7"/>
  <c r="N48" i="7"/>
  <c r="N49" i="7"/>
  <c r="N44" i="7"/>
  <c r="M45" i="7"/>
  <c r="M46" i="7"/>
  <c r="M47" i="7"/>
  <c r="M48" i="7"/>
  <c r="M49" i="7"/>
  <c r="M44" i="7"/>
  <c r="L45" i="7"/>
  <c r="L46" i="7"/>
  <c r="L47" i="7"/>
  <c r="L48" i="7"/>
  <c r="L49" i="7"/>
  <c r="L44" i="7"/>
  <c r="K45" i="7"/>
  <c r="K46" i="7"/>
  <c r="K47" i="7"/>
  <c r="K48" i="7"/>
  <c r="K49" i="7"/>
  <c r="K44" i="7"/>
  <c r="J45" i="7"/>
  <c r="J46" i="7"/>
  <c r="J47" i="7"/>
  <c r="J48" i="7"/>
  <c r="J49" i="7"/>
  <c r="J44" i="7"/>
  <c r="L23" i="7"/>
  <c r="M23" i="7"/>
  <c r="L24" i="7"/>
  <c r="M24" i="7"/>
  <c r="L25" i="7"/>
  <c r="M25" i="7"/>
  <c r="L26" i="7"/>
  <c r="M26" i="7"/>
  <c r="L27" i="7"/>
  <c r="M27" i="7"/>
  <c r="L22" i="7"/>
  <c r="M22" i="7"/>
  <c r="L23" i="29"/>
  <c r="M23" i="29"/>
  <c r="L24" i="29"/>
  <c r="M24" i="29"/>
  <c r="L25" i="29"/>
  <c r="M25" i="29"/>
  <c r="L26" i="29"/>
  <c r="M26" i="29"/>
  <c r="L27" i="29"/>
  <c r="M27" i="29"/>
  <c r="L22" i="29"/>
  <c r="M22" i="29"/>
  <c r="F32" i="29"/>
  <c r="F33" i="29"/>
  <c r="F34" i="29"/>
  <c r="F35" i="29"/>
  <c r="F36" i="29"/>
  <c r="F31" i="29"/>
  <c r="F59" i="29"/>
  <c r="F60" i="29"/>
  <c r="F61" i="29"/>
  <c r="F62" i="29"/>
  <c r="F63" i="29"/>
  <c r="F58" i="29"/>
  <c r="F50" i="29"/>
  <c r="F51" i="29"/>
  <c r="F52" i="29"/>
  <c r="F53" i="29"/>
  <c r="F54" i="29"/>
  <c r="F49" i="29"/>
  <c r="F41" i="29"/>
  <c r="F42" i="29"/>
  <c r="F43" i="29"/>
  <c r="F44" i="29"/>
  <c r="F45" i="29"/>
  <c r="F40" i="29"/>
  <c r="N44" i="29"/>
  <c r="N45" i="29"/>
  <c r="N46" i="29"/>
  <c r="N49" i="29"/>
  <c r="N50" i="29"/>
  <c r="J50" i="29"/>
  <c r="L44" i="29"/>
  <c r="L45" i="29"/>
  <c r="L46" i="29"/>
  <c r="L49" i="29"/>
  <c r="L50" i="29"/>
  <c r="Q50" i="29"/>
  <c r="P50" i="29"/>
  <c r="O44" i="29"/>
  <c r="O45" i="29"/>
  <c r="O46" i="29"/>
  <c r="O49" i="29"/>
  <c r="O50" i="29"/>
  <c r="M44" i="29"/>
  <c r="M45" i="29"/>
  <c r="M46" i="29"/>
  <c r="M49" i="29"/>
  <c r="M50" i="29"/>
  <c r="K44" i="29"/>
  <c r="K45" i="29"/>
  <c r="K46" i="29"/>
  <c r="K49" i="29"/>
  <c r="K50" i="29"/>
  <c r="E8" i="29"/>
  <c r="D8" i="29"/>
  <c r="C8" i="29"/>
  <c r="F59" i="28"/>
  <c r="F60" i="28"/>
  <c r="F61" i="28"/>
  <c r="F62" i="28"/>
  <c r="F63" i="28"/>
  <c r="F58" i="28"/>
  <c r="F50" i="28"/>
  <c r="F51" i="28"/>
  <c r="F52" i="28"/>
  <c r="F53" i="28"/>
  <c r="F54" i="28"/>
  <c r="F49" i="28"/>
  <c r="N50" i="28"/>
  <c r="J50" i="28"/>
  <c r="L50" i="28"/>
  <c r="Q50" i="28"/>
  <c r="P50" i="28"/>
  <c r="O50" i="28"/>
  <c r="M50" i="28"/>
  <c r="K50" i="28"/>
  <c r="F45" i="28"/>
  <c r="F44" i="28"/>
  <c r="F43" i="28"/>
  <c r="F42" i="28"/>
  <c r="F41" i="28"/>
  <c r="F40" i="28"/>
  <c r="F36" i="28"/>
  <c r="F35" i="28"/>
  <c r="F34" i="28"/>
  <c r="F33" i="28"/>
  <c r="F32" i="28"/>
  <c r="F31" i="28"/>
  <c r="E8" i="28"/>
  <c r="D8" i="28"/>
  <c r="C8" i="28"/>
  <c r="F50" i="27"/>
  <c r="F51" i="27"/>
  <c r="F52" i="27"/>
  <c r="F53" i="27"/>
  <c r="F54" i="27"/>
  <c r="F49" i="27"/>
  <c r="F40" i="27"/>
  <c r="F41" i="27"/>
  <c r="F42" i="27"/>
  <c r="F43" i="27"/>
  <c r="F44" i="27"/>
  <c r="F45" i="27"/>
  <c r="F63" i="27"/>
  <c r="F62" i="27"/>
  <c r="F61" i="27"/>
  <c r="F60" i="27"/>
  <c r="F59" i="27"/>
  <c r="F58" i="27"/>
  <c r="N50" i="27"/>
  <c r="J50" i="27"/>
  <c r="L50" i="27"/>
  <c r="Q50" i="27"/>
  <c r="P50" i="27"/>
  <c r="O50" i="27"/>
  <c r="M50" i="27"/>
  <c r="K50" i="27"/>
  <c r="F36" i="27"/>
  <c r="F35" i="27"/>
  <c r="F34" i="27"/>
  <c r="F33" i="27"/>
  <c r="F32" i="27"/>
  <c r="F31" i="27"/>
  <c r="E8" i="27"/>
  <c r="D8" i="27"/>
  <c r="C8" i="27"/>
  <c r="F77" i="7"/>
  <c r="F78" i="7"/>
  <c r="F79" i="7"/>
  <c r="F80" i="7"/>
  <c r="F81" i="7"/>
  <c r="F76" i="7"/>
  <c r="F59" i="7"/>
  <c r="F60" i="7"/>
  <c r="F61" i="7"/>
  <c r="F62" i="7"/>
  <c r="F63" i="7"/>
  <c r="F58" i="7"/>
  <c r="F50" i="7"/>
  <c r="F51" i="7"/>
  <c r="F52" i="7"/>
  <c r="F53" i="7"/>
  <c r="F54" i="7"/>
  <c r="F49" i="7"/>
  <c r="F41" i="7"/>
  <c r="F42" i="7"/>
  <c r="F43" i="7"/>
  <c r="F44" i="7"/>
  <c r="F45" i="7"/>
  <c r="F40" i="7"/>
  <c r="F32" i="7"/>
  <c r="F33" i="7"/>
  <c r="F34" i="7"/>
  <c r="F35" i="7"/>
  <c r="F36" i="7"/>
  <c r="F31" i="7"/>
  <c r="D9" i="26"/>
  <c r="G82" i="26"/>
  <c r="G81" i="26"/>
  <c r="G80" i="26"/>
  <c r="G79" i="26"/>
  <c r="G78" i="26"/>
  <c r="G77" i="26"/>
  <c r="G74" i="26"/>
  <c r="G73" i="26"/>
  <c r="G72" i="26"/>
  <c r="G71" i="26"/>
  <c r="G70" i="26"/>
  <c r="G69" i="26"/>
  <c r="G66" i="26"/>
  <c r="G65" i="26"/>
  <c r="G64" i="26"/>
  <c r="G63" i="26"/>
  <c r="G62" i="26"/>
  <c r="G61" i="26"/>
  <c r="G58" i="26"/>
  <c r="O51" i="26"/>
  <c r="O52" i="26"/>
  <c r="O53" i="26"/>
  <c r="O54" i="26"/>
  <c r="O55" i="26"/>
  <c r="O56" i="26"/>
  <c r="O57" i="26"/>
  <c r="K51" i="26"/>
  <c r="K52" i="26"/>
  <c r="K53" i="26"/>
  <c r="K54" i="26"/>
  <c r="K55" i="26"/>
  <c r="K56" i="26"/>
  <c r="K57" i="26"/>
  <c r="M51" i="26"/>
  <c r="M52" i="26"/>
  <c r="M53" i="26"/>
  <c r="M54" i="26"/>
  <c r="M55" i="26"/>
  <c r="M56" i="26"/>
  <c r="M57" i="26"/>
  <c r="R57" i="26"/>
  <c r="Q57" i="26"/>
  <c r="P51" i="26"/>
  <c r="P52" i="26"/>
  <c r="P53" i="26"/>
  <c r="P54" i="26"/>
  <c r="P55" i="26"/>
  <c r="P56" i="26"/>
  <c r="P57" i="26"/>
  <c r="N51" i="26"/>
  <c r="N52" i="26"/>
  <c r="N53" i="26"/>
  <c r="N54" i="26"/>
  <c r="N55" i="26"/>
  <c r="N56" i="26"/>
  <c r="N57" i="26"/>
  <c r="L51" i="26"/>
  <c r="L52" i="26"/>
  <c r="L53" i="26"/>
  <c r="L54" i="26"/>
  <c r="L55" i="26"/>
  <c r="L56" i="26"/>
  <c r="L57" i="26"/>
  <c r="G57" i="26"/>
  <c r="G56" i="26"/>
  <c r="G55" i="26"/>
  <c r="G54" i="26"/>
  <c r="G53" i="26"/>
  <c r="G50" i="26"/>
  <c r="G49" i="26"/>
  <c r="G48" i="26"/>
  <c r="G47" i="26"/>
  <c r="G46" i="26"/>
  <c r="G45" i="26"/>
  <c r="G42" i="26"/>
  <c r="G41" i="26"/>
  <c r="G40" i="26"/>
  <c r="G39" i="26"/>
  <c r="G38" i="26"/>
  <c r="G37" i="26"/>
  <c r="M33" i="26"/>
  <c r="N33" i="26"/>
  <c r="M32" i="26"/>
  <c r="N32" i="26"/>
  <c r="M31" i="26"/>
  <c r="N31" i="26"/>
  <c r="M30" i="26"/>
  <c r="N30" i="26"/>
  <c r="M29" i="26"/>
  <c r="N29" i="26"/>
  <c r="M28" i="26"/>
  <c r="N28" i="26"/>
  <c r="E9" i="26"/>
  <c r="C9" i="26"/>
  <c r="N50" i="4"/>
  <c r="N51" i="4"/>
  <c r="N52" i="4"/>
  <c r="N53" i="4"/>
  <c r="N54" i="4"/>
  <c r="N55" i="4"/>
  <c r="N56" i="4"/>
  <c r="J50" i="4"/>
  <c r="J51" i="4"/>
  <c r="J52" i="4"/>
  <c r="J53" i="4"/>
  <c r="J54" i="4"/>
  <c r="J55" i="4"/>
  <c r="J56" i="4"/>
  <c r="L50" i="4"/>
  <c r="L51" i="4"/>
  <c r="L52" i="4"/>
  <c r="L53" i="4"/>
  <c r="L54" i="4"/>
  <c r="L55" i="4"/>
  <c r="L56" i="4"/>
  <c r="Q56" i="4"/>
  <c r="P56" i="4"/>
  <c r="F49" i="4"/>
  <c r="F50" i="4"/>
  <c r="F51" i="4"/>
  <c r="F52" i="4"/>
  <c r="F53" i="4"/>
  <c r="F54" i="4"/>
  <c r="F55" i="4"/>
  <c r="F48" i="4"/>
  <c r="M53" i="4"/>
  <c r="M50" i="4"/>
  <c r="M51" i="4"/>
  <c r="M52" i="4"/>
  <c r="M54" i="4"/>
  <c r="M55" i="4"/>
  <c r="M56" i="4"/>
  <c r="O51" i="4"/>
  <c r="O52" i="4"/>
  <c r="O53" i="4"/>
  <c r="O50" i="4"/>
  <c r="O54" i="4"/>
  <c r="O55" i="4"/>
  <c r="O56" i="4"/>
  <c r="K51" i="4"/>
  <c r="K52" i="4"/>
  <c r="K53" i="4"/>
  <c r="K50" i="4"/>
  <c r="K54" i="4"/>
  <c r="K55" i="4"/>
  <c r="K56" i="4"/>
  <c r="J29" i="4"/>
  <c r="K29" i="4"/>
  <c r="E149" i="4"/>
  <c r="E150" i="4"/>
  <c r="E151" i="4"/>
  <c r="E152" i="4"/>
  <c r="E153" i="4"/>
  <c r="E148" i="4"/>
  <c r="F142" i="4"/>
  <c r="F143" i="4"/>
  <c r="F144" i="4"/>
  <c r="F145" i="4"/>
  <c r="G142" i="4"/>
  <c r="G143" i="4"/>
  <c r="G144" i="4"/>
  <c r="G145" i="4"/>
  <c r="H142" i="4"/>
  <c r="H143" i="4"/>
  <c r="H144" i="4"/>
  <c r="H145" i="4"/>
  <c r="I142" i="4"/>
  <c r="I143" i="4"/>
  <c r="I144" i="4"/>
  <c r="I145" i="4"/>
  <c r="J142" i="4"/>
  <c r="J143" i="4"/>
  <c r="J144" i="4"/>
  <c r="J145" i="4"/>
  <c r="E142" i="4"/>
  <c r="E143" i="4"/>
  <c r="E144" i="4"/>
  <c r="E145" i="4"/>
  <c r="F117" i="4"/>
  <c r="F125" i="4"/>
  <c r="H127" i="4"/>
  <c r="J33" i="4"/>
  <c r="K33" i="4"/>
  <c r="J32" i="4"/>
  <c r="K32" i="4"/>
  <c r="J31" i="4"/>
  <c r="K31" i="4"/>
  <c r="J30" i="4"/>
  <c r="K30" i="4"/>
  <c r="J28" i="4"/>
  <c r="K28" i="4"/>
  <c r="F113" i="4"/>
  <c r="F114" i="4"/>
  <c r="F115" i="4"/>
  <c r="F116" i="4"/>
  <c r="F112" i="4"/>
  <c r="F104" i="4"/>
  <c r="F105" i="4"/>
  <c r="F106" i="4"/>
  <c r="F107" i="4"/>
  <c r="F108" i="4"/>
  <c r="F103" i="4"/>
  <c r="O50" i="5"/>
  <c r="O51" i="5"/>
  <c r="O52" i="5"/>
  <c r="O53" i="5"/>
  <c r="O54" i="5"/>
  <c r="O49" i="5"/>
  <c r="N50" i="5"/>
  <c r="N51" i="5"/>
  <c r="N52" i="5"/>
  <c r="N53" i="5"/>
  <c r="N54" i="5"/>
  <c r="N49" i="5"/>
  <c r="M50" i="5"/>
  <c r="M51" i="5"/>
  <c r="M52" i="5"/>
  <c r="M53" i="5"/>
  <c r="M54" i="5"/>
  <c r="M49" i="5"/>
  <c r="L50" i="5"/>
  <c r="L51" i="5"/>
  <c r="L52" i="5"/>
  <c r="L53" i="5"/>
  <c r="L54" i="5"/>
  <c r="L49" i="5"/>
  <c r="K50" i="5"/>
  <c r="K51" i="5"/>
  <c r="K52" i="5"/>
  <c r="K53" i="5"/>
  <c r="K54" i="5"/>
  <c r="K49" i="5"/>
  <c r="J50" i="5"/>
  <c r="J51" i="5"/>
  <c r="J52" i="5"/>
  <c r="J53" i="5"/>
  <c r="J54" i="5"/>
  <c r="J49" i="5"/>
  <c r="L29" i="5"/>
  <c r="M29" i="5"/>
  <c r="L30" i="5"/>
  <c r="M30" i="5"/>
  <c r="L31" i="5"/>
  <c r="M31" i="5"/>
  <c r="L32" i="5"/>
  <c r="M32" i="5"/>
  <c r="L33" i="5"/>
  <c r="M33" i="5"/>
  <c r="L28" i="5"/>
  <c r="M28" i="5"/>
  <c r="E13" i="5"/>
  <c r="F149" i="17"/>
  <c r="F148" i="17"/>
  <c r="F147" i="17"/>
  <c r="F146" i="17"/>
  <c r="F145" i="17"/>
  <c r="F144" i="17"/>
  <c r="F141" i="17"/>
  <c r="F140" i="17"/>
  <c r="F139" i="17"/>
  <c r="F138" i="17"/>
  <c r="F137" i="17"/>
  <c r="F136" i="17"/>
  <c r="F133" i="17"/>
  <c r="F132" i="17"/>
  <c r="F131" i="17"/>
  <c r="F130" i="17"/>
  <c r="F129" i="17"/>
  <c r="F128" i="17"/>
  <c r="F124" i="17"/>
  <c r="F123" i="17"/>
  <c r="F122" i="17"/>
  <c r="F121" i="17"/>
  <c r="F120" i="17"/>
  <c r="F119" i="17"/>
  <c r="F116" i="17"/>
  <c r="N108" i="17"/>
  <c r="N109" i="17"/>
  <c r="N110" i="17"/>
  <c r="N111" i="17"/>
  <c r="N112" i="17"/>
  <c r="N113" i="17"/>
  <c r="N114" i="17"/>
  <c r="N115" i="17"/>
  <c r="J108" i="17"/>
  <c r="J109" i="17"/>
  <c r="J110" i="17"/>
  <c r="J111" i="17"/>
  <c r="J112" i="17"/>
  <c r="J113" i="17"/>
  <c r="J114" i="17"/>
  <c r="J115" i="17"/>
  <c r="L108" i="17"/>
  <c r="L109" i="17"/>
  <c r="L110" i="17"/>
  <c r="L111" i="17"/>
  <c r="L112" i="17"/>
  <c r="L113" i="17"/>
  <c r="L114" i="17"/>
  <c r="L115" i="17"/>
  <c r="Q115" i="17"/>
  <c r="P115" i="17"/>
  <c r="O108" i="17"/>
  <c r="O109" i="17"/>
  <c r="O110" i="17"/>
  <c r="O111" i="17"/>
  <c r="O112" i="17"/>
  <c r="O113" i="17"/>
  <c r="O114" i="17"/>
  <c r="O115" i="17"/>
  <c r="M108" i="17"/>
  <c r="M109" i="17"/>
  <c r="M110" i="17"/>
  <c r="M111" i="17"/>
  <c r="M112" i="17"/>
  <c r="M113" i="17"/>
  <c r="M114" i="17"/>
  <c r="M115" i="17"/>
  <c r="K108" i="17"/>
  <c r="K109" i="17"/>
  <c r="K110" i="17"/>
  <c r="K111" i="17"/>
  <c r="K112" i="17"/>
  <c r="K113" i="17"/>
  <c r="K114" i="17"/>
  <c r="K115" i="17"/>
  <c r="F115" i="17"/>
  <c r="F114" i="17"/>
  <c r="F113" i="17"/>
  <c r="F112" i="17"/>
  <c r="F111" i="17"/>
  <c r="F108" i="17"/>
  <c r="F107" i="17"/>
  <c r="F106" i="17"/>
  <c r="F105" i="17"/>
  <c r="F104" i="17"/>
  <c r="F103" i="17"/>
  <c r="F100" i="17"/>
  <c r="F99" i="17"/>
  <c r="F98" i="17"/>
  <c r="F97" i="17"/>
  <c r="F96" i="17"/>
  <c r="F95" i="17"/>
  <c r="M91" i="17"/>
  <c r="N91" i="17"/>
  <c r="M90" i="17"/>
  <c r="N90" i="17"/>
  <c r="M89" i="17"/>
  <c r="N89" i="17"/>
  <c r="M88" i="17"/>
  <c r="N88" i="17"/>
  <c r="M87" i="17"/>
  <c r="N87" i="17"/>
  <c r="M86" i="17"/>
  <c r="N86" i="17"/>
  <c r="F81" i="17"/>
  <c r="F80" i="17"/>
  <c r="F79" i="17"/>
  <c r="F78" i="17"/>
  <c r="F77" i="17"/>
  <c r="F76" i="17"/>
  <c r="F73" i="17"/>
  <c r="F72" i="17"/>
  <c r="F71" i="17"/>
  <c r="F70" i="17"/>
  <c r="F69" i="17"/>
  <c r="F68" i="17"/>
  <c r="F65" i="17"/>
  <c r="F64" i="17"/>
  <c r="F63" i="17"/>
  <c r="F62" i="17"/>
  <c r="F61" i="17"/>
  <c r="F60" i="17"/>
  <c r="F57" i="17"/>
  <c r="F56" i="17"/>
  <c r="N49" i="17"/>
  <c r="N50" i="17"/>
  <c r="N51" i="17"/>
  <c r="N52" i="17"/>
  <c r="N53" i="17"/>
  <c r="N54" i="17"/>
  <c r="N55" i="17"/>
  <c r="J49" i="17"/>
  <c r="J50" i="17"/>
  <c r="J51" i="17"/>
  <c r="J52" i="17"/>
  <c r="J53" i="17"/>
  <c r="J54" i="17"/>
  <c r="J55" i="17"/>
  <c r="L49" i="17"/>
  <c r="L50" i="17"/>
  <c r="L51" i="17"/>
  <c r="L52" i="17"/>
  <c r="L53" i="17"/>
  <c r="L54" i="17"/>
  <c r="L55" i="17"/>
  <c r="Q55" i="17"/>
  <c r="P55" i="17"/>
  <c r="O49" i="17"/>
  <c r="O50" i="17"/>
  <c r="O51" i="17"/>
  <c r="O52" i="17"/>
  <c r="O53" i="17"/>
  <c r="O54" i="17"/>
  <c r="O55" i="17"/>
  <c r="M49" i="17"/>
  <c r="M50" i="17"/>
  <c r="M51" i="17"/>
  <c r="M52" i="17"/>
  <c r="M53" i="17"/>
  <c r="M54" i="17"/>
  <c r="M55" i="17"/>
  <c r="K49" i="17"/>
  <c r="K50" i="17"/>
  <c r="K51" i="17"/>
  <c r="K52" i="17"/>
  <c r="K53" i="17"/>
  <c r="K54" i="17"/>
  <c r="K55" i="17"/>
  <c r="F55" i="17"/>
  <c r="F54" i="17"/>
  <c r="F53" i="17"/>
  <c r="F52" i="17"/>
  <c r="F49" i="17"/>
  <c r="F48" i="17"/>
  <c r="F47" i="17"/>
  <c r="F46" i="17"/>
  <c r="F45" i="17"/>
  <c r="F44" i="17"/>
  <c r="F41" i="17"/>
  <c r="F40" i="17"/>
  <c r="F39" i="17"/>
  <c r="F38" i="17"/>
  <c r="F37" i="17"/>
  <c r="F36" i="17"/>
  <c r="L32" i="17"/>
  <c r="M32" i="17"/>
  <c r="L31" i="17"/>
  <c r="M31" i="17"/>
  <c r="L30" i="17"/>
  <c r="M30" i="17"/>
  <c r="L29" i="17"/>
  <c r="M29" i="17"/>
  <c r="L28" i="17"/>
  <c r="M28" i="17"/>
  <c r="L27" i="17"/>
  <c r="M27" i="17"/>
  <c r="D23" i="17"/>
  <c r="C23" i="17"/>
  <c r="D10" i="17"/>
  <c r="C10" i="17"/>
  <c r="F157" i="16"/>
  <c r="F156" i="16"/>
  <c r="F155" i="16"/>
  <c r="F154" i="16"/>
  <c r="F153" i="16"/>
  <c r="F152" i="16"/>
  <c r="J141" i="16"/>
  <c r="J142" i="16"/>
  <c r="J143" i="16"/>
  <c r="J144" i="16"/>
  <c r="J145" i="16"/>
  <c r="J146" i="16"/>
  <c r="J147" i="16"/>
  <c r="J148" i="16"/>
  <c r="J149" i="16"/>
  <c r="I141" i="16"/>
  <c r="I142" i="16"/>
  <c r="I143" i="16"/>
  <c r="I144" i="16"/>
  <c r="I145" i="16"/>
  <c r="I146" i="16"/>
  <c r="I147" i="16"/>
  <c r="I148" i="16"/>
  <c r="I149" i="16"/>
  <c r="H141" i="16"/>
  <c r="H142" i="16"/>
  <c r="H143" i="16"/>
  <c r="H144" i="16"/>
  <c r="H145" i="16"/>
  <c r="H146" i="16"/>
  <c r="H147" i="16"/>
  <c r="H148" i="16"/>
  <c r="H149" i="16"/>
  <c r="G141" i="16"/>
  <c r="G142" i="16"/>
  <c r="G143" i="16"/>
  <c r="G144" i="16"/>
  <c r="G145" i="16"/>
  <c r="G146" i="16"/>
  <c r="G147" i="16"/>
  <c r="G148" i="16"/>
  <c r="G149" i="16"/>
  <c r="F141" i="16"/>
  <c r="F142" i="16"/>
  <c r="F143" i="16"/>
  <c r="F144" i="16"/>
  <c r="F145" i="16"/>
  <c r="F146" i="16"/>
  <c r="F147" i="16"/>
  <c r="F148" i="16"/>
  <c r="F149" i="16"/>
  <c r="E141" i="16"/>
  <c r="E142" i="16"/>
  <c r="E143" i="16"/>
  <c r="E144" i="16"/>
  <c r="E145" i="16"/>
  <c r="E146" i="16"/>
  <c r="E147" i="16"/>
  <c r="E148" i="16"/>
  <c r="E149" i="16"/>
  <c r="D137" i="16"/>
  <c r="F123" i="16"/>
  <c r="F122" i="16"/>
  <c r="F121" i="16"/>
  <c r="F120" i="16"/>
  <c r="F119" i="16"/>
  <c r="F118" i="16"/>
  <c r="F115" i="16"/>
  <c r="F114" i="16"/>
  <c r="F113" i="16"/>
  <c r="F112" i="16"/>
  <c r="N105" i="16"/>
  <c r="N106" i="16"/>
  <c r="N107" i="16"/>
  <c r="N108" i="16"/>
  <c r="N109" i="16"/>
  <c r="N110" i="16"/>
  <c r="N111" i="16"/>
  <c r="J105" i="16"/>
  <c r="J106" i="16"/>
  <c r="J107" i="16"/>
  <c r="J108" i="16"/>
  <c r="J109" i="16"/>
  <c r="J110" i="16"/>
  <c r="J111" i="16"/>
  <c r="L105" i="16"/>
  <c r="L106" i="16"/>
  <c r="L107" i="16"/>
  <c r="L108" i="16"/>
  <c r="L109" i="16"/>
  <c r="L110" i="16"/>
  <c r="L111" i="16"/>
  <c r="Q111" i="16"/>
  <c r="P111" i="16"/>
  <c r="O105" i="16"/>
  <c r="O106" i="16"/>
  <c r="O107" i="16"/>
  <c r="O108" i="16"/>
  <c r="O109" i="16"/>
  <c r="O110" i="16"/>
  <c r="O111" i="16"/>
  <c r="M105" i="16"/>
  <c r="M106" i="16"/>
  <c r="M107" i="16"/>
  <c r="M108" i="16"/>
  <c r="M109" i="16"/>
  <c r="M110" i="16"/>
  <c r="M111" i="16"/>
  <c r="K105" i="16"/>
  <c r="K106" i="16"/>
  <c r="K107" i="16"/>
  <c r="K108" i="16"/>
  <c r="K109" i="16"/>
  <c r="K110" i="16"/>
  <c r="K111" i="16"/>
  <c r="F111" i="16"/>
  <c r="F110" i="16"/>
  <c r="F107" i="16"/>
  <c r="F106" i="16"/>
  <c r="F105" i="16"/>
  <c r="F104" i="16"/>
  <c r="F103" i="16"/>
  <c r="F102" i="16"/>
  <c r="F99" i="16"/>
  <c r="F98" i="16"/>
  <c r="F97" i="16"/>
  <c r="F96" i="16"/>
  <c r="F95" i="16"/>
  <c r="F94" i="16"/>
  <c r="F91" i="16"/>
  <c r="F90" i="16"/>
  <c r="Q89" i="16"/>
  <c r="R89" i="16"/>
  <c r="F89" i="16"/>
  <c r="Q88" i="16"/>
  <c r="R88" i="16"/>
  <c r="F88" i="16"/>
  <c r="Q87" i="16"/>
  <c r="R87" i="16"/>
  <c r="F87" i="16"/>
  <c r="Q86" i="16"/>
  <c r="R86" i="16"/>
  <c r="F86" i="16"/>
  <c r="Q85" i="16"/>
  <c r="R85" i="16"/>
  <c r="Q84" i="16"/>
  <c r="R84" i="16"/>
  <c r="F80" i="16"/>
  <c r="F79" i="16"/>
  <c r="F78" i="16"/>
  <c r="F77" i="16"/>
  <c r="F76" i="16"/>
  <c r="F75" i="16"/>
  <c r="F72" i="16"/>
  <c r="F71" i="16"/>
  <c r="F70" i="16"/>
  <c r="F69" i="16"/>
  <c r="F68" i="16"/>
  <c r="F67" i="16"/>
  <c r="F64" i="16"/>
  <c r="F63" i="16"/>
  <c r="F62" i="16"/>
  <c r="F61" i="16"/>
  <c r="F60" i="16"/>
  <c r="F59" i="16"/>
  <c r="F56" i="16"/>
  <c r="F55" i="16"/>
  <c r="N48" i="16"/>
  <c r="N49" i="16"/>
  <c r="N50" i="16"/>
  <c r="N51" i="16"/>
  <c r="N52" i="16"/>
  <c r="N53" i="16"/>
  <c r="N54" i="16"/>
  <c r="J48" i="16"/>
  <c r="J49" i="16"/>
  <c r="J50" i="16"/>
  <c r="J51" i="16"/>
  <c r="J52" i="16"/>
  <c r="J53" i="16"/>
  <c r="J54" i="16"/>
  <c r="L48" i="16"/>
  <c r="L49" i="16"/>
  <c r="L50" i="16"/>
  <c r="L51" i="16"/>
  <c r="L52" i="16"/>
  <c r="L53" i="16"/>
  <c r="L54" i="16"/>
  <c r="Q54" i="16"/>
  <c r="P54" i="16"/>
  <c r="O48" i="16"/>
  <c r="O49" i="16"/>
  <c r="O50" i="16"/>
  <c r="O51" i="16"/>
  <c r="O52" i="16"/>
  <c r="O53" i="16"/>
  <c r="O54" i="16"/>
  <c r="M48" i="16"/>
  <c r="M49" i="16"/>
  <c r="M50" i="16"/>
  <c r="M51" i="16"/>
  <c r="M52" i="16"/>
  <c r="M53" i="16"/>
  <c r="M54" i="16"/>
  <c r="K48" i="16"/>
  <c r="K49" i="16"/>
  <c r="K50" i="16"/>
  <c r="K51" i="16"/>
  <c r="K52" i="16"/>
  <c r="K53" i="16"/>
  <c r="K54" i="16"/>
  <c r="F54" i="16"/>
  <c r="F53" i="16"/>
  <c r="F52" i="16"/>
  <c r="F51" i="16"/>
  <c r="F48" i="16"/>
  <c r="F47" i="16"/>
  <c r="F46" i="16"/>
  <c r="F45" i="16"/>
  <c r="F44" i="16"/>
  <c r="F43" i="16"/>
  <c r="F40" i="16"/>
  <c r="F39" i="16"/>
  <c r="F38" i="16"/>
  <c r="F37" i="16"/>
  <c r="F36" i="16"/>
  <c r="F35" i="16"/>
  <c r="L31" i="16"/>
  <c r="M31" i="16"/>
  <c r="L30" i="16"/>
  <c r="M30" i="16"/>
  <c r="L29" i="16"/>
  <c r="M29" i="16"/>
  <c r="L28" i="16"/>
  <c r="M28" i="16"/>
  <c r="L27" i="16"/>
  <c r="M27" i="16"/>
  <c r="L26" i="16"/>
  <c r="M26" i="16"/>
  <c r="D22" i="16"/>
  <c r="C22" i="16"/>
  <c r="D10" i="16"/>
  <c r="C10" i="16"/>
  <c r="F61" i="23"/>
  <c r="F60" i="23"/>
  <c r="F59" i="23"/>
  <c r="F58" i="23"/>
  <c r="F57" i="23"/>
  <c r="F56" i="23"/>
  <c r="F53" i="23"/>
  <c r="F52" i="23"/>
  <c r="F51" i="23"/>
  <c r="F50" i="23"/>
  <c r="F49" i="23"/>
  <c r="F48" i="23"/>
  <c r="N43" i="23"/>
  <c r="N44" i="23"/>
  <c r="N45" i="23"/>
  <c r="N46" i="23"/>
  <c r="N47" i="23"/>
  <c r="J43" i="23"/>
  <c r="J44" i="23"/>
  <c r="J45" i="23"/>
  <c r="J46" i="23"/>
  <c r="J47" i="23"/>
  <c r="L43" i="23"/>
  <c r="L44" i="23"/>
  <c r="L45" i="23"/>
  <c r="L46" i="23"/>
  <c r="L47" i="23"/>
  <c r="Q47" i="23"/>
  <c r="P47" i="23"/>
  <c r="O43" i="23"/>
  <c r="O44" i="23"/>
  <c r="O45" i="23"/>
  <c r="O46" i="23"/>
  <c r="O47" i="23"/>
  <c r="M43" i="23"/>
  <c r="M44" i="23"/>
  <c r="M45" i="23"/>
  <c r="M46" i="23"/>
  <c r="M47" i="23"/>
  <c r="K43" i="23"/>
  <c r="K44" i="23"/>
  <c r="K45" i="23"/>
  <c r="K46" i="23"/>
  <c r="K47" i="23"/>
  <c r="F45" i="23"/>
  <c r="F44" i="23"/>
  <c r="F43" i="23"/>
  <c r="F42" i="23"/>
  <c r="F41" i="23"/>
  <c r="F40" i="23"/>
  <c r="F37" i="23"/>
  <c r="F36" i="23"/>
  <c r="F35" i="23"/>
  <c r="F34" i="23"/>
  <c r="F33" i="23"/>
  <c r="F32" i="23"/>
  <c r="J28" i="23"/>
  <c r="K28" i="23"/>
  <c r="J27" i="23"/>
  <c r="K27" i="23"/>
  <c r="J26" i="23"/>
  <c r="K26" i="23"/>
  <c r="J25" i="23"/>
  <c r="K25" i="23"/>
  <c r="J24" i="23"/>
  <c r="K24" i="23"/>
  <c r="J23" i="23"/>
  <c r="K23" i="23"/>
  <c r="D3" i="23"/>
  <c r="D4" i="23"/>
  <c r="D5" i="23"/>
  <c r="D6" i="23"/>
  <c r="D7" i="23"/>
  <c r="D8" i="23"/>
  <c r="C8" i="23"/>
  <c r="F61" i="22"/>
  <c r="F60" i="22"/>
  <c r="F59" i="22"/>
  <c r="F58" i="22"/>
  <c r="F57" i="22"/>
  <c r="F56" i="22"/>
  <c r="F53" i="22"/>
  <c r="F52" i="22"/>
  <c r="F51" i="22"/>
  <c r="F50" i="22"/>
  <c r="F49" i="22"/>
  <c r="F48" i="22"/>
  <c r="N43" i="22"/>
  <c r="N44" i="22"/>
  <c r="N45" i="22"/>
  <c r="N46" i="22"/>
  <c r="N47" i="22"/>
  <c r="J43" i="22"/>
  <c r="J44" i="22"/>
  <c r="J45" i="22"/>
  <c r="J46" i="22"/>
  <c r="J47" i="22"/>
  <c r="L43" i="22"/>
  <c r="L44" i="22"/>
  <c r="L45" i="22"/>
  <c r="L46" i="22"/>
  <c r="L47" i="22"/>
  <c r="Q47" i="22"/>
  <c r="P47" i="22"/>
  <c r="O43" i="22"/>
  <c r="O44" i="22"/>
  <c r="O45" i="22"/>
  <c r="O46" i="22"/>
  <c r="O47" i="22"/>
  <c r="M43" i="22"/>
  <c r="M44" i="22"/>
  <c r="M45" i="22"/>
  <c r="M46" i="22"/>
  <c r="M47" i="22"/>
  <c r="K43" i="22"/>
  <c r="K44" i="22"/>
  <c r="K45" i="22"/>
  <c r="K46" i="22"/>
  <c r="K47" i="22"/>
  <c r="F45" i="22"/>
  <c r="F44" i="22"/>
  <c r="F43" i="22"/>
  <c r="F42" i="22"/>
  <c r="F41" i="22"/>
  <c r="F40" i="22"/>
  <c r="F37" i="22"/>
  <c r="F36" i="22"/>
  <c r="F35" i="22"/>
  <c r="F34" i="22"/>
  <c r="F33" i="22"/>
  <c r="F32" i="22"/>
  <c r="J28" i="22"/>
  <c r="K28" i="22"/>
  <c r="J27" i="22"/>
  <c r="K27" i="22"/>
  <c r="J26" i="22"/>
  <c r="K26" i="22"/>
  <c r="J25" i="22"/>
  <c r="K25" i="22"/>
  <c r="J24" i="22"/>
  <c r="K24" i="22"/>
  <c r="J23" i="22"/>
  <c r="K23" i="22"/>
  <c r="D3" i="22"/>
  <c r="D4" i="22"/>
  <c r="D5" i="22"/>
  <c r="D6" i="22"/>
  <c r="D7" i="22"/>
  <c r="D8" i="22"/>
  <c r="C8" i="22"/>
  <c r="F86" i="21"/>
  <c r="F85" i="21"/>
  <c r="F84" i="21"/>
  <c r="F83" i="21"/>
  <c r="F82" i="21"/>
  <c r="F81" i="21"/>
  <c r="F78" i="21"/>
  <c r="F77" i="21"/>
  <c r="F76" i="21"/>
  <c r="F75" i="21"/>
  <c r="F74" i="21"/>
  <c r="F73" i="21"/>
  <c r="F70" i="21"/>
  <c r="F69" i="21"/>
  <c r="F68" i="21"/>
  <c r="F67" i="21"/>
  <c r="F66" i="21"/>
  <c r="F65" i="21"/>
  <c r="F62" i="21"/>
  <c r="F61" i="21"/>
  <c r="F60" i="21"/>
  <c r="F59" i="21"/>
  <c r="F58" i="21"/>
  <c r="F57" i="21"/>
  <c r="N48" i="21"/>
  <c r="N49" i="21"/>
  <c r="N50" i="21"/>
  <c r="N51" i="21"/>
  <c r="N52" i="21"/>
  <c r="N53" i="21"/>
  <c r="N54" i="21"/>
  <c r="N55" i="21"/>
  <c r="N56" i="21"/>
  <c r="J48" i="21"/>
  <c r="J49" i="21"/>
  <c r="J50" i="21"/>
  <c r="J51" i="21"/>
  <c r="J52" i="21"/>
  <c r="J53" i="21"/>
  <c r="J54" i="21"/>
  <c r="J55" i="21"/>
  <c r="J56" i="21"/>
  <c r="L48" i="21"/>
  <c r="L49" i="21"/>
  <c r="L50" i="21"/>
  <c r="L51" i="21"/>
  <c r="L52" i="21"/>
  <c r="L53" i="21"/>
  <c r="L54" i="21"/>
  <c r="L55" i="21"/>
  <c r="L56" i="21"/>
  <c r="Q56" i="21"/>
  <c r="P56" i="21"/>
  <c r="O48" i="21"/>
  <c r="O49" i="21"/>
  <c r="O50" i="21"/>
  <c r="O51" i="21"/>
  <c r="O52" i="21"/>
  <c r="O53" i="21"/>
  <c r="O54" i="21"/>
  <c r="O55" i="21"/>
  <c r="O56" i="21"/>
  <c r="M48" i="21"/>
  <c r="M49" i="21"/>
  <c r="M50" i="21"/>
  <c r="M51" i="21"/>
  <c r="M52" i="21"/>
  <c r="M53" i="21"/>
  <c r="M54" i="21"/>
  <c r="M55" i="21"/>
  <c r="M56" i="21"/>
  <c r="K48" i="21"/>
  <c r="K49" i="21"/>
  <c r="K50" i="21"/>
  <c r="K51" i="21"/>
  <c r="K52" i="21"/>
  <c r="K53" i="21"/>
  <c r="K54" i="21"/>
  <c r="K55" i="21"/>
  <c r="K56" i="21"/>
  <c r="F54" i="21"/>
  <c r="F53" i="21"/>
  <c r="F52" i="21"/>
  <c r="F51" i="21"/>
  <c r="F50" i="21"/>
  <c r="F49" i="21"/>
  <c r="F46" i="21"/>
  <c r="F45" i="21"/>
  <c r="F44" i="21"/>
  <c r="F43" i="21"/>
  <c r="F42" i="21"/>
  <c r="F41" i="21"/>
  <c r="F38" i="21"/>
  <c r="F37" i="21"/>
  <c r="F36" i="21"/>
  <c r="F35" i="21"/>
  <c r="F34" i="21"/>
  <c r="F33" i="21"/>
  <c r="M29" i="21"/>
  <c r="N29" i="21"/>
  <c r="M28" i="21"/>
  <c r="N28" i="21"/>
  <c r="M27" i="21"/>
  <c r="N27" i="21"/>
  <c r="M26" i="21"/>
  <c r="N26" i="21"/>
  <c r="M25" i="21"/>
  <c r="N25" i="21"/>
  <c r="M24" i="21"/>
  <c r="N24" i="21"/>
  <c r="E11" i="21"/>
  <c r="D11" i="21"/>
  <c r="C11" i="21"/>
  <c r="F86" i="15"/>
  <c r="F85" i="15"/>
  <c r="F84" i="15"/>
  <c r="F83" i="15"/>
  <c r="F82" i="15"/>
  <c r="F81" i="15"/>
  <c r="F78" i="15"/>
  <c r="F77" i="15"/>
  <c r="F76" i="15"/>
  <c r="F75" i="15"/>
  <c r="F74" i="15"/>
  <c r="F73" i="15"/>
  <c r="F70" i="15"/>
  <c r="F69" i="15"/>
  <c r="F68" i="15"/>
  <c r="F67" i="15"/>
  <c r="F66" i="15"/>
  <c r="F65" i="15"/>
  <c r="F62" i="15"/>
  <c r="F61" i="15"/>
  <c r="F60" i="15"/>
  <c r="F59" i="15"/>
  <c r="F58" i="15"/>
  <c r="F57" i="15"/>
  <c r="N48" i="15"/>
  <c r="N49" i="15"/>
  <c r="N50" i="15"/>
  <c r="N51" i="15"/>
  <c r="N52" i="15"/>
  <c r="N53" i="15"/>
  <c r="N54" i="15"/>
  <c r="N55" i="15"/>
  <c r="N56" i="15"/>
  <c r="J48" i="15"/>
  <c r="J49" i="15"/>
  <c r="J50" i="15"/>
  <c r="J51" i="15"/>
  <c r="J52" i="15"/>
  <c r="J53" i="15"/>
  <c r="J54" i="15"/>
  <c r="J55" i="15"/>
  <c r="J56" i="15"/>
  <c r="L48" i="15"/>
  <c r="L49" i="15"/>
  <c r="L50" i="15"/>
  <c r="L51" i="15"/>
  <c r="L52" i="15"/>
  <c r="L53" i="15"/>
  <c r="L54" i="15"/>
  <c r="L55" i="15"/>
  <c r="L56" i="15"/>
  <c r="Q56" i="15"/>
  <c r="P56" i="15"/>
  <c r="O48" i="15"/>
  <c r="O49" i="15"/>
  <c r="O50" i="15"/>
  <c r="O51" i="15"/>
  <c r="O52" i="15"/>
  <c r="O53" i="15"/>
  <c r="O54" i="15"/>
  <c r="O55" i="15"/>
  <c r="O56" i="15"/>
  <c r="M48" i="15"/>
  <c r="M49" i="15"/>
  <c r="M50" i="15"/>
  <c r="M51" i="15"/>
  <c r="M52" i="15"/>
  <c r="M53" i="15"/>
  <c r="M54" i="15"/>
  <c r="M55" i="15"/>
  <c r="M56" i="15"/>
  <c r="K48" i="15"/>
  <c r="K49" i="15"/>
  <c r="K50" i="15"/>
  <c r="K51" i="15"/>
  <c r="K52" i="15"/>
  <c r="K53" i="15"/>
  <c r="K54" i="15"/>
  <c r="K55" i="15"/>
  <c r="K56" i="15"/>
  <c r="F54" i="15"/>
  <c r="F53" i="15"/>
  <c r="F52" i="15"/>
  <c r="F51" i="15"/>
  <c r="F50" i="15"/>
  <c r="F49" i="15"/>
  <c r="F46" i="15"/>
  <c r="F45" i="15"/>
  <c r="F44" i="15"/>
  <c r="F43" i="15"/>
  <c r="F42" i="15"/>
  <c r="F41" i="15"/>
  <c r="F38" i="15"/>
  <c r="F37" i="15"/>
  <c r="F36" i="15"/>
  <c r="F35" i="15"/>
  <c r="F34" i="15"/>
  <c r="F33" i="15"/>
  <c r="M29" i="15"/>
  <c r="N29" i="15"/>
  <c r="M28" i="15"/>
  <c r="N28" i="15"/>
  <c r="M27" i="15"/>
  <c r="N27" i="15"/>
  <c r="M26" i="15"/>
  <c r="N26" i="15"/>
  <c r="M25" i="15"/>
  <c r="N25" i="15"/>
  <c r="M24" i="15"/>
  <c r="N24" i="15"/>
  <c r="E11" i="15"/>
  <c r="D11" i="15"/>
  <c r="C11" i="15"/>
  <c r="F82" i="20"/>
  <c r="F81" i="20"/>
  <c r="F80" i="20"/>
  <c r="F79" i="20"/>
  <c r="F78" i="20"/>
  <c r="F77" i="20"/>
  <c r="F74" i="20"/>
  <c r="F73" i="20"/>
  <c r="F72" i="20"/>
  <c r="F71" i="20"/>
  <c r="F70" i="20"/>
  <c r="F69" i="20"/>
  <c r="F66" i="20"/>
  <c r="F65" i="20"/>
  <c r="F64" i="20"/>
  <c r="F63" i="20"/>
  <c r="F62" i="20"/>
  <c r="F61" i="20"/>
  <c r="F58" i="20"/>
  <c r="F57" i="20"/>
  <c r="N50" i="20"/>
  <c r="N51" i="20"/>
  <c r="N52" i="20"/>
  <c r="N53" i="20"/>
  <c r="N54" i="20"/>
  <c r="N55" i="20"/>
  <c r="N56" i="20"/>
  <c r="J50" i="20"/>
  <c r="J51" i="20"/>
  <c r="J52" i="20"/>
  <c r="J53" i="20"/>
  <c r="J54" i="20"/>
  <c r="J55" i="20"/>
  <c r="J56" i="20"/>
  <c r="L50" i="20"/>
  <c r="L51" i="20"/>
  <c r="L52" i="20"/>
  <c r="L53" i="20"/>
  <c r="L54" i="20"/>
  <c r="L55" i="20"/>
  <c r="L56" i="20"/>
  <c r="Q56" i="20"/>
  <c r="P56" i="20"/>
  <c r="O50" i="20"/>
  <c r="O51" i="20"/>
  <c r="O52" i="20"/>
  <c r="O53" i="20"/>
  <c r="O54" i="20"/>
  <c r="O55" i="20"/>
  <c r="O56" i="20"/>
  <c r="M50" i="20"/>
  <c r="M51" i="20"/>
  <c r="M52" i="20"/>
  <c r="M53" i="20"/>
  <c r="M54" i="20"/>
  <c r="M55" i="20"/>
  <c r="M56" i="20"/>
  <c r="K50" i="20"/>
  <c r="K51" i="20"/>
  <c r="K52" i="20"/>
  <c r="K53" i="20"/>
  <c r="K54" i="20"/>
  <c r="K55" i="20"/>
  <c r="K56" i="20"/>
  <c r="F56" i="20"/>
  <c r="F55" i="20"/>
  <c r="F54" i="20"/>
  <c r="F53" i="20"/>
  <c r="F50" i="20"/>
  <c r="F49" i="20"/>
  <c r="F48" i="20"/>
  <c r="F47" i="20"/>
  <c r="F46" i="20"/>
  <c r="F45" i="20"/>
  <c r="F42" i="20"/>
  <c r="F41" i="20"/>
  <c r="F40" i="20"/>
  <c r="F39" i="20"/>
  <c r="F38" i="20"/>
  <c r="F37" i="20"/>
  <c r="L33" i="20"/>
  <c r="M33" i="20"/>
  <c r="L32" i="20"/>
  <c r="M32" i="20"/>
  <c r="L31" i="20"/>
  <c r="M31" i="20"/>
  <c r="L30" i="20"/>
  <c r="M30" i="20"/>
  <c r="L29" i="20"/>
  <c r="M29" i="20"/>
  <c r="L28" i="20"/>
  <c r="M28" i="20"/>
  <c r="D9" i="20"/>
  <c r="C9" i="20"/>
  <c r="F82" i="14"/>
  <c r="F81" i="14"/>
  <c r="F80" i="14"/>
  <c r="F79" i="14"/>
  <c r="F78" i="14"/>
  <c r="F77" i="14"/>
  <c r="F74" i="14"/>
  <c r="F73" i="14"/>
  <c r="F72" i="14"/>
  <c r="F71" i="14"/>
  <c r="F70" i="14"/>
  <c r="F69" i="14"/>
  <c r="F66" i="14"/>
  <c r="F65" i="14"/>
  <c r="F64" i="14"/>
  <c r="F63" i="14"/>
  <c r="F62" i="14"/>
  <c r="F61" i="14"/>
  <c r="F58" i="14"/>
  <c r="F57" i="14"/>
  <c r="N50" i="14"/>
  <c r="N51" i="14"/>
  <c r="N52" i="14"/>
  <c r="N53" i="14"/>
  <c r="N54" i="14"/>
  <c r="N55" i="14"/>
  <c r="N56" i="14"/>
  <c r="J50" i="14"/>
  <c r="J51" i="14"/>
  <c r="J52" i="14"/>
  <c r="J53" i="14"/>
  <c r="J54" i="14"/>
  <c r="J55" i="14"/>
  <c r="J56" i="14"/>
  <c r="L50" i="14"/>
  <c r="L51" i="14"/>
  <c r="L52" i="14"/>
  <c r="L53" i="14"/>
  <c r="L54" i="14"/>
  <c r="L55" i="14"/>
  <c r="L56" i="14"/>
  <c r="Q56" i="14"/>
  <c r="P56" i="14"/>
  <c r="O50" i="14"/>
  <c r="O51" i="14"/>
  <c r="O52" i="14"/>
  <c r="O53" i="14"/>
  <c r="O54" i="14"/>
  <c r="O55" i="14"/>
  <c r="O56" i="14"/>
  <c r="M50" i="14"/>
  <c r="M51" i="14"/>
  <c r="M52" i="14"/>
  <c r="M53" i="14"/>
  <c r="M54" i="14"/>
  <c r="M55" i="14"/>
  <c r="M56" i="14"/>
  <c r="K50" i="14"/>
  <c r="K51" i="14"/>
  <c r="K52" i="14"/>
  <c r="K53" i="14"/>
  <c r="K54" i="14"/>
  <c r="K55" i="14"/>
  <c r="K56" i="14"/>
  <c r="F56" i="14"/>
  <c r="F55" i="14"/>
  <c r="F54" i="14"/>
  <c r="F53" i="14"/>
  <c r="F50" i="14"/>
  <c r="F49" i="14"/>
  <c r="F48" i="14"/>
  <c r="F47" i="14"/>
  <c r="F46" i="14"/>
  <c r="F45" i="14"/>
  <c r="F42" i="14"/>
  <c r="F41" i="14"/>
  <c r="F40" i="14"/>
  <c r="F39" i="14"/>
  <c r="F38" i="14"/>
  <c r="F37" i="14"/>
  <c r="L33" i="14"/>
  <c r="M33" i="14"/>
  <c r="L32" i="14"/>
  <c r="M32" i="14"/>
  <c r="L31" i="14"/>
  <c r="M31" i="14"/>
  <c r="L30" i="14"/>
  <c r="M30" i="14"/>
  <c r="L29" i="14"/>
  <c r="M29" i="14"/>
  <c r="L28" i="14"/>
  <c r="M28" i="14"/>
  <c r="D9" i="14"/>
  <c r="C9" i="14"/>
  <c r="F61" i="19"/>
  <c r="F60" i="19"/>
  <c r="F59" i="19"/>
  <c r="F58" i="19"/>
  <c r="F57" i="19"/>
  <c r="F56" i="19"/>
  <c r="F53" i="19"/>
  <c r="F52" i="19"/>
  <c r="F51" i="19"/>
  <c r="F50" i="19"/>
  <c r="F49" i="19"/>
  <c r="F48" i="19"/>
  <c r="N43" i="19"/>
  <c r="N44" i="19"/>
  <c r="N45" i="19"/>
  <c r="N46" i="19"/>
  <c r="N47" i="19"/>
  <c r="J43" i="19"/>
  <c r="J44" i="19"/>
  <c r="J45" i="19"/>
  <c r="J46" i="19"/>
  <c r="J47" i="19"/>
  <c r="L43" i="19"/>
  <c r="L44" i="19"/>
  <c r="L45" i="19"/>
  <c r="L46" i="19"/>
  <c r="L47" i="19"/>
  <c r="Q47" i="19"/>
  <c r="P47" i="19"/>
  <c r="O43" i="19"/>
  <c r="O44" i="19"/>
  <c r="O45" i="19"/>
  <c r="O46" i="19"/>
  <c r="O47" i="19"/>
  <c r="M43" i="19"/>
  <c r="M44" i="19"/>
  <c r="M45" i="19"/>
  <c r="M46" i="19"/>
  <c r="M47" i="19"/>
  <c r="K43" i="19"/>
  <c r="K44" i="19"/>
  <c r="K45" i="19"/>
  <c r="K46" i="19"/>
  <c r="K47" i="19"/>
  <c r="F45" i="19"/>
  <c r="F44" i="19"/>
  <c r="F43" i="19"/>
  <c r="F42" i="19"/>
  <c r="F41" i="19"/>
  <c r="F40" i="19"/>
  <c r="F37" i="19"/>
  <c r="F36" i="19"/>
  <c r="F35" i="19"/>
  <c r="F34" i="19"/>
  <c r="F33" i="19"/>
  <c r="F32" i="19"/>
  <c r="J28" i="19"/>
  <c r="K28" i="19"/>
  <c r="J27" i="19"/>
  <c r="K27" i="19"/>
  <c r="J26" i="19"/>
  <c r="K26" i="19"/>
  <c r="J25" i="19"/>
  <c r="K25" i="19"/>
  <c r="J24" i="19"/>
  <c r="K24" i="19"/>
  <c r="J23" i="19"/>
  <c r="K23" i="19"/>
  <c r="D8" i="19"/>
  <c r="C8" i="19"/>
  <c r="F61" i="13"/>
  <c r="F60" i="13"/>
  <c r="F59" i="13"/>
  <c r="F58" i="13"/>
  <c r="F57" i="13"/>
  <c r="F56" i="13"/>
  <c r="F53" i="13"/>
  <c r="F52" i="13"/>
  <c r="F51" i="13"/>
  <c r="F50" i="13"/>
  <c r="F49" i="13"/>
  <c r="F48" i="13"/>
  <c r="N43" i="13"/>
  <c r="N44" i="13"/>
  <c r="N45" i="13"/>
  <c r="N46" i="13"/>
  <c r="N47" i="13"/>
  <c r="J43" i="13"/>
  <c r="J44" i="13"/>
  <c r="J45" i="13"/>
  <c r="J46" i="13"/>
  <c r="J47" i="13"/>
  <c r="L43" i="13"/>
  <c r="L44" i="13"/>
  <c r="L45" i="13"/>
  <c r="L46" i="13"/>
  <c r="L47" i="13"/>
  <c r="Q47" i="13"/>
  <c r="P47" i="13"/>
  <c r="O43" i="13"/>
  <c r="O44" i="13"/>
  <c r="O45" i="13"/>
  <c r="O46" i="13"/>
  <c r="O47" i="13"/>
  <c r="M43" i="13"/>
  <c r="M44" i="13"/>
  <c r="M45" i="13"/>
  <c r="M46" i="13"/>
  <c r="M47" i="13"/>
  <c r="K43" i="13"/>
  <c r="K44" i="13"/>
  <c r="K45" i="13"/>
  <c r="K46" i="13"/>
  <c r="K47" i="13"/>
  <c r="F45" i="13"/>
  <c r="F44" i="13"/>
  <c r="F43" i="13"/>
  <c r="F42" i="13"/>
  <c r="F41" i="13"/>
  <c r="F40" i="13"/>
  <c r="F37" i="13"/>
  <c r="F36" i="13"/>
  <c r="F35" i="13"/>
  <c r="F34" i="13"/>
  <c r="F33" i="13"/>
  <c r="F32" i="13"/>
  <c r="J28" i="13"/>
  <c r="K28" i="13"/>
  <c r="J27" i="13"/>
  <c r="K27" i="13"/>
  <c r="J26" i="13"/>
  <c r="K26" i="13"/>
  <c r="J25" i="13"/>
  <c r="K25" i="13"/>
  <c r="J24" i="13"/>
  <c r="K24" i="13"/>
  <c r="J23" i="13"/>
  <c r="K23" i="13"/>
  <c r="D8" i="13"/>
  <c r="C8" i="13"/>
  <c r="F69" i="18"/>
  <c r="F68" i="18"/>
  <c r="F67" i="18"/>
  <c r="F66" i="18"/>
  <c r="F65" i="18"/>
  <c r="F62" i="18"/>
  <c r="F61" i="18"/>
  <c r="F60" i="18"/>
  <c r="F59" i="18"/>
  <c r="F58" i="18"/>
  <c r="F57" i="18"/>
  <c r="F54" i="18"/>
  <c r="F53" i="18"/>
  <c r="F52" i="18"/>
  <c r="N46" i="18"/>
  <c r="N47" i="18"/>
  <c r="N48" i="18"/>
  <c r="N49" i="18"/>
  <c r="N50" i="18"/>
  <c r="N51" i="18"/>
  <c r="J46" i="18"/>
  <c r="J47" i="18"/>
  <c r="J48" i="18"/>
  <c r="J49" i="18"/>
  <c r="J50" i="18"/>
  <c r="J51" i="18"/>
  <c r="L46" i="18"/>
  <c r="L47" i="18"/>
  <c r="L48" i="18"/>
  <c r="L49" i="18"/>
  <c r="L50" i="18"/>
  <c r="L51" i="18"/>
  <c r="Q51" i="18"/>
  <c r="P51" i="18"/>
  <c r="O46" i="18"/>
  <c r="O47" i="18"/>
  <c r="O48" i="18"/>
  <c r="O49" i="18"/>
  <c r="O50" i="18"/>
  <c r="O51" i="18"/>
  <c r="M46" i="18"/>
  <c r="M47" i="18"/>
  <c r="M48" i="18"/>
  <c r="M49" i="18"/>
  <c r="M50" i="18"/>
  <c r="M51" i="18"/>
  <c r="K46" i="18"/>
  <c r="K47" i="18"/>
  <c r="K48" i="18"/>
  <c r="K49" i="18"/>
  <c r="K50" i="18"/>
  <c r="K51" i="18"/>
  <c r="F51" i="18"/>
  <c r="F50" i="18"/>
  <c r="F49" i="18"/>
  <c r="F46" i="18"/>
  <c r="F45" i="18"/>
  <c r="F44" i="18"/>
  <c r="F43" i="18"/>
  <c r="F42" i="18"/>
  <c r="F41" i="18"/>
  <c r="F38" i="18"/>
  <c r="F37" i="18"/>
  <c r="F36" i="18"/>
  <c r="F35" i="18"/>
  <c r="F34" i="18"/>
  <c r="F33" i="18"/>
  <c r="K29" i="18"/>
  <c r="L29" i="18"/>
  <c r="K28" i="18"/>
  <c r="L28" i="18"/>
  <c r="K27" i="18"/>
  <c r="L27" i="18"/>
  <c r="K26" i="18"/>
  <c r="L26" i="18"/>
  <c r="K25" i="18"/>
  <c r="L25" i="18"/>
  <c r="K24" i="18"/>
  <c r="L24" i="18"/>
  <c r="E8" i="18"/>
  <c r="D8" i="18"/>
  <c r="C8" i="18"/>
  <c r="F69" i="12"/>
  <c r="F68" i="12"/>
  <c r="F67" i="12"/>
  <c r="F66" i="12"/>
  <c r="F65" i="12"/>
  <c r="F62" i="12"/>
  <c r="F61" i="12"/>
  <c r="F60" i="12"/>
  <c r="F59" i="12"/>
  <c r="F58" i="12"/>
  <c r="F57" i="12"/>
  <c r="F54" i="12"/>
  <c r="F53" i="12"/>
  <c r="F52" i="12"/>
  <c r="N46" i="12"/>
  <c r="N47" i="12"/>
  <c r="N48" i="12"/>
  <c r="N49" i="12"/>
  <c r="N50" i="12"/>
  <c r="N51" i="12"/>
  <c r="J46" i="12"/>
  <c r="J47" i="12"/>
  <c r="J48" i="12"/>
  <c r="J49" i="12"/>
  <c r="J50" i="12"/>
  <c r="J51" i="12"/>
  <c r="L46" i="12"/>
  <c r="L47" i="12"/>
  <c r="L48" i="12"/>
  <c r="L49" i="12"/>
  <c r="L50" i="12"/>
  <c r="L51" i="12"/>
  <c r="Q51" i="12"/>
  <c r="P51" i="12"/>
  <c r="O46" i="12"/>
  <c r="O47" i="12"/>
  <c r="O48" i="12"/>
  <c r="O49" i="12"/>
  <c r="O50" i="12"/>
  <c r="O51" i="12"/>
  <c r="M46" i="12"/>
  <c r="M47" i="12"/>
  <c r="M48" i="12"/>
  <c r="M49" i="12"/>
  <c r="M50" i="12"/>
  <c r="M51" i="12"/>
  <c r="K46" i="12"/>
  <c r="K47" i="12"/>
  <c r="K48" i="12"/>
  <c r="K49" i="12"/>
  <c r="K50" i="12"/>
  <c r="K51" i="12"/>
  <c r="F51" i="12"/>
  <c r="F50" i="12"/>
  <c r="F49" i="12"/>
  <c r="F46" i="12"/>
  <c r="F45" i="12"/>
  <c r="F44" i="12"/>
  <c r="F43" i="12"/>
  <c r="F42" i="12"/>
  <c r="F41" i="12"/>
  <c r="F38" i="12"/>
  <c r="F37" i="12"/>
  <c r="F36" i="12"/>
  <c r="F35" i="12"/>
  <c r="F34" i="12"/>
  <c r="F33" i="12"/>
  <c r="K29" i="12"/>
  <c r="L29" i="12"/>
  <c r="K28" i="12"/>
  <c r="L28" i="12"/>
  <c r="K27" i="12"/>
  <c r="L27" i="12"/>
  <c r="K26" i="12"/>
  <c r="L26" i="12"/>
  <c r="K25" i="12"/>
  <c r="L25" i="12"/>
  <c r="K24" i="12"/>
  <c r="L24" i="12"/>
  <c r="E8" i="12"/>
  <c r="D8" i="12"/>
  <c r="C8" i="12"/>
  <c r="F82" i="11"/>
  <c r="F81" i="11"/>
  <c r="F80" i="11"/>
  <c r="F79" i="11"/>
  <c r="F78" i="11"/>
  <c r="F77" i="11"/>
  <c r="F74" i="11"/>
  <c r="F73" i="11"/>
  <c r="F72" i="11"/>
  <c r="F71" i="11"/>
  <c r="F70" i="11"/>
  <c r="F69" i="11"/>
  <c r="F66" i="11"/>
  <c r="F65" i="11"/>
  <c r="F64" i="11"/>
  <c r="F63" i="11"/>
  <c r="F62" i="11"/>
  <c r="F61" i="11"/>
  <c r="F58" i="11"/>
  <c r="N51" i="11"/>
  <c r="N52" i="11"/>
  <c r="N53" i="11"/>
  <c r="N54" i="11"/>
  <c r="N55" i="11"/>
  <c r="N56" i="11"/>
  <c r="N57" i="11"/>
  <c r="J51" i="11"/>
  <c r="J52" i="11"/>
  <c r="J53" i="11"/>
  <c r="J54" i="11"/>
  <c r="J55" i="11"/>
  <c r="J56" i="11"/>
  <c r="J57" i="11"/>
  <c r="L51" i="11"/>
  <c r="L52" i="11"/>
  <c r="L53" i="11"/>
  <c r="L54" i="11"/>
  <c r="L55" i="11"/>
  <c r="L56" i="11"/>
  <c r="L57" i="11"/>
  <c r="Q57" i="11"/>
  <c r="P57" i="11"/>
  <c r="O51" i="11"/>
  <c r="O52" i="11"/>
  <c r="O53" i="11"/>
  <c r="O54" i="11"/>
  <c r="O55" i="11"/>
  <c r="O56" i="11"/>
  <c r="O57" i="11"/>
  <c r="M51" i="11"/>
  <c r="M52" i="11"/>
  <c r="M53" i="11"/>
  <c r="M54" i="11"/>
  <c r="M55" i="11"/>
  <c r="M56" i="11"/>
  <c r="M57" i="11"/>
  <c r="K51" i="11"/>
  <c r="K52" i="11"/>
  <c r="K53" i="11"/>
  <c r="K54" i="11"/>
  <c r="K55" i="11"/>
  <c r="K56" i="11"/>
  <c r="K57" i="11"/>
  <c r="F57" i="11"/>
  <c r="F56" i="11"/>
  <c r="F55" i="11"/>
  <c r="F54" i="11"/>
  <c r="F53" i="11"/>
  <c r="F50" i="11"/>
  <c r="F49" i="11"/>
  <c r="F48" i="11"/>
  <c r="F47" i="11"/>
  <c r="F46" i="11"/>
  <c r="F45" i="11"/>
  <c r="F42" i="11"/>
  <c r="F41" i="11"/>
  <c r="F40" i="11"/>
  <c r="F39" i="11"/>
  <c r="F38" i="11"/>
  <c r="F37" i="11"/>
  <c r="L33" i="11"/>
  <c r="M33" i="11"/>
  <c r="L32" i="11"/>
  <c r="M32" i="11"/>
  <c r="L31" i="11"/>
  <c r="M31" i="11"/>
  <c r="L30" i="11"/>
  <c r="M30" i="11"/>
  <c r="L29" i="11"/>
  <c r="M29" i="11"/>
  <c r="L28" i="11"/>
  <c r="M28" i="11"/>
  <c r="D9" i="11"/>
  <c r="C9" i="11"/>
  <c r="F69" i="10"/>
  <c r="F68" i="10"/>
  <c r="F67" i="10"/>
  <c r="F66" i="10"/>
  <c r="F65" i="10"/>
  <c r="F64" i="10"/>
  <c r="F61" i="10"/>
  <c r="F60" i="10"/>
  <c r="F59" i="10"/>
  <c r="F58" i="10"/>
  <c r="F57" i="10"/>
  <c r="F56" i="10"/>
  <c r="F52" i="10"/>
  <c r="F51" i="10"/>
  <c r="N45" i="10"/>
  <c r="N46" i="10"/>
  <c r="N47" i="10"/>
  <c r="N48" i="10"/>
  <c r="N49" i="10"/>
  <c r="N50" i="10"/>
  <c r="J45" i="10"/>
  <c r="J46" i="10"/>
  <c r="J47" i="10"/>
  <c r="J48" i="10"/>
  <c r="J49" i="10"/>
  <c r="J50" i="10"/>
  <c r="L45" i="10"/>
  <c r="L46" i="10"/>
  <c r="L47" i="10"/>
  <c r="L48" i="10"/>
  <c r="L49" i="10"/>
  <c r="L50" i="10"/>
  <c r="Q50" i="10"/>
  <c r="P50" i="10"/>
  <c r="O45" i="10"/>
  <c r="O46" i="10"/>
  <c r="O47" i="10"/>
  <c r="O48" i="10"/>
  <c r="O49" i="10"/>
  <c r="O50" i="10"/>
  <c r="M45" i="10"/>
  <c r="M46" i="10"/>
  <c r="M47" i="10"/>
  <c r="M48" i="10"/>
  <c r="M49" i="10"/>
  <c r="M50" i="10"/>
  <c r="K45" i="10"/>
  <c r="K46" i="10"/>
  <c r="K47" i="10"/>
  <c r="K48" i="10"/>
  <c r="K49" i="10"/>
  <c r="K50" i="10"/>
  <c r="F50" i="10"/>
  <c r="F49" i="10"/>
  <c r="F48" i="10"/>
  <c r="F45" i="10"/>
  <c r="F44" i="10"/>
  <c r="F43" i="10"/>
  <c r="F42" i="10"/>
  <c r="F41" i="10"/>
  <c r="F40" i="10"/>
  <c r="K28" i="10"/>
  <c r="L28" i="10"/>
  <c r="K27" i="10"/>
  <c r="L27" i="10"/>
  <c r="K26" i="10"/>
  <c r="L26" i="10"/>
  <c r="K25" i="10"/>
  <c r="L25" i="10"/>
  <c r="K24" i="10"/>
  <c r="L24" i="10"/>
  <c r="K23" i="10"/>
  <c r="L23" i="10"/>
  <c r="D8" i="10"/>
  <c r="C8" i="10"/>
  <c r="F59" i="9"/>
  <c r="F58" i="9"/>
  <c r="F57" i="9"/>
  <c r="F56" i="9"/>
  <c r="F55" i="9"/>
  <c r="F54" i="9"/>
  <c r="F50" i="9"/>
  <c r="F49" i="9"/>
  <c r="F48" i="9"/>
  <c r="F47" i="9"/>
  <c r="N42" i="9"/>
  <c r="N43" i="9"/>
  <c r="N44" i="9"/>
  <c r="N45" i="9"/>
  <c r="N46" i="9"/>
  <c r="J42" i="9"/>
  <c r="J43" i="9"/>
  <c r="J44" i="9"/>
  <c r="J45" i="9"/>
  <c r="J46" i="9"/>
  <c r="L42" i="9"/>
  <c r="L43" i="9"/>
  <c r="L44" i="9"/>
  <c r="L45" i="9"/>
  <c r="L46" i="9"/>
  <c r="Q46" i="9"/>
  <c r="P46" i="9"/>
  <c r="O42" i="9"/>
  <c r="O43" i="9"/>
  <c r="O44" i="9"/>
  <c r="O45" i="9"/>
  <c r="O46" i="9"/>
  <c r="M42" i="9"/>
  <c r="M43" i="9"/>
  <c r="M44" i="9"/>
  <c r="M45" i="9"/>
  <c r="M46" i="9"/>
  <c r="K42" i="9"/>
  <c r="K43" i="9"/>
  <c r="K44" i="9"/>
  <c r="K45" i="9"/>
  <c r="K46" i="9"/>
  <c r="F46" i="9"/>
  <c r="F43" i="9"/>
  <c r="F42" i="9"/>
  <c r="F41" i="9"/>
  <c r="F40" i="9"/>
  <c r="F39" i="9"/>
  <c r="F38" i="9"/>
  <c r="J26" i="9"/>
  <c r="K26" i="9"/>
  <c r="J25" i="9"/>
  <c r="K25" i="9"/>
  <c r="J24" i="9"/>
  <c r="K24" i="9"/>
  <c r="J23" i="9"/>
  <c r="K23" i="9"/>
  <c r="J22" i="9"/>
  <c r="K22" i="9"/>
  <c r="J21" i="9"/>
  <c r="K21" i="9"/>
  <c r="D7" i="9"/>
  <c r="C7" i="9"/>
  <c r="F87" i="8"/>
  <c r="M86" i="8"/>
  <c r="N86" i="8"/>
  <c r="O86" i="8"/>
  <c r="F86" i="8"/>
  <c r="M85" i="8"/>
  <c r="N85" i="8"/>
  <c r="O85" i="8"/>
  <c r="F85" i="8"/>
  <c r="M84" i="8"/>
  <c r="N84" i="8"/>
  <c r="O84" i="8"/>
  <c r="F84" i="8"/>
  <c r="M83" i="8"/>
  <c r="N83" i="8"/>
  <c r="O83" i="8"/>
  <c r="F83" i="8"/>
  <c r="M82" i="8"/>
  <c r="N82" i="8"/>
  <c r="O82" i="8"/>
  <c r="F82" i="8"/>
  <c r="M81" i="8"/>
  <c r="N81" i="8"/>
  <c r="O81" i="8"/>
  <c r="F79" i="8"/>
  <c r="F78" i="8"/>
  <c r="F77" i="8"/>
  <c r="F76" i="8"/>
  <c r="F75" i="8"/>
  <c r="F74" i="8"/>
  <c r="F71" i="8"/>
  <c r="F70" i="8"/>
  <c r="F69" i="8"/>
  <c r="F68" i="8"/>
  <c r="F67" i="8"/>
  <c r="F66" i="8"/>
  <c r="F63" i="8"/>
  <c r="F62" i="8"/>
  <c r="F61" i="8"/>
  <c r="F60" i="8"/>
  <c r="F59" i="8"/>
  <c r="F58" i="8"/>
  <c r="F55" i="8"/>
  <c r="F54" i="8"/>
  <c r="F53" i="8"/>
  <c r="F52" i="8"/>
  <c r="N46" i="8"/>
  <c r="N47" i="8"/>
  <c r="N48" i="8"/>
  <c r="N49" i="8"/>
  <c r="N50" i="8"/>
  <c r="N51" i="8"/>
  <c r="J46" i="8"/>
  <c r="J47" i="8"/>
  <c r="J48" i="8"/>
  <c r="J49" i="8"/>
  <c r="J50" i="8"/>
  <c r="J51" i="8"/>
  <c r="L46" i="8"/>
  <c r="L47" i="8"/>
  <c r="L48" i="8"/>
  <c r="L49" i="8"/>
  <c r="L50" i="8"/>
  <c r="L51" i="8"/>
  <c r="Q51" i="8"/>
  <c r="P51" i="8"/>
  <c r="O46" i="8"/>
  <c r="O47" i="8"/>
  <c r="O48" i="8"/>
  <c r="O49" i="8"/>
  <c r="O50" i="8"/>
  <c r="O51" i="8"/>
  <c r="M46" i="8"/>
  <c r="M47" i="8"/>
  <c r="M48" i="8"/>
  <c r="M49" i="8"/>
  <c r="M50" i="8"/>
  <c r="M51" i="8"/>
  <c r="K46" i="8"/>
  <c r="K47" i="8"/>
  <c r="K48" i="8"/>
  <c r="K49" i="8"/>
  <c r="K50" i="8"/>
  <c r="K51" i="8"/>
  <c r="F51" i="8"/>
  <c r="F50" i="8"/>
  <c r="F46" i="8"/>
  <c r="F45" i="8"/>
  <c r="F44" i="8"/>
  <c r="F43" i="8"/>
  <c r="F42" i="8"/>
  <c r="F39" i="8"/>
  <c r="F38" i="8"/>
  <c r="F37" i="8"/>
  <c r="F36" i="8"/>
  <c r="F35" i="8"/>
  <c r="F34" i="8"/>
  <c r="K30" i="8"/>
  <c r="L30" i="8"/>
  <c r="K29" i="8"/>
  <c r="L29" i="8"/>
  <c r="K28" i="8"/>
  <c r="L28" i="8"/>
  <c r="K27" i="8"/>
  <c r="L27" i="8"/>
  <c r="K26" i="8"/>
  <c r="L26" i="8"/>
  <c r="K25" i="8"/>
  <c r="L25" i="8"/>
  <c r="E11" i="8"/>
  <c r="D11" i="8"/>
  <c r="N50" i="7"/>
  <c r="J50" i="7"/>
  <c r="L50" i="7"/>
  <c r="Q50" i="7"/>
  <c r="P50" i="7"/>
  <c r="O50" i="7"/>
  <c r="M50" i="7"/>
  <c r="K50" i="7"/>
  <c r="E8" i="7"/>
  <c r="D8" i="7"/>
  <c r="C8" i="7"/>
  <c r="F95" i="6"/>
  <c r="F94" i="6"/>
  <c r="F93" i="6"/>
  <c r="F92" i="6"/>
  <c r="F91" i="6"/>
  <c r="F90" i="6"/>
  <c r="F84" i="6"/>
  <c r="F83" i="6"/>
  <c r="F82" i="6"/>
  <c r="F81" i="6"/>
  <c r="F80" i="6"/>
  <c r="F79" i="6"/>
  <c r="F73" i="6"/>
  <c r="F72" i="6"/>
  <c r="F71" i="6"/>
  <c r="F70" i="6"/>
  <c r="F69" i="6"/>
  <c r="F68" i="6"/>
  <c r="N49" i="6"/>
  <c r="N50" i="6"/>
  <c r="N51" i="6"/>
  <c r="N52" i="6"/>
  <c r="N53" i="6"/>
  <c r="N54" i="6"/>
  <c r="N55" i="6"/>
  <c r="J49" i="6"/>
  <c r="J50" i="6"/>
  <c r="J51" i="6"/>
  <c r="J52" i="6"/>
  <c r="J53" i="6"/>
  <c r="J54" i="6"/>
  <c r="J55" i="6"/>
  <c r="L49" i="6"/>
  <c r="L50" i="6"/>
  <c r="L51" i="6"/>
  <c r="L52" i="6"/>
  <c r="L53" i="6"/>
  <c r="L54" i="6"/>
  <c r="L55" i="6"/>
  <c r="Q55" i="6"/>
  <c r="P55" i="6"/>
  <c r="O49" i="6"/>
  <c r="O50" i="6"/>
  <c r="O51" i="6"/>
  <c r="O52" i="6"/>
  <c r="O53" i="6"/>
  <c r="O54" i="6"/>
  <c r="O55" i="6"/>
  <c r="M49" i="6"/>
  <c r="M50" i="6"/>
  <c r="M51" i="6"/>
  <c r="M52" i="6"/>
  <c r="M53" i="6"/>
  <c r="M54" i="6"/>
  <c r="M55" i="6"/>
  <c r="K49" i="6"/>
  <c r="K50" i="6"/>
  <c r="K51" i="6"/>
  <c r="K52" i="6"/>
  <c r="K53" i="6"/>
  <c r="K54" i="6"/>
  <c r="K55" i="6"/>
  <c r="F53" i="6"/>
  <c r="F52" i="6"/>
  <c r="F51" i="6"/>
  <c r="F50" i="6"/>
  <c r="F49" i="6"/>
  <c r="F48" i="6"/>
  <c r="L31" i="6"/>
  <c r="M31" i="6"/>
  <c r="L30" i="6"/>
  <c r="M30" i="6"/>
  <c r="L29" i="6"/>
  <c r="M29" i="6"/>
  <c r="L28" i="6"/>
  <c r="M28" i="6"/>
  <c r="L27" i="6"/>
  <c r="M27" i="6"/>
  <c r="L26" i="6"/>
  <c r="M26" i="6"/>
  <c r="E9" i="6"/>
  <c r="D9" i="6"/>
  <c r="C9" i="6"/>
  <c r="F138" i="5"/>
  <c r="F137" i="5"/>
  <c r="F136" i="5"/>
  <c r="F135" i="5"/>
  <c r="F134" i="5"/>
  <c r="F133" i="5"/>
  <c r="F129" i="5"/>
  <c r="F128" i="5"/>
  <c r="F127" i="5"/>
  <c r="F126" i="5"/>
  <c r="F125" i="5"/>
  <c r="F124" i="5"/>
  <c r="J108" i="5"/>
  <c r="J107" i="5"/>
  <c r="J106" i="5"/>
  <c r="J105" i="5"/>
  <c r="J104" i="5"/>
  <c r="J103" i="5"/>
  <c r="O94" i="5"/>
  <c r="O97" i="5"/>
  <c r="O98" i="5"/>
  <c r="O99" i="5"/>
  <c r="N94" i="5"/>
  <c r="N97" i="5"/>
  <c r="N98" i="5"/>
  <c r="N99" i="5"/>
  <c r="M94" i="5"/>
  <c r="M97" i="5"/>
  <c r="M98" i="5"/>
  <c r="M99" i="5"/>
  <c r="L94" i="5"/>
  <c r="L97" i="5"/>
  <c r="L98" i="5"/>
  <c r="L99" i="5"/>
  <c r="K94" i="5"/>
  <c r="K97" i="5"/>
  <c r="K98" i="5"/>
  <c r="K99" i="5"/>
  <c r="J94" i="5"/>
  <c r="J97" i="5"/>
  <c r="J98" i="5"/>
  <c r="J99" i="5"/>
  <c r="K75" i="5"/>
  <c r="M77" i="5"/>
  <c r="F65" i="5"/>
  <c r="F64" i="5"/>
  <c r="F63" i="5"/>
  <c r="F62" i="5"/>
  <c r="F61" i="5"/>
  <c r="F60" i="5"/>
  <c r="F59" i="5"/>
  <c r="F58" i="5"/>
  <c r="J55" i="5"/>
  <c r="L55" i="5"/>
  <c r="N55" i="5"/>
  <c r="Q55" i="5"/>
  <c r="P55" i="5"/>
  <c r="O55" i="5"/>
  <c r="M55" i="5"/>
  <c r="K55" i="5"/>
  <c r="F54" i="5"/>
  <c r="F53" i="5"/>
  <c r="F52" i="5"/>
  <c r="F51" i="5"/>
  <c r="F50" i="5"/>
  <c r="F49" i="5"/>
  <c r="F48" i="5"/>
  <c r="F47" i="5"/>
  <c r="F43" i="5"/>
  <c r="F42" i="5"/>
  <c r="F41" i="5"/>
  <c r="F40" i="5"/>
  <c r="F39" i="5"/>
  <c r="F38" i="5"/>
  <c r="F37" i="5"/>
  <c r="F36" i="5"/>
  <c r="F13" i="5"/>
  <c r="D13" i="5"/>
  <c r="F138" i="25"/>
  <c r="F137" i="25"/>
  <c r="F136" i="25"/>
  <c r="F135" i="25"/>
  <c r="F134" i="25"/>
  <c r="F133" i="25"/>
  <c r="F129" i="25"/>
  <c r="F128" i="25"/>
  <c r="F127" i="25"/>
  <c r="F126" i="25"/>
  <c r="F125" i="25"/>
  <c r="F124" i="25"/>
  <c r="J108" i="25"/>
  <c r="J107" i="25"/>
  <c r="J106" i="25"/>
  <c r="J105" i="25"/>
  <c r="J104" i="25"/>
  <c r="J103" i="25"/>
  <c r="O94" i="25"/>
  <c r="O95" i="25"/>
  <c r="O96" i="25"/>
  <c r="O97" i="25"/>
  <c r="O98" i="25"/>
  <c r="O99" i="25"/>
  <c r="N94" i="25"/>
  <c r="N95" i="25"/>
  <c r="N96" i="25"/>
  <c r="N97" i="25"/>
  <c r="N98" i="25"/>
  <c r="N99" i="25"/>
  <c r="M94" i="25"/>
  <c r="M95" i="25"/>
  <c r="M96" i="25"/>
  <c r="M97" i="25"/>
  <c r="M98" i="25"/>
  <c r="M99" i="25"/>
  <c r="L94" i="25"/>
  <c r="L95" i="25"/>
  <c r="L96" i="25"/>
  <c r="L97" i="25"/>
  <c r="L98" i="25"/>
  <c r="L99" i="25"/>
  <c r="K94" i="25"/>
  <c r="K95" i="25"/>
  <c r="K96" i="25"/>
  <c r="K97" i="25"/>
  <c r="K98" i="25"/>
  <c r="K99" i="25"/>
  <c r="J94" i="25"/>
  <c r="J95" i="25"/>
  <c r="J96" i="25"/>
  <c r="J97" i="25"/>
  <c r="J98" i="25"/>
  <c r="J99" i="25"/>
  <c r="K75" i="25"/>
  <c r="M77" i="25"/>
  <c r="F65" i="25"/>
  <c r="F64" i="25"/>
  <c r="F63" i="25"/>
  <c r="F62" i="25"/>
  <c r="F61" i="25"/>
  <c r="F60" i="25"/>
  <c r="F59" i="25"/>
  <c r="F58" i="25"/>
  <c r="N49" i="25"/>
  <c r="N50" i="25"/>
  <c r="N51" i="25"/>
  <c r="N52" i="25"/>
  <c r="N53" i="25"/>
  <c r="N54" i="25"/>
  <c r="N55" i="25"/>
  <c r="J49" i="25"/>
  <c r="J50" i="25"/>
  <c r="J51" i="25"/>
  <c r="J52" i="25"/>
  <c r="J53" i="25"/>
  <c r="J54" i="25"/>
  <c r="J55" i="25"/>
  <c r="L49" i="25"/>
  <c r="L50" i="25"/>
  <c r="L51" i="25"/>
  <c r="L52" i="25"/>
  <c r="L53" i="25"/>
  <c r="L54" i="25"/>
  <c r="L55" i="25"/>
  <c r="Q55" i="25"/>
  <c r="P55" i="25"/>
  <c r="O49" i="25"/>
  <c r="O50" i="25"/>
  <c r="O51" i="25"/>
  <c r="O52" i="25"/>
  <c r="O53" i="25"/>
  <c r="O54" i="25"/>
  <c r="O55" i="25"/>
  <c r="M49" i="25"/>
  <c r="M50" i="25"/>
  <c r="M51" i="25"/>
  <c r="M52" i="25"/>
  <c r="M53" i="25"/>
  <c r="M54" i="25"/>
  <c r="M55" i="25"/>
  <c r="K49" i="25"/>
  <c r="K50" i="25"/>
  <c r="K51" i="25"/>
  <c r="K52" i="25"/>
  <c r="K53" i="25"/>
  <c r="K54" i="25"/>
  <c r="K55" i="25"/>
  <c r="F54" i="25"/>
  <c r="F53" i="25"/>
  <c r="F52" i="25"/>
  <c r="F51" i="25"/>
  <c r="F50" i="25"/>
  <c r="F49" i="25"/>
  <c r="F48" i="25"/>
  <c r="F47" i="25"/>
  <c r="F43" i="25"/>
  <c r="F42" i="25"/>
  <c r="F41" i="25"/>
  <c r="F40" i="25"/>
  <c r="F39" i="25"/>
  <c r="F38" i="25"/>
  <c r="F37" i="25"/>
  <c r="F36" i="25"/>
  <c r="L33" i="25"/>
  <c r="M33" i="25"/>
  <c r="L32" i="25"/>
  <c r="M32" i="25"/>
  <c r="L31" i="25"/>
  <c r="M31" i="25"/>
  <c r="L30" i="25"/>
  <c r="M30" i="25"/>
  <c r="L29" i="25"/>
  <c r="M29" i="25"/>
  <c r="L28" i="25"/>
  <c r="M28" i="25"/>
  <c r="F13" i="25"/>
  <c r="E13" i="25"/>
  <c r="D13" i="25"/>
  <c r="F66" i="4"/>
  <c r="F65" i="4"/>
  <c r="F64" i="4"/>
  <c r="F63" i="4"/>
  <c r="F62" i="4"/>
  <c r="F61" i="4"/>
  <c r="F60" i="4"/>
  <c r="F59" i="4"/>
  <c r="F44" i="4"/>
  <c r="F43" i="4"/>
  <c r="F42" i="4"/>
  <c r="F41" i="4"/>
  <c r="F40" i="4"/>
  <c r="F39" i="4"/>
  <c r="F38" i="4"/>
  <c r="F37" i="4"/>
  <c r="F11" i="4"/>
  <c r="E11" i="4"/>
  <c r="D11" i="4"/>
  <c r="F109" i="3"/>
  <c r="F108" i="3"/>
  <c r="F107" i="3"/>
  <c r="F106" i="3"/>
  <c r="F105" i="3"/>
  <c r="F104" i="3"/>
  <c r="F98" i="3"/>
  <c r="F97" i="3"/>
  <c r="F96" i="3"/>
  <c r="F95" i="3"/>
  <c r="F94" i="3"/>
  <c r="F93" i="3"/>
  <c r="F87" i="3"/>
  <c r="N80" i="3"/>
  <c r="N81" i="3"/>
  <c r="N82" i="3"/>
  <c r="N83" i="3"/>
  <c r="N84" i="3"/>
  <c r="N85" i="3"/>
  <c r="N86" i="3"/>
  <c r="J80" i="3"/>
  <c r="J81" i="3"/>
  <c r="J82" i="3"/>
  <c r="J83" i="3"/>
  <c r="J84" i="3"/>
  <c r="J85" i="3"/>
  <c r="J86" i="3"/>
  <c r="L80" i="3"/>
  <c r="L81" i="3"/>
  <c r="L82" i="3"/>
  <c r="L83" i="3"/>
  <c r="L84" i="3"/>
  <c r="L85" i="3"/>
  <c r="L86" i="3"/>
  <c r="Q86" i="3"/>
  <c r="P86" i="3"/>
  <c r="O80" i="3"/>
  <c r="O81" i="3"/>
  <c r="O82" i="3"/>
  <c r="O83" i="3"/>
  <c r="O84" i="3"/>
  <c r="O85" i="3"/>
  <c r="O86" i="3"/>
  <c r="M80" i="3"/>
  <c r="M81" i="3"/>
  <c r="M82" i="3"/>
  <c r="M83" i="3"/>
  <c r="M84" i="3"/>
  <c r="M85" i="3"/>
  <c r="M86" i="3"/>
  <c r="K80" i="3"/>
  <c r="K81" i="3"/>
  <c r="K82" i="3"/>
  <c r="K83" i="3"/>
  <c r="K84" i="3"/>
  <c r="K85" i="3"/>
  <c r="K86" i="3"/>
  <c r="F86" i="3"/>
  <c r="F85" i="3"/>
  <c r="F84" i="3"/>
  <c r="F83" i="3"/>
  <c r="F82" i="3"/>
  <c r="F76" i="3"/>
  <c r="F75" i="3"/>
  <c r="F74" i="3"/>
  <c r="F73" i="3"/>
  <c r="F72" i="3"/>
  <c r="F71" i="3"/>
  <c r="F70" i="3"/>
  <c r="F69" i="3"/>
  <c r="F65" i="3"/>
  <c r="F64" i="3"/>
  <c r="F63" i="3"/>
  <c r="F62" i="3"/>
  <c r="F61" i="3"/>
  <c r="F60" i="3"/>
  <c r="K59" i="3"/>
  <c r="L59" i="3"/>
  <c r="M59" i="3"/>
  <c r="F59" i="3"/>
  <c r="K58" i="3"/>
  <c r="L58" i="3"/>
  <c r="M58" i="3"/>
  <c r="F58" i="3"/>
  <c r="K57" i="3"/>
  <c r="L57" i="3"/>
  <c r="M57" i="3"/>
  <c r="K56" i="3"/>
  <c r="L56" i="3"/>
  <c r="M56" i="3"/>
  <c r="K55" i="3"/>
  <c r="L55" i="3"/>
  <c r="M55" i="3"/>
  <c r="K54" i="3"/>
  <c r="L54" i="3"/>
  <c r="M54" i="3"/>
  <c r="F54" i="3"/>
  <c r="K53" i="3"/>
  <c r="L53" i="3"/>
  <c r="F53" i="3"/>
  <c r="K52" i="3"/>
  <c r="L52" i="3"/>
  <c r="F52" i="3"/>
  <c r="F51" i="3"/>
  <c r="F50" i="3"/>
  <c r="F49" i="3"/>
  <c r="F48" i="3"/>
  <c r="F47" i="3"/>
  <c r="F43" i="3"/>
  <c r="F42" i="3"/>
  <c r="F41" i="3"/>
  <c r="F40" i="3"/>
  <c r="F39" i="3"/>
  <c r="F38" i="3"/>
  <c r="F37" i="3"/>
  <c r="F36" i="3"/>
  <c r="L32" i="3"/>
  <c r="M32" i="3"/>
  <c r="L31" i="3"/>
  <c r="M31" i="3"/>
  <c r="L30" i="3"/>
  <c r="M30" i="3"/>
  <c r="L29" i="3"/>
  <c r="M29" i="3"/>
  <c r="L28" i="3"/>
  <c r="M28" i="3"/>
  <c r="L27" i="3"/>
  <c r="M27" i="3"/>
  <c r="E10" i="3"/>
  <c r="D10" i="3"/>
  <c r="F99" i="1"/>
  <c r="F98" i="1"/>
  <c r="F97" i="1"/>
  <c r="F96" i="1"/>
  <c r="F95" i="1"/>
  <c r="F94" i="1"/>
  <c r="F93" i="1"/>
  <c r="F92" i="1"/>
  <c r="F88" i="1"/>
  <c r="F87" i="1"/>
  <c r="F86" i="1"/>
  <c r="F85" i="1"/>
  <c r="F84" i="1"/>
  <c r="F83" i="1"/>
  <c r="F82" i="1"/>
  <c r="F81" i="1"/>
  <c r="F77" i="1"/>
  <c r="F76" i="1"/>
  <c r="F75" i="1"/>
  <c r="F74" i="1"/>
  <c r="F73" i="1"/>
  <c r="F72" i="1"/>
  <c r="F71" i="1"/>
  <c r="F70" i="1"/>
  <c r="F66" i="1"/>
  <c r="F65" i="1"/>
  <c r="F64" i="1"/>
  <c r="F63" i="1"/>
  <c r="F62" i="1"/>
  <c r="F61" i="1"/>
  <c r="F60" i="1"/>
  <c r="F59" i="1"/>
  <c r="N52" i="1"/>
  <c r="N53" i="1"/>
  <c r="N54" i="1"/>
  <c r="N55" i="1"/>
  <c r="N56" i="1"/>
  <c r="N57" i="1"/>
  <c r="N58" i="1"/>
  <c r="J52" i="1"/>
  <c r="J53" i="1"/>
  <c r="J54" i="1"/>
  <c r="J55" i="1"/>
  <c r="J56" i="1"/>
  <c r="J57" i="1"/>
  <c r="J58" i="1"/>
  <c r="L52" i="1"/>
  <c r="L53" i="1"/>
  <c r="L54" i="1"/>
  <c r="L55" i="1"/>
  <c r="L56" i="1"/>
  <c r="L57" i="1"/>
  <c r="L58" i="1"/>
  <c r="Q58" i="1"/>
  <c r="P58" i="1"/>
  <c r="O52" i="1"/>
  <c r="O53" i="1"/>
  <c r="O54" i="1"/>
  <c r="O55" i="1"/>
  <c r="O56" i="1"/>
  <c r="O57" i="1"/>
  <c r="O58" i="1"/>
  <c r="M52" i="1"/>
  <c r="M53" i="1"/>
  <c r="M54" i="1"/>
  <c r="M55" i="1"/>
  <c r="M56" i="1"/>
  <c r="M57" i="1"/>
  <c r="M58" i="1"/>
  <c r="K52" i="1"/>
  <c r="K53" i="1"/>
  <c r="K54" i="1"/>
  <c r="K55" i="1"/>
  <c r="K56" i="1"/>
  <c r="K57" i="1"/>
  <c r="K58" i="1"/>
  <c r="F55" i="1"/>
  <c r="F54" i="1"/>
  <c r="F53" i="1"/>
  <c r="F52" i="1"/>
  <c r="F51" i="1"/>
  <c r="F50" i="1"/>
  <c r="F49" i="1"/>
  <c r="F48" i="1"/>
  <c r="F44" i="1"/>
  <c r="F43" i="1"/>
  <c r="F42" i="1"/>
  <c r="F41" i="1"/>
  <c r="F40" i="1"/>
  <c r="F39" i="1"/>
  <c r="F38" i="1"/>
  <c r="F37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L26" i="1"/>
  <c r="E9" i="1"/>
  <c r="D9" i="1"/>
  <c r="C9" i="1"/>
</calcChain>
</file>

<file path=xl/sharedStrings.xml><?xml version="1.0" encoding="utf-8"?>
<sst xmlns="http://schemas.openxmlformats.org/spreadsheetml/2006/main" count="5491" uniqueCount="507">
  <si>
    <t>Suroviny</t>
  </si>
  <si>
    <t>Výrobca</t>
  </si>
  <si>
    <t>Francúzska bageta</t>
  </si>
  <si>
    <t>La Lorraine</t>
  </si>
  <si>
    <t>Množstvo (g)</t>
  </si>
  <si>
    <t>Zloženie</t>
  </si>
  <si>
    <t>Alergény</t>
  </si>
  <si>
    <t>Môže obsahovať</t>
  </si>
  <si>
    <t>sója, sezam, mlieko, orechy, vajcia</t>
  </si>
  <si>
    <r>
      <t>pšeničná múka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pitná voda, repkový olej, droždie, regulátor kyslosti: E263, múku upravujúca látka (E300, E920), jedlá soľ s jódom, cukor</t>
    </r>
  </si>
  <si>
    <t>Majonéza s obsahom tuku 50%</t>
  </si>
  <si>
    <t>SPAK Foods s.r.o.</t>
  </si>
  <si>
    <t>Ľadový šalát</t>
  </si>
  <si>
    <t>Paradajka</t>
  </si>
  <si>
    <t>Vajíčko</t>
  </si>
  <si>
    <t>Encián</t>
  </si>
  <si>
    <t>Tatranská mliekareň a.s.</t>
  </si>
  <si>
    <t>mlieko</t>
  </si>
  <si>
    <t>Množstvo (%)</t>
  </si>
  <si>
    <t>Cibuľová majonéza</t>
  </si>
  <si>
    <t>Cibuľová primera</t>
  </si>
  <si>
    <t>UNILEVER ČR, spol. s.r.o.</t>
  </si>
  <si>
    <t>slnečnicový olej, opečená cibuľa 37%, jedlá soľ, úplne hydrogenovaný repkový olej, cukor, stimulátor chutnosti (glutaman sodný)</t>
  </si>
  <si>
    <t>Cibuľka zelená</t>
  </si>
  <si>
    <t>Debrecínska pečeň</t>
  </si>
  <si>
    <t>Púchovský mäsový priemysel, a.s.</t>
  </si>
  <si>
    <t>Syr GOLD TEHLA 45%</t>
  </si>
  <si>
    <t>Výrobca/Distribútor</t>
  </si>
  <si>
    <t>BAPE FOOD s.r.o.</t>
  </si>
  <si>
    <t>Kurací gyros</t>
  </si>
  <si>
    <t>Kečup</t>
  </si>
  <si>
    <t>Gyros korenie</t>
  </si>
  <si>
    <t>Snico, s.r.o.</t>
  </si>
  <si>
    <t>pitná voda, paradajkový pretlak, izoglukózový sirup, chemická konzervačná látka: sorban draselný, benzoan sodný</t>
  </si>
  <si>
    <t>pitná voda, paradajkový pretlak, cukor, kvasný ocot liehový, modifikovaný kukuričný škrob, jedlá soľ (max. 3,5%), regulátor kyslosti: kyselina citrónová, konzervačná látka: kyselina benzoová, zmes korenín, zahusťovadlo: xanthan</t>
  </si>
  <si>
    <t>Paprika</t>
  </si>
  <si>
    <t>Moravské mäso</t>
  </si>
  <si>
    <t>bravčové stehno 66%, pitná voda, jedlá soľ, modifikovaný škrob, zahusťovadlo: E407, bravčová bielkovina, stabilizátory: E450, E451, regulátor kyslosti: E331, dextróza, antioxidant: E316, extrakty korenín, konzervačná látka: E250, farbivo: obyčajný karamel</t>
  </si>
  <si>
    <t>Majonéza s obsahom tuku 65%</t>
  </si>
  <si>
    <t>Bravčová šunka</t>
  </si>
  <si>
    <t>LE CO - Ing. Jiří Lenc, s.r.o.</t>
  </si>
  <si>
    <t>bravčové stehno 70%, pitná voda 24%, jedlá soľ, konzervačná látka: E250, stabilizátory: E451, E450, zahusťovadlá: E407a, E415, cukor, antioxidanty: E316, E301</t>
  </si>
  <si>
    <t>vajcia</t>
  </si>
  <si>
    <t>Uhorka sterilizovaná</t>
  </si>
  <si>
    <t>horčicové semeno</t>
  </si>
  <si>
    <t>Croissant s máslom</t>
  </si>
  <si>
    <t>Bazalkové pesto</t>
  </si>
  <si>
    <t>Šalát LOLLO BIONDO</t>
  </si>
  <si>
    <t>Mozzarella</t>
  </si>
  <si>
    <t>Natierkové máslo</t>
  </si>
  <si>
    <t>AGROTAMI, a.s.</t>
  </si>
  <si>
    <t>Kornbageta</t>
  </si>
  <si>
    <t>Paprika zelená</t>
  </si>
  <si>
    <t>Paradajka cherry</t>
  </si>
  <si>
    <t>Kuracie mäso grilované</t>
  </si>
  <si>
    <t>Kápia sterilizovaná</t>
  </si>
  <si>
    <t>Grilovacie korenie</t>
  </si>
  <si>
    <t>GurmEko s.r.o.</t>
  </si>
  <si>
    <t>horčica</t>
  </si>
  <si>
    <t>Olivový olej</t>
  </si>
  <si>
    <t>Grilovaná oravská slanina</t>
  </si>
  <si>
    <t>Pór</t>
  </si>
  <si>
    <t>Chilli omáčka</t>
  </si>
  <si>
    <t>iné obylniny obsahujúce lepok, vajcia, mlieko, sóju, orechy, zeler, sezam</t>
  </si>
  <si>
    <t>Syr Mozzarella</t>
  </si>
  <si>
    <t>Bazalka</t>
  </si>
  <si>
    <t>Tuniak</t>
  </si>
  <si>
    <t>Maslo</t>
  </si>
  <si>
    <t>Horčica</t>
  </si>
  <si>
    <t>Cibuľa červená kolieska</t>
  </si>
  <si>
    <t>0,5</t>
  </si>
  <si>
    <t>ALBA plus, s.r.o.</t>
  </si>
  <si>
    <t>Sendvič</t>
  </si>
  <si>
    <t>Zemiakový šalát</t>
  </si>
  <si>
    <t>Saláma</t>
  </si>
  <si>
    <t>sóju, sezam, mlieko, orechy, vajcia</t>
  </si>
  <si>
    <r>
      <t xml:space="preserve">pasterizované </t>
    </r>
    <r>
      <rPr>
        <b/>
        <sz val="12"/>
        <color theme="1"/>
        <rFont val="Calibri"/>
        <family val="2"/>
        <scheme val="minor"/>
      </rPr>
      <t>mlieko</t>
    </r>
    <r>
      <rPr>
        <sz val="12"/>
        <color theme="1"/>
        <rFont val="Calibri"/>
        <family val="2"/>
        <scheme val="minor"/>
      </rPr>
      <t>, jedlá soľ, syridlo, mliekarenské kultúry, Penicillium candidum</t>
    </r>
  </si>
  <si>
    <r>
      <t>odstredené</t>
    </r>
    <r>
      <rPr>
        <b/>
        <sz val="12"/>
        <color theme="1"/>
        <rFont val="Calibri"/>
        <family val="2"/>
        <scheme val="minor"/>
      </rPr>
      <t xml:space="preserve"> mlieko</t>
    </r>
    <r>
      <rPr>
        <sz val="12"/>
        <color theme="1"/>
        <rFont val="Calibri"/>
        <family val="2"/>
        <scheme val="minor"/>
      </rPr>
      <t>, rastlinný tuk: palmový úplne hydrogenovaný 26%, stabilizátor: chlorid vápenatý, syridlo, jedlá soľ max. 2,5%, mliekarenské kultúry, farbivo: karotény</t>
    </r>
  </si>
  <si>
    <t>HAMÉ SLOVAKIA, spol. s.r.o.</t>
  </si>
  <si>
    <t>KFD, s.r.o.</t>
  </si>
  <si>
    <t>jedlá soľ (max. 39%), cesnak sušený granulovaný, paprika sladká mletá, zvýrazňovač chuti a arómy (glutaman sodný), cibuľa sušená granulovaná, čierne korenie mleté, paprika štipľavá mletá, oregano, rozmarín, šalvia</t>
  </si>
  <si>
    <t>Moravské formované mäso</t>
  </si>
  <si>
    <t>vajcia, horčicové semeno</t>
  </si>
  <si>
    <t>pšenica obyčajný</t>
  </si>
  <si>
    <t>pšenica obyčajná</t>
  </si>
  <si>
    <t>bravčové stehno 70%, pitná voda 24%, jedlá soľ, konzervačná látka: E250, stabilizátory: E451, E450, zahusťovadla: E407a, E415, cukor, antioxidanty: E316, E301</t>
  </si>
  <si>
    <t>vajcia, mlieko</t>
  </si>
  <si>
    <t>sóju, sezam, orechy</t>
  </si>
  <si>
    <t>pšenica obyčajný, vajcia, mlieko</t>
  </si>
  <si>
    <r>
      <t xml:space="preserve">pasterizovaná </t>
    </r>
    <r>
      <rPr>
        <b/>
        <sz val="12"/>
        <color theme="1"/>
        <rFont val="Calibri"/>
        <family val="2"/>
        <scheme val="minor"/>
      </rPr>
      <t>smotana</t>
    </r>
    <r>
      <rPr>
        <sz val="12"/>
        <color theme="1"/>
        <rFont val="Calibri"/>
        <family val="2"/>
        <scheme val="minor"/>
      </rPr>
      <t>, kokosový rastlinný tuk, sušené</t>
    </r>
    <r>
      <rPr>
        <b/>
        <sz val="12"/>
        <color theme="1"/>
        <rFont val="Calibri"/>
        <family val="2"/>
        <scheme val="minor"/>
      </rPr>
      <t xml:space="preserve"> mlieko,</t>
    </r>
    <r>
      <rPr>
        <sz val="12"/>
        <color theme="1"/>
        <rFont val="Calibri"/>
        <family val="2"/>
        <scheme val="minor"/>
      </rPr>
      <t xml:space="preserve"> sušená </t>
    </r>
    <r>
      <rPr>
        <b/>
        <sz val="12"/>
        <color theme="1"/>
        <rFont val="Calibri"/>
        <family val="2"/>
        <scheme val="minor"/>
      </rPr>
      <t>srvátka</t>
    </r>
    <r>
      <rPr>
        <sz val="12"/>
        <color theme="1"/>
        <rFont val="Calibri"/>
        <family val="2"/>
        <scheme val="minor"/>
      </rPr>
      <t>, zemiakový škrob, jedlá soľ, smotanová kultúra</t>
    </r>
  </si>
  <si>
    <r>
      <rPr>
        <b/>
        <sz val="12"/>
        <color theme="1"/>
        <rFont val="Calibri"/>
        <family val="2"/>
        <scheme val="minor"/>
      </rPr>
      <t>pšeničná múka</t>
    </r>
    <r>
      <rPr>
        <sz val="12"/>
        <color theme="1"/>
        <rFont val="Calibri"/>
        <family val="2"/>
        <scheme val="minor"/>
      </rPr>
      <t>, pitná voda, margarín (palmový tuk, slnečnicový olej, pitná voda, maslo (</t>
    </r>
    <r>
      <rPr>
        <b/>
        <sz val="12"/>
        <color theme="1"/>
        <rFont val="Calibri"/>
        <family val="2"/>
        <scheme val="minor"/>
      </rPr>
      <t>mlieko</t>
    </r>
    <r>
      <rPr>
        <sz val="12"/>
        <color theme="1"/>
        <rFont val="Calibri"/>
        <family val="2"/>
        <scheme val="minor"/>
      </rPr>
      <t>) (10%), emulgátor: E471, jedlá soľ s jódom, regulátor kyslosti: E330, aróma, farbivo: E160a), cukor, droždie, vaječná melanž (</t>
    </r>
    <r>
      <rPr>
        <b/>
        <sz val="12"/>
        <color theme="1"/>
        <rFont val="Calibri"/>
        <family val="2"/>
        <scheme val="minor"/>
      </rPr>
      <t>vajcia</t>
    </r>
    <r>
      <rPr>
        <sz val="12"/>
        <color theme="1"/>
        <rFont val="Calibri"/>
        <family val="2"/>
        <scheme val="minor"/>
      </rPr>
      <t xml:space="preserve">, antioxidanty: E325, E326, </t>
    </r>
    <r>
      <rPr>
        <b/>
        <sz val="12"/>
        <color theme="1"/>
        <rFont val="Calibri"/>
        <family val="2"/>
        <scheme val="minor"/>
      </rPr>
      <t>pšeničný</t>
    </r>
    <r>
      <rPr>
        <sz val="12"/>
        <color theme="1"/>
        <rFont val="Calibri"/>
        <family val="2"/>
        <scheme val="minor"/>
      </rPr>
      <t xml:space="preserve"> lepok, emulgátor: E472e, múku upravujúca látka: E300</t>
    </r>
  </si>
  <si>
    <r>
      <rPr>
        <b/>
        <sz val="12"/>
        <color theme="1"/>
        <rFont val="Calibri"/>
        <family val="2"/>
        <scheme val="minor"/>
      </rPr>
      <t>pšeničná múka</t>
    </r>
    <r>
      <rPr>
        <sz val="12"/>
        <color theme="1"/>
        <rFont val="Calibri"/>
        <family val="2"/>
        <scheme val="minor"/>
      </rPr>
      <t>, pitná voda, margarín (palmový tuk, slnečnicový olej, pitná voda, maslo (</t>
    </r>
    <r>
      <rPr>
        <b/>
        <sz val="12"/>
        <color theme="1"/>
        <rFont val="Calibri"/>
        <family val="2"/>
        <scheme val="minor"/>
      </rPr>
      <t>mlieko</t>
    </r>
    <r>
      <rPr>
        <sz val="12"/>
        <color theme="1"/>
        <rFont val="Calibri"/>
        <family val="2"/>
        <scheme val="minor"/>
      </rPr>
      <t>) (10%), emulgátor: E471, jedlá soľ s jódom, regulátor kyslosti: E330, aróma, farbivo: E160a), cukor, droždie, vaječná melanž (</t>
    </r>
    <r>
      <rPr>
        <b/>
        <sz val="12"/>
        <color theme="1"/>
        <rFont val="Calibri"/>
        <family val="2"/>
        <scheme val="minor"/>
      </rPr>
      <t>vajcia</t>
    </r>
    <r>
      <rPr>
        <sz val="12"/>
        <color theme="1"/>
        <rFont val="Calibri"/>
        <family val="2"/>
        <scheme val="minor"/>
      </rPr>
      <t xml:space="preserve">, antioxidanty: E325, E326, </t>
    </r>
    <r>
      <rPr>
        <b/>
        <sz val="12"/>
        <color theme="1"/>
        <rFont val="Calibri"/>
        <family val="2"/>
        <scheme val="minor"/>
      </rPr>
      <t xml:space="preserve">pšeničný </t>
    </r>
    <r>
      <rPr>
        <sz val="12"/>
        <color theme="1"/>
        <rFont val="Calibri"/>
        <family val="2"/>
        <scheme val="minor"/>
      </rPr>
      <t>lepok,</t>
    </r>
    <r>
      <rPr>
        <sz val="12"/>
        <color theme="1"/>
        <rFont val="Calibri"/>
        <family val="2"/>
        <scheme val="minor"/>
      </rPr>
      <t xml:space="preserve"> emulgátor: E472e, múku upravujúca látka: E300)</t>
    </r>
  </si>
  <si>
    <t>Nátierkové máslo</t>
  </si>
  <si>
    <r>
      <t xml:space="preserve">pšeničná múka </t>
    </r>
    <r>
      <rPr>
        <sz val="12"/>
        <color theme="1"/>
        <rFont val="Calibri"/>
        <family val="2"/>
        <scheme val="minor"/>
      </rPr>
      <t>59%,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pitná voda, droždie, cukor, rastlinný olej slnečnicový, jedlá soľ,</t>
    </r>
    <r>
      <rPr>
        <b/>
        <sz val="12"/>
        <color theme="1"/>
        <rFont val="Calibri"/>
        <family val="2"/>
        <scheme val="minor"/>
      </rPr>
      <t xml:space="preserve"> pšeničný lepok, pšeničný kvas, pšeničná lámanka</t>
    </r>
    <r>
      <rPr>
        <sz val="12"/>
        <color theme="1"/>
        <rFont val="Calibri"/>
        <family val="2"/>
        <scheme val="minor"/>
      </rPr>
      <t>, morská soľ, emulgátory: E471, E481, E472e, konzervačná látka: kyselina sorbová, regulátor kyslosti: E575, múku upravujúca látka: kyselina L-askorbová</t>
    </r>
  </si>
  <si>
    <t>iné obilniny obsahujúce lepok, vajcia, mlieko, sóju, orechy, zeler, sezam</t>
  </si>
  <si>
    <t>PENAM SLOVAKIA, a.s.</t>
  </si>
  <si>
    <t>bravčový bok bez kostí 90%, pitná voda, jedlá soľ, modifikovaný škrob: E1420, E1422, stabilizátory: E450, E451, dextróza, bravčová bielkovina, ryžová múka, zahusťovadlo: E407, korenie, farbivo: extrakt z červenej repy, karamel, zvýrazňovač chuti: E621, antioxidant: E300, regulátor kyslosti: E331, aróma, konzervačná látka: E250</t>
  </si>
  <si>
    <t>cukor, čili papričky 22%, pitná voda, cesnak 8,5%, kvasný ocot vinný, jedlá soľ, tapiokový škrob, kyselina citrónová E330, kyselina octová E260, zahusťovadlo: xantánová guma</t>
  </si>
  <si>
    <t>Jedlá soľ</t>
  </si>
  <si>
    <r>
      <t xml:space="preserve">tuniak kúsky, </t>
    </r>
    <r>
      <rPr>
        <b/>
        <sz val="12"/>
        <color rgb="FF000000"/>
        <rFont val="Calibri"/>
        <family val="2"/>
        <charset val="238"/>
        <scheme val="minor"/>
      </rPr>
      <t>sójový olej</t>
    </r>
    <r>
      <rPr>
        <sz val="12"/>
        <color rgb="FF000000"/>
        <rFont val="Calibri"/>
        <family val="2"/>
        <charset val="238"/>
        <scheme val="minor"/>
      </rPr>
      <t>, jedlá soľ</t>
    </r>
  </si>
  <si>
    <r>
      <t xml:space="preserve">pitná voda, </t>
    </r>
    <r>
      <rPr>
        <b/>
        <sz val="12"/>
        <color rgb="FF000000"/>
        <rFont val="Calibri"/>
        <family val="2"/>
        <charset val="238"/>
        <scheme val="minor"/>
      </rPr>
      <t>horčicové semeno</t>
    </r>
    <r>
      <rPr>
        <sz val="12"/>
        <color rgb="FF000000"/>
        <rFont val="Calibri"/>
        <family val="2"/>
        <charset val="238"/>
        <scheme val="minor"/>
      </rPr>
      <t>, kvasný ocot liehový, cukor, jedlá soľ, kurkuma, výťažok korenín</t>
    </r>
  </si>
  <si>
    <t>sója</t>
  </si>
  <si>
    <r>
      <t xml:space="preserve">pasterizované </t>
    </r>
    <r>
      <rPr>
        <b/>
        <sz val="12"/>
        <color rgb="FF000000"/>
        <rFont val="Calibri"/>
        <family val="2"/>
        <charset val="238"/>
        <scheme val="minor"/>
      </rPr>
      <t>mlieko,</t>
    </r>
    <r>
      <rPr>
        <sz val="12"/>
        <color rgb="FF000000"/>
        <rFont val="Calibri"/>
        <family val="2"/>
        <charset val="238"/>
        <scheme val="minor"/>
      </rPr>
      <t xml:space="preserve"> jedlá soľ, kyselina: kyselina citrónová, mliekarenské kultúry, mikrobiálne syridlo</t>
    </r>
  </si>
  <si>
    <t>vajcia, horčicové semeno, horčica</t>
  </si>
  <si>
    <t>CAMEMMBERT S VAJÍČKOM 255g</t>
  </si>
  <si>
    <t>Tornádo</t>
  </si>
  <si>
    <t>kuracie prsia</t>
  </si>
  <si>
    <t>Paradajkový pretlak</t>
  </si>
  <si>
    <t>ok</t>
  </si>
  <si>
    <t>ok-136</t>
  </si>
  <si>
    <t>BAGETA DEBRECÍNKA 245g</t>
  </si>
  <si>
    <t>BAGETA KURACÍ GYROS 255g</t>
  </si>
  <si>
    <t>Vajcia</t>
  </si>
  <si>
    <t>CROISSANT S MOZZARELLOU 136g</t>
  </si>
  <si>
    <t>CROISSANT ŠUNKOVO SYROVÝ 128g</t>
  </si>
  <si>
    <t>RAJO a.s.</t>
  </si>
  <si>
    <r>
      <rPr>
        <sz val="12"/>
        <color theme="1"/>
        <rFont val="Calibri"/>
        <family val="2"/>
        <scheme val="minor"/>
      </rPr>
      <t xml:space="preserve">paprika, pitná voda, kvasný ocot liehový, jedlá soľ, </t>
    </r>
    <r>
      <rPr>
        <sz val="12"/>
        <color theme="1"/>
        <rFont val="Calibri (Body)"/>
      </rPr>
      <t>cibuľa,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 (Body)"/>
      </rPr>
      <t>horčicové semeno</t>
    </r>
    <r>
      <rPr>
        <sz val="12"/>
        <color theme="1"/>
        <rFont val="Calibri"/>
        <family val="2"/>
        <scheme val="minor"/>
      </rPr>
      <t>, stabilizátor: chlorid vápenatý, koreniaci výťažok, sladidlo: s</t>
    </r>
    <r>
      <rPr>
        <sz val="12"/>
        <color theme="1"/>
        <rFont val="Calibri"/>
        <family val="2"/>
        <scheme val="minor"/>
      </rPr>
      <t>acharín</t>
    </r>
  </si>
  <si>
    <r>
      <t>uhorky, pitná voda, mrkva, cibuľa, kvasný ocot liehový, jedlá soľ, sladidlo: sacharín sodný,</t>
    </r>
    <r>
      <rPr>
        <b/>
        <sz val="12"/>
        <color rgb="FF000000"/>
        <rFont val="Calibri (Body)"/>
      </rPr>
      <t xml:space="preserve"> horčicové semeno</t>
    </r>
  </si>
  <si>
    <t>Sacharidy</t>
  </si>
  <si>
    <t>Z toho nasýtené mastné kyseliny</t>
  </si>
  <si>
    <t>Soľ</t>
  </si>
  <si>
    <t>arašidy</t>
  </si>
  <si>
    <t>Slnečnicový rafinovaný olej</t>
  </si>
  <si>
    <t>ESELTIX s.r.o.</t>
  </si>
  <si>
    <t>Čerstvá bazalka</t>
  </si>
  <si>
    <t>Arašidy</t>
  </si>
  <si>
    <t>arašidy, rastlinný olej (80% repkový, 20% palmový), jedla soľ</t>
  </si>
  <si>
    <t>orechy, sezam</t>
  </si>
  <si>
    <t>ARO (značka)</t>
  </si>
  <si>
    <t>Čerstvý kôpor</t>
  </si>
  <si>
    <t>Čerstvá petržlenová vňať</t>
  </si>
  <si>
    <t>na 100g výrobku použité: 80g bravčové mäso, 50g bravčová slanina, jedlá soľ, cesnak, dextróza, koreniny a extrakty korenín, zvýrazňovač chuti: E621, E635, štartovacia kultúra, konzervačná látka: E250, antioxidant: E316, dymová aroma, farbivo: E120</t>
  </si>
  <si>
    <t>Kuracie mäso</t>
  </si>
  <si>
    <t>Bielkoviny (g)</t>
  </si>
  <si>
    <t>Energetická hodnota (kJ)</t>
  </si>
  <si>
    <t>Energetická hodnota (kcal)</t>
  </si>
  <si>
    <t>Tuky celkové</t>
  </si>
  <si>
    <t>  Nasycené mastné kyseliny</t>
  </si>
  <si>
    <t>Sacharidy využitelné</t>
  </si>
  <si>
    <t>  Cukry celkové</t>
  </si>
  <si>
    <t>Bílkoviny celkové</t>
  </si>
  <si>
    <t>Sůl</t>
  </si>
  <si>
    <t>Tuky celkom</t>
  </si>
  <si>
    <t>Cukry</t>
  </si>
  <si>
    <t>Paradajka 100 g</t>
  </si>
  <si>
    <t>0,2</t>
  </si>
  <si>
    <t>0,9</t>
  </si>
  <si>
    <t>3,1</t>
  </si>
  <si>
    <t>Encián 100 g</t>
  </si>
  <si>
    <t>Ľadový šalát 100 g</t>
  </si>
  <si>
    <t>Prepočet na 20 g Ľadový šalát</t>
  </si>
  <si>
    <t>Majonéza (50%) 100 g</t>
  </si>
  <si>
    <t>Slepačie vajcia 100 g</t>
  </si>
  <si>
    <t>Cukry celkové</t>
  </si>
  <si>
    <t>SPOLU CELÁ BAGETA</t>
  </si>
  <si>
    <t>Prepočet na 100 g</t>
  </si>
  <si>
    <t>ok-245- počítať z 245!!!!!</t>
  </si>
  <si>
    <t>Prepočet na 255 g</t>
  </si>
  <si>
    <t>Prepočet na 245 g</t>
  </si>
  <si>
    <t>Prepočet na 245g</t>
  </si>
  <si>
    <t>BAGETA GRILOVANÉ MÄSO 245g</t>
  </si>
  <si>
    <t>Prepočet na 255g</t>
  </si>
  <si>
    <t>BAGETA MORAVIA 245g</t>
  </si>
  <si>
    <t>CROISSANT SYROVÝ 122g</t>
  </si>
  <si>
    <t>mlieko, orechy, vajcia</t>
  </si>
  <si>
    <t>pšenica obyčajná, jačmeň, raž, sezam, sója</t>
  </si>
  <si>
    <t>bravčové karé 55%, pitná voda, jedlá soľ, modifikovaný kukuričný škrob, zahusťovadlo: E407, bravčová bielkovina, stabilizátory: E450, E451, regulátor kyslosti: E331, dextróza, antioxidant: E316, extrakty korenín, aróma, zemiakový škrob, konzervačná látka: E250, farebný pokryv (farbivá: E160b, E120)</t>
  </si>
  <si>
    <r>
      <t>pšeničná múka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pitná voda, repkový olej, droždie, regulátor kyslosti: E263, múku upravujúca látka: E300, E920, jedlá soľ s jódom, cukor</t>
    </r>
  </si>
  <si>
    <r>
      <t xml:space="preserve">pšeničná </t>
    </r>
    <r>
      <rPr>
        <sz val="12"/>
        <color theme="1"/>
        <rFont val="Calibri"/>
        <family val="2"/>
        <scheme val="minor"/>
      </rPr>
      <t>múka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pitná voda, repkový olej, droždie, regulátor kyslosti: E263, múku upravujúca látka: E300, E920, jedlá soľ s jódom, cukor</t>
    </r>
  </si>
  <si>
    <r>
      <t xml:space="preserve">jedlá soľ max. 43%, paprika, cesnak, koriander, </t>
    </r>
    <r>
      <rPr>
        <b/>
        <sz val="12"/>
        <color theme="1"/>
        <rFont val="Calibri"/>
        <family val="2"/>
        <scheme val="minor"/>
      </rPr>
      <t>horčica</t>
    </r>
    <r>
      <rPr>
        <sz val="12"/>
        <color theme="1"/>
        <rFont val="Calibri"/>
        <family val="2"/>
        <scheme val="minor"/>
      </rPr>
      <t>, rasca, protispekavá látka: E341iii, rastlinný olej (repkový)</t>
    </r>
  </si>
  <si>
    <t>KORNBAGETA SYROVÁ 240g</t>
  </si>
  <si>
    <t>CHLEBÍČEK SO SALÁMOU 80g</t>
  </si>
  <si>
    <t>Prepočítané na 150g</t>
  </si>
  <si>
    <t>Prepočet na 180g</t>
  </si>
  <si>
    <t>PANINI BACON SVETLÝ 150g</t>
  </si>
  <si>
    <r>
      <t>Chlieb</t>
    </r>
    <r>
      <rPr>
        <b/>
        <sz val="13"/>
        <color theme="1"/>
        <rFont val="Calibri"/>
        <family val="2"/>
        <scheme val="minor"/>
      </rPr>
      <t xml:space="preserve"> svetlý</t>
    </r>
  </si>
  <si>
    <t>PANINI BACON TMAVÝ 150g</t>
  </si>
  <si>
    <t xml:space="preserve">pšenica obyčajná, sója, raž, jačmeň, </t>
  </si>
  <si>
    <t>iné obilniny obsahujúce lepok, vajcia, mlieko, orechy, zeler, sezam</t>
  </si>
  <si>
    <r>
      <t xml:space="preserve">Chlieb </t>
    </r>
    <r>
      <rPr>
        <b/>
        <sz val="13"/>
        <color theme="1"/>
        <rFont val="Calibri (Body)"/>
      </rPr>
      <t>tmavý</t>
    </r>
    <r>
      <rPr>
        <b/>
        <sz val="13"/>
        <color theme="1"/>
        <rFont val="Calibri"/>
        <family val="2"/>
        <scheme val="minor"/>
      </rPr>
      <t xml:space="preserve"> </t>
    </r>
  </si>
  <si>
    <r>
      <t>pšeničná múka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pitná voda, ľanové semienko, otruby (</t>
    </r>
    <r>
      <rPr>
        <b/>
        <sz val="12"/>
        <color theme="1"/>
        <rFont val="Calibri"/>
        <family val="2"/>
        <scheme val="minor"/>
      </rPr>
      <t>pšenica</t>
    </r>
    <r>
      <rPr>
        <sz val="12"/>
        <color theme="1"/>
        <rFont val="Calibri"/>
        <family val="2"/>
        <scheme val="minor"/>
      </rPr>
      <t xml:space="preserve">), droždie, jedlá soľ s jódom (soľ, jodičnan draselný), </t>
    </r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trhanka, pražený </t>
    </r>
    <r>
      <rPr>
        <b/>
        <sz val="12"/>
        <color theme="1"/>
        <rFont val="Calibri"/>
        <family val="2"/>
        <scheme val="minor"/>
      </rPr>
      <t>jačmeň</t>
    </r>
    <r>
      <rPr>
        <sz val="12"/>
        <color theme="1"/>
        <rFont val="Calibri"/>
        <family val="2"/>
        <scheme val="minor"/>
      </rPr>
      <t xml:space="preserve"> a </t>
    </r>
    <r>
      <rPr>
        <b/>
        <sz val="12"/>
        <color theme="1"/>
        <rFont val="Calibri"/>
        <family val="2"/>
        <scheme val="minor"/>
      </rPr>
      <t>raž</t>
    </r>
    <r>
      <rPr>
        <sz val="12"/>
        <color theme="1"/>
        <rFont val="Calibri"/>
        <family val="2"/>
        <scheme val="minor"/>
      </rPr>
      <t xml:space="preserve">, repkový olej ,jedlá soľ, drvená </t>
    </r>
    <r>
      <rPr>
        <b/>
        <sz val="12"/>
        <color theme="1"/>
        <rFont val="Calibri"/>
        <family val="2"/>
        <scheme val="minor"/>
      </rPr>
      <t>sója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ražná</t>
    </r>
    <r>
      <rPr>
        <sz val="12"/>
        <color theme="1"/>
        <rFont val="Calibri"/>
        <family val="2"/>
        <scheme val="minor"/>
      </rPr>
      <t xml:space="preserve"> trhanka, sladová múka (</t>
    </r>
    <r>
      <rPr>
        <b/>
        <sz val="12"/>
        <color theme="1"/>
        <rFont val="Calibri"/>
        <family val="2"/>
        <scheme val="minor"/>
      </rPr>
      <t>jačmeň</t>
    </r>
    <r>
      <rPr>
        <sz val="12"/>
        <color theme="1"/>
        <rFont val="Calibri"/>
        <family val="2"/>
        <scheme val="minor"/>
      </rPr>
      <t xml:space="preserve">), </t>
    </r>
    <r>
      <rPr>
        <b/>
        <sz val="12"/>
        <color theme="1"/>
        <rFont val="Calibri"/>
        <family val="2"/>
        <scheme val="minor"/>
      </rPr>
      <t>sezamové semienko</t>
    </r>
    <r>
      <rPr>
        <sz val="12"/>
        <color theme="1"/>
        <rFont val="Calibri"/>
        <family val="2"/>
        <scheme val="minor"/>
      </rPr>
      <t>, cukor, lepok (</t>
    </r>
    <r>
      <rPr>
        <b/>
        <sz val="12"/>
        <color theme="1"/>
        <rFont val="Calibri"/>
        <family val="2"/>
        <scheme val="minor"/>
      </rPr>
      <t>pšenica</t>
    </r>
    <r>
      <rPr>
        <sz val="12"/>
        <color theme="1"/>
        <rFont val="Calibri"/>
        <family val="2"/>
        <scheme val="minor"/>
      </rPr>
      <t xml:space="preserve">), </t>
    </r>
    <r>
      <rPr>
        <b/>
        <sz val="12"/>
        <color theme="1"/>
        <rFont val="Calibri"/>
        <family val="2"/>
        <scheme val="minor"/>
      </rPr>
      <t>ražná</t>
    </r>
    <r>
      <rPr>
        <sz val="12"/>
        <color theme="1"/>
        <rFont val="Calibri"/>
        <family val="2"/>
        <scheme val="minor"/>
      </rPr>
      <t xml:space="preserve"> múka, korenie, regulátory kyslosti: E300, E334, emulgátor: E322-</t>
    </r>
    <r>
      <rPr>
        <b/>
        <sz val="12"/>
        <color theme="1"/>
        <rFont val="Calibri"/>
        <family val="2"/>
        <scheme val="minor"/>
      </rPr>
      <t>sója</t>
    </r>
    <r>
      <rPr>
        <sz val="12"/>
        <color theme="1"/>
        <rFont val="Calibri"/>
        <family val="2"/>
        <scheme val="minor"/>
      </rPr>
      <t>, E472e, múku upravujúca látka: E300, E920</t>
    </r>
  </si>
  <si>
    <t>PANINI MOZZARELLA SVETLÝ 175g</t>
  </si>
  <si>
    <t>PANINI MOZZARELLA TMAVÝ 175g</t>
  </si>
  <si>
    <t>Chlieb svetlý</t>
  </si>
  <si>
    <t>Chlieb tmavý</t>
  </si>
  <si>
    <t>PANINI ŠUNKA SYR SVETLÝ 170g</t>
  </si>
  <si>
    <t>PANINI ŠUNKA SYR TMAVÝ 170g</t>
  </si>
  <si>
    <t>pitná voda, paradajkový pretlak, cukor, kvasný ocot liehový, modifikovaný kukuričný škrob, jedlá soľ max. 3,5%, regulátor kyslosti: kyselina citrónová, konzervačná látka: kyselina benzoová, zmes korenín, zahusťovadlo: xanthan</t>
  </si>
  <si>
    <r>
      <t>PANINI TUNIAK SVETLÝ</t>
    </r>
    <r>
      <rPr>
        <b/>
        <sz val="12"/>
        <color rgb="FFFF0000"/>
        <rFont val="Calibri (Body)"/>
      </rPr>
      <t xml:space="preserve"> </t>
    </r>
    <r>
      <rPr>
        <b/>
        <sz val="12"/>
        <color theme="0"/>
        <rFont val="Calibri (Body)"/>
      </rPr>
      <t>180g</t>
    </r>
  </si>
  <si>
    <r>
      <t>PANINI TUNIAK TMAVÝ</t>
    </r>
    <r>
      <rPr>
        <b/>
        <sz val="12"/>
        <color rgb="FFFF0000"/>
        <rFont val="Calibri (Body)"/>
      </rPr>
      <t xml:space="preserve"> </t>
    </r>
    <r>
      <rPr>
        <b/>
        <sz val="12"/>
        <color theme="0"/>
        <rFont val="Calibri (Body)"/>
      </rPr>
      <t>180g</t>
    </r>
  </si>
  <si>
    <r>
      <t>pšeničná múka 48</t>
    </r>
    <r>
      <rPr>
        <sz val="12"/>
        <color theme="1"/>
        <rFont val="Calibri"/>
        <family val="2"/>
        <scheme val="minor"/>
      </rPr>
      <t>%,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pitná voda, </t>
    </r>
    <r>
      <rPr>
        <b/>
        <sz val="12"/>
        <color theme="1"/>
        <rFont val="Calibri"/>
        <family val="2"/>
        <scheme val="minor"/>
      </rPr>
      <t>pšeničné</t>
    </r>
    <r>
      <rPr>
        <sz val="12"/>
        <color theme="1"/>
        <rFont val="Calibri"/>
        <family val="2"/>
        <scheme val="minor"/>
      </rPr>
      <t xml:space="preserve"> otruby 4,8%, pekárska zmes 3,4% (ľanové semená 17%, </t>
    </r>
    <r>
      <rPr>
        <b/>
        <sz val="12"/>
        <color theme="1"/>
        <rFont val="Calibri"/>
        <family val="2"/>
        <scheme val="minor"/>
      </rPr>
      <t xml:space="preserve">sójová </t>
    </r>
    <r>
      <rPr>
        <sz val="12"/>
        <color theme="1"/>
        <rFont val="Calibri"/>
        <family val="2"/>
        <scheme val="minor"/>
      </rPr>
      <t xml:space="preserve">drť 14%, </t>
    </r>
    <r>
      <rPr>
        <b/>
        <sz val="12"/>
        <color theme="1"/>
        <rFont val="Calibri"/>
        <family val="2"/>
        <scheme val="minor"/>
      </rPr>
      <t>pšeničné</t>
    </r>
    <r>
      <rPr>
        <sz val="12"/>
        <color theme="1"/>
        <rFont val="Calibri"/>
        <family val="2"/>
        <scheme val="minor"/>
      </rPr>
      <t xml:space="preserve"> otruby,</t>
    </r>
    <r>
      <rPr>
        <b/>
        <sz val="12"/>
        <color theme="1"/>
        <rFont val="Calibri"/>
        <family val="2"/>
        <scheme val="minor"/>
      </rPr>
      <t xml:space="preserve"> ražná</t>
    </r>
    <r>
      <rPr>
        <sz val="12"/>
        <color theme="1"/>
        <rFont val="Calibri"/>
        <family val="2"/>
        <scheme val="minor"/>
      </rPr>
      <t xml:space="preserve"> múka, pražený </t>
    </r>
    <r>
      <rPr>
        <b/>
        <sz val="12"/>
        <color theme="1"/>
        <rFont val="Calibri"/>
        <family val="2"/>
        <scheme val="minor"/>
      </rPr>
      <t>jačmeň</t>
    </r>
    <r>
      <rPr>
        <sz val="12"/>
        <color theme="1"/>
        <rFont val="Calibri"/>
        <family val="2"/>
        <scheme val="minor"/>
      </rPr>
      <t xml:space="preserve">, pražená </t>
    </r>
    <r>
      <rPr>
        <b/>
        <sz val="12"/>
        <color theme="1"/>
        <rFont val="Calibri"/>
        <family val="2"/>
        <scheme val="minor"/>
      </rPr>
      <t>raž</t>
    </r>
    <r>
      <rPr>
        <sz val="12"/>
        <color theme="1"/>
        <rFont val="Calibri"/>
        <family val="2"/>
        <scheme val="minor"/>
      </rPr>
      <t xml:space="preserve">, farbivo: E150a, </t>
    </r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múka, emulgátory: E481, E471, E472e, regulátor kyslosti: kyselina citrónová, octany sodné, jedlá soľ, múku upravujúca látka: kyselina L-askorbová), droždie, </t>
    </r>
    <r>
      <rPr>
        <b/>
        <sz val="12"/>
        <color theme="1"/>
        <rFont val="Calibri"/>
        <family val="2"/>
        <scheme val="minor"/>
      </rPr>
      <t>pšeničný</t>
    </r>
    <r>
      <rPr>
        <sz val="12"/>
        <color theme="1"/>
        <rFont val="Calibri"/>
        <family val="2"/>
        <scheme val="minor"/>
      </rPr>
      <t xml:space="preserve"> lepok, jedlá soľ, rastlinný olej slnečnicový, cukor, </t>
    </r>
    <r>
      <rPr>
        <b/>
        <sz val="12"/>
        <color theme="1"/>
        <rFont val="Calibri"/>
        <family val="2"/>
        <scheme val="minor"/>
      </rPr>
      <t>ražná</t>
    </r>
    <r>
      <rPr>
        <sz val="12"/>
        <color theme="1"/>
        <rFont val="Calibri"/>
        <family val="2"/>
        <scheme val="minor"/>
      </rPr>
      <t xml:space="preserve"> múka, </t>
    </r>
    <r>
      <rPr>
        <b/>
        <sz val="12"/>
        <color theme="1"/>
        <rFont val="Calibri"/>
        <family val="2"/>
        <scheme val="minor"/>
      </rPr>
      <t>jačmenná</t>
    </r>
    <r>
      <rPr>
        <sz val="12"/>
        <color theme="1"/>
        <rFont val="Calibri"/>
        <family val="2"/>
        <scheme val="minor"/>
      </rPr>
      <t xml:space="preserve"> sladová múka, kukuričný škrob,</t>
    </r>
    <r>
      <rPr>
        <b/>
        <sz val="12"/>
        <color theme="1"/>
        <rFont val="Calibri"/>
        <family val="2"/>
        <scheme val="minor"/>
      </rPr>
      <t xml:space="preserve"> sójová</t>
    </r>
    <r>
      <rPr>
        <sz val="12"/>
        <color theme="1"/>
        <rFont val="Calibri"/>
        <family val="2"/>
        <scheme val="minor"/>
      </rPr>
      <t xml:space="preserve"> múka, </t>
    </r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lámanka, morská soľ, emulgátory: E471, E472e, konzervanty: kyselina sorbová, propionan vápenatý, regulátor kyslosti: octany sodné, kyselina mliečna, múku upravujúca látka: kyselina L-askorbová</t>
    </r>
  </si>
  <si>
    <r>
      <rPr>
        <b/>
        <sz val="12"/>
        <color theme="1"/>
        <rFont val="Calibri"/>
        <family val="2"/>
        <scheme val="minor"/>
      </rPr>
      <t>pšeničná múka</t>
    </r>
    <r>
      <rPr>
        <sz val="12"/>
        <color theme="1"/>
        <rFont val="Calibri"/>
        <family val="2"/>
        <scheme val="minor"/>
      </rPr>
      <t xml:space="preserve">, voda, droždie, rastlinný tuk (stužený, nestužený, E322, chemická konzervačná látka: E200, maslová aróma: E300), soľ jedlá, zlepšujúci prípravok: uhličitan vápenatý, </t>
    </r>
    <r>
      <rPr>
        <b/>
        <sz val="12"/>
        <color theme="1"/>
        <rFont val="Calibri"/>
        <family val="2"/>
        <scheme val="minor"/>
      </rPr>
      <t>sójová</t>
    </r>
    <r>
      <rPr>
        <sz val="12"/>
        <color theme="1"/>
        <rFont val="Calibri"/>
        <family val="2"/>
        <scheme val="minor"/>
      </rPr>
      <t xml:space="preserve"> múka, E472e, E471, kyselina askorbová, enzýmy</t>
    </r>
  </si>
  <si>
    <t>pšenica obyčajná, sója</t>
  </si>
  <si>
    <t>CHLEBÍČEK S MORAVSKÝM MÄSOM 85g</t>
  </si>
  <si>
    <t>(čierne korenie) sezam, zeler, mlieko</t>
  </si>
  <si>
    <t>CHLEBÍČEK SO ZEMIAKOVÝM ŠALÁTOM 105g</t>
  </si>
  <si>
    <r>
      <t xml:space="preserve">24g zemiaky; 7,3g majonéza (50% repkový olej, pitná voda, 4,8% pasterizované </t>
    </r>
    <r>
      <rPr>
        <b/>
        <sz val="12"/>
        <color theme="1"/>
        <rFont val="Calibri"/>
        <family val="2"/>
        <scheme val="minor"/>
      </rPr>
      <t xml:space="preserve">vaječné </t>
    </r>
    <r>
      <rPr>
        <sz val="12"/>
        <color theme="1"/>
        <rFont val="Calibri"/>
        <family val="2"/>
        <scheme val="minor"/>
      </rPr>
      <t xml:space="preserve">žĺtky, cukor, modifikovaný kukuričný škrob, kvasný ocot liehový, jedlá soľ, </t>
    </r>
    <r>
      <rPr>
        <b/>
        <sz val="12"/>
        <color theme="1"/>
        <rFont val="Calibri"/>
        <family val="2"/>
        <scheme val="minor"/>
      </rPr>
      <t>horčicové semeno</t>
    </r>
    <r>
      <rPr>
        <sz val="12"/>
        <color theme="1"/>
        <rFont val="Calibri"/>
        <family val="2"/>
        <scheme val="minor"/>
      </rPr>
      <t xml:space="preserve">, zmes korenín, zahusťovadla: xantánová guma, guarová guma, konzervačná látka: kyselina sorbová, regulátor kyslosti: kyselina citrónová, farbivo: beta karotén, antioxidant: E385, aróma), 0,6g soľ do vody, 2,6g uhorky, 1,5g cibuľa, 2,9g mrkva, 1,8g hrášok, 0,3g soľ, 0,04g korenie čierne mleté, 0,7g </t>
    </r>
    <r>
      <rPr>
        <b/>
        <sz val="12"/>
        <color theme="1"/>
        <rFont val="Calibri"/>
        <family val="2"/>
        <scheme val="minor"/>
      </rPr>
      <t>horčica</t>
    </r>
  </si>
  <si>
    <r>
      <t>50% repkový olej, pitná voda, 4,8% pasterizované</t>
    </r>
    <r>
      <rPr>
        <b/>
        <sz val="12"/>
        <color theme="1"/>
        <rFont val="Calibri"/>
        <family val="2"/>
        <scheme val="minor"/>
      </rPr>
      <t xml:space="preserve"> vaječné </t>
    </r>
    <r>
      <rPr>
        <sz val="12"/>
        <color theme="1"/>
        <rFont val="Calibri"/>
        <family val="2"/>
        <scheme val="minor"/>
      </rPr>
      <t xml:space="preserve">žĺtky, cukor, modifikovaný kukuričný škrob, kvasný ocot liehový, jedlá soľ, </t>
    </r>
    <r>
      <rPr>
        <b/>
        <sz val="12"/>
        <color theme="1"/>
        <rFont val="Calibri"/>
        <family val="2"/>
        <scheme val="minor"/>
      </rPr>
      <t>horčicové semeno</t>
    </r>
    <r>
      <rPr>
        <sz val="12"/>
        <color theme="1"/>
        <rFont val="Calibri"/>
        <family val="2"/>
        <scheme val="minor"/>
      </rPr>
      <t>, zmes korenín, zahusťovadla: xantánová guma, guarová guma, konzervačná látka: kyselina sorbová, regulátor kyslosti: kyselina citrónová, farbivo: beta karotén, antioxidant: E385, aróma</t>
    </r>
  </si>
  <si>
    <r>
      <t xml:space="preserve">paprika, pitná voda, kvasný ocot liehový, jedlá </t>
    </r>
    <r>
      <rPr>
        <sz val="12"/>
        <color theme="1"/>
        <rFont val="Calibri"/>
        <family val="2"/>
        <scheme val="minor"/>
      </rPr>
      <t xml:space="preserve">soľ, </t>
    </r>
    <r>
      <rPr>
        <sz val="12"/>
        <color theme="1"/>
        <rFont val="Calibri (Body)"/>
      </rPr>
      <t>cibuľa,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horčicové semeno</t>
    </r>
    <r>
      <rPr>
        <sz val="12"/>
        <color theme="1"/>
        <rFont val="Calibri"/>
        <family val="2"/>
        <scheme val="minor"/>
      </rPr>
      <t>, stabilizátor: chlorid vápenatý, koreniaci výťažok, sladidlo: sacharín</t>
    </r>
  </si>
  <si>
    <r>
      <t>50 %repkový olej, pitná voda, 4,8% pasterizované</t>
    </r>
    <r>
      <rPr>
        <b/>
        <sz val="12"/>
        <color theme="1"/>
        <rFont val="Calibri"/>
        <family val="2"/>
        <scheme val="minor"/>
      </rPr>
      <t xml:space="preserve"> vaječné </t>
    </r>
    <r>
      <rPr>
        <sz val="12"/>
        <color theme="1"/>
        <rFont val="Calibri"/>
        <family val="2"/>
        <scheme val="minor"/>
      </rPr>
      <t xml:space="preserve">žĺtky, cukor, modifikovaný kukuričný škrob, kvasný ocot liehový, jedlá soľ, </t>
    </r>
    <r>
      <rPr>
        <b/>
        <sz val="12"/>
        <color theme="1"/>
        <rFont val="Calibri"/>
        <family val="2"/>
        <scheme val="minor"/>
      </rPr>
      <t>horčicové semeno</t>
    </r>
    <r>
      <rPr>
        <sz val="12"/>
        <color theme="1"/>
        <rFont val="Calibri"/>
        <family val="2"/>
        <scheme val="minor"/>
      </rPr>
      <t>, zmes korenín, zahusťovadla: xantánová guma, guarová guma, konzervačná látka: kyselina sorbová, regulátor kyslosti: kyselina citrónová, farbivo: beta karotén, antioxidant: E385, aróma</t>
    </r>
  </si>
  <si>
    <r>
      <t xml:space="preserve">65% repkový olej, pitná voda, sušený </t>
    </r>
    <r>
      <rPr>
        <b/>
        <sz val="12"/>
        <color theme="1"/>
        <rFont val="Calibri"/>
        <family val="2"/>
        <scheme val="minor"/>
      </rPr>
      <t>vaječný</t>
    </r>
    <r>
      <rPr>
        <sz val="12"/>
        <color theme="1"/>
        <rFont val="Calibri"/>
        <family val="2"/>
        <scheme val="minor"/>
      </rPr>
      <t xml:space="preserve"> žĺtok, prírodná aróma masla (</t>
    </r>
    <r>
      <rPr>
        <b/>
        <sz val="12"/>
        <color theme="1"/>
        <rFont val="Calibri"/>
        <family val="2"/>
        <scheme val="minor"/>
      </rPr>
      <t>stvátka</t>
    </r>
    <r>
      <rPr>
        <sz val="12"/>
        <color theme="1"/>
        <rFont val="Calibri"/>
        <family val="2"/>
        <scheme val="minor"/>
      </rPr>
      <t xml:space="preserve">, enzymaticky modifikované maslo, maltodextrín, jedlá soľ, dehydrované </t>
    </r>
    <r>
      <rPr>
        <b/>
        <sz val="12"/>
        <color theme="1"/>
        <rFont val="Calibri"/>
        <family val="2"/>
        <scheme val="minor"/>
      </rPr>
      <t>maslo</t>
    </r>
    <r>
      <rPr>
        <sz val="12"/>
        <color theme="1"/>
        <rFont val="Calibri"/>
        <family val="2"/>
        <scheme val="minor"/>
      </rPr>
      <t xml:space="preserve">, stabilizátor: E412, farbivá: E100, E160b, kvasný ocot liehový, cukor, modifikovaný škrob, stabilizátory: guarová guma, xantánová guma, konzervačná látka: kyselina sorbová </t>
    </r>
  </si>
  <si>
    <t>CHLEBÍČEK SO ŠUNKOU A SYROM 75g</t>
  </si>
  <si>
    <r>
      <t>pšeničná múka 48</t>
    </r>
    <r>
      <rPr>
        <sz val="12"/>
        <color theme="1"/>
        <rFont val="Calibri"/>
        <family val="2"/>
        <scheme val="minor"/>
      </rPr>
      <t>%,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pitná voda, </t>
    </r>
    <r>
      <rPr>
        <b/>
        <sz val="12"/>
        <color theme="1"/>
        <rFont val="Calibri"/>
        <family val="2"/>
        <scheme val="minor"/>
      </rPr>
      <t>pšeničné</t>
    </r>
    <r>
      <rPr>
        <sz val="12"/>
        <color theme="1"/>
        <rFont val="Calibri"/>
        <family val="2"/>
        <scheme val="minor"/>
      </rPr>
      <t xml:space="preserve"> otruby 4,8%, pekárska zmes 3,4% (ľanové semená 17%, </t>
    </r>
    <r>
      <rPr>
        <b/>
        <sz val="12"/>
        <color theme="1"/>
        <rFont val="Calibri"/>
        <family val="2"/>
        <scheme val="minor"/>
      </rPr>
      <t xml:space="preserve">sójová </t>
    </r>
    <r>
      <rPr>
        <sz val="12"/>
        <color theme="1"/>
        <rFont val="Calibri"/>
        <family val="2"/>
        <scheme val="minor"/>
      </rPr>
      <t xml:space="preserve">drť 14%, </t>
    </r>
    <r>
      <rPr>
        <b/>
        <sz val="12"/>
        <color theme="1"/>
        <rFont val="Calibri"/>
        <family val="2"/>
        <scheme val="minor"/>
      </rPr>
      <t>pšeničné</t>
    </r>
    <r>
      <rPr>
        <sz val="12"/>
        <color theme="1"/>
        <rFont val="Calibri"/>
        <family val="2"/>
        <scheme val="minor"/>
      </rPr>
      <t xml:space="preserve"> otruby,</t>
    </r>
    <r>
      <rPr>
        <b/>
        <sz val="12"/>
        <color theme="1"/>
        <rFont val="Calibri"/>
        <family val="2"/>
        <scheme val="minor"/>
      </rPr>
      <t xml:space="preserve"> ražná</t>
    </r>
    <r>
      <rPr>
        <sz val="12"/>
        <color theme="1"/>
        <rFont val="Calibri"/>
        <family val="2"/>
        <scheme val="minor"/>
      </rPr>
      <t xml:space="preserve"> múka, pražený </t>
    </r>
    <r>
      <rPr>
        <b/>
        <sz val="12"/>
        <color theme="1"/>
        <rFont val="Calibri"/>
        <family val="2"/>
        <scheme val="minor"/>
      </rPr>
      <t>jačmeň</t>
    </r>
    <r>
      <rPr>
        <sz val="12"/>
        <color theme="1"/>
        <rFont val="Calibri"/>
        <family val="2"/>
        <scheme val="minor"/>
      </rPr>
      <t xml:space="preserve">, pražená </t>
    </r>
    <r>
      <rPr>
        <b/>
        <sz val="12"/>
        <color theme="1"/>
        <rFont val="Calibri"/>
        <family val="2"/>
        <scheme val="minor"/>
      </rPr>
      <t>raž</t>
    </r>
    <r>
      <rPr>
        <sz val="12"/>
        <color theme="1"/>
        <rFont val="Calibri"/>
        <family val="2"/>
        <scheme val="minor"/>
      </rPr>
      <t xml:space="preserve">, farbivo: E150a, </t>
    </r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múka, emulgátory: E481,  E471, E472e, regulátor kyslosti: kyselina citrónová, octany sodné, jedlá soľ, múku upravujúca látka: kyselina L-askorbová), droždie, </t>
    </r>
    <r>
      <rPr>
        <b/>
        <sz val="12"/>
        <color theme="1"/>
        <rFont val="Calibri"/>
        <family val="2"/>
        <scheme val="minor"/>
      </rPr>
      <t>pšeničný</t>
    </r>
    <r>
      <rPr>
        <sz val="12"/>
        <color theme="1"/>
        <rFont val="Calibri"/>
        <family val="2"/>
        <scheme val="minor"/>
      </rPr>
      <t xml:space="preserve"> lepok, jedlá soľ, rastlinný olej slnečnicový, cukor, </t>
    </r>
    <r>
      <rPr>
        <b/>
        <sz val="12"/>
        <color theme="1"/>
        <rFont val="Calibri"/>
        <family val="2"/>
        <scheme val="minor"/>
      </rPr>
      <t>ražná</t>
    </r>
    <r>
      <rPr>
        <sz val="12"/>
        <color theme="1"/>
        <rFont val="Calibri"/>
        <family val="2"/>
        <scheme val="minor"/>
      </rPr>
      <t xml:space="preserve"> múka, </t>
    </r>
    <r>
      <rPr>
        <b/>
        <sz val="12"/>
        <color theme="1"/>
        <rFont val="Calibri"/>
        <family val="2"/>
        <scheme val="minor"/>
      </rPr>
      <t>jačmenná</t>
    </r>
    <r>
      <rPr>
        <sz val="12"/>
        <color theme="1"/>
        <rFont val="Calibri"/>
        <family val="2"/>
        <scheme val="minor"/>
      </rPr>
      <t xml:space="preserve"> sladová múka, kukuričný škrob,</t>
    </r>
    <r>
      <rPr>
        <b/>
        <sz val="12"/>
        <color theme="1"/>
        <rFont val="Calibri"/>
        <family val="2"/>
        <scheme val="minor"/>
      </rPr>
      <t xml:space="preserve"> sójová</t>
    </r>
    <r>
      <rPr>
        <sz val="12"/>
        <color theme="1"/>
        <rFont val="Calibri"/>
        <family val="2"/>
        <scheme val="minor"/>
      </rPr>
      <t xml:space="preserve"> múka, </t>
    </r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lámanka, morská soľ, emulgátory: E471, E472e, konzervanty: kyselina sorbová, propionan vápenatý, regulátor kyslosti: octany sodné, kyselina mliečna, múku upravujúca látka: kyselina L-askorbová</t>
    </r>
  </si>
  <si>
    <r>
      <t>odstredené</t>
    </r>
    <r>
      <rPr>
        <b/>
        <sz val="12"/>
        <color theme="1"/>
        <rFont val="Calibri"/>
        <family val="2"/>
        <scheme val="minor"/>
      </rPr>
      <t xml:space="preserve"> mlieko</t>
    </r>
    <r>
      <rPr>
        <sz val="12"/>
        <color theme="1"/>
        <rFont val="Calibri"/>
        <family val="2"/>
        <scheme val="minor"/>
      </rPr>
      <t>, rastlinný tuk: palmový úplne hydrogenovaný 26%, stabilizátor: chlorid vápenatý, syridlo, jedlá soľ max 2,5%, mliekarenské kultúry, farbivo: karotény</t>
    </r>
  </si>
  <si>
    <t>Francúzska bageta 100g</t>
  </si>
  <si>
    <t>Prepočet na 120 g Francúzska bageta</t>
  </si>
  <si>
    <t>Prepočet na 40 g Majonéza (50%)</t>
  </si>
  <si>
    <t>Cibuľová priméra 100g</t>
  </si>
  <si>
    <t>Spolu cibuľová majonéza</t>
  </si>
  <si>
    <t>Prepočet na 10g Cibuľová priméra</t>
  </si>
  <si>
    <t>Prepočet na 35g</t>
  </si>
  <si>
    <t>Dobrecínska pečeň</t>
  </si>
  <si>
    <t>100g</t>
  </si>
  <si>
    <t>Grilovacie korenie neštipľavé</t>
  </si>
  <si>
    <t>Slnečnicový olej</t>
  </si>
  <si>
    <t>kód 0064</t>
  </si>
  <si>
    <t>Zoznam surovín</t>
  </si>
  <si>
    <t>Tuk</t>
  </si>
  <si>
    <t>FAT</t>
  </si>
  <si>
    <t>SFA</t>
  </si>
  <si>
    <t>CHO</t>
  </si>
  <si>
    <t>SUGAR</t>
  </si>
  <si>
    <t>PROT</t>
  </si>
  <si>
    <t>NACL</t>
  </si>
  <si>
    <t>g</t>
  </si>
  <si>
    <t>Hmotnosť surovín</t>
  </si>
  <si>
    <t xml:space="preserve">Nasýtené mastné kyseliny </t>
  </si>
  <si>
    <t>Bielkoviny</t>
  </si>
  <si>
    <t>Zloženie jednotlivých surovín na 100 g jedlého podielu</t>
  </si>
  <si>
    <t>Živiny</t>
  </si>
  <si>
    <t>Energetická hodnota</t>
  </si>
  <si>
    <t>ENERC</t>
  </si>
  <si>
    <t>kJ</t>
  </si>
  <si>
    <t>kcal</t>
  </si>
  <si>
    <r>
      <t xml:space="preserve">Obsah živiny v hotové potravině na 100 g - </t>
    </r>
    <r>
      <rPr>
        <b/>
        <sz val="11"/>
        <color indexed="8"/>
        <rFont val="Calibri"/>
        <family val="2"/>
        <charset val="238"/>
      </rPr>
      <t xml:space="preserve">HODNOTA VYPOČTENÁ </t>
    </r>
  </si>
  <si>
    <t>Cibuľka zelená*</t>
  </si>
  <si>
    <t>*zdroj: United States Department of Agriculture, Agricultural Research Service, USDA Food Composition Databaseshttps://ndb.nal.usda.gov/ndb/ .... Položka: 11291, Onions, spring or scallions (includes tops and bulb)</t>
  </si>
  <si>
    <t>Prepočet na 100g</t>
  </si>
  <si>
    <t>Cibuľová majonéza 35g</t>
  </si>
  <si>
    <t>Ľadový šalát 20g</t>
  </si>
  <si>
    <t>Prepočet na 36g Debrecínska pečeň</t>
  </si>
  <si>
    <t>Debrecínska pečeň 36g</t>
  </si>
  <si>
    <t>Prepočet na 22g Syr GOLD TEHLA 45%</t>
  </si>
  <si>
    <t>Syr GOLD TEHLA 45% 22g</t>
  </si>
  <si>
    <t>Prepočet na 12 g Cibuľka zelená</t>
  </si>
  <si>
    <t>Cibuľka zelená 12g</t>
  </si>
  <si>
    <t>Prepočet na 35 g Majonéza</t>
  </si>
  <si>
    <t>Prepočet na 36 g Moravské formované mäso</t>
  </si>
  <si>
    <t>Prepočet na 16 g Syr GOLD TEHLA 45%</t>
  </si>
  <si>
    <t>Prepočet na 32 g Majonéza (50%)</t>
  </si>
  <si>
    <t>Prepočet na 17 g Ľadový šalát</t>
  </si>
  <si>
    <t>Prepočet na 22 g paradajka</t>
  </si>
  <si>
    <t>Prepočet na 27 g Vajcia</t>
  </si>
  <si>
    <t>Prepočet na 37 g Encián</t>
  </si>
  <si>
    <t>ok-255- počítať z 255!!!!!</t>
  </si>
  <si>
    <t>Prepočet na 21g Vajcia</t>
  </si>
  <si>
    <t>Bravčová šunka 100g</t>
  </si>
  <si>
    <t>Vajcia 100g</t>
  </si>
  <si>
    <t>Uhorka sterilizovaná 100g</t>
  </si>
  <si>
    <t>Croissant maslový 100g</t>
  </si>
  <si>
    <t>ok-122</t>
  </si>
  <si>
    <t>Nátierkové maslo 100g</t>
  </si>
  <si>
    <t>Šalát LOLLO BIONDO 100g</t>
  </si>
  <si>
    <t>Prepočet na 55g Croissant maslový</t>
  </si>
  <si>
    <t>Prepočet na 13g Nátierkové maslo</t>
  </si>
  <si>
    <t>Prepočet na 10g Šalát Lollo biondo</t>
  </si>
  <si>
    <t>Prepočet na 44g Syr GOLD TEHLA 45%</t>
  </si>
  <si>
    <t>SPOLU CELÝ CROISSANT</t>
  </si>
  <si>
    <t>Bravčová šunka 28g</t>
  </si>
  <si>
    <t>Prepočet na 28g Bravčová šunku</t>
  </si>
  <si>
    <t>ok-240</t>
  </si>
  <si>
    <t>kód 0070</t>
  </si>
  <si>
    <t>Prepočet na 120g Kornbageta</t>
  </si>
  <si>
    <t>Prepočet na 40g Nátierkové maslo</t>
  </si>
  <si>
    <t>Prepočet na 6 g Šalát LOLLO BIONDO</t>
  </si>
  <si>
    <t>Prepočet na 60g Syr GOLD TEHLA</t>
  </si>
  <si>
    <t>Prepočet na 2g Paprika zelená</t>
  </si>
  <si>
    <t>Prepočet na 12g Paradajka cherry</t>
  </si>
  <si>
    <t>SPOLU CELÁ KORNBAGETA</t>
  </si>
  <si>
    <t>Panini svetlý</t>
  </si>
  <si>
    <t>Oravská slanina</t>
  </si>
  <si>
    <t>kód 0069</t>
  </si>
  <si>
    <t>Prepočet na 75g Panini svetlý</t>
  </si>
  <si>
    <t>Prepočítané na 8g Olivový olej</t>
  </si>
  <si>
    <t>Prepočítané na 60g Oravská slanina</t>
  </si>
  <si>
    <t>Prepočítané na 3g Pór</t>
  </si>
  <si>
    <t>Prepočítané na 4g Chilli omáčka</t>
  </si>
  <si>
    <t>SPOLU CELÉ PANINI</t>
  </si>
  <si>
    <t>OK-175</t>
  </si>
  <si>
    <t>ok-150</t>
  </si>
  <si>
    <t>Mozarella</t>
  </si>
  <si>
    <t>Prepočítané na 12g Olivový olej</t>
  </si>
  <si>
    <t>Paradajky</t>
  </si>
  <si>
    <t>Prepočítané na 20g Paradajky</t>
  </si>
  <si>
    <t>Prepočítané na 67g Mozarella</t>
  </si>
  <si>
    <t>ok-170</t>
  </si>
  <si>
    <t>Prepočet na 40g Bravčová šunku</t>
  </si>
  <si>
    <t>Prepočet na 20g Syr GOLD TEHLA</t>
  </si>
  <si>
    <t>Prepočet na 8g Kečup</t>
  </si>
  <si>
    <t>Prepočítané na 15g Paradajky</t>
  </si>
  <si>
    <t>OK-180</t>
  </si>
  <si>
    <t xml:space="preserve">100g </t>
  </si>
  <si>
    <t>Prepočet na 26g Tuniak</t>
  </si>
  <si>
    <t>Prepočet na 26g Maslo</t>
  </si>
  <si>
    <t>Prepočet na 13g Čerstvý kôpor</t>
  </si>
  <si>
    <t>Prepočet na 2g Horčica</t>
  </si>
  <si>
    <t>Prepočet na 27,5g Paradajky</t>
  </si>
  <si>
    <t>Cibuľa</t>
  </si>
  <si>
    <t>kód 0051</t>
  </si>
  <si>
    <t>Prepočet na 10g Cibuľa</t>
  </si>
  <si>
    <t>kód 0059</t>
  </si>
  <si>
    <t>Prepočítané na 33g Mozarella</t>
  </si>
  <si>
    <t>Prepočet na 30g Paradajka cherry</t>
  </si>
  <si>
    <t>OK-85</t>
  </si>
  <si>
    <t>ENCINGER, spol. s.r.o.</t>
  </si>
  <si>
    <t>Prepočet na 5 g Majonéza</t>
  </si>
  <si>
    <t>Prepočet na 2 g Ľadový šalát</t>
  </si>
  <si>
    <t>Prepočet na 35 g Moravské formované mäso</t>
  </si>
  <si>
    <t>Prepočítané na 10g Paradajky</t>
  </si>
  <si>
    <t>Prepočet na 8g Paprika zelená</t>
  </si>
  <si>
    <t>MORAVSKÉ MÄSO</t>
  </si>
  <si>
    <t>kód 02044, USA databáza</t>
  </si>
  <si>
    <t>300g</t>
  </si>
  <si>
    <t>Prepočet na 300g Soľ</t>
  </si>
  <si>
    <t>Spolu Bazalkové pesto</t>
  </si>
  <si>
    <t>Prepočet na 8g</t>
  </si>
  <si>
    <t>Prepočet na 10000g Slnečnicový olej</t>
  </si>
  <si>
    <t>Prepočet na 10000g Čerstvá bazalka</t>
  </si>
  <si>
    <t>Prepočet na 3000g Arašidy</t>
  </si>
  <si>
    <t>Prepočet na 10000 g Slnečnicový olej</t>
  </si>
  <si>
    <t>Prepočet na 8g Bazalkové pesto</t>
  </si>
  <si>
    <t>kód US  11941</t>
  </si>
  <si>
    <t>Panini tmavý</t>
  </si>
  <si>
    <t>Prepočet na 75g Panini tmavý</t>
  </si>
  <si>
    <t>Poznámka</t>
  </si>
  <si>
    <t xml:space="preserve">Do výpočtu bolo použité množstvo, které se spotrebovalo na varenie. Príjem tuku bol stanovený kucharskou skúškou. </t>
  </si>
  <si>
    <t>Hrubá hmotnosť (g)*</t>
  </si>
  <si>
    <t>Konečná hmotnost (g)</t>
  </si>
  <si>
    <t xml:space="preserve">Hmotnost konečná/hmotnost surovin  </t>
  </si>
  <si>
    <t>Hmotnost v kuchynskej úprave (g)*</t>
  </si>
  <si>
    <t>Hmotnosť spracovanej potraviny (g)*</t>
  </si>
  <si>
    <t>Vyťažkový koeficient</t>
  </si>
  <si>
    <t>Hmotnosť surovín (g)</t>
  </si>
  <si>
    <t>* hodnoty boli získané zvážením pri kucharskej skúške</t>
  </si>
  <si>
    <t>kód CZ 0230</t>
  </si>
  <si>
    <t>ZEMIAKOVÝ ŠALÁT</t>
  </si>
  <si>
    <t>Prepočet na 18g Bravčová šunku</t>
  </si>
  <si>
    <t>Prepočet na 5g Uhorka sterilizovaná</t>
  </si>
  <si>
    <t>Prepočet na 10g Vajcia</t>
  </si>
  <si>
    <t>Prepočet na 4g Kápia sterilizovaná</t>
  </si>
  <si>
    <t>Zemiaky</t>
  </si>
  <si>
    <t>Majonéza 50%</t>
  </si>
  <si>
    <t>Uhorky steril.</t>
  </si>
  <si>
    <t>Mrkva</t>
  </si>
  <si>
    <t>Hrášok</t>
  </si>
  <si>
    <t>kód CZ 0506</t>
  </si>
  <si>
    <t>kód CZ 0062</t>
  </si>
  <si>
    <t>Kód CZ 0051</t>
  </si>
  <si>
    <t>kód CZ 0055</t>
  </si>
  <si>
    <t>Prepočet na 45g zemiakový šalát</t>
  </si>
  <si>
    <t>SPOLU CELÝ CHLEBÍČEK</t>
  </si>
  <si>
    <t>Chlebíček</t>
  </si>
  <si>
    <t>OK-157</t>
  </si>
  <si>
    <t>Prosciutto</t>
  </si>
  <si>
    <t>PANINI PROSCIUTTO 157g</t>
  </si>
  <si>
    <t>kód US 45088734</t>
  </si>
  <si>
    <t>Prepočítané na 40g Prosciutto</t>
  </si>
  <si>
    <t>Prepočítané na 25g Paradajky</t>
  </si>
  <si>
    <t>kód CZ 0198</t>
  </si>
  <si>
    <t>Prepočet na 25g Chlebíček</t>
  </si>
  <si>
    <t>SALÁMA</t>
  </si>
  <si>
    <t>Prepočet na 6 g Vajcia</t>
  </si>
  <si>
    <t>Prepočet na 19g Uhorka sterilizovaná</t>
  </si>
  <si>
    <t>Vajcia 100 g</t>
  </si>
  <si>
    <t>Prepočet na 23 g Saláma</t>
  </si>
  <si>
    <t>ŠUNKA, SYR</t>
  </si>
  <si>
    <t>Prepočet na 21g Bravčová šunku</t>
  </si>
  <si>
    <t>Prepočet na 12g Syr GOLD TEHLA</t>
  </si>
  <si>
    <t>Prepočet na 5g Majonéza s obsahom tuku 65%</t>
  </si>
  <si>
    <t>Prepočet na 4 g Kápia</t>
  </si>
  <si>
    <t>Prepočet na 44 Kurací gyrors</t>
  </si>
  <si>
    <t>Prepočet na 33 g Majonéza (50%)</t>
  </si>
  <si>
    <t>Prepočet na 18 g Ľadový šalát</t>
  </si>
  <si>
    <t>Prepočet na 44 g Kurací gyrors</t>
  </si>
  <si>
    <t>Prepočet na 18 g Paprika</t>
  </si>
  <si>
    <t>Prepočet na 22 g Paradajka</t>
  </si>
  <si>
    <t>Názov produktu</t>
  </si>
  <si>
    <t>Obsah živín v 100 g</t>
  </si>
  <si>
    <t>GURMEKO</t>
  </si>
  <si>
    <t>ŠMAK</t>
  </si>
  <si>
    <t>Croissant maslový</t>
  </si>
  <si>
    <t>Slepačie vajcia</t>
  </si>
  <si>
    <t>Majonéza (50%)</t>
  </si>
  <si>
    <t>Nátierkové maslo</t>
  </si>
  <si>
    <t>HAMÉ SLOVAKIA spo. s.r.o.</t>
  </si>
  <si>
    <t>Súhrn produktov používaných pri výrobe - bagety, croissanty, chlebíčky, paniny</t>
  </si>
  <si>
    <t>Prepočet na 80 g Francúzska bageta</t>
  </si>
  <si>
    <t>Prepočet na 15 g Majonéza (50%)</t>
  </si>
  <si>
    <t>Prepočet na 15 g Ľadový šalát</t>
  </si>
  <si>
    <t>Prepočet na 15 g Paradajka</t>
  </si>
  <si>
    <t>Prepočet na 10 g Paprika</t>
  </si>
  <si>
    <t>Prepočet na 30 Kurací gyrors</t>
  </si>
  <si>
    <t>Prepočet na 15 g paradajka</t>
  </si>
  <si>
    <t>Prepočet na 30 g Kurací gyrors</t>
  </si>
  <si>
    <t>SENDVIČ KURACÍ GYROS 125g</t>
  </si>
  <si>
    <t>Prepočet na 125 g</t>
  </si>
  <si>
    <t>Prepočet na 5g Kápia sterilizovaná</t>
  </si>
  <si>
    <t>Prepočet na 15g Uhorka sterilizovaná</t>
  </si>
  <si>
    <t>Grilované kuracie mäso</t>
  </si>
  <si>
    <t>Prepočet na 60g Grilované kuracie mäso</t>
  </si>
  <si>
    <t>Kuracie mäso grilovanée</t>
  </si>
  <si>
    <t>Prepočet na 6 g Ľadový šalát</t>
  </si>
  <si>
    <t>KORNBAGETA SYROVÁ 245g</t>
  </si>
  <si>
    <t>ok-245</t>
  </si>
  <si>
    <t>Syr</t>
  </si>
  <si>
    <t>Bageta mini piccolo</t>
  </si>
  <si>
    <t>Prepočet na g</t>
  </si>
  <si>
    <r>
      <rPr>
        <b/>
        <sz val="12"/>
        <color theme="1"/>
        <rFont val="Calibri"/>
        <family val="2"/>
        <scheme val="minor"/>
      </rPr>
      <t>pšeničná</t>
    </r>
    <r>
      <rPr>
        <sz val="12"/>
        <color theme="1"/>
        <rFont val="Calibri"/>
        <family val="2"/>
        <scheme val="minor"/>
      </rPr>
      <t xml:space="preserve"> múka, pitná voda, repkový olej, droždie, jedlá soľ s jódom, cukor, regulátor kyslosti (E263), múku upravujúca látka (E300, E920)</t>
    </r>
  </si>
  <si>
    <t>pšenica obyčajná, raž, jačmeň, ovos, pšenica špalda, cirok alebo ich hybridné odrody, a výrobky z nich</t>
  </si>
  <si>
    <t>EDI TEHLA 45%</t>
  </si>
  <si>
    <r>
      <t xml:space="preserve">pasterizované odstredené </t>
    </r>
    <r>
      <rPr>
        <b/>
        <sz val="12"/>
        <color theme="1"/>
        <rFont val="Calibri"/>
        <family val="2"/>
        <scheme val="minor"/>
      </rPr>
      <t>mlieko</t>
    </r>
    <r>
      <rPr>
        <sz val="12"/>
        <color theme="1"/>
        <rFont val="Calibri"/>
        <family val="2"/>
        <scheme val="minor"/>
      </rPr>
      <t>, rastlinný palmový tuk, soľ, stabilizátor: chlorid vápenatý, konzervačná látka: dusičnan sodný, syridlo, mliekarenské kultúry, farbivo: E160a</t>
    </r>
  </si>
  <si>
    <t>Viva gourmet</t>
  </si>
  <si>
    <t>paprika červená, pitná voda, ocot kvasný liehový, jedlá soľ</t>
  </si>
  <si>
    <t>Bageta mini piccolo 100g</t>
  </si>
  <si>
    <t>Prepočet na 80 g Bageta mini piccolo</t>
  </si>
  <si>
    <t>Prepočet na 25g Majonéza s obsahom tuku 65%</t>
  </si>
  <si>
    <t>Syr 100 g</t>
  </si>
  <si>
    <t>Prepočet na 14 g Syr</t>
  </si>
  <si>
    <t>Prepočet na 14 g Bravčová šunku</t>
  </si>
  <si>
    <t>Prepočet na 10 g Kápia sterilizovaná</t>
  </si>
  <si>
    <r>
      <t xml:space="preserve">65% repkový olej, pitná voda, sušený </t>
    </r>
    <r>
      <rPr>
        <b/>
        <sz val="12"/>
        <color theme="1"/>
        <rFont val="Calibri"/>
        <family val="2"/>
        <scheme val="minor"/>
      </rPr>
      <t>vaječný</t>
    </r>
    <r>
      <rPr>
        <sz val="12"/>
        <color theme="1"/>
        <rFont val="Calibri"/>
        <family val="2"/>
        <scheme val="minor"/>
      </rPr>
      <t xml:space="preserve"> žĺtok, prírodná aróma </t>
    </r>
    <r>
      <rPr>
        <b/>
        <sz val="12"/>
        <color theme="1"/>
        <rFont val="Calibri"/>
        <family val="2"/>
        <scheme val="minor"/>
      </rPr>
      <t>masla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theme="1"/>
        <rFont val="Calibri"/>
        <family val="2"/>
        <scheme val="minor"/>
      </rPr>
      <t>srvátka</t>
    </r>
    <r>
      <rPr>
        <sz val="12"/>
        <color theme="1"/>
        <rFont val="Calibri"/>
        <family val="2"/>
        <scheme val="minor"/>
      </rPr>
      <t xml:space="preserve">, enzymaticky modifikované </t>
    </r>
    <r>
      <rPr>
        <b/>
        <sz val="12"/>
        <color theme="1"/>
        <rFont val="Calibri"/>
        <family val="2"/>
        <scheme val="minor"/>
      </rPr>
      <t>maslo</t>
    </r>
    <r>
      <rPr>
        <sz val="12"/>
        <color theme="1"/>
        <rFont val="Calibri"/>
        <family val="2"/>
        <scheme val="minor"/>
      </rPr>
      <t xml:space="preserve">, maltodextrín, jedlá soľ, dehydrované </t>
    </r>
    <r>
      <rPr>
        <b/>
        <sz val="12"/>
        <color theme="1"/>
        <rFont val="Calibri"/>
        <family val="2"/>
        <scheme val="minor"/>
      </rPr>
      <t>maslo</t>
    </r>
    <r>
      <rPr>
        <sz val="12"/>
        <color theme="1"/>
        <rFont val="Calibri"/>
        <family val="2"/>
        <scheme val="minor"/>
      </rPr>
      <t xml:space="preserve">, stabilizátor: E412, farbivá: E100, E160b), kvasný ocot liehový, cukor, modifikovaný škrob, stabilizátory: guarová guma, xantánová guma, konzervačná látka: kyselina sorbová </t>
    </r>
  </si>
  <si>
    <t>CSS 51 (L2) BAGETA ŠUNKA, SYR 143g</t>
  </si>
  <si>
    <t>Prepočet na 20 g Saláma</t>
  </si>
  <si>
    <t>Prepočet na 10 g Uhorka sterilizovaná</t>
  </si>
  <si>
    <t>pitná voda, ocot kvasný liehový, soľ jedlá, plnidlo: chlorid vápenatý, extrakt korenia, sladidlo: sukralóza</t>
  </si>
  <si>
    <t>Prepočet na 25g Majonéza</t>
  </si>
  <si>
    <t>Majonéza s 50% tuk</t>
  </si>
  <si>
    <t>Prepočet na 25g Majonéza s 50% tuk</t>
  </si>
  <si>
    <r>
      <t>50% repkový olej, pitná voda, pasterizovaný</t>
    </r>
    <r>
      <rPr>
        <b/>
        <sz val="12"/>
        <color theme="1"/>
        <rFont val="Calibri"/>
        <family val="2"/>
        <scheme val="minor"/>
      </rPr>
      <t xml:space="preserve"> vaječný žĺtok</t>
    </r>
    <r>
      <rPr>
        <sz val="12"/>
        <color theme="1"/>
        <rFont val="Calibri"/>
        <family val="2"/>
        <scheme val="minor"/>
      </rPr>
      <t xml:space="preserve">, cukor, </t>
    </r>
    <r>
      <rPr>
        <b/>
        <sz val="12"/>
        <color theme="1"/>
        <rFont val="Calibri"/>
        <family val="2"/>
        <scheme val="minor"/>
      </rPr>
      <t>horčica</t>
    </r>
    <r>
      <rPr>
        <sz val="12"/>
        <color theme="1"/>
        <rFont val="Calibri"/>
        <family val="2"/>
        <scheme val="minor"/>
      </rPr>
      <t xml:space="preserve"> plnotučná (pitná voda, </t>
    </r>
    <r>
      <rPr>
        <b/>
        <sz val="12"/>
        <color theme="1"/>
        <rFont val="Calibri"/>
        <family val="2"/>
        <scheme val="minor"/>
      </rPr>
      <t>horčičné semeno</t>
    </r>
    <r>
      <rPr>
        <sz val="12"/>
        <color theme="1"/>
        <rFont val="Calibri"/>
        <family val="2"/>
        <scheme val="minor"/>
      </rPr>
      <t>, ocot kvasný liehový, cukor, jedlá soľ, koreniny), ocot kvasný liehový, jedlá soľ, modifikovaný kukuričný škrob, zahusťovadla: guarová guma, xantánová guma, konzervačné látky: benzoán sodný, sorban draselný</t>
    </r>
  </si>
  <si>
    <t>CSS 52 (L2) BAGETA SALÁMOVÁ 135g</t>
  </si>
  <si>
    <t>Paradajka čerstvá</t>
  </si>
  <si>
    <t>VGML (L2) BAGETA SYROVÁ 133g</t>
  </si>
  <si>
    <t>Paradajka čerstvá 100g</t>
  </si>
  <si>
    <t>Prepočet na 14 g Paradajka čerstvá</t>
  </si>
  <si>
    <t>CSS 38, VLML, VGML, NLML, LFML (L6) BAGETA SYROVÁ 223g</t>
  </si>
  <si>
    <t>Bageta fracúzska</t>
  </si>
  <si>
    <t>Prepočet na 35g Majonéza</t>
  </si>
  <si>
    <t>Prepočet na 35g Majonéza s 50% tuk</t>
  </si>
  <si>
    <t>Prepočet na 44 g Syr</t>
  </si>
  <si>
    <t>Prepočet na 24 g Paradajka čerstvá</t>
  </si>
  <si>
    <t>Bageta francúzska 100g</t>
  </si>
  <si>
    <t>Prepočet na 120 g Francúzska</t>
  </si>
  <si>
    <t>Prepočet na 120 g Bageta Francúzska</t>
  </si>
  <si>
    <t>Bageta Francúzska</t>
  </si>
  <si>
    <t>CSS 53 (L6) BAGETA ŠUNKA, SYR 220g</t>
  </si>
  <si>
    <t>Prepočet na 30g Nátierkové maslo</t>
  </si>
  <si>
    <t>Prepočet na 22g Syr</t>
  </si>
  <si>
    <t>Prepočet na 22 g Syr</t>
  </si>
  <si>
    <t>Prepočet na 28 g Bravčová šunka</t>
  </si>
  <si>
    <t>Kápia sterilizovaná 100g</t>
  </si>
  <si>
    <t>Prepočet na 20 g Kápia  sterelizovaná</t>
  </si>
  <si>
    <t>niccccc</t>
  </si>
  <si>
    <t>Hmotnosti</t>
  </si>
  <si>
    <t>Bageta francúzska 120g</t>
  </si>
  <si>
    <t>Nátierkové maslo 30g</t>
  </si>
  <si>
    <t>Syr 22g</t>
  </si>
  <si>
    <t>Kápia sterilizovaná 20g</t>
  </si>
  <si>
    <t>SUMY[g]</t>
  </si>
  <si>
    <t>Na 100[g]</t>
  </si>
  <si>
    <t>Hmotnost Produktu</t>
  </si>
  <si>
    <t>VAR</t>
  </si>
  <si>
    <t>X</t>
  </si>
  <si>
    <t>Y</t>
  </si>
  <si>
    <t>Z</t>
  </si>
  <si>
    <t>J</t>
  </si>
  <si>
    <t>K</t>
  </si>
  <si>
    <t>KJ</t>
  </si>
  <si>
    <t>Maso Kuracie prsia</t>
  </si>
  <si>
    <t>Mouka</t>
  </si>
  <si>
    <t>Kod</t>
  </si>
  <si>
    <t>Name</t>
  </si>
  <si>
    <t>VEJCE SLEPIČÍ, ŽLOUTEK</t>
  </si>
  <si>
    <t>Struhanka</t>
  </si>
  <si>
    <t>OLEJ SLUNEČNICOVÝ</t>
  </si>
  <si>
    <t>None</t>
  </si>
  <si>
    <t>SŮL JEDLÁ</t>
  </si>
  <si>
    <t>KOŘENÍ NOVÉ</t>
  </si>
  <si>
    <t>BRAMBORY ZIMNÍ</t>
  </si>
  <si>
    <t>PETRŽEL, NAŤ</t>
  </si>
  <si>
    <t>W</t>
  </si>
  <si>
    <t>M</t>
  </si>
  <si>
    <t>N</t>
  </si>
  <si>
    <t>U</t>
  </si>
  <si>
    <t>CHK</t>
  </si>
  <si>
    <t>const</t>
  </si>
  <si>
    <t>KCAL</t>
  </si>
  <si>
    <t>solamyl</t>
  </si>
  <si>
    <t>google</t>
  </si>
  <si>
    <t>PÓREK</t>
  </si>
  <si>
    <t>TĚSTOVINY (ŠPAGETY), DVOUVAJEČNÉ</t>
  </si>
  <si>
    <t>Horcica</t>
  </si>
  <si>
    <t>zemiakove sulance</t>
  </si>
  <si>
    <t>MASO VEPŘOVÉ, KRKOVICE BEZ KOSTI, SYROVÁ (SEPAROVATELNÝ TUK 3 %)</t>
  </si>
  <si>
    <t>SMETANA KYSANÁ, NÍZKOTUČNÁ, 15 % TUKU</t>
  </si>
  <si>
    <t>paradajky stereli</t>
  </si>
  <si>
    <t>RÝŽE LOUPANÁ</t>
  </si>
  <si>
    <t>OLIVY ZRALÉ (ČERNÉ), KONZERVOVANÉ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</si>
</sst>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 (Body)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 (Body)"/>
    </font>
    <font>
      <sz val="11"/>
      <color rgb="FFFF0000"/>
      <name val="Calibri"/>
      <family val="2"/>
      <charset val="238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sz val="12"/>
      <color rgb="FF000000"/>
      <name val="Calibri (Body)"/>
    </font>
    <font>
      <sz val="12"/>
      <color rgb="FFFF0000"/>
      <name val="Calibri (Body)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 (Body)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8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38BCD2"/>
        <bgColor indexed="64"/>
      </patternFill>
    </fill>
    <fill>
      <patternFill patternType="solid">
        <fgColor rgb="FFF2C94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E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rgb="FFEDC158"/>
      </left>
      <right style="medium">
        <color rgb="FFEDC158"/>
      </right>
      <top style="medium">
        <color rgb="FFEDC158"/>
      </top>
      <bottom style="medium">
        <color rgb="FFEDC158"/>
      </bottom>
      <diagonal/>
    </border>
  </borders>
  <cellStyleXfs count="1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1">
    <xf numFmtId="0" fontId="0" fillId="0" borderId="0" xfId="0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11" fillId="0" borderId="1" xfId="0" applyFont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1" xfId="0" applyFont="1" applyBorder="1"/>
    <xf numFmtId="0" fontId="0" fillId="0" borderId="0" xfId="0" applyFont="1" applyAlignment="1">
      <alignment wrapText="1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8" fillId="4" borderId="0" xfId="0" applyFont="1" applyFill="1" applyAlignment="1">
      <alignment wrapText="1"/>
    </xf>
    <xf numFmtId="0" fontId="8" fillId="4" borderId="1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ont="1"/>
    <xf numFmtId="0" fontId="8" fillId="5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1" fillId="6" borderId="0" xfId="0" applyFont="1" applyFill="1" applyAlignment="1"/>
    <xf numFmtId="0" fontId="0" fillId="7" borderId="0" xfId="0" applyFill="1"/>
    <xf numFmtId="0" fontId="0" fillId="6" borderId="0" xfId="0" applyFill="1"/>
    <xf numFmtId="0" fontId="23" fillId="6" borderId="0" xfId="0" applyFont="1" applyFill="1"/>
    <xf numFmtId="0" fontId="0" fillId="0" borderId="0" xfId="0" applyAlignment="1">
      <alignment wrapText="1"/>
    </xf>
    <xf numFmtId="0" fontId="0" fillId="0" borderId="2" xfId="0" applyNumberFormat="1" applyBorder="1"/>
    <xf numFmtId="0" fontId="24" fillId="9" borderId="1" xfId="0" applyNumberFormat="1" applyFont="1" applyFill="1" applyBorder="1" applyAlignment="1">
      <alignment vertical="center" wrapText="1"/>
    </xf>
    <xf numFmtId="0" fontId="24" fillId="9" borderId="1" xfId="0" applyNumberFormat="1" applyFont="1" applyFill="1" applyBorder="1" applyAlignment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4" fillId="9" borderId="2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26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2" fontId="0" fillId="0" borderId="0" xfId="0" applyNumberFormat="1" applyAlignment="1">
      <alignment wrapText="1"/>
    </xf>
    <xf numFmtId="4" fontId="0" fillId="0" borderId="0" xfId="0" applyNumberFormat="1"/>
    <xf numFmtId="0" fontId="26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3" fillId="6" borderId="0" xfId="0" applyFont="1" applyFill="1" applyAlignment="1"/>
    <xf numFmtId="0" fontId="23" fillId="0" borderId="0" xfId="0" applyFont="1" applyFill="1" applyAlignment="1"/>
    <xf numFmtId="0" fontId="23" fillId="11" borderId="0" xfId="0" applyFont="1" applyFill="1"/>
    <xf numFmtId="0" fontId="24" fillId="9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1" xfId="0" applyNumberFormat="1" applyBorder="1"/>
    <xf numFmtId="0" fontId="24" fillId="0" borderId="1" xfId="0" applyNumberFormat="1" applyFont="1" applyBorder="1" applyAlignment="1">
      <alignment horizontal="center" vertical="center"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" fillId="6" borderId="0" xfId="0" applyFont="1" applyFill="1"/>
    <xf numFmtId="0" fontId="24" fillId="9" borderId="4" xfId="0" applyNumberFormat="1" applyFont="1" applyFill="1" applyBorder="1" applyAlignment="1">
      <alignment vertical="center" wrapText="1"/>
    </xf>
    <xf numFmtId="0" fontId="24" fillId="9" borderId="10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4" fillId="9" borderId="6" xfId="0" applyNumberFormat="1" applyFont="1" applyFill="1" applyBorder="1" applyAlignment="1">
      <alignment horizontal="center" vertical="center" wrapText="1"/>
    </xf>
    <xf numFmtId="0" fontId="23" fillId="12" borderId="0" xfId="0" applyFont="1" applyFill="1"/>
    <xf numFmtId="0" fontId="3" fillId="3" borderId="1" xfId="0" applyFont="1" applyFill="1" applyBorder="1" applyAlignment="1">
      <alignment horizontal="center"/>
    </xf>
    <xf numFmtId="0" fontId="24" fillId="9" borderId="4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 wrapText="1"/>
    </xf>
    <xf numFmtId="0" fontId="0" fillId="0" borderId="6" xfId="0" applyNumberFormat="1" applyBorder="1"/>
    <xf numFmtId="0" fontId="24" fillId="9" borderId="6" xfId="0" applyNumberFormat="1" applyFont="1" applyFill="1" applyBorder="1" applyAlignment="1">
      <alignment vertical="center" wrapText="1"/>
    </xf>
    <xf numFmtId="0" fontId="24" fillId="0" borderId="6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4" fillId="9" borderId="4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0" fontId="24" fillId="14" borderId="1" xfId="0" applyFont="1" applyFill="1" applyBorder="1" applyAlignment="1">
      <alignment wrapText="1"/>
    </xf>
    <xf numFmtId="0" fontId="24" fillId="15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4" borderId="1" xfId="0" applyFill="1" applyBorder="1"/>
    <xf numFmtId="1" fontId="0" fillId="14" borderId="1" xfId="0" applyNumberFormat="1" applyFill="1" applyBorder="1"/>
    <xf numFmtId="0" fontId="0" fillId="15" borderId="1" xfId="0" applyFill="1" applyBorder="1" applyAlignment="1">
      <alignment wrapText="1"/>
    </xf>
    <xf numFmtId="0" fontId="0" fillId="15" borderId="1" xfId="0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6" borderId="0" xfId="0" applyFill="1"/>
    <xf numFmtId="0" fontId="24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0" fillId="12" borderId="0" xfId="0" applyFill="1"/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24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Fill="1"/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Fill="1" applyBorder="1"/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4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4" fillId="9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4" fillId="0" borderId="2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4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0" borderId="6" xfId="0" applyNumberFormat="1" applyFill="1" applyBorder="1" applyAlignment="1">
      <alignment horizontal="left" wrapText="1"/>
    </xf>
    <xf numFmtId="0" fontId="24" fillId="0" borderId="7" xfId="0" applyNumberFormat="1" applyFont="1" applyBorder="1" applyAlignment="1">
      <alignment horizontal="center" wrapText="1"/>
    </xf>
    <xf numFmtId="0" fontId="24" fillId="0" borderId="3" xfId="0" applyNumberFormat="1" applyFont="1" applyBorder="1" applyAlignment="1">
      <alignment horizontal="center" wrapText="1"/>
    </xf>
    <xf numFmtId="0" fontId="24" fillId="0" borderId="11" xfId="0" applyNumberFormat="1" applyFont="1" applyBorder="1" applyAlignment="1">
      <alignment horizontal="right" vertical="top"/>
    </xf>
    <xf numFmtId="0" fontId="24" fillId="0" borderId="13" xfId="0" applyNumberFormat="1" applyFont="1" applyBorder="1" applyAlignment="1">
      <alignment horizontal="right" vertical="top"/>
    </xf>
    <xf numFmtId="0" fontId="24" fillId="9" borderId="1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23" fillId="6" borderId="1" xfId="0" applyFont="1" applyFill="1" applyBorder="1" applyAlignment="1"/>
    <xf numFmtId="0" fontId="0" fillId="9" borderId="1" xfId="0" applyFill="1" applyBorder="1"/>
    <xf numFmtId="0" fontId="0" fillId="18" borderId="1" xfId="0" applyFill="1" applyBorder="1"/>
    <xf numFmtId="0" fontId="0" fillId="9" borderId="0" xfId="0" applyFill="1"/>
    <xf numFmtId="0" fontId="0" fillId="0" borderId="10" xfId="0" applyNumberFormat="1" applyBorder="1"/>
    <xf numFmtId="0" fontId="1" fillId="0" borderId="1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0" borderId="4" xfId="0" applyNumberFormat="1" applyFill="1" applyBorder="1" applyAlignment="1">
      <alignment horizontal="left" wrapText="1"/>
    </xf>
    <xf numFmtId="0" fontId="0" fillId="10" borderId="6" xfId="0" applyNumberFormat="1" applyFill="1" applyBorder="1" applyAlignment="1">
      <alignment horizontal="left" wrapText="1"/>
    </xf>
    <xf numFmtId="0" fontId="24" fillId="9" borderId="4" xfId="0" applyNumberFormat="1" applyFont="1" applyFill="1" applyBorder="1" applyAlignment="1">
      <alignment horizontal="center" vertical="center" wrapText="1"/>
    </xf>
    <xf numFmtId="0" fontId="24" fillId="9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4" fillId="0" borderId="7" xfId="0" applyNumberFormat="1" applyFont="1" applyBorder="1" applyAlignment="1">
      <alignment horizontal="center" vertical="center" wrapText="1"/>
    </xf>
    <xf numFmtId="0" fontId="24" fillId="0" borderId="8" xfId="0" applyNumberFormat="1" applyFont="1" applyBorder="1" applyAlignment="1">
      <alignment horizontal="center" vertical="center" wrapText="1"/>
    </xf>
    <xf numFmtId="0" fontId="24" fillId="0" borderId="7" xfId="0" applyNumberFormat="1" applyFont="1" applyBorder="1" applyAlignment="1">
      <alignment horizontal="center" wrapText="1"/>
    </xf>
    <xf numFmtId="0" fontId="24" fillId="0" borderId="3" xfId="0" applyNumberFormat="1" applyFont="1" applyBorder="1" applyAlignment="1">
      <alignment horizontal="center" wrapText="1"/>
    </xf>
    <xf numFmtId="0" fontId="24" fillId="8" borderId="4" xfId="0" applyNumberFormat="1" applyFont="1" applyFill="1" applyBorder="1" applyAlignment="1">
      <alignment horizontal="center"/>
    </xf>
    <xf numFmtId="0" fontId="24" fillId="8" borderId="5" xfId="0" applyNumberFormat="1" applyFont="1" applyFill="1" applyBorder="1" applyAlignment="1">
      <alignment horizontal="center"/>
    </xf>
    <xf numFmtId="0" fontId="24" fillId="8" borderId="6" xfId="0" applyNumberFormat="1" applyFont="1" applyFill="1" applyBorder="1" applyAlignment="1">
      <alignment horizontal="center"/>
    </xf>
    <xf numFmtId="0" fontId="24" fillId="0" borderId="10" xfId="0" applyNumberFormat="1" applyFont="1" applyBorder="1" applyAlignment="1">
      <alignment horizontal="left"/>
    </xf>
    <xf numFmtId="0" fontId="24" fillId="0" borderId="12" xfId="0" applyNumberFormat="1" applyFont="1" applyBorder="1" applyAlignment="1">
      <alignment horizontal="left"/>
    </xf>
    <xf numFmtId="0" fontId="24" fillId="0" borderId="11" xfId="0" applyNumberFormat="1" applyFont="1" applyBorder="1" applyAlignment="1">
      <alignment horizontal="right" vertical="top"/>
    </xf>
    <xf numFmtId="0" fontId="24" fillId="0" borderId="13" xfId="0" applyNumberFormat="1" applyFont="1" applyBorder="1" applyAlignment="1">
      <alignment horizontal="right" vertical="top"/>
    </xf>
    <xf numFmtId="0" fontId="3" fillId="0" borderId="1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10" borderId="1" xfId="0" applyNumberForma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4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24" fillId="0" borderId="1" xfId="0" applyNumberFormat="1" applyFont="1" applyBorder="1" applyAlignment="1">
      <alignment horizontal="left"/>
    </xf>
    <xf numFmtId="0" fontId="24" fillId="0" borderId="1" xfId="0" applyNumberFormat="1" applyFont="1" applyBorder="1" applyAlignment="1">
      <alignment horizontal="right" vertical="top"/>
    </xf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10" borderId="1" xfId="0" applyNumberFormat="1" applyFill="1" applyBorder="1" applyAlignment="1">
      <alignment horizontal="left" wrapText="1"/>
    </xf>
    <xf numFmtId="2" fontId="0" fillId="0" borderId="2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4" fillId="0" borderId="1" xfId="0" applyNumberFormat="1" applyFont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center" wrapText="1"/>
    </xf>
    <xf numFmtId="0" fontId="24" fillId="0" borderId="6" xfId="0" applyNumberFormat="1" applyFont="1" applyBorder="1" applyAlignment="1">
      <alignment horizontal="center" vertical="center" wrapText="1"/>
    </xf>
    <xf numFmtId="0" fontId="24" fillId="8" borderId="1" xfId="0" applyNumberFormat="1" applyFont="1" applyFill="1" applyBorder="1" applyAlignment="1">
      <alignment horizontal="center"/>
    </xf>
    <xf numFmtId="0" fontId="24" fillId="0" borderId="1" xfId="0" applyNumberFormat="1" applyFont="1" applyBorder="1" applyAlignment="1">
      <alignment horizontal="center" wrapText="1"/>
    </xf>
    <xf numFmtId="0" fontId="20" fillId="2" borderId="1" xfId="0" applyFont="1" applyFill="1" applyBorder="1" applyAlignment="1">
      <alignment horizontal="center"/>
    </xf>
    <xf numFmtId="0" fontId="24" fillId="9" borderId="5" xfId="0" applyNumberFormat="1" applyFont="1" applyFill="1" applyBorder="1" applyAlignment="1">
      <alignment horizontal="center" vertical="center" wrapText="1"/>
    </xf>
    <xf numFmtId="0" fontId="24" fillId="0" borderId="14" xfId="0" applyNumberFormat="1" applyFont="1" applyBorder="1" applyAlignment="1">
      <alignment horizontal="right" vertical="top"/>
    </xf>
    <xf numFmtId="0" fontId="24" fillId="0" borderId="0" xfId="0" applyNumberFormat="1" applyFont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13" borderId="0" xfId="0" applyFill="1" applyAlignment="1">
      <alignment horizontal="center"/>
    </xf>
    <xf numFmtId="0" fontId="23" fillId="13" borderId="0" xfId="0" applyFont="1" applyFill="1" applyAlignment="1">
      <alignment horizontal="center"/>
    </xf>
    <xf numFmtId="0" fontId="24" fillId="0" borderId="4" xfId="0" applyNumberFormat="1" applyFont="1" applyBorder="1" applyAlignment="1">
      <alignment horizontal="left"/>
    </xf>
    <xf numFmtId="0" fontId="24" fillId="0" borderId="4" xfId="0" applyNumberFormat="1" applyFont="1" applyBorder="1" applyAlignment="1">
      <alignment horizontal="right" vertical="top"/>
    </xf>
    <xf numFmtId="0" fontId="27" fillId="19" borderId="16" xfId="0" applyFont="1" applyFill="1" applyBorder="1" applyAlignment="1">
      <alignment vertical="center" wrapText="1"/>
    </xf>
    <xf numFmtId="0" fontId="27" fillId="20" borderId="16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0" fillId="6" borderId="1" xfId="0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colors>
    <mruColors>
      <color rgb="FFF2C94D"/>
      <color rgb="FF70AE46"/>
      <color rgb="FFFFD550"/>
      <color rgb="FFF4FEC3"/>
      <color rgb="FF38B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12699</xdr:rowOff>
    </xdr:from>
    <xdr:to>
      <xdr:col>11</xdr:col>
      <xdr:colOff>367393</xdr:colOff>
      <xdr:row>22</xdr:row>
      <xdr:rowOff>108857</xdr:rowOff>
    </xdr:to>
    <xdr:sp macro="" textlink="">
      <xdr:nvSpPr>
        <xdr:cNvPr id="4" name="TextBox 3"/>
        <xdr:cNvSpPr txBox="1"/>
      </xdr:nvSpPr>
      <xdr:spPr>
        <a:xfrm>
          <a:off x="18124714" y="12699"/>
          <a:ext cx="3306536" cy="6818087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Camemmbert s vajíčkom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pekárenský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Francúzska bageta 120g 47%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repkový olej, droždie, regulátor kyslosti: E263, múku upravujúca látka: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E300, E920, jedlá soľ s jódom, cukor);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Čerstvá zelenina 16%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(paradajka, ľadový šalát);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Encián 15%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(pasterizované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jedlá soľ, syridlo, mliekarenské kultúry, Penicillium candidum);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Majonéza 12%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(50% repkový olej, pitná voda, 4,8% pasterizované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žĺtky, cukor, modifikovaný kukuričný škrob, kvasný ocot liehový, jedlá soľ,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regulátor kyslosti: kyselina citrónová, farbivo: beta karotén, antioxidant: E385, aróma);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10%.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mlieko, vajcia, horčicové semeno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Výživové údaje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956</a:t>
          </a:r>
          <a:r>
            <a:rPr lang="sk-SK"/>
            <a:t> kJ/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28</a:t>
          </a:r>
          <a:r>
            <a:rPr lang="sk-SK"/>
            <a:t> kcal</a:t>
          </a:r>
          <a:r>
            <a:rPr lang="en-US"/>
            <a:t>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Tuk 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1;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4,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0; Sacharidy 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24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1,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6;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8,6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3,9</a:t>
          </a:r>
          <a:r>
            <a:rPr lang="sk-SK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sk-S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48</xdr:row>
      <xdr:rowOff>19050</xdr:rowOff>
    </xdr:from>
    <xdr:to>
      <xdr:col>8</xdr:col>
      <xdr:colOff>714375</xdr:colOff>
      <xdr:row>51</xdr:row>
      <xdr:rowOff>9525</xdr:rowOff>
    </xdr:to>
    <xdr:cxnSp macro="">
      <xdr:nvCxnSpPr>
        <xdr:cNvPr id="3" name="Přímá spojnice 1"/>
        <xdr:cNvCxnSpPr/>
      </xdr:nvCxnSpPr>
      <xdr:spPr>
        <a:xfrm>
          <a:off x="14256204" y="12306300"/>
          <a:ext cx="3058885" cy="779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6941800" y="12700"/>
          <a:ext cx="4394200" cy="66421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syrová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francúzska 120 g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pitná voda, repkový olej, droždie, jedlá soľ s jódom, cukor, regulátor kyslosti (E263), múku upravujúca látka (E300, E920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35g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pasterizovaný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vaječný žĺtok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cukor,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plnotučná (pitná voda,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horčičné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ocot kvasný liehový, cukor, jedlá soľ, koreniny), ocot kvasný liehový, jedlá soľ, modifikovaný kukuričný škrob, zahusťovadla: guarová guma, xantánová guma, konzervačné látky: benzoán sodný, sorban draselný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Syr 44g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odstredené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palmový tuk, soľ, stabilizátor: chlorid vápenatý, konzervačná látka: dusičnan sodný, syridlo, mliekarenské kultúry, farbivo: E160a</a:t>
          </a:r>
          <a:r>
            <a:rPr lang="sk-SK"/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paradajka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endParaRPr lang="en-US">
            <a:effectLst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jačmeň, ovos, pšenica špalda, cirok alebo ich hybridné odrody, a výrobky z nich, vajcia, horčicové</a:t>
          </a:r>
          <a:r>
            <a:rPr lang="sk-SK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semeno, mlieko</a:t>
          </a:r>
          <a:endParaRPr lang="sk-SK" u="sng"/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638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152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4,2; Sacharidy 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4,8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0,7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223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40</xdr:row>
      <xdr:rowOff>19050</xdr:rowOff>
    </xdr:from>
    <xdr:to>
      <xdr:col>8</xdr:col>
      <xdr:colOff>714375</xdr:colOff>
      <xdr:row>43</xdr:row>
      <xdr:rowOff>9525</xdr:rowOff>
    </xdr:to>
    <xdr:cxnSp macro="">
      <xdr:nvCxnSpPr>
        <xdr:cNvPr id="3" name="Přímá spojnice 1"/>
        <xdr:cNvCxnSpPr/>
      </xdr:nvCxnSpPr>
      <xdr:spPr>
        <a:xfrm>
          <a:off x="13306425" y="11423650"/>
          <a:ext cx="2927350" cy="77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12700</xdr:rowOff>
    </xdr:from>
    <xdr:to>
      <xdr:col>14</xdr:col>
      <xdr:colOff>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6946880" y="12700"/>
          <a:ext cx="4396740" cy="673862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syrová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francúzska 120 g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pitná voda, repkový olej, droždie, jedlá soľ s jódom, cukor, regulátor kyslosti (E263), múku upravujúca látka (E300, E920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35g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pasterizovaný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vaječný žĺtok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cukor,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plnotučná (pitná voda,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horčičné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ocot kvasný liehový, cukor, jedlá soľ, koreniny), ocot kvasný liehový, jedlá soľ, modifikovaný kukuričný škrob, zahusťovadla: guarová guma, xantánová guma, konzervačné látky: benzoán sodný, sorban draselný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Syr 44g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odstredené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palmový tuk, soľ, stabilizátor: chlorid vápenatý, konzervačná látka: dusičnan sodný, syridlo, mliekarenské kultúry, farbivo: E160a</a:t>
          </a:r>
          <a:r>
            <a:rPr lang="sk-SK"/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paradajka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endParaRPr lang="en-US">
            <a:effectLst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jačmeň, ovos, pšenica špalda, cirok alebo ich hybridné odrody, a výrobky z nich, vajcia, horčicové</a:t>
          </a:r>
          <a:r>
            <a:rPr lang="sk-SK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semeno, mlieko</a:t>
          </a:r>
          <a:endParaRPr lang="sk-SK" u="sng"/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638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152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4,2; Sacharidy 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4,8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0,7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223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40</xdr:row>
      <xdr:rowOff>19050</xdr:rowOff>
    </xdr:from>
    <xdr:to>
      <xdr:col>8</xdr:col>
      <xdr:colOff>714375</xdr:colOff>
      <xdr:row>43</xdr:row>
      <xdr:rowOff>9525</xdr:rowOff>
    </xdr:to>
    <xdr:cxnSp macro="">
      <xdr:nvCxnSpPr>
        <xdr:cNvPr id="3" name="Přímá spojnice 1"/>
        <xdr:cNvCxnSpPr/>
      </xdr:nvCxnSpPr>
      <xdr:spPr>
        <a:xfrm>
          <a:off x="13306425" y="11449050"/>
          <a:ext cx="292989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56007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 mozzarellou</a:t>
          </a: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 41%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pitná voda, margarín (palmový tuk, slnečnicový olej, pitná voda, maslo 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(10%), emulgátor: E471, jedlá soľ s jódom, regulátor kyslosti: E330, aróma, farbivo: E160a), cukor, droždie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vaječná melanž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antioxidanty: E325, E326,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lepok,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emulgátor: E472e, múku upravujúca látka: E300));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 29%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(paradajka, šalát LOLLO BIONDO);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Mozzarella 24%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(pasterizované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jedlá soľ, kyselina: kyselina citrónová, mliekarenské kultúry, mikrobiálne syridlo);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bazalkové pesto 6%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(slnečnicový rafinovaný olej, čerstvá bazalka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arašidy </a:t>
          </a:r>
          <a:r>
            <a:rPr lang="sk-SK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rastlinný olej (80% repkový, 20% palmový), jedla soľ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jedlá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soľ)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mlieko,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arašidy</a:t>
          </a:r>
          <a:endParaRPr lang="sk-SK" sz="110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935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224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3,6; Sacharidy 18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0,4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136g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42</xdr:row>
      <xdr:rowOff>19050</xdr:rowOff>
    </xdr:from>
    <xdr:to>
      <xdr:col>8</xdr:col>
      <xdr:colOff>714375</xdr:colOff>
      <xdr:row>45</xdr:row>
      <xdr:rowOff>9525</xdr:rowOff>
    </xdr:to>
    <xdr:cxnSp macro="">
      <xdr:nvCxnSpPr>
        <xdr:cNvPr id="3" name="Přímá spojnice 1"/>
        <xdr:cNvCxnSpPr/>
      </xdr:nvCxnSpPr>
      <xdr:spPr>
        <a:xfrm>
          <a:off x="13281025" y="11347450"/>
          <a:ext cx="29527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2247898</xdr:colOff>
      <xdr:row>0</xdr:row>
      <xdr:rowOff>12700</xdr:rowOff>
    </xdr:from>
    <xdr:to>
      <xdr:col>12</xdr:col>
      <xdr:colOff>609599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6544923" y="12700"/>
          <a:ext cx="3962401" cy="594995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syrový</a:t>
          </a: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 45%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pitná voda, margarín (palmový tuk, slnečnicový olej, pitná voda, maslo 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(10%), emulgátor: E471, jedlá soľ s jódom, regulátor kyslosti: E330, aróma, farbivo: E160a), cukor, droždie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vaječná melanž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antioxidanty: E325, E326,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lepok,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emulgátor: E472e, múku upravujúca látka: E300));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GOLD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TEHLA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(odstredené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Nátierkové maslo 11%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pasterizovaná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smotana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kokosový rastlinný tuk, sušené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sušená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zemiakový škrob, jedlá soľ, smotanová kultúra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 8%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(šalát LOLLO BIONDO).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vajcia,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Zloženie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1276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306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7,4; Sacharidy 19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3,3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12,9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1,0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122g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38</xdr:row>
      <xdr:rowOff>19050</xdr:rowOff>
    </xdr:from>
    <xdr:to>
      <xdr:col>8</xdr:col>
      <xdr:colOff>714375</xdr:colOff>
      <xdr:row>41</xdr:row>
      <xdr:rowOff>9525</xdr:rowOff>
    </xdr:to>
    <xdr:cxnSp macro="">
      <xdr:nvCxnSpPr>
        <xdr:cNvPr id="3" name="Přímá spojnice 1"/>
        <xdr:cNvCxnSpPr/>
      </xdr:nvCxnSpPr>
      <xdr:spPr>
        <a:xfrm>
          <a:off x="13963650" y="12525375"/>
          <a:ext cx="290512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0</xdr:colOff>
      <xdr:row>18</xdr:row>
      <xdr:rowOff>190500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66167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šunkovo syrový</a:t>
          </a: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Croissant 43%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pitná voda, margarín (palmový tuk, slnečnicový olej, pitná voda, maslo 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(10%), emulgátor: E471, jedlá soľ s jódom, regulátor kyslosti: E330, aróma, farbivo: E160a), cukor, droždie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vaječná melanž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antioxidanty: (E325, E326),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lepok,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emulgátor: E472e, múku upravujúca látka: E300));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Šunkový nárez 22%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(bravčové stehno 70%, pitná voda 24%, jedlá soľ, konzervačná látka: E250, stabilizátory: E451, E450, zahusťovadla: E407a, E415, cukor, antioxidanty: E316, E301);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Syr GOLD TEHLA 17%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(odstredené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Nátierkové maslo 10%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pasterizovaná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smotana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kokosový rastlinný tuk, sušené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sušená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zemiakový škrob, jedlá soľ, smotanová kultúra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Čerstvá zelenina 8%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(šalát LOLLO BIONDO).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mlieko,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Zloženie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1062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254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5,1; Sacharidy 18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3,3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11,2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1,0</a:t>
          </a:r>
          <a:r>
            <a:rPr lang="sk-SK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128g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41</xdr:row>
      <xdr:rowOff>19050</xdr:rowOff>
    </xdr:from>
    <xdr:to>
      <xdr:col>8</xdr:col>
      <xdr:colOff>714375</xdr:colOff>
      <xdr:row>44</xdr:row>
      <xdr:rowOff>9525</xdr:rowOff>
    </xdr:to>
    <xdr:cxnSp macro="">
      <xdr:nvCxnSpPr>
        <xdr:cNvPr id="3" name="Přímá spojnice 1"/>
        <xdr:cNvCxnSpPr/>
      </xdr:nvCxnSpPr>
      <xdr:spPr>
        <a:xfrm>
          <a:off x="13296900" y="10439400"/>
          <a:ext cx="29527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0</xdr:colOff>
      <xdr:row>24</xdr:row>
      <xdr:rowOff>12700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62865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Kornbageta syrová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Korn bageta 125g 50%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múka, pitná voda, ľanové semená, otruby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droždie, jedlá soľ s jódom (soľ, jodičnan draselný),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trhanka, pražený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 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repkový olej, jedlá soľ, drvená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sója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trhanka, sladová múka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sezamové semená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cukor, lepok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múka, korenie, regulátory kyslosti: E300, E334, emulgátor: E322-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sója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E472e, múku upravujúca látka: E300, E920);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Syr GOLD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TEHLA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25%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odstredené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Nátierkové </a:t>
          </a:r>
          <a:r>
            <a:rPr lang="sk-SK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16,7%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pasterizovaná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smotana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kokosový rastlinný tuk, sušené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sušená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zemiakový škrob, jedlá soľ, smotanová kultúra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Čerstvá zelenina 8,3%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(paradajka cherry, šalát Lollo Biondo, paprika zelená)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 obyčajná, jačmeň, raž), sezam, sója, mlieko</a:t>
          </a:r>
        </a:p>
        <a:p>
          <a:r>
            <a:rPr lang="sk-SK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Môže obsahovať: </a:t>
          </a:r>
          <a:r>
            <a:rPr lang="sk-SK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orechy, vajcia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Zloženie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1142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273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7,5; Sacharidy 26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11,5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0,9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47</xdr:row>
      <xdr:rowOff>19050</xdr:rowOff>
    </xdr:from>
    <xdr:to>
      <xdr:col>8</xdr:col>
      <xdr:colOff>714375</xdr:colOff>
      <xdr:row>50</xdr:row>
      <xdr:rowOff>9525</xdr:rowOff>
    </xdr:to>
    <xdr:cxnSp macro="">
      <xdr:nvCxnSpPr>
        <xdr:cNvPr id="3" name="Přímá spojnice 1"/>
        <xdr:cNvCxnSpPr/>
      </xdr:nvCxnSpPr>
      <xdr:spPr>
        <a:xfrm>
          <a:off x="13163550" y="11468100"/>
          <a:ext cx="29527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24</xdr:row>
      <xdr:rowOff>12700</xdr:rowOff>
    </xdr:to>
    <xdr:sp macro="" textlink="">
      <xdr:nvSpPr>
        <xdr:cNvPr id="2" name="TextBox 1"/>
        <xdr:cNvSpPr txBox="1"/>
      </xdr:nvSpPr>
      <xdr:spPr>
        <a:xfrm>
          <a:off x="15570200" y="12700"/>
          <a:ext cx="3352800" cy="74930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Kornbageta syrová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Korn bageta 125g 50%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múka, pitná voda, ľanové semená, otruby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droždie, jedlá soľ s jódom (soľ, jodičnan draselný),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trhanka, pražený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 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repkový olej, jedlá soľ, drvená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sója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trhanka, sladová múka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sezamové semená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cukor, lepok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múka, korenie, regulátory kyslosti: E300, E334, emulgátor: E322-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sója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E472e, múku upravujúca látka: E300, E920);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Syr GOLD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TEHLA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25%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odstredené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Nátierkové </a:t>
          </a:r>
          <a:r>
            <a:rPr lang="sk-SK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16,7%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pasterizovaná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smotana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kokosový rastlinný tuk, sušené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sušená </a:t>
          </a:r>
          <a:r>
            <a:rPr lang="sk-SK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zemiakový škrob, jedlá soľ, smotanová kultúra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Čerstvá zelenina 8,3%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(paradajka cherry, šalát Lollo Biondo, paprika zelená)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pšenica obyčajná, jačmeň, raž), sezam, sója, mlieko</a:t>
          </a:r>
        </a:p>
        <a:p>
          <a:r>
            <a:rPr lang="sk-SK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Môže obsahovať: </a:t>
          </a:r>
          <a:r>
            <a:rPr lang="sk-SK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orechy, vajcia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Zloženie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1142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273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7,5; Sacharidy 26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11,5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0,9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8</xdr:col>
      <xdr:colOff>9525</xdr:colOff>
      <xdr:row>47</xdr:row>
      <xdr:rowOff>19050</xdr:rowOff>
    </xdr:from>
    <xdr:to>
      <xdr:col>9</xdr:col>
      <xdr:colOff>714375</xdr:colOff>
      <xdr:row>50</xdr:row>
      <xdr:rowOff>9525</xdr:rowOff>
    </xdr:to>
    <xdr:cxnSp macro="">
      <xdr:nvCxnSpPr>
        <xdr:cNvPr id="3" name="Přímá spojnice 1"/>
        <xdr:cNvCxnSpPr/>
      </xdr:nvCxnSpPr>
      <xdr:spPr>
        <a:xfrm>
          <a:off x="13154025" y="12630150"/>
          <a:ext cx="31305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285750</xdr:colOff>
      <xdr:row>19</xdr:row>
      <xdr:rowOff>190500</xdr:rowOff>
    </xdr:to>
    <xdr:sp macro="" textlink="">
      <xdr:nvSpPr>
        <xdr:cNvPr id="2" name="TextBox 1"/>
        <xdr:cNvSpPr txBox="1"/>
      </xdr:nvSpPr>
      <xdr:spPr>
        <a:xfrm>
          <a:off x="16078200" y="12700"/>
          <a:ext cx="3638550" cy="678815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Bacon -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svetlý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50%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59%, pitná voda, droždie, cukor, rastlinný olej slnečnicový, jedlá soľ,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lepok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lámanka, morská soľ, emulgátory: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E471, E481, E472e, konzervačná látka: kyselina sorbová, regulátor kyslosti: E575, múku upravujúca látka: kyselina L-askorbová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Grilovaná oravská slanina 40%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bravčový bok bez kostí 90%, pitná voda, jedlá soľ, modifikovaný škrob: E1420, E1422, stabilizátory: E450, E451, dextróza, bravčová bielkovina, ryžová múka, zahusťovadlo: E407, korenie, farbivo: extrakt z červenej repy, karamel, zvýrazňovač chuti: E621, antioxidant: E300, regulátor kyslosti: E331, aróma, konzervačná látka: E250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Olivový olej 5%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Sladká čili omáčka 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(cukor, čili papričky 22%, pitná voda, cesnak 8,5%, kvasný ocot vinný, jedlá soľ, tapiokový škrob, kyselina citrónová E330, kyselina octová E260, zahusťovadlo: xantánová guma);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2%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(pór).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mlieko, sóju,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V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1165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279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4,6; Sacharidy 27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9,2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1,7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42</xdr:row>
      <xdr:rowOff>19050</xdr:rowOff>
    </xdr:from>
    <xdr:to>
      <xdr:col>8</xdr:col>
      <xdr:colOff>714375</xdr:colOff>
      <xdr:row>45</xdr:row>
      <xdr:rowOff>9525</xdr:rowOff>
    </xdr:to>
    <xdr:cxnSp macro="">
      <xdr:nvCxnSpPr>
        <xdr:cNvPr id="3" name="Přímá spojnice 1"/>
        <xdr:cNvCxnSpPr/>
      </xdr:nvCxnSpPr>
      <xdr:spPr>
        <a:xfrm>
          <a:off x="13163550" y="12534900"/>
          <a:ext cx="31337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19</xdr:row>
      <xdr:rowOff>190500</xdr:rowOff>
    </xdr:to>
    <xdr:sp macro="" textlink="">
      <xdr:nvSpPr>
        <xdr:cNvPr id="2" name="TextBox 1"/>
        <xdr:cNvSpPr txBox="1"/>
      </xdr:nvSpPr>
      <xdr:spPr>
        <a:xfrm>
          <a:off x="15455900" y="12700"/>
          <a:ext cx="3302000" cy="68072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Bacon -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tmavý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50%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 48%, 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 4,8%, pekárska zmes 3,4% (ľanové semená 17%,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drť 14%,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pražený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pražená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farbivo: E150a,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emulgátory: E481, E471, E472e, regulátory kyslosti: kyselina citrónová, octany sodné, jedlá soľ, múku upravujúca látka: kyselina L-askorbová), droždie,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lepok, jedlá soľ, rastlinný olej slnečnicový, cukor,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jačmenná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sladová múka, kukuričný škrob,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lámanka, morská soľ, emulgátory: E471, E472e, konzervanty: kyselina sorbová, propionan vápenatý, regulátor kyslosti: octany sodné, kyselina mliečna, múku upravujúca látka: kyselina L-askorbová);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Grilovaná oravská slanina 40%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bravčový bok bez kostí 90%, pitná voda, jedlá soľ, modifikovaný škrob: E1420, E1422, stabilizátory: E450, E451, dextróza, bravčová bielkovina, ryžová múka, zahusťovadlo: E407, korenie, farbivo: extrakt z červenej repy, karamel, zvýrazňovač chuti: E621, antioxidant: E300, regulátor kyslosti: E331, aróma, konzervačná látka: E250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Olivový olej 5%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Sladká čili omáčka 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(cukor, čili papričky 22%, pitná voda, cesnak 8,5%, kvasný ocot vinný, jedlá soľ, tapiokový škrob, kyselina citrónová E330, kyselina octová E260, zahusťovadlo: xantánová guma);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2%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(pór).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jačmeň), sója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mlieko,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V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090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61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; Sacharidy 2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9,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42</xdr:row>
      <xdr:rowOff>19050</xdr:rowOff>
    </xdr:from>
    <xdr:to>
      <xdr:col>8</xdr:col>
      <xdr:colOff>714375</xdr:colOff>
      <xdr:row>45</xdr:row>
      <xdr:rowOff>9525</xdr:rowOff>
    </xdr:to>
    <xdr:cxnSp macro="">
      <xdr:nvCxnSpPr>
        <xdr:cNvPr id="3" name="Přímá spojnice 1"/>
        <xdr:cNvCxnSpPr/>
      </xdr:nvCxnSpPr>
      <xdr:spPr>
        <a:xfrm>
          <a:off x="12449175" y="11696700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323850</xdr:colOff>
      <xdr:row>19</xdr:row>
      <xdr:rowOff>0</xdr:rowOff>
    </xdr:to>
    <xdr:sp macro="" textlink="">
      <xdr:nvSpPr>
        <xdr:cNvPr id="2" name="TextBox 1"/>
        <xdr:cNvSpPr txBox="1"/>
      </xdr:nvSpPr>
      <xdr:spPr>
        <a:xfrm>
          <a:off x="15097125" y="12700"/>
          <a:ext cx="3676650" cy="5407025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Mozzarella - svetlý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59%,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droždie, cukor, rastlinný olej slnečnicový, jedlá soľ,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lepok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lámanka, morská soľ, emulgátory: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E471, E481, E472e, konzervačná látka: kyselina sorbová, regulátor kyslosti: E575, múku upravujúca látka: kyselina L-askorbová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Mozzarella 38%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jedlá soľ, kyselina: kyselina citrónová, mliekarenské kultúry, mikrobiálne syridlo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Olivový olej 7%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Bazalka 1%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sóju,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1095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262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6,4; Sacharidy 22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0,8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39</xdr:row>
      <xdr:rowOff>19050</xdr:rowOff>
    </xdr:from>
    <xdr:to>
      <xdr:col>8</xdr:col>
      <xdr:colOff>714375</xdr:colOff>
      <xdr:row>42</xdr:row>
      <xdr:rowOff>9525</xdr:rowOff>
    </xdr:to>
    <xdr:cxnSp macro="">
      <xdr:nvCxnSpPr>
        <xdr:cNvPr id="3" name="Přímá spojnice 1"/>
        <xdr:cNvCxnSpPr/>
      </xdr:nvCxnSpPr>
      <xdr:spPr>
        <a:xfrm>
          <a:off x="12449175" y="11696700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0</xdr:row>
      <xdr:rowOff>12700</xdr:rowOff>
    </xdr:from>
    <xdr:to>
      <xdr:col>11</xdr:col>
      <xdr:colOff>258535</xdr:colOff>
      <xdr:row>21</xdr:row>
      <xdr:rowOff>13607</xdr:rowOff>
    </xdr:to>
    <xdr:sp macro="" textlink="">
      <xdr:nvSpPr>
        <xdr:cNvPr id="2" name="TextBox 1"/>
        <xdr:cNvSpPr txBox="1"/>
      </xdr:nvSpPr>
      <xdr:spPr>
        <a:xfrm>
          <a:off x="18737037" y="12700"/>
          <a:ext cx="4259034" cy="6668407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Debrecínka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Francúzska bageta 120g 49%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pšeničná </a:t>
          </a:r>
          <a:r>
            <a:rPr lang="sk-SK" sz="1100" i="1">
              <a:solidFill>
                <a:schemeClr val="dk1"/>
              </a:solidFill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pitná voda, repkový olej, droždie, regul. kyslosti: E263, múku upravujúca látka: E300, E920, jedlá soľ s jódom, cukor);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 Debrecínska šunka 15%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(bravčové karé 55%, pitná voda, jedlá soľ, modifik. kukuričný škrob, zahusť.: E407, bravčová bielkovina, stabiliz.: E450, E451, regul. kyslosti: E331, dextróza, antioxidant: E316, extrakty korenín, aróma, zemiakový škrob, konzer. látka: E250);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Cibuľová majonéza 14%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(slnečnicový olej, opečená cibuľa 37%, jedlá soľ, úplne hydrogenovaný repkový olej, cukor, stimulátor chutnosti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(glutaman sodný), 50% repkový olej, pitná voda, 4,8% paster. </a:t>
          </a:r>
          <a:r>
            <a:rPr lang="sk-SK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vaječné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žĺtky, cukor, modifik. kukuričný škrob, kvasný ocot liehový, jedlá soľ, </a:t>
          </a:r>
          <a:r>
            <a:rPr lang="sk-SK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, zmes korenín, zahusť.: xantánová guma, guarová guma, konzer. látka: kyselina sorbová, regulátor kyslosti: kys. citrónová, farbivo: beta karotén, antioxidant: E385, aróma);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Čerstvá zelenina 13%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(ľadový šalát, cibuľka zelená);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Syr GOLD TEHLA 9% 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(odstredené </a:t>
          </a:r>
          <a:r>
            <a:rPr lang="sk-SK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mlieko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, rastlinný tuk: palmový úplne hydrogenovaný 26%, stabiliz.: chlorid vápenatý, syridlo, jedlá soľ max. 2,5%, mliekarenské kultúry, farbivo: karotény). </a:t>
          </a: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vajcia, horčicové semeno, 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Výživové údaje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1013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42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2,1; Sacharidy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7;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9,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1,3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76</xdr:row>
      <xdr:rowOff>19050</xdr:rowOff>
    </xdr:from>
    <xdr:to>
      <xdr:col>8</xdr:col>
      <xdr:colOff>714375</xdr:colOff>
      <xdr:row>79</xdr:row>
      <xdr:rowOff>9525</xdr:rowOff>
    </xdr:to>
    <xdr:cxnSp macro="">
      <xdr:nvCxnSpPr>
        <xdr:cNvPr id="3" name="Přímá spojnice 1"/>
        <xdr:cNvCxnSpPr/>
      </xdr:nvCxnSpPr>
      <xdr:spPr>
        <a:xfrm>
          <a:off x="14249400" y="12172950"/>
          <a:ext cx="305752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12699</xdr:rowOff>
    </xdr:from>
    <xdr:to>
      <xdr:col>12</xdr:col>
      <xdr:colOff>202406</xdr:colOff>
      <xdr:row>19</xdr:row>
      <xdr:rowOff>83342</xdr:rowOff>
    </xdr:to>
    <xdr:sp macro="" textlink="">
      <xdr:nvSpPr>
        <xdr:cNvPr id="2" name="TextBox 1"/>
        <xdr:cNvSpPr txBox="1"/>
      </xdr:nvSpPr>
      <xdr:spPr>
        <a:xfrm>
          <a:off x="15228094" y="12699"/>
          <a:ext cx="3536156" cy="7095331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Mozzarella - tmavý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 48%, 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 4,8%, pekárska zmes 3,4% (ľanové semená 17%,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drť 14%,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pražený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pražená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farbivo: E150a,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emulgátory: E481, E471, E472e, regulátory kyslosti: kyselina citrónová, octany sodné, jedlá soľ, múku upravujúca látka: kyselina L-askorbová), droždie,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lepok, jedlá soľ, rastlinný olej slnečnicový, cukor,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jačmenná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sladová múka, kukuričný škrob,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lámanka, morská soľ, emulgátory: E471, E472e, konzervanty: kyselina sorbová, propionan vápenatý, regulátor kyslosti: octany sodné, kyselina mliečna, múku upravujúca látka: kyselina L-askorbová);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Mozzarella 38%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mlieko,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jedlá soľ, kyselina: kyselina citrónová, mliekarenské kultúry, mikrobiálne syridlo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Olivový olej 7%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Bazalka 1%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jačmeň), sója,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iné obilniny obsahujúce lepok, vajcia, orechy, zeler, sezam</a:t>
          </a:r>
          <a:r>
            <a:rPr lang="sk-SK" u="sng"/>
            <a:t> 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54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; Sacharidy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39</xdr:row>
      <xdr:rowOff>19050</xdr:rowOff>
    </xdr:from>
    <xdr:to>
      <xdr:col>8</xdr:col>
      <xdr:colOff>714375</xdr:colOff>
      <xdr:row>42</xdr:row>
      <xdr:rowOff>9525</xdr:rowOff>
    </xdr:to>
    <xdr:cxnSp macro="">
      <xdr:nvCxnSpPr>
        <xdr:cNvPr id="3" name="Přímá spojnice 1"/>
        <xdr:cNvCxnSpPr/>
      </xdr:nvCxnSpPr>
      <xdr:spPr>
        <a:xfrm>
          <a:off x="13163550" y="9886950"/>
          <a:ext cx="26479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70739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Šunka Syr - svetlý</a:t>
          </a:r>
          <a:endParaRPr lang="sk-SK" sz="1100" b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59%,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droždie, cukor, rastlinný olej slnečnicový, jedlá soľ,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lepok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lámanka, morská soľ, emulgátory: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E471, E481, E472e, konzervačná látka: kyselina sorbová, regulátor kyslosti: E575, múku upravujúca látka: kyselina L-askorbová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Šunkový nárez 23,5%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bravčové stehno 70%, pitná voda 24%, jedlá soľ, konzervačná látka: E250, stabilizátory: E451, E450, zahusťovadla: E407a, E415, cukor, antioxidanty: E316, E301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GOLD TEHLA 12%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odstredené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2,5%, mliekarenské kultúry, farbivo: karotény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 9%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(paradajka);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Olivový olej 7%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Kečup 4,5%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paradajkový pretlak, cukor, kvasný ocot liehový, modifikovaný kukuričný škrob, jedlá soľ max. 3,5%, regulátor kyslosti: kyselina citrónová, konzervačná látka: kyselina benzoová, zmes korenín, zahusťovadlo: xanthan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sóju,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1004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240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3,3; Sacharidy 23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1,4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46</xdr:row>
      <xdr:rowOff>19050</xdr:rowOff>
    </xdr:from>
    <xdr:to>
      <xdr:col>8</xdr:col>
      <xdr:colOff>714375</xdr:colOff>
      <xdr:row>49</xdr:row>
      <xdr:rowOff>9525</xdr:rowOff>
    </xdr:to>
    <xdr:cxnSp macro="">
      <xdr:nvCxnSpPr>
        <xdr:cNvPr id="3" name="Přímá spojnice 1"/>
        <xdr:cNvCxnSpPr/>
      </xdr:nvCxnSpPr>
      <xdr:spPr>
        <a:xfrm>
          <a:off x="13163550" y="9886950"/>
          <a:ext cx="26479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76708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Šunka Syr - tmavý</a:t>
          </a:r>
          <a:endParaRPr lang="sk-SK" sz="1100" b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 48%, 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 4,8%, pekárska zmes 3,4% (ľanové semená 17%,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drť 14%,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pražený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pražená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farbivo: E150a,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emulgátory: E481, E471, E472e, regulátory kyslosti: kyselina citrónová, octany sodné, jedlá soľ, múku upravujúca látka: kyselina L-askorbová), droždie,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lepok, jedlá soľ, rastlinný olej slnečnicový, cukor,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jačmenná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sladová múka, kukuričný škrob,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lámanka, morská soľ, emulgátory: E471, E472e, konzervanty: kyselina sorbová, propionan vápenatý, regulátor kyslosti: octany sodné, kyselina mliečna, múku upravujúca látka: kyselina L-askorbová);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GOLD TEHLA 12%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odstredené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2,5%, mliekarenské kultúry, farbivo: karotény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 9%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(paradajka);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Olivový olej 7%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Kečup 4,5%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paradajkový pretlak, cukor, kvasný ocot liehový, modifikovaný kukuričný škrob, jedlá soľ max. 3,5%, regulátor kyslosti: kyselina citrónová, konzervačná látka: kyselina benzoová, zmes korenín, zahusťovadlo: xanthan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jačmeň), sója,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iné obilniny obsahujúce lepok, vajcia, orechy, zeler, sezam</a:t>
          </a:r>
          <a:r>
            <a:rPr lang="sk-SK" u="sng"/>
            <a:t> 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969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32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3,3; Sacharidy 2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1,4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46</xdr:row>
      <xdr:rowOff>19050</xdr:rowOff>
    </xdr:from>
    <xdr:to>
      <xdr:col>8</xdr:col>
      <xdr:colOff>714375</xdr:colOff>
      <xdr:row>49</xdr:row>
      <xdr:rowOff>9525</xdr:rowOff>
    </xdr:to>
    <xdr:cxnSp macro="">
      <xdr:nvCxnSpPr>
        <xdr:cNvPr id="3" name="Přímá spojnice 1"/>
        <xdr:cNvCxnSpPr/>
      </xdr:nvCxnSpPr>
      <xdr:spPr>
        <a:xfrm>
          <a:off x="13163550" y="12525375"/>
          <a:ext cx="28098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12699</xdr:rowOff>
    </xdr:from>
    <xdr:to>
      <xdr:col>12</xdr:col>
      <xdr:colOff>831273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15263091" y="12699"/>
          <a:ext cx="3359727" cy="6164119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Tuniak - svetlý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42%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59%,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droždie, cukor, rastlinný olej slnečnicový, jedlá soľ,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lepok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lámanka, morská soľ, emulgátory: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E471, E481, E472e, konzervačná látka: kyselina sorbová, regulátor kyslosti: E575, múku upravujúca látka: kyselina L-askorbová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(paradajka, cibuľa červená);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Tuniak v oleji 14,4%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(tuniak kúsky,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sójový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olej,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jedlá soľ);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 14,4%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Čerstvý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kôpor 7%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orčica 1%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kvasný ocot liehový, cukor, jedlá soľ, kurkuma, výťažok korenín)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Jedl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á soľ 0,2%</a:t>
          </a: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sója, mlieko, horčicové semeno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1023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245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8,3; Sacharidy 21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0,8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44</xdr:row>
      <xdr:rowOff>19050</xdr:rowOff>
    </xdr:from>
    <xdr:to>
      <xdr:col>8</xdr:col>
      <xdr:colOff>714375</xdr:colOff>
      <xdr:row>47</xdr:row>
      <xdr:rowOff>9525</xdr:rowOff>
    </xdr:to>
    <xdr:cxnSp macro="">
      <xdr:nvCxnSpPr>
        <xdr:cNvPr id="3" name="Přímá spojnice 1"/>
        <xdr:cNvCxnSpPr/>
      </xdr:nvCxnSpPr>
      <xdr:spPr>
        <a:xfrm>
          <a:off x="13154025" y="12617450"/>
          <a:ext cx="28130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369094</xdr:colOff>
      <xdr:row>20</xdr:row>
      <xdr:rowOff>23812</xdr:rowOff>
    </xdr:to>
    <xdr:sp macro="" textlink="">
      <xdr:nvSpPr>
        <xdr:cNvPr id="2" name="TextBox 1"/>
        <xdr:cNvSpPr txBox="1"/>
      </xdr:nvSpPr>
      <xdr:spPr>
        <a:xfrm>
          <a:off x="15251906" y="12700"/>
          <a:ext cx="3702844" cy="7273925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Tuniak - tmavý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42%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 48%, 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 4,8%, pekárska zmes 3,4% (ľanové semená 17%,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drť 14%,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pražený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pražená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farbivo: E150a,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emulgátory: E481, E471, E472e, regulátory kyslosti: kyselina citrónová, octany sodné, jedlá soľ, múku upravujúca látka: kyselina L-askorbová), droždie,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lepok, jedlá soľ, rastlinný olej slnečnicový, cukor,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jačmenná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sladová múka, kukuričný škrob,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lámanka, morská soľ, emulgátory: E471, E472e, konzervanty: kyselina sorbová, propionan vápenatý, regulátor kyslosti: octany sodné, kyselina mliečna, múku upravujúca látka: kyselina L-askorbová);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(paradajka, cibuľa červená);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Tuniak v oleji 14,4%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(tuniak kúsky,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sójový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olej,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jedlá soľ);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 14,4% (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Čerstvý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kôpor 7%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orčica 1%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kvasný ocot liehový, cukor, jedlá soľ, kurkuma, výťažok korenín)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Jedl</a:t>
          </a:r>
          <a:r>
            <a:rPr lang="sk-S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á soľ 0,2%</a:t>
          </a:r>
          <a:r>
            <a:rPr lang="sk-S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jačmeň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sója, mlieko, Môže obsahovať: iné obilniny obsahujúce lepok, vajcia,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990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37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8,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; Sacharidy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180g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44</xdr:row>
      <xdr:rowOff>19050</xdr:rowOff>
    </xdr:from>
    <xdr:to>
      <xdr:col>8</xdr:col>
      <xdr:colOff>714375</xdr:colOff>
      <xdr:row>47</xdr:row>
      <xdr:rowOff>9525</xdr:rowOff>
    </xdr:to>
    <xdr:cxnSp macro="">
      <xdr:nvCxnSpPr>
        <xdr:cNvPr id="3" name="Přímá spojnice 1"/>
        <xdr:cNvCxnSpPr/>
      </xdr:nvCxnSpPr>
      <xdr:spPr>
        <a:xfrm>
          <a:off x="12230100" y="11020425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343243</xdr:colOff>
      <xdr:row>19</xdr:row>
      <xdr:rowOff>171621</xdr:rowOff>
    </xdr:to>
    <xdr:sp macro="" textlink="">
      <xdr:nvSpPr>
        <xdr:cNvPr id="2" name="TextBox 1"/>
        <xdr:cNvSpPr txBox="1"/>
      </xdr:nvSpPr>
      <xdr:spPr>
        <a:xfrm>
          <a:off x="15091261" y="12700"/>
          <a:ext cx="3684144" cy="546775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Prosciutto - svetlý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48%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59%,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droždie, cukor, rastlinný olej slnečnicový, jedlá soľ,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 lepok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lámanka, morská soľ, emulgátory:</a:t>
          </a:r>
          <a:r>
            <a:rPr lang="sk-S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E471, E481, E472e, konzervačná látka: kyselina sorbová, regulátor kyslosti: E575, múku upravujúca látka: kyselina L-askorbová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Prosciutto 30%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jedlá soľ, kyselina: kyselina citrónová, mliekarenské kultúry, mikrobiálne syridlo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Olivový olej 8%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Bazalka 1%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obyčajná).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sóju,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910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217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1,4; Sacharidy 21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1,3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1.0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157g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39</xdr:row>
      <xdr:rowOff>19050</xdr:rowOff>
    </xdr:from>
    <xdr:to>
      <xdr:col>8</xdr:col>
      <xdr:colOff>714375</xdr:colOff>
      <xdr:row>42</xdr:row>
      <xdr:rowOff>9525</xdr:rowOff>
    </xdr:to>
    <xdr:cxnSp macro="">
      <xdr:nvCxnSpPr>
        <xdr:cNvPr id="3" name="Přímá spojnice 1"/>
        <xdr:cNvCxnSpPr/>
      </xdr:nvCxnSpPr>
      <xdr:spPr>
        <a:xfrm>
          <a:off x="13154025" y="9950450"/>
          <a:ext cx="26479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343243</xdr:colOff>
      <xdr:row>19</xdr:row>
      <xdr:rowOff>171621</xdr:rowOff>
    </xdr:to>
    <xdr:sp macro="" textlink="">
      <xdr:nvSpPr>
        <xdr:cNvPr id="2" name="TextBox 1"/>
        <xdr:cNvSpPr txBox="1"/>
      </xdr:nvSpPr>
      <xdr:spPr>
        <a:xfrm>
          <a:off x="15087600" y="12700"/>
          <a:ext cx="3696043" cy="5429421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Panini Prosciutto - tmavý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42%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 48%, pitná voda,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 4,8%, pekárska zmes 3,4% (ľanové semená 17%,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drť 14%,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otruby,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pražený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jačmeň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pražená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farbivo: E150a,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emulgátory: E481, E471, E472e, regulátory kyslosti: kyselina citrónová, octany sodné, jedlá soľ, múku upravujúca látka: kyselina L-askorbová), droždie,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lepok, jedlá soľ, rastlinný olej slnečnicový, cukor,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ražná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jačmenná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sladová múka, kukuričný škrob,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lámanka, morská soľ, emulgátory: E471, E472e, konzervanty: kyselina sorbová, propionan vápenatý, regulátor kyslosti: octany sodné, kyselina mliečna, múku upravujúca látka: kyselina L-askorbová);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Prosciutto 30%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jedlá soľ, kyselina: kyselina citrónová, mliekarenské kultúry, mikrobiálne syridlo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25%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Olivový olej 8%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Bazalka 1%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k-SK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sója.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iné obilniny obsahujúce lepok, vajcia, sóju, orechy, zeler, sezam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877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209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1,5; Sacharidy 18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0,9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157g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39</xdr:row>
      <xdr:rowOff>19050</xdr:rowOff>
    </xdr:from>
    <xdr:to>
      <xdr:col>8</xdr:col>
      <xdr:colOff>714375</xdr:colOff>
      <xdr:row>42</xdr:row>
      <xdr:rowOff>9525</xdr:rowOff>
    </xdr:to>
    <xdr:cxnSp macro="">
      <xdr:nvCxnSpPr>
        <xdr:cNvPr id="3" name="Přímá spojnice 1"/>
        <xdr:cNvCxnSpPr/>
      </xdr:nvCxnSpPr>
      <xdr:spPr>
        <a:xfrm>
          <a:off x="13154025" y="9759950"/>
          <a:ext cx="26479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12700</xdr:rowOff>
    </xdr:from>
    <xdr:to>
      <xdr:col>12</xdr:col>
      <xdr:colOff>0</xdr:colOff>
      <xdr:row>14</xdr:row>
      <xdr:rowOff>13655</xdr:rowOff>
    </xdr:to>
    <xdr:sp macro="" textlink="">
      <xdr:nvSpPr>
        <xdr:cNvPr id="2" name="TextBox 1"/>
        <xdr:cNvSpPr txBox="1"/>
      </xdr:nvSpPr>
      <xdr:spPr>
        <a:xfrm>
          <a:off x="15745269" y="12700"/>
          <a:ext cx="3332043" cy="6105149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Chlebíček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 moravským mäsom</a:t>
          </a:r>
          <a:endParaRPr lang="sk-S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29%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voda, droždie, rastlinný tuk (stužený, nestužený, E322, chemická konzervačná látka: E200, maslová aróma: E300), soľ jedlá, zlepšujúci prípravok: uhličitan vápenatý,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E472e, E471, kyselina askorbová, enzýmy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Moravské mäso 41%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bravčové stehno 66%, pitná voda, jedlá soľ, modifikovaný škrob, zahusťovadlo: E407, bravčová bielkovina, stabilizátory: E450, E451, regulátor kyslosti: E331, dextróza, antioxidant: E316, extrakty korenín, konzervačná látka: E250, farbivo: obyčajný karamel</a:t>
          </a:r>
          <a:r>
            <a:rPr lang="en-US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elenina 23%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(paradajka, paprika, ľadový šalát);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Majonéza 6%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4,8% pasterizované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žĺtky, cukor, modifikovaný kukuričný škrob, kvasný ocot liehový, jedlá soľ,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regulátor kyslosti: kyselina citrónová, farbivo: beta karotén, antioxidant: E385, aróma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petržlenová vňať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1%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sója, vajcia, horčicové semeno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GMO.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572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136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0,5; Sacharidy 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0,4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1,7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12700</xdr:colOff>
      <xdr:row>0</xdr:row>
      <xdr:rowOff>12700</xdr:rowOff>
    </xdr:from>
    <xdr:to>
      <xdr:col>16</xdr:col>
      <xdr:colOff>12700</xdr:colOff>
      <xdr:row>14</xdr:row>
      <xdr:rowOff>13655</xdr:rowOff>
    </xdr:to>
    <xdr:sp macro="" textlink="">
      <xdr:nvSpPr>
        <xdr:cNvPr id="3" name="TextBox 2"/>
        <xdr:cNvSpPr txBox="1"/>
      </xdr:nvSpPr>
      <xdr:spPr>
        <a:xfrm>
          <a:off x="19090012" y="12700"/>
          <a:ext cx="3332043" cy="6105149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Chlebíček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 zemiakovým šalátom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24%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voda, droždie, rastlinný tuk (stužený, nestužený, E322, chemická konzervačná látka: E200, maslová aróma: E300), soľ jedlá, zlepšujúci prípravok: uhličitan vápenatý,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E472e, E471, kyselina askorbová, enzýmy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Zemiakový šalát 41%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24g zemiaky; 7,3g majonéza (50% repkový olej, pitná voda, 4,8% pasterizované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žĺtky, cukor, modifikovaný kukuričný škrob, kvasný ocot liehový, jedlá soľ,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regulátor kyslosti: kyselina citrónová, farbivo: beta karotén, antioxidant: E385, aróma), 0,6g soľ do vody, 2,6g uhorky, 1,5g cibuľa, 2,9g mrkva, 1,8g hrášok, 0,3g soľ, 0,04g korenie čierne mleté, 0,7g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Š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unkový nárez  16%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bravčové stehno 70%, pitná voda 24%, jedlá soľ, konzervačná látka: E250, stabilizátory: E451, E450, zahusťovadla: E407a, E415, cukor, antioxidanty: E316, E301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Vajce 9,5%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Uhorka sterilizovaná 5%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uhorky, pitná voda, mrkva, cibu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ľa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kvasný ocot liehový, jedlá soľ, sladidlo: sacharín sodný,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Kápia sterilizovaná 4%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paprika, pitná voda, kvasný ocot liehový, jedlá soľ,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cibuľa,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stabilizátor: chlorid vápenatý, koreniaci výťažok, sladidlo: sacharín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petržlenová vňať 0,5%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sója, vajcia, horčicové semeno, horčica.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GMO.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613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146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0,8; Sacharidy 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0,5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6,4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0,8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0</xdr:colOff>
      <xdr:row>14</xdr:row>
      <xdr:rowOff>25399</xdr:rowOff>
    </xdr:from>
    <xdr:to>
      <xdr:col>16</xdr:col>
      <xdr:colOff>12700</xdr:colOff>
      <xdr:row>15</xdr:row>
      <xdr:rowOff>548694</xdr:rowOff>
    </xdr:to>
    <xdr:sp macro="" textlink="">
      <xdr:nvSpPr>
        <xdr:cNvPr id="4" name="TextBox 3"/>
        <xdr:cNvSpPr txBox="1"/>
      </xdr:nvSpPr>
      <xdr:spPr>
        <a:xfrm>
          <a:off x="15745269" y="6129593"/>
          <a:ext cx="6676786" cy="1533832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190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137</xdr:row>
      <xdr:rowOff>19050</xdr:rowOff>
    </xdr:from>
    <xdr:to>
      <xdr:col>3</xdr:col>
      <xdr:colOff>714375</xdr:colOff>
      <xdr:row>140</xdr:row>
      <xdr:rowOff>9525</xdr:rowOff>
    </xdr:to>
    <xdr:cxnSp macro="">
      <xdr:nvCxnSpPr>
        <xdr:cNvPr id="5" name="Přímá spojnice 1"/>
        <xdr:cNvCxnSpPr/>
      </xdr:nvCxnSpPr>
      <xdr:spPr>
        <a:xfrm>
          <a:off x="12230100" y="12620625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101</xdr:row>
      <xdr:rowOff>19050</xdr:rowOff>
    </xdr:from>
    <xdr:to>
      <xdr:col>8</xdr:col>
      <xdr:colOff>714375</xdr:colOff>
      <xdr:row>104</xdr:row>
      <xdr:rowOff>9525</xdr:rowOff>
    </xdr:to>
    <xdr:cxnSp macro="">
      <xdr:nvCxnSpPr>
        <xdr:cNvPr id="6" name="Přímá spojnice 1"/>
        <xdr:cNvCxnSpPr/>
      </xdr:nvCxnSpPr>
      <xdr:spPr>
        <a:xfrm>
          <a:off x="12230100" y="12620625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19050</xdr:rowOff>
    </xdr:from>
    <xdr:to>
      <xdr:col>8</xdr:col>
      <xdr:colOff>714375</xdr:colOff>
      <xdr:row>47</xdr:row>
      <xdr:rowOff>9525</xdr:rowOff>
    </xdr:to>
    <xdr:cxnSp macro="">
      <xdr:nvCxnSpPr>
        <xdr:cNvPr id="7" name="Přímá spojnice 1"/>
        <xdr:cNvCxnSpPr/>
      </xdr:nvCxnSpPr>
      <xdr:spPr>
        <a:xfrm>
          <a:off x="13528880" y="28327760"/>
          <a:ext cx="2930764" cy="97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12699</xdr:rowOff>
    </xdr:from>
    <xdr:to>
      <xdr:col>12</xdr:col>
      <xdr:colOff>0</xdr:colOff>
      <xdr:row>13</xdr:row>
      <xdr:rowOff>171235</xdr:rowOff>
    </xdr:to>
    <xdr:sp macro="" textlink="">
      <xdr:nvSpPr>
        <xdr:cNvPr id="2" name="TextBox 1"/>
        <xdr:cNvSpPr txBox="1"/>
      </xdr:nvSpPr>
      <xdr:spPr>
        <a:xfrm>
          <a:off x="15825056" y="12699"/>
          <a:ext cx="3367641" cy="6194603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Chlebíček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 salámou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31%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voda, droždie, rastlinný tuk (stužený, nestužený, E322, chemická konzervačná látka: E200, maslová aróma: E300), soľ jedlá, zlepšujúci prípravok: uhličitan vápenatý,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E472e, E471, kyselina askorbová, enzýmy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Saláma Tornádo 29%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(na 100g výrobku použité: 80g bravčové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mäso, 50g bravčová slanina, jedlá soľ, cesnak, dextróza, koreniny a extrakty korenín, zvýrazňovač chuti: E621, E635, štartovacia kultúra, konzervačná látka: E250, antioxidant: E316, dymová ar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ó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ma, farbivo: E120);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Uhorka sterilizovaná 23%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uhorky, pitná voda, mrkva, cibu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ľa,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kvasný ocot liehový, jedlá soľ, sladidlo: sacharín sodný,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ajce 7,5%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6%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4,8% pasterizované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žĺtky, cukor, modifikovaný kukuričný škrob, kvasný ocot liehový, jedlá soľ,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zahusťovadla: xantánová guma, guarová guma, konzervačná látka: kyselina sorbová, regulátor kyslosti: kyselina citrónová, farbivo: beta karotén, antioxidant: E385, aróma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zelenina 2,5%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(ľadový šalát),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etržlenová  vňať 1%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sója, vajcia, horčicové semeno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GMO.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1009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242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0,5; Sacharidy 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0,5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11,6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0,5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827640</xdr:colOff>
      <xdr:row>0</xdr:row>
      <xdr:rowOff>0</xdr:rowOff>
    </xdr:from>
    <xdr:to>
      <xdr:col>16</xdr:col>
      <xdr:colOff>12700</xdr:colOff>
      <xdr:row>13</xdr:row>
      <xdr:rowOff>171235</xdr:rowOff>
    </xdr:to>
    <xdr:sp macro="" textlink="">
      <xdr:nvSpPr>
        <xdr:cNvPr id="3" name="TextBox 2"/>
        <xdr:cNvSpPr txBox="1"/>
      </xdr:nvSpPr>
      <xdr:spPr>
        <a:xfrm>
          <a:off x="19178427" y="0"/>
          <a:ext cx="3394610" cy="6207302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Chlebíček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 šunkou a syrom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Chlieb pšeničný 33%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múka, voda, droždie, rastlinný tuk (stužený, nestužený, E322, chemická konzervačná látka: E200, maslová aróma: E300), soľ jedlá, zlepšujúci prípravok: uhličitan vápenatý,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sójová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E472e, E471, kyselina askorbová, enzýmy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Bravčová šunka 28 %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bravčové stehno 70%, pitná voda 24%, jedlá soľ, konzervačná látka: E250, stabilizátory: E451, E450, zahusťovadlá: E407a, E415, cukor, antioxidanty: E316, E301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GOLD TEHLA 16%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odstredené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Vajce 8 %;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Majonéza maslová 6,5%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65% repkový olej, pitná voda, sušený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vaječný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ž</a:t>
          </a:r>
          <a:r>
            <a:rPr lang="sk-SK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ĺ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tok, prírodná aróma masla (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enzymaticky modifikované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maltodextrín, jedlá soľ, dehydrované </a:t>
          </a:r>
          <a:r>
            <a:rPr lang="en-US" sz="1100" b="1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stabilizátor: E412, farbivá: E100, E160b, kvasný ocot liehový, cukor, modifikovaný škrob, stabilizátory: guarová guma, xantánová guma, konzervačná látka: kyselina sorbová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Kápia sterilizovaná 5%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paprika, pitná voda, kvasný ocot liehový, jedlá soľ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cibuľa, </a:t>
          </a:r>
          <a:r>
            <a:rPr lang="en-US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stabilizátor: chlorid vápenatý, koreniaci výťažok, sladidlo: sacharín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zelenina 3%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(ľadový šalát);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etržlenová vňať 0,5%</a:t>
          </a:r>
          <a:r>
            <a:rPr lang="en-US">
              <a:effectLst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sója, mlieko, vajcia, horčicové semeno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GMO. 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897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214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3.1; Sacharidy 17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0,5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11,6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1,4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12699</xdr:colOff>
      <xdr:row>13</xdr:row>
      <xdr:rowOff>169667</xdr:rowOff>
    </xdr:from>
    <xdr:to>
      <xdr:col>16</xdr:col>
      <xdr:colOff>12699</xdr:colOff>
      <xdr:row>15</xdr:row>
      <xdr:rowOff>432942</xdr:rowOff>
    </xdr:to>
    <xdr:sp macro="" textlink="">
      <xdr:nvSpPr>
        <xdr:cNvPr id="5" name="TextBox 4"/>
        <xdr:cNvSpPr txBox="1"/>
      </xdr:nvSpPr>
      <xdr:spPr>
        <a:xfrm>
          <a:off x="15837755" y="6205734"/>
          <a:ext cx="6735281" cy="1490466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7</xdr:col>
      <xdr:colOff>9525</xdr:colOff>
      <xdr:row>45</xdr:row>
      <xdr:rowOff>19050</xdr:rowOff>
    </xdr:from>
    <xdr:to>
      <xdr:col>8</xdr:col>
      <xdr:colOff>714375</xdr:colOff>
      <xdr:row>48</xdr:row>
      <xdr:rowOff>9525</xdr:rowOff>
    </xdr:to>
    <xdr:cxnSp macro="">
      <xdr:nvCxnSpPr>
        <xdr:cNvPr id="6" name="Přímá spojnice 1"/>
        <xdr:cNvCxnSpPr/>
      </xdr:nvCxnSpPr>
      <xdr:spPr>
        <a:xfrm>
          <a:off x="13535025" y="16135350"/>
          <a:ext cx="2927350" cy="96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104</xdr:row>
      <xdr:rowOff>19050</xdr:rowOff>
    </xdr:from>
    <xdr:to>
      <xdr:col>8</xdr:col>
      <xdr:colOff>714375</xdr:colOff>
      <xdr:row>107</xdr:row>
      <xdr:rowOff>9525</xdr:rowOff>
    </xdr:to>
    <xdr:cxnSp macro="">
      <xdr:nvCxnSpPr>
        <xdr:cNvPr id="7" name="Přímá spojnice 1"/>
        <xdr:cNvCxnSpPr/>
      </xdr:nvCxnSpPr>
      <xdr:spPr>
        <a:xfrm>
          <a:off x="13537165" y="16029612"/>
          <a:ext cx="3002266" cy="960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12701</xdr:rowOff>
    </xdr:from>
    <xdr:to>
      <xdr:col>14</xdr:col>
      <xdr:colOff>456629</xdr:colOff>
      <xdr:row>20</xdr:row>
      <xdr:rowOff>160535</xdr:rowOff>
    </xdr:to>
    <xdr:sp macro="" textlink="">
      <xdr:nvSpPr>
        <xdr:cNvPr id="2" name="TextBox 1"/>
        <xdr:cNvSpPr txBox="1"/>
      </xdr:nvSpPr>
      <xdr:spPr>
        <a:xfrm>
          <a:off x="19592247" y="12701"/>
          <a:ext cx="3824270" cy="6983003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Grilované mäso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Francúzska bageta 120g 49%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pitná voda, repkový olej, droždie, regulátor kyslosti: E263, múku upravujúca látka: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E300, E920, jedlá soľ s jódom, cukor);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Kuracie mäso grilované 24%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(kuracie prsia;</a:t>
          </a:r>
          <a:r>
            <a:rPr lang="sk-SK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slnečnicový rafinovaný olej;</a:t>
          </a:r>
          <a:r>
            <a:rPr lang="sk-SK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grilovacie korenie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(jedlá soľ max. 43%, paprika, cesnak, koriander,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rasca, protispekavá látka: E341iii, rastlinný olej (repkový));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16%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4,8% pasterizované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 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žĺtky, cukor, modifikovaný kukuričný škrob, kvasný ocot liehový, jedlá soľ,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regulátor kyslosti: kyselina citrónová, farbivo: beta karotén, antioxidant: E385, aróma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Uhorka sterilizovaná 6%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uhorky, pitná voda, mrkva, cibuľa, kvasný ocot liehový, jedlá soľ, sladidlo: sacharín sodný,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3%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(ľadový šalát);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ápia sterilizovaná 2%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paprika, pitná voda, kvasný ocot liehový, jedlá soľ, cibuľa, </a:t>
          </a:r>
          <a:r>
            <a:rPr lang="sk-SK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stabilizátor: chlorid vápenatý, koreniaci výťažok, sladidlo: sacharín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horčica, vajcia, horčicové semeno</a:t>
          </a:r>
          <a:endParaRPr lang="sk-SK" sz="110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orechy, mlieko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Výživové údaje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1039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47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0;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0,9; Sacharidy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13,2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0,7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138</xdr:row>
      <xdr:rowOff>19050</xdr:rowOff>
    </xdr:from>
    <xdr:to>
      <xdr:col>4</xdr:col>
      <xdr:colOff>0</xdr:colOff>
      <xdr:row>141</xdr:row>
      <xdr:rowOff>0</xdr:rowOff>
    </xdr:to>
    <xdr:cxnSp macro="">
      <xdr:nvCxnSpPr>
        <xdr:cNvPr id="3" name="Přímá spojnice 1"/>
        <xdr:cNvCxnSpPr/>
      </xdr:nvCxnSpPr>
      <xdr:spPr>
        <a:xfrm>
          <a:off x="4418851" y="31130483"/>
          <a:ext cx="2944295" cy="5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3910240</xdr:colOff>
      <xdr:row>46</xdr:row>
      <xdr:rowOff>908</xdr:rowOff>
    </xdr:from>
    <xdr:to>
      <xdr:col>9</xdr:col>
      <xdr:colOff>0</xdr:colOff>
      <xdr:row>48</xdr:row>
      <xdr:rowOff>192640</xdr:rowOff>
    </xdr:to>
    <xdr:cxnSp macro="">
      <xdr:nvCxnSpPr>
        <xdr:cNvPr id="5" name="Přímá spojnice 1"/>
        <xdr:cNvCxnSpPr/>
      </xdr:nvCxnSpPr>
      <xdr:spPr>
        <a:xfrm>
          <a:off x="14944257" y="12554644"/>
          <a:ext cx="3773973" cy="962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12700</xdr:rowOff>
    </xdr:from>
    <xdr:to>
      <xdr:col>14</xdr:col>
      <xdr:colOff>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17640300" y="12700"/>
          <a:ext cx="3352800" cy="82169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Kurací gyros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Francúzska bageta 120g 47%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repkový olej, droždie, regulátor kyslosti: E263, múku upravujúca látka: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E300, E920, jedlá soľ s jódom, cukor);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Čerstvá zelenina 23%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(paradajka, ľadový šalát, paprika);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Kurací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gyros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17%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(kuracie prsia; gyros korenie (jedlá soľ max. 39%, cesnak sušený granulovaný, paprika sladká mletá, zvýrazňovač chuti a arómy (glutaman sodný), cibuľa sušená granulovaná, čierne korenie mleté, paprika štipľavá mletá, oregano, rozmarín, šalvia); paradajkový pretlak (pitná voda, paradajkový pretlak, izoglukózový sirup, chemická konzervačná látka: sorban draselný, benzoan sodný;, kečup (pitná voda, paradajkový pretlak, cukor, kvasný ocot liehový, modifikovaný kukuričný škrob, jedlá soľ max. 3,5%, regulátor kyslosti: kyselina citrónová, konzervačná látka: kyselina benzoová, zmes korenín, zahusťovadlo: xanthan),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slnečnicový rafinovaný olej);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Majonéza 13%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(50% repkový olej, pitná voda, 4,8% pasterizované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žĺtky, cukor, modifikovaný kukuričný škrob, kvasný ocot liehový, jedlá soľ,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 regulátor kyslosti: kyselina citrónová, farbivo: beta karotén, antioxidant: E385, aróma).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vajcia, horčicové semeno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mlieko, orechy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951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26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0,8; Sacharidy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10,7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0,7.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90</xdr:row>
      <xdr:rowOff>19050</xdr:rowOff>
    </xdr:from>
    <xdr:to>
      <xdr:col>8</xdr:col>
      <xdr:colOff>714375</xdr:colOff>
      <xdr:row>93</xdr:row>
      <xdr:rowOff>9525</xdr:rowOff>
    </xdr:to>
    <xdr:cxnSp macro="">
      <xdr:nvCxnSpPr>
        <xdr:cNvPr id="3" name="Přímá spojnice 1"/>
        <xdr:cNvCxnSpPr/>
      </xdr:nvCxnSpPr>
      <xdr:spPr>
        <a:xfrm>
          <a:off x="13315950" y="24755475"/>
          <a:ext cx="26765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3910240</xdr:colOff>
      <xdr:row>45</xdr:row>
      <xdr:rowOff>908</xdr:rowOff>
    </xdr:from>
    <xdr:to>
      <xdr:col>8</xdr:col>
      <xdr:colOff>678090</xdr:colOff>
      <xdr:row>47</xdr:row>
      <xdr:rowOff>190955</xdr:rowOff>
    </xdr:to>
    <xdr:cxnSp macro="">
      <xdr:nvCxnSpPr>
        <xdr:cNvPr id="4" name="Přímá spojnice 1"/>
        <xdr:cNvCxnSpPr/>
      </xdr:nvCxnSpPr>
      <xdr:spPr>
        <a:xfrm>
          <a:off x="13282840" y="13107308"/>
          <a:ext cx="2673350" cy="590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12700</xdr:rowOff>
    </xdr:from>
    <xdr:to>
      <xdr:col>14</xdr:col>
      <xdr:colOff>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15496566" y="12700"/>
          <a:ext cx="3284040" cy="7915179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Sendvi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Kurací gyros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Francúzska bageta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 64%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repkový olej, droždie, regulátor kyslosti: E263, múku upravujúca látka: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E300, E920, jedlá soľ s jódom, cukor);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Čerstvá zelenina 15%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(paradajka, ľadový šalát, paprika);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Kurací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gyros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15%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(kuracie prsia; gyros korenie (jedlá soľ max. 39%, cesnak sušený granulovaný, paprika sladká mletá, zvýrazňovač chuti a arómy (glutaman sodný), cibuľa sušená granulovaná, čierne korenie mleté, paprika štipľavá mletá, oregano, rozmarín, šalvia);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slnečnicový rafinovaný olej);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Majonéza 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(50% repkový olej, pitná voda, 4,8% pasterizované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žĺtky, cukor, modifikovaný kukuričný škrob, kvasný ocot liehový, jedlá soľ,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 regulátor kyslosti: kyselina citrónová, farbivo: beta karotén, antioxidant: E385, aróma).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vajcia, horčicové semeno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mlieko, orechy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1181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281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; Sacharidy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2,2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14,7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0,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90</xdr:row>
      <xdr:rowOff>19050</xdr:rowOff>
    </xdr:from>
    <xdr:to>
      <xdr:col>8</xdr:col>
      <xdr:colOff>714375</xdr:colOff>
      <xdr:row>93</xdr:row>
      <xdr:rowOff>9525</xdr:rowOff>
    </xdr:to>
    <xdr:cxnSp macro="">
      <xdr:nvCxnSpPr>
        <xdr:cNvPr id="3" name="Přímá spojnice 1"/>
        <xdr:cNvCxnSpPr/>
      </xdr:nvCxnSpPr>
      <xdr:spPr>
        <a:xfrm>
          <a:off x="13173075" y="10668000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3910240</xdr:colOff>
      <xdr:row>45</xdr:row>
      <xdr:rowOff>908</xdr:rowOff>
    </xdr:from>
    <xdr:to>
      <xdr:col>8</xdr:col>
      <xdr:colOff>678090</xdr:colOff>
      <xdr:row>47</xdr:row>
      <xdr:rowOff>190955</xdr:rowOff>
    </xdr:to>
    <xdr:cxnSp macro="">
      <xdr:nvCxnSpPr>
        <xdr:cNvPr id="4" name="Přímá spojnice 1"/>
        <xdr:cNvCxnSpPr/>
      </xdr:nvCxnSpPr>
      <xdr:spPr>
        <a:xfrm>
          <a:off x="13290097" y="13136337"/>
          <a:ext cx="2682422" cy="589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0</xdr:row>
      <xdr:rowOff>12700</xdr:rowOff>
    </xdr:from>
    <xdr:to>
      <xdr:col>10</xdr:col>
      <xdr:colOff>1200150</xdr:colOff>
      <xdr:row>20</xdr:row>
      <xdr:rowOff>12700</xdr:rowOff>
    </xdr:to>
    <xdr:sp macro="" textlink="">
      <xdr:nvSpPr>
        <xdr:cNvPr id="2" name="TextBox 1"/>
        <xdr:cNvSpPr txBox="1"/>
      </xdr:nvSpPr>
      <xdr:spPr>
        <a:xfrm>
          <a:off x="19030951" y="12700"/>
          <a:ext cx="3705224" cy="72009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Moravia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Plnený/obložený 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Francúzska bageta 120g 49%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múka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repkový olej, droždie, regulátor kyslosti: E263, múku upravujúca látka: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E300, E920, jedlá soľ s jódom, cukor);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Moravské formované mäso 14%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(bravčové stehno 66%, pitná voda, jedlá soľ, modifikovaný škrob, zahusťovadlo: E407, bravčová bielkovina, stabilizátory: E450, E451, regulátor kyslosti: E331, dextróza, antioxidant: E316, extrakty korenín, konzervačná látka: E250, farbivo: obyčajný karamel);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Majonéza 14%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(50% repkový olej, pitná voda, 4,8% pasterizované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vaječné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žĺtky, cukor, modifikovaný kukuričný škrob, kvasný ocot liehový, jedlá soľ,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horčicové semeno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zmes korenín, zahusťovadla: xantánová guma, guarová guma, konzervačná látka: kyselina sorbová, regulátor kyslosti: kyselina citrónová, farbivo: beta karotén, antioxidant: E385, aróma);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Vajcia 9%;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Č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erstvá zelenina 8%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(ľadový šalát);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 GOLD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TEHLA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odstredené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tuk: palmový úplne hydrogenovaný 26%, stabilizátor: chlorid vápenatý, syridlo, jedlá soľ max. 2,5%, mliekarenské kultúry, farbivo: karotény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obilniny obsahujúce lepok (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obyčajná), vajcia, horčicové semeno,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Výživová</a:t>
          </a:r>
          <a:r>
            <a:rPr lang="sk-SK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hodnota v 100g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: Energetická hodnota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1020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43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; Sacharidy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7;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9,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6;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1,1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245g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45</xdr:row>
      <xdr:rowOff>19050</xdr:rowOff>
    </xdr:from>
    <xdr:to>
      <xdr:col>8</xdr:col>
      <xdr:colOff>714375</xdr:colOff>
      <xdr:row>48</xdr:row>
      <xdr:rowOff>9525</xdr:rowOff>
    </xdr:to>
    <xdr:cxnSp macro="">
      <xdr:nvCxnSpPr>
        <xdr:cNvPr id="3" name="Přímá spojnice 1"/>
        <xdr:cNvCxnSpPr/>
      </xdr:nvCxnSpPr>
      <xdr:spPr>
        <a:xfrm>
          <a:off x="13956846" y="12646479"/>
          <a:ext cx="2909208" cy="779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3970000" y="12700"/>
          <a:ext cx="3302000" cy="64262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šunka,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syr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mini piccolo 80g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pitná voda, repkový olej, droždie, jedlá soľ s jódom, cukor, regulátor kyslosti (E263), múku upravujúca látka (E300, E920)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maslová 25g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(65% repkový olej, pitná voda, sušený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vaječný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žĺtok, prírodná aróma masla (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srvátka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enzymaticky modifikované </a:t>
          </a:r>
          <a:r>
            <a:rPr lang="sk-SK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maltodextrín, jedlá soľ, </a:t>
          </a:r>
          <a:r>
            <a:rPr lang="sk-S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dehydrované</a:t>
          </a:r>
          <a:r>
            <a:rPr lang="sk-S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maslo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stabilizátor: E412, farbivá: E100, E160b), kvasný ocot liehový, cukor, modifikovaný škrob, stabilizátory: guarová guma, xantánová guma, konzervačná látka: kyselina sorbová);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Šunka 14g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(bravčové stehno 70%, pitná voda 24%, jedlá soľ, konzervačná látka: E250, stabilizátory: E451, E450, zahusťovadla: E407a, E415, cukor, antioxidanty: E316, E301);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Syr 14g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odstredené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palmový tuk, soľ, stabilizátor: chlorid vápenatý, konzervačná látka: dusičnan sodný, syridlo, mliekarenské kultúry, farbivo: E160a);</a:t>
          </a:r>
          <a:r>
            <a:rPr lang="sk-SK"/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Kápia sterilizovaná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6%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paprika červená, pitná voda, ocot kvasný liehový, jedlá soľ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endParaRPr lang="en-US">
            <a:effectLst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jačmeň, ovos, pšenica špalda, cirok alebo ich hybridné odrody, a výrobky z nich, vajcia, mlieko</a:t>
          </a:r>
          <a:r>
            <a:rPr lang="sk-SK" u="sng"/>
            <a:t> </a:t>
          </a:r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  <a:endParaRPr lang="sk-SK" sz="11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1313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314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2,5; Sacharidy 32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1,7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9,5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1,3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143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40</xdr:row>
      <xdr:rowOff>19050</xdr:rowOff>
    </xdr:from>
    <xdr:to>
      <xdr:col>8</xdr:col>
      <xdr:colOff>714375</xdr:colOff>
      <xdr:row>43</xdr:row>
      <xdr:rowOff>9525</xdr:rowOff>
    </xdr:to>
    <xdr:cxnSp macro="">
      <xdr:nvCxnSpPr>
        <xdr:cNvPr id="3" name="Přímá spojnice 1"/>
        <xdr:cNvCxnSpPr/>
      </xdr:nvCxnSpPr>
      <xdr:spPr>
        <a:xfrm>
          <a:off x="13173075" y="10668000"/>
          <a:ext cx="290512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6941800" y="12700"/>
          <a:ext cx="4394200" cy="76327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salámová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mini piccolo 80g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pitná voda, repkový olej, droždie, jedlá soľ s jódom, cukor, regulátor kyslosti (E263), múku upravujúca látka (E300, E920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25g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pasterizovaný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vaječný žĺtok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cukor,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plnotučná (pitná voda,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horčičné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ocot kvasný liehový, cukor, jedlá soľ, koreniny), ocot kvasný liehový, jedlá soľ, modifikovaný kukuričný škrob, zahusťovadla: guarová guma, xantánová guma, konzervačné látky: benzoán sodný, sorban draselný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Saláma 20g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100g výrobku použité: 80g bravčové mäso, 50g bravčová slanina, jedlá soľ, cesnak, dextróza, koreniny a extrakty korenín, zvýrazňovač chuti: E621, E635, štartovacia kultúra, konzervačná látka: E250, antioxidant: E316, dymová aroma, farbivo: E120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Uhorka sterilizovaná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pitná voda, ocot kvasný liehový, soľ jedlá, plnidlo: chlorid vápenatý, extrakt korenia, sladidlo: sukralóza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endParaRPr lang="en-US">
            <a:effectLst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jačmeň, ovos, pšenica špalda, cirok alebo ich hybridné odrody, a výrobky z nich, vajcia, horčicové</a:t>
          </a:r>
          <a:r>
            <a:rPr lang="sk-SK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semeno</a:t>
          </a:r>
          <a:endParaRPr lang="sk-SK" u="sng"/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orechy, mlieko</a:t>
          </a:r>
          <a:endParaRPr lang="sk-SK" sz="11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1273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304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6,4; Sacharidy 28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2,0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10,1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1,2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135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40</xdr:row>
      <xdr:rowOff>19050</xdr:rowOff>
    </xdr:from>
    <xdr:to>
      <xdr:col>8</xdr:col>
      <xdr:colOff>714375</xdr:colOff>
      <xdr:row>43</xdr:row>
      <xdr:rowOff>9525</xdr:rowOff>
    </xdr:to>
    <xdr:cxnSp macro="">
      <xdr:nvCxnSpPr>
        <xdr:cNvPr id="3" name="Přímá spojnice 1"/>
        <xdr:cNvCxnSpPr/>
      </xdr:nvCxnSpPr>
      <xdr:spPr>
        <a:xfrm>
          <a:off x="13306425" y="12414250"/>
          <a:ext cx="2927350" cy="77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12700</xdr:rowOff>
    </xdr:from>
    <xdr:to>
      <xdr:col>13</xdr:col>
      <xdr:colOff>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16941800" y="12700"/>
          <a:ext cx="4394200" cy="7035800"/>
        </a:xfrm>
        <a:prstGeom prst="rect">
          <a:avLst/>
        </a:prstGeom>
        <a:solidFill>
          <a:srgbClr val="FFD5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syrová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Plnený/obložený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pekárenský výrobok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Zloženie: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Bageta mini piccolo 80g 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pšeničná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múka, pitná voda, repkový olej, droždie, jedlá soľ s jódom, cukor, regulátor kyslosti (E263), múku upravujúca látka (E300, E920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Majonéza 25g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repkový olej, pitná voda, pasterizovaný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vaječný žĺtok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cukor,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horčica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plnotučná (pitná voda,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horčičné semeno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ocot kvasný liehový, cukor, jedlá soľ, koreniny), ocot kvasný liehový, jedlá soľ, modifikovaný kukuričný škrob, zahusťovadla: guarová guma, xantánová guma, konzervačné látky: benzoán sodný, sorban draselný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Syr 14g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pasterizované odstredené </a:t>
          </a:r>
          <a:r>
            <a:rPr lang="sk-SK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mlieko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rastlinný palmový tuk, soľ, stabilizátor: chlorid vápenatý, konzervačná látka: dusičnan sodný, syridlo, mliekarenské kultúry, farbivo: E160a</a:t>
          </a:r>
          <a:r>
            <a:rPr lang="sk-SK"/>
            <a:t>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Čerstvá zelenina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sk-S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paradajka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endParaRPr lang="en-US">
            <a:effectLst/>
          </a:endParaRPr>
        </a:p>
        <a:p>
          <a:r>
            <a:rPr lang="sk-S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Alergény: </a:t>
          </a:r>
          <a:r>
            <a:rPr lang="sk-SK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pšenica obyčajná, raž, jačmeň, ovos, pšenica špalda, cirok alebo ich hybridné odrody, a výrobky z nich, vajcia, horčicové</a:t>
          </a:r>
          <a:r>
            <a:rPr lang="sk-SK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semeno, mlieko</a:t>
          </a:r>
          <a:endParaRPr lang="sk-SK" u="sng"/>
        </a:p>
        <a:p>
          <a:r>
            <a:rPr lang="sk-SK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Môže obsahovať: sóju,</a:t>
          </a:r>
          <a:r>
            <a:rPr lang="sk-SK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sezam, orechy</a:t>
          </a: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GMO: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výrobok neobsahuje GMO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Energetická hodnota: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1175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kJ/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281</a:t>
          </a:r>
          <a:r>
            <a:rPr lang="sk-SK" sz="1100">
              <a:solidFill>
                <a:schemeClr val="dk1"/>
              </a:solidFill>
              <a:latin typeface="+mn-lt"/>
              <a:ea typeface="+mn-ea"/>
              <a:cs typeface="+mn-cs"/>
            </a:rPr>
            <a:t> kcal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Tuk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14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sk-SK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Nenásytené mastné kyseliny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7,8; Sacharidy 29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Cukry 2,1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Bielkoviny 8,9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sk-SK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Soľ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1,4</a:t>
          </a:r>
          <a:r>
            <a:rPr lang="sk-SK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Vyrába: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Wings s.r.o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., Letisko Košice, 04175 Košice; prevádzka: Pri Bitúnku 2, Košice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Dátum spotreby je číslo šarže.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Množstvo/Hmotnosť: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133</a:t>
          </a:r>
          <a:r>
            <a:rPr lang="sk-SK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Krajina pôvodu: Slovenská republika</a:t>
          </a: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Balené v ochrannej atmosfére.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Skladujte v chlade pri teplote:  2-4°C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 otvorení skonzumujte ihneď, alebo najneskôr do 1 hodiny.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Spotrebujte do: viď. na obale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40</xdr:row>
      <xdr:rowOff>19050</xdr:rowOff>
    </xdr:from>
    <xdr:to>
      <xdr:col>8</xdr:col>
      <xdr:colOff>714375</xdr:colOff>
      <xdr:row>43</xdr:row>
      <xdr:rowOff>9525</xdr:rowOff>
    </xdr:to>
    <xdr:cxnSp macro="">
      <xdr:nvCxnSpPr>
        <xdr:cNvPr id="3" name="Přímá spojnice 1"/>
        <xdr:cNvCxnSpPr/>
      </xdr:nvCxnSpPr>
      <xdr:spPr>
        <a:xfrm>
          <a:off x="13306425" y="11817350"/>
          <a:ext cx="2927350" cy="77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27"/>
  <sheetViews>
    <sheetView workbookViewId="0">
      <selection activeCell="A30" sqref="A30"/>
    </sheetView>
  </sheetViews>
  <sheetFormatPr defaultColWidth="11" defaultRowHeight="15.6"/>
  <cols>
    <col min="1" max="1" width="20.796875" style="147" bestFit="1" customWidth="1"/>
    <col min="2" max="2" width="27.69921875" bestFit="1" customWidth="1"/>
    <col min="4" max="4" width="16.69921875" bestFit="1" customWidth="1"/>
    <col min="6" max="6" width="27.69921875" bestFit="1" customWidth="1"/>
  </cols>
  <sheetData>
    <row r="1" spans="1:4">
      <c r="A1" s="187" t="s">
        <v>395</v>
      </c>
      <c r="B1" s="187"/>
      <c r="C1" s="187"/>
      <c r="D1" s="187"/>
    </row>
    <row r="2" spans="1:4">
      <c r="A2" s="151" t="s">
        <v>1</v>
      </c>
      <c r="B2" s="151" t="s">
        <v>386</v>
      </c>
      <c r="C2" s="151"/>
      <c r="D2" s="151" t="s">
        <v>387</v>
      </c>
    </row>
    <row r="3" spans="1:4">
      <c r="A3" s="147" t="s">
        <v>3</v>
      </c>
      <c r="B3" s="67" t="s">
        <v>204</v>
      </c>
    </row>
    <row r="4" spans="1:4">
      <c r="B4" t="s">
        <v>142</v>
      </c>
      <c r="D4">
        <v>1.9</v>
      </c>
    </row>
    <row r="5" spans="1:4">
      <c r="B5" t="s">
        <v>119</v>
      </c>
      <c r="D5">
        <v>0.2</v>
      </c>
    </row>
    <row r="6" spans="1:4">
      <c r="B6" t="s">
        <v>118</v>
      </c>
      <c r="D6">
        <v>51</v>
      </c>
    </row>
    <row r="7" spans="1:4">
      <c r="B7" t="s">
        <v>143</v>
      </c>
      <c r="D7">
        <v>2.8</v>
      </c>
    </row>
    <row r="8" spans="1:4">
      <c r="B8" t="s">
        <v>133</v>
      </c>
      <c r="D8">
        <v>9.42</v>
      </c>
    </row>
    <row r="9" spans="1:4">
      <c r="B9" t="s">
        <v>120</v>
      </c>
      <c r="D9">
        <v>0.61</v>
      </c>
    </row>
    <row r="12" spans="1:4">
      <c r="A12" s="147" t="s">
        <v>11</v>
      </c>
      <c r="B12" s="64" t="s">
        <v>392</v>
      </c>
      <c r="C12" s="54"/>
    </row>
    <row r="13" spans="1:4">
      <c r="B13" t="s">
        <v>142</v>
      </c>
      <c r="D13" s="56">
        <v>51.3</v>
      </c>
    </row>
    <row r="14" spans="1:4">
      <c r="B14" t="s">
        <v>119</v>
      </c>
      <c r="D14" s="56">
        <v>4.0999999999999996</v>
      </c>
    </row>
    <row r="15" spans="1:4">
      <c r="B15" t="s">
        <v>118</v>
      </c>
      <c r="D15" s="56">
        <v>5</v>
      </c>
    </row>
    <row r="16" spans="1:4">
      <c r="B16" t="s">
        <v>143</v>
      </c>
      <c r="D16" s="56">
        <v>3</v>
      </c>
    </row>
    <row r="17" spans="1:4">
      <c r="B17" t="s">
        <v>133</v>
      </c>
      <c r="D17" s="56">
        <v>0.8</v>
      </c>
    </row>
    <row r="18" spans="1:4">
      <c r="B18" t="s">
        <v>120</v>
      </c>
      <c r="D18" s="56">
        <v>1.4</v>
      </c>
    </row>
    <row r="21" spans="1:4">
      <c r="B21" s="64" t="s">
        <v>12</v>
      </c>
      <c r="C21" s="54"/>
      <c r="D21" s="54"/>
    </row>
    <row r="22" spans="1:4">
      <c r="B22" t="s">
        <v>142</v>
      </c>
      <c r="D22" s="56">
        <v>0.2</v>
      </c>
    </row>
    <row r="23" spans="1:4">
      <c r="B23" t="s">
        <v>119</v>
      </c>
      <c r="D23" s="56">
        <v>0</v>
      </c>
    </row>
    <row r="24" spans="1:4">
      <c r="B24" t="s">
        <v>118</v>
      </c>
      <c r="D24" s="56">
        <v>1.4</v>
      </c>
    </row>
    <row r="25" spans="1:4">
      <c r="B25" t="s">
        <v>143</v>
      </c>
      <c r="D25" s="56">
        <v>0</v>
      </c>
    </row>
    <row r="26" spans="1:4">
      <c r="B26" t="s">
        <v>133</v>
      </c>
      <c r="D26" s="56">
        <v>1.3</v>
      </c>
    </row>
    <row r="27" spans="1:4">
      <c r="B27" t="s">
        <v>120</v>
      </c>
      <c r="D27" s="56">
        <v>0</v>
      </c>
    </row>
    <row r="30" spans="1:4">
      <c r="A30" s="147" t="s">
        <v>271</v>
      </c>
      <c r="B30" s="67" t="s">
        <v>53</v>
      </c>
    </row>
    <row r="31" spans="1:4">
      <c r="B31" t="s">
        <v>142</v>
      </c>
      <c r="D31">
        <v>0.2</v>
      </c>
    </row>
    <row r="32" spans="1:4">
      <c r="B32" t="s">
        <v>119</v>
      </c>
    </row>
    <row r="33" spans="1:4">
      <c r="B33" t="s">
        <v>118</v>
      </c>
      <c r="D33">
        <v>3.1</v>
      </c>
    </row>
    <row r="34" spans="1:4">
      <c r="B34" t="s">
        <v>143</v>
      </c>
    </row>
    <row r="35" spans="1:4">
      <c r="B35" t="s">
        <v>133</v>
      </c>
      <c r="D35">
        <v>0.9</v>
      </c>
    </row>
    <row r="36" spans="1:4">
      <c r="B36" t="s">
        <v>120</v>
      </c>
    </row>
    <row r="39" spans="1:4">
      <c r="B39" s="64" t="s">
        <v>391</v>
      </c>
      <c r="C39" s="54"/>
    </row>
    <row r="40" spans="1:4">
      <c r="B40" t="s">
        <v>142</v>
      </c>
      <c r="D40">
        <v>7.1</v>
      </c>
    </row>
    <row r="41" spans="1:4">
      <c r="B41" t="s">
        <v>119</v>
      </c>
      <c r="D41">
        <v>1.51</v>
      </c>
    </row>
    <row r="42" spans="1:4">
      <c r="B42" t="s">
        <v>118</v>
      </c>
      <c r="D42">
        <v>3.4</v>
      </c>
    </row>
    <row r="43" spans="1:4">
      <c r="B43" t="s">
        <v>153</v>
      </c>
      <c r="D43">
        <v>0.4</v>
      </c>
    </row>
    <row r="44" spans="1:4">
      <c r="B44" t="s">
        <v>133</v>
      </c>
      <c r="D44">
        <v>12.5</v>
      </c>
    </row>
    <row r="45" spans="1:4">
      <c r="B45" t="s">
        <v>120</v>
      </c>
      <c r="D45">
        <v>0.48</v>
      </c>
    </row>
    <row r="48" spans="1:4">
      <c r="A48" s="147" t="s">
        <v>16</v>
      </c>
      <c r="B48" s="64" t="s">
        <v>15</v>
      </c>
      <c r="C48" s="54"/>
      <c r="D48" s="53"/>
    </row>
    <row r="49" spans="1:4">
      <c r="B49" t="s">
        <v>142</v>
      </c>
      <c r="D49" s="56">
        <v>23</v>
      </c>
    </row>
    <row r="50" spans="1:4">
      <c r="B50" t="s">
        <v>119</v>
      </c>
      <c r="D50" s="56">
        <v>24</v>
      </c>
    </row>
    <row r="51" spans="1:4">
      <c r="B51" t="s">
        <v>118</v>
      </c>
      <c r="D51" s="56">
        <v>1.6</v>
      </c>
    </row>
    <row r="52" spans="1:4">
      <c r="B52" t="s">
        <v>153</v>
      </c>
      <c r="D52" s="56">
        <v>0</v>
      </c>
    </row>
    <row r="53" spans="1:4">
      <c r="B53" t="s">
        <v>133</v>
      </c>
      <c r="D53" s="56">
        <v>21</v>
      </c>
    </row>
    <row r="54" spans="1:4">
      <c r="B54" t="s">
        <v>120</v>
      </c>
      <c r="D54" s="56">
        <v>25</v>
      </c>
    </row>
    <row r="57" spans="1:4" ht="34.799999999999997">
      <c r="A57" s="148" t="s">
        <v>25</v>
      </c>
      <c r="B57" s="67" t="s">
        <v>211</v>
      </c>
    </row>
    <row r="58" spans="1:4">
      <c r="B58" t="s">
        <v>142</v>
      </c>
      <c r="D58" s="89">
        <v>1.9</v>
      </c>
    </row>
    <row r="59" spans="1:4">
      <c r="B59" t="s">
        <v>119</v>
      </c>
      <c r="D59" s="89">
        <v>0.7</v>
      </c>
    </row>
    <row r="60" spans="1:4">
      <c r="B60" t="s">
        <v>118</v>
      </c>
      <c r="D60" s="89">
        <v>3</v>
      </c>
    </row>
    <row r="61" spans="1:4">
      <c r="B61" t="s">
        <v>143</v>
      </c>
      <c r="D61" s="89">
        <v>0.5</v>
      </c>
    </row>
    <row r="62" spans="1:4">
      <c r="B62" t="s">
        <v>133</v>
      </c>
      <c r="D62" s="89">
        <v>13</v>
      </c>
    </row>
    <row r="63" spans="1:4">
      <c r="B63" t="s">
        <v>120</v>
      </c>
      <c r="D63" s="89">
        <v>2.9</v>
      </c>
    </row>
    <row r="66" spans="1:4" ht="17.399999999999999">
      <c r="A66" s="149" t="s">
        <v>28</v>
      </c>
      <c r="B66" s="67" t="s">
        <v>26</v>
      </c>
    </row>
    <row r="67" spans="1:4">
      <c r="B67" t="s">
        <v>142</v>
      </c>
      <c r="D67">
        <v>27</v>
      </c>
    </row>
    <row r="68" spans="1:4">
      <c r="B68" t="s">
        <v>119</v>
      </c>
      <c r="D68">
        <v>13</v>
      </c>
    </row>
    <row r="69" spans="1:4">
      <c r="B69" t="s">
        <v>118</v>
      </c>
      <c r="D69">
        <v>0.5</v>
      </c>
    </row>
    <row r="70" spans="1:4">
      <c r="B70" t="s">
        <v>143</v>
      </c>
      <c r="D70">
        <v>0</v>
      </c>
    </row>
    <row r="71" spans="1:4">
      <c r="B71" t="s">
        <v>133</v>
      </c>
      <c r="D71">
        <v>24</v>
      </c>
    </row>
    <row r="72" spans="1:4">
      <c r="B72" t="s">
        <v>120</v>
      </c>
      <c r="D72">
        <v>2</v>
      </c>
    </row>
    <row r="75" spans="1:4">
      <c r="B75" s="67" t="s">
        <v>23</v>
      </c>
    </row>
    <row r="76" spans="1:4">
      <c r="B76" t="s">
        <v>142</v>
      </c>
      <c r="D76" s="90">
        <v>0.19</v>
      </c>
    </row>
    <row r="77" spans="1:4">
      <c r="B77" t="s">
        <v>119</v>
      </c>
      <c r="D77" s="90">
        <v>3.2000000000000001E-2</v>
      </c>
    </row>
    <row r="78" spans="1:4">
      <c r="B78" t="s">
        <v>118</v>
      </c>
      <c r="D78" s="90">
        <v>2.33</v>
      </c>
    </row>
    <row r="79" spans="1:4">
      <c r="B79" t="s">
        <v>143</v>
      </c>
      <c r="D79" s="91">
        <v>0</v>
      </c>
    </row>
    <row r="80" spans="1:4">
      <c r="B80" t="s">
        <v>133</v>
      </c>
      <c r="D80" s="90">
        <v>1.83</v>
      </c>
    </row>
    <row r="81" spans="1:4">
      <c r="B81" t="s">
        <v>120</v>
      </c>
      <c r="D81" s="91">
        <v>0</v>
      </c>
    </row>
    <row r="84" spans="1:4">
      <c r="A84" s="147" t="s">
        <v>344</v>
      </c>
      <c r="B84" s="102" t="s">
        <v>132</v>
      </c>
    </row>
    <row r="85" spans="1:4">
      <c r="B85" t="s">
        <v>142</v>
      </c>
      <c r="D85">
        <v>1.2</v>
      </c>
    </row>
    <row r="86" spans="1:4">
      <c r="B86" t="s">
        <v>119</v>
      </c>
      <c r="D86">
        <v>0.38</v>
      </c>
    </row>
    <row r="87" spans="1:4">
      <c r="B87" t="s">
        <v>118</v>
      </c>
    </row>
    <row r="88" spans="1:4">
      <c r="B88" t="s">
        <v>143</v>
      </c>
    </row>
    <row r="89" spans="1:4">
      <c r="B89" t="s">
        <v>133</v>
      </c>
      <c r="D89">
        <v>22.8</v>
      </c>
    </row>
    <row r="90" spans="1:4">
      <c r="B90" t="s">
        <v>120</v>
      </c>
      <c r="D90">
        <v>0.13</v>
      </c>
    </row>
    <row r="93" spans="1:4">
      <c r="A93" s="147" t="s">
        <v>32</v>
      </c>
      <c r="B93" s="102" t="s">
        <v>107</v>
      </c>
    </row>
    <row r="94" spans="1:4">
      <c r="B94" t="s">
        <v>142</v>
      </c>
      <c r="D94">
        <v>0.24</v>
      </c>
    </row>
    <row r="95" spans="1:4">
      <c r="B95" t="s">
        <v>119</v>
      </c>
      <c r="D95">
        <v>0.09</v>
      </c>
    </row>
    <row r="96" spans="1:4">
      <c r="B96" t="s">
        <v>118</v>
      </c>
      <c r="D96">
        <v>16</v>
      </c>
    </row>
    <row r="97" spans="1:4">
      <c r="B97" t="s">
        <v>143</v>
      </c>
      <c r="D97">
        <v>14.8</v>
      </c>
    </row>
    <row r="98" spans="1:4">
      <c r="B98" t="s">
        <v>133</v>
      </c>
      <c r="D98">
        <v>2.2000000000000002</v>
      </c>
    </row>
    <row r="99" spans="1:4">
      <c r="B99" t="s">
        <v>120</v>
      </c>
      <c r="D99">
        <v>1.67</v>
      </c>
    </row>
    <row r="102" spans="1:4">
      <c r="A102" s="147" t="s">
        <v>11</v>
      </c>
      <c r="B102" s="102" t="s">
        <v>30</v>
      </c>
    </row>
    <row r="103" spans="1:4">
      <c r="B103" t="s">
        <v>142</v>
      </c>
      <c r="D103">
        <v>0.1</v>
      </c>
    </row>
    <row r="104" spans="1:4">
      <c r="B104" t="s">
        <v>119</v>
      </c>
      <c r="D104">
        <v>0</v>
      </c>
    </row>
    <row r="105" spans="1:4">
      <c r="B105" t="s">
        <v>118</v>
      </c>
      <c r="D105">
        <v>20</v>
      </c>
    </row>
    <row r="106" spans="1:4">
      <c r="B106" t="s">
        <v>143</v>
      </c>
      <c r="D106">
        <v>16.2</v>
      </c>
    </row>
    <row r="107" spans="1:4">
      <c r="B107" t="s">
        <v>133</v>
      </c>
      <c r="D107">
        <v>0.7</v>
      </c>
    </row>
    <row r="108" spans="1:4">
      <c r="B108" t="s">
        <v>120</v>
      </c>
      <c r="D108">
        <v>2.1</v>
      </c>
    </row>
    <row r="111" spans="1:4">
      <c r="A111" s="147" t="s">
        <v>388</v>
      </c>
      <c r="B111" s="132" t="s">
        <v>31</v>
      </c>
    </row>
    <row r="112" spans="1:4">
      <c r="B112" t="s">
        <v>142</v>
      </c>
      <c r="D112">
        <v>9.6999999999999993</v>
      </c>
    </row>
    <row r="113" spans="1:4">
      <c r="B113" t="s">
        <v>119</v>
      </c>
      <c r="D113">
        <v>0.8</v>
      </c>
    </row>
    <row r="114" spans="1:4">
      <c r="B114" t="s">
        <v>118</v>
      </c>
      <c r="D114">
        <v>28.7</v>
      </c>
    </row>
    <row r="115" spans="1:4">
      <c r="B115" t="s">
        <v>143</v>
      </c>
      <c r="D115">
        <v>7.5</v>
      </c>
    </row>
    <row r="116" spans="1:4">
      <c r="B116" t="s">
        <v>133</v>
      </c>
      <c r="D116">
        <v>9.3000000000000007</v>
      </c>
    </row>
    <row r="117" spans="1:4">
      <c r="B117" t="s">
        <v>120</v>
      </c>
      <c r="D117">
        <v>44</v>
      </c>
    </row>
    <row r="120" spans="1:4">
      <c r="A120" s="147" t="s">
        <v>123</v>
      </c>
      <c r="B120" s="102" t="s">
        <v>214</v>
      </c>
    </row>
    <row r="121" spans="1:4">
      <c r="B121" t="s">
        <v>142</v>
      </c>
      <c r="D121">
        <v>92</v>
      </c>
    </row>
    <row r="122" spans="1:4">
      <c r="B122" t="s">
        <v>119</v>
      </c>
      <c r="D122">
        <v>10</v>
      </c>
    </row>
    <row r="123" spans="1:4">
      <c r="B123" t="s">
        <v>118</v>
      </c>
      <c r="D123">
        <v>0</v>
      </c>
    </row>
    <row r="124" spans="1:4">
      <c r="B124" t="s">
        <v>143</v>
      </c>
      <c r="D124">
        <v>0</v>
      </c>
    </row>
    <row r="125" spans="1:4">
      <c r="B125" t="s">
        <v>133</v>
      </c>
      <c r="D125">
        <v>0</v>
      </c>
    </row>
    <row r="126" spans="1:4">
      <c r="B126" t="s">
        <v>120</v>
      </c>
      <c r="D126">
        <v>0</v>
      </c>
    </row>
    <row r="129" spans="1:4">
      <c r="A129" s="147" t="s">
        <v>215</v>
      </c>
      <c r="B129" s="102" t="s">
        <v>35</v>
      </c>
    </row>
    <row r="130" spans="1:4">
      <c r="B130" t="s">
        <v>142</v>
      </c>
      <c r="D130" s="68">
        <v>0.3</v>
      </c>
    </row>
    <row r="131" spans="1:4">
      <c r="B131" t="s">
        <v>119</v>
      </c>
      <c r="D131" s="68"/>
    </row>
    <row r="132" spans="1:4">
      <c r="B132" t="s">
        <v>118</v>
      </c>
      <c r="D132" s="87">
        <v>2.6</v>
      </c>
    </row>
    <row r="133" spans="1:4">
      <c r="B133" t="s">
        <v>143</v>
      </c>
      <c r="D133" s="68"/>
    </row>
    <row r="134" spans="1:4">
      <c r="B134" t="s">
        <v>133</v>
      </c>
      <c r="D134" s="68">
        <v>0.9</v>
      </c>
    </row>
    <row r="135" spans="1:4">
      <c r="B135" t="s">
        <v>120</v>
      </c>
      <c r="D135" s="68">
        <v>0</v>
      </c>
    </row>
    <row r="138" spans="1:4" ht="34.799999999999997">
      <c r="A138" s="148" t="s">
        <v>25</v>
      </c>
      <c r="B138" s="67" t="s">
        <v>81</v>
      </c>
    </row>
    <row r="139" spans="1:4">
      <c r="B139" t="s">
        <v>142</v>
      </c>
      <c r="D139">
        <v>1.6</v>
      </c>
    </row>
    <row r="140" spans="1:4">
      <c r="B140" t="s">
        <v>119</v>
      </c>
      <c r="D140">
        <v>0.6</v>
      </c>
    </row>
    <row r="141" spans="1:4">
      <c r="B141" t="s">
        <v>118</v>
      </c>
      <c r="D141">
        <v>3.4</v>
      </c>
    </row>
    <row r="142" spans="1:4">
      <c r="B142" t="s">
        <v>143</v>
      </c>
      <c r="D142">
        <v>0.5</v>
      </c>
    </row>
    <row r="143" spans="1:4">
      <c r="B143" t="s">
        <v>133</v>
      </c>
      <c r="D143">
        <v>14</v>
      </c>
    </row>
    <row r="144" spans="1:4">
      <c r="B144" t="s">
        <v>120</v>
      </c>
      <c r="D144">
        <v>3.1</v>
      </c>
    </row>
    <row r="147" spans="1:4">
      <c r="A147" s="147" t="s">
        <v>389</v>
      </c>
      <c r="B147" s="102" t="s">
        <v>38</v>
      </c>
    </row>
    <row r="148" spans="1:4">
      <c r="B148" t="s">
        <v>142</v>
      </c>
      <c r="D148">
        <v>66</v>
      </c>
    </row>
    <row r="149" spans="1:4">
      <c r="B149" t="s">
        <v>119</v>
      </c>
      <c r="D149">
        <v>5.7</v>
      </c>
    </row>
    <row r="150" spans="1:4">
      <c r="B150" t="s">
        <v>118</v>
      </c>
      <c r="D150">
        <v>3</v>
      </c>
    </row>
    <row r="151" spans="1:4">
      <c r="B151" t="s">
        <v>143</v>
      </c>
      <c r="D151">
        <v>1.4</v>
      </c>
    </row>
    <row r="152" spans="1:4">
      <c r="B152" t="s">
        <v>133</v>
      </c>
      <c r="D152">
        <v>0.75</v>
      </c>
    </row>
    <row r="153" spans="1:4">
      <c r="B153" t="s">
        <v>120</v>
      </c>
      <c r="D153">
        <v>0.45</v>
      </c>
    </row>
    <row r="156" spans="1:4" ht="34.799999999999997">
      <c r="A156" s="148" t="s">
        <v>40</v>
      </c>
      <c r="B156" s="64" t="s">
        <v>39</v>
      </c>
      <c r="C156" s="93"/>
    </row>
    <row r="157" spans="1:4">
      <c r="B157" t="s">
        <v>142</v>
      </c>
      <c r="D157">
        <v>3.7</v>
      </c>
    </row>
    <row r="158" spans="1:4">
      <c r="B158" t="s">
        <v>119</v>
      </c>
      <c r="D158">
        <v>1.2</v>
      </c>
    </row>
    <row r="159" spans="1:4">
      <c r="B159" t="s">
        <v>118</v>
      </c>
      <c r="D159">
        <v>2</v>
      </c>
    </row>
    <row r="160" spans="1:4">
      <c r="B160" t="s">
        <v>143</v>
      </c>
      <c r="D160">
        <v>0.9</v>
      </c>
    </row>
    <row r="161" spans="1:4">
      <c r="B161" t="s">
        <v>133</v>
      </c>
      <c r="D161">
        <v>13.8</v>
      </c>
    </row>
    <row r="162" spans="1:4">
      <c r="B162" t="s">
        <v>120</v>
      </c>
      <c r="D162">
        <v>2.1</v>
      </c>
    </row>
    <row r="165" spans="1:4">
      <c r="A165" s="147" t="s">
        <v>331</v>
      </c>
      <c r="B165" s="64" t="s">
        <v>43</v>
      </c>
      <c r="C165" s="93"/>
    </row>
    <row r="166" spans="1:4">
      <c r="B166" t="s">
        <v>142</v>
      </c>
      <c r="D166">
        <v>0.2</v>
      </c>
    </row>
    <row r="167" spans="1:4">
      <c r="B167" t="s">
        <v>119</v>
      </c>
      <c r="D167">
        <v>5.1999999999999998E-2</v>
      </c>
    </row>
    <row r="168" spans="1:4">
      <c r="B168" t="s">
        <v>118</v>
      </c>
      <c r="D168">
        <v>2.2599999999999998</v>
      </c>
    </row>
    <row r="169" spans="1:4">
      <c r="B169" t="s">
        <v>143</v>
      </c>
      <c r="D169">
        <v>1.06</v>
      </c>
    </row>
    <row r="170" spans="1:4">
      <c r="B170" t="s">
        <v>133</v>
      </c>
      <c r="D170">
        <v>0.33</v>
      </c>
    </row>
    <row r="171" spans="1:4">
      <c r="B171" t="s">
        <v>120</v>
      </c>
      <c r="D171">
        <v>0</v>
      </c>
    </row>
    <row r="174" spans="1:4">
      <c r="A174" s="147" t="s">
        <v>3</v>
      </c>
      <c r="B174" s="64" t="s">
        <v>390</v>
      </c>
      <c r="C174" s="93"/>
    </row>
    <row r="175" spans="1:4">
      <c r="B175" t="s">
        <v>142</v>
      </c>
      <c r="D175">
        <v>15</v>
      </c>
    </row>
    <row r="176" spans="1:4">
      <c r="B176" t="s">
        <v>119</v>
      </c>
      <c r="D176">
        <v>0.3</v>
      </c>
    </row>
    <row r="177" spans="1:4">
      <c r="B177" t="s">
        <v>118</v>
      </c>
      <c r="D177">
        <v>40</v>
      </c>
    </row>
    <row r="178" spans="1:4">
      <c r="B178" t="s">
        <v>143</v>
      </c>
      <c r="D178">
        <v>6.1</v>
      </c>
    </row>
    <row r="179" spans="1:4">
      <c r="B179" t="s">
        <v>133</v>
      </c>
      <c r="D179">
        <v>8.6</v>
      </c>
    </row>
    <row r="180" spans="1:4">
      <c r="B180" t="s">
        <v>120</v>
      </c>
      <c r="D180">
        <v>0.4</v>
      </c>
    </row>
    <row r="183" spans="1:4">
      <c r="B183" s="67" t="s">
        <v>290</v>
      </c>
    </row>
    <row r="184" spans="1:4">
      <c r="B184" t="s">
        <v>142</v>
      </c>
      <c r="D184">
        <v>18.5</v>
      </c>
    </row>
    <row r="185" spans="1:4">
      <c r="B185" t="s">
        <v>119</v>
      </c>
      <c r="D185">
        <v>13</v>
      </c>
    </row>
    <row r="186" spans="1:4">
      <c r="B186" t="s">
        <v>118</v>
      </c>
      <c r="D186">
        <v>1.5</v>
      </c>
    </row>
    <row r="187" spans="1:4">
      <c r="B187" t="s">
        <v>143</v>
      </c>
      <c r="D187">
        <v>1.5</v>
      </c>
    </row>
    <row r="188" spans="1:4">
      <c r="B188" t="s">
        <v>133</v>
      </c>
      <c r="D188">
        <v>18</v>
      </c>
    </row>
    <row r="189" spans="1:4">
      <c r="B189" t="s">
        <v>120</v>
      </c>
      <c r="D189">
        <v>0.5</v>
      </c>
    </row>
    <row r="191" spans="1:4">
      <c r="B191" s="146"/>
    </row>
    <row r="192" spans="1:4">
      <c r="A192" s="147" t="s">
        <v>50</v>
      </c>
      <c r="B192" s="102" t="s">
        <v>393</v>
      </c>
    </row>
    <row r="193" spans="1:4">
      <c r="B193" t="s">
        <v>142</v>
      </c>
      <c r="D193">
        <v>31</v>
      </c>
    </row>
    <row r="194" spans="1:4">
      <c r="B194" t="s">
        <v>119</v>
      </c>
      <c r="D194">
        <v>24</v>
      </c>
    </row>
    <row r="195" spans="1:4">
      <c r="B195" t="s">
        <v>118</v>
      </c>
      <c r="D195">
        <v>6.4</v>
      </c>
    </row>
    <row r="196" spans="1:4">
      <c r="B196" t="s">
        <v>143</v>
      </c>
      <c r="D196">
        <v>4.7</v>
      </c>
    </row>
    <row r="197" spans="1:4">
      <c r="B197" t="s">
        <v>133</v>
      </c>
      <c r="D197">
        <v>2.7</v>
      </c>
    </row>
    <row r="198" spans="1:4">
      <c r="B198" t="s">
        <v>120</v>
      </c>
      <c r="D198">
        <v>0.5</v>
      </c>
    </row>
    <row r="201" spans="1:4">
      <c r="A201" s="147" t="s">
        <v>3</v>
      </c>
      <c r="B201" s="67" t="s">
        <v>51</v>
      </c>
    </row>
    <row r="202" spans="1:4">
      <c r="B202" t="s">
        <v>142</v>
      </c>
      <c r="D202">
        <v>3</v>
      </c>
    </row>
    <row r="203" spans="1:4">
      <c r="B203" t="s">
        <v>119</v>
      </c>
      <c r="D203">
        <v>0.5</v>
      </c>
    </row>
    <row r="204" spans="1:4">
      <c r="B204" t="s">
        <v>118</v>
      </c>
      <c r="D204">
        <v>50</v>
      </c>
    </row>
    <row r="205" spans="1:4">
      <c r="B205" t="s">
        <v>143</v>
      </c>
      <c r="D205">
        <v>2.9</v>
      </c>
    </row>
    <row r="206" spans="1:4">
      <c r="B206" t="s">
        <v>133</v>
      </c>
      <c r="D206">
        <v>9.9700000000000006</v>
      </c>
    </row>
    <row r="207" spans="1:4">
      <c r="B207" t="s">
        <v>120</v>
      </c>
      <c r="D207">
        <v>0.7</v>
      </c>
    </row>
    <row r="210" spans="1:8">
      <c r="A210" s="147" t="s">
        <v>95</v>
      </c>
      <c r="B210" s="67" t="s">
        <v>279</v>
      </c>
      <c r="F210" s="67" t="s">
        <v>332</v>
      </c>
    </row>
    <row r="211" spans="1:8">
      <c r="B211" t="s">
        <v>142</v>
      </c>
      <c r="D211">
        <v>3.4</v>
      </c>
      <c r="F211" t="s">
        <v>142</v>
      </c>
      <c r="H211">
        <v>3.5</v>
      </c>
    </row>
    <row r="212" spans="1:8">
      <c r="B212" t="s">
        <v>119</v>
      </c>
      <c r="D212">
        <v>1.1000000000000001</v>
      </c>
      <c r="F212" t="s">
        <v>119</v>
      </c>
      <c r="H212">
        <v>1.2</v>
      </c>
    </row>
    <row r="213" spans="1:8">
      <c r="B213" t="s">
        <v>118</v>
      </c>
      <c r="D213">
        <v>48</v>
      </c>
      <c r="F213" t="s">
        <v>118</v>
      </c>
      <c r="H213">
        <v>42</v>
      </c>
    </row>
    <row r="214" spans="1:8">
      <c r="B214" t="s">
        <v>143</v>
      </c>
      <c r="D214">
        <v>3</v>
      </c>
      <c r="F214" t="s">
        <v>143</v>
      </c>
      <c r="H214">
        <v>2.5</v>
      </c>
    </row>
    <row r="215" spans="1:8">
      <c r="B215" t="s">
        <v>133</v>
      </c>
      <c r="D215">
        <v>8.6999999999999993</v>
      </c>
      <c r="F215" t="s">
        <v>133</v>
      </c>
      <c r="H215">
        <v>9.9</v>
      </c>
    </row>
    <row r="216" spans="1:8">
      <c r="B216" t="s">
        <v>120</v>
      </c>
      <c r="D216">
        <v>1.4</v>
      </c>
      <c r="F216" t="s">
        <v>120</v>
      </c>
      <c r="H216">
        <v>1.3</v>
      </c>
    </row>
    <row r="218" spans="1:8">
      <c r="A218" s="147" t="s">
        <v>128</v>
      </c>
      <c r="B218" s="67" t="s">
        <v>59</v>
      </c>
    </row>
    <row r="219" spans="1:8">
      <c r="B219" t="s">
        <v>142</v>
      </c>
      <c r="D219">
        <v>91</v>
      </c>
    </row>
    <row r="220" spans="1:8">
      <c r="B220" t="s">
        <v>119</v>
      </c>
      <c r="D220">
        <v>14</v>
      </c>
    </row>
    <row r="221" spans="1:8">
      <c r="B221" t="s">
        <v>118</v>
      </c>
      <c r="D221">
        <v>0</v>
      </c>
    </row>
    <row r="222" spans="1:8">
      <c r="B222" t="s">
        <v>143</v>
      </c>
      <c r="D222">
        <v>0</v>
      </c>
    </row>
    <row r="223" spans="1:8">
      <c r="B223" t="s">
        <v>133</v>
      </c>
      <c r="D223">
        <v>0</v>
      </c>
    </row>
    <row r="224" spans="1:8">
      <c r="B224" t="s">
        <v>120</v>
      </c>
      <c r="D224">
        <v>0</v>
      </c>
    </row>
    <row r="226" spans="1:4" ht="31.2">
      <c r="A226" s="150" t="s">
        <v>25</v>
      </c>
      <c r="B226" s="67" t="s">
        <v>280</v>
      </c>
    </row>
    <row r="227" spans="1:4">
      <c r="B227" t="s">
        <v>142</v>
      </c>
      <c r="D227">
        <v>21</v>
      </c>
    </row>
    <row r="228" spans="1:4">
      <c r="B228" t="s">
        <v>119</v>
      </c>
      <c r="D228">
        <v>8.1999999999999993</v>
      </c>
    </row>
    <row r="229" spans="1:4">
      <c r="B229" t="s">
        <v>118</v>
      </c>
      <c r="D229">
        <v>3.2</v>
      </c>
    </row>
    <row r="230" spans="1:4">
      <c r="B230" t="s">
        <v>143</v>
      </c>
      <c r="D230">
        <v>0.5</v>
      </c>
    </row>
    <row r="231" spans="1:4">
      <c r="B231" t="s">
        <v>133</v>
      </c>
      <c r="D231">
        <v>12</v>
      </c>
    </row>
    <row r="232" spans="1:4">
      <c r="B232" t="s">
        <v>120</v>
      </c>
      <c r="D232">
        <v>2.5</v>
      </c>
    </row>
    <row r="234" spans="1:4">
      <c r="A234" s="147" t="s">
        <v>281</v>
      </c>
      <c r="B234" s="67" t="s">
        <v>61</v>
      </c>
    </row>
    <row r="235" spans="1:4">
      <c r="B235" t="s">
        <v>142</v>
      </c>
      <c r="D235">
        <v>0.3</v>
      </c>
    </row>
    <row r="236" spans="1:4">
      <c r="B236" t="s">
        <v>119</v>
      </c>
    </row>
    <row r="237" spans="1:4">
      <c r="B237" t="s">
        <v>118</v>
      </c>
      <c r="D237">
        <v>3.8</v>
      </c>
    </row>
    <row r="238" spans="1:4">
      <c r="B238" t="s">
        <v>143</v>
      </c>
    </row>
    <row r="239" spans="1:4">
      <c r="B239" t="s">
        <v>133</v>
      </c>
      <c r="D239">
        <v>2.2000000000000002</v>
      </c>
    </row>
    <row r="240" spans="1:4">
      <c r="B240" t="s">
        <v>120</v>
      </c>
    </row>
    <row r="242" spans="1:4">
      <c r="B242" s="67" t="s">
        <v>62</v>
      </c>
    </row>
    <row r="243" spans="1:4">
      <c r="B243" t="s">
        <v>142</v>
      </c>
      <c r="D243">
        <v>0</v>
      </c>
    </row>
    <row r="244" spans="1:4">
      <c r="B244" t="s">
        <v>119</v>
      </c>
      <c r="D244">
        <v>0</v>
      </c>
    </row>
    <row r="245" spans="1:4">
      <c r="B245" t="s">
        <v>118</v>
      </c>
      <c r="D245">
        <v>52.7</v>
      </c>
    </row>
    <row r="246" spans="1:4">
      <c r="B246" t="s">
        <v>143</v>
      </c>
    </row>
    <row r="247" spans="1:4">
      <c r="B247" t="s">
        <v>133</v>
      </c>
      <c r="D247">
        <v>1.4</v>
      </c>
    </row>
    <row r="248" spans="1:4">
      <c r="B248" t="s">
        <v>120</v>
      </c>
    </row>
    <row r="251" spans="1:4">
      <c r="A251" s="147" t="s">
        <v>394</v>
      </c>
      <c r="B251" s="67" t="s">
        <v>66</v>
      </c>
    </row>
    <row r="252" spans="1:4">
      <c r="B252" t="s">
        <v>142</v>
      </c>
      <c r="D252">
        <v>5.3</v>
      </c>
    </row>
    <row r="253" spans="1:4">
      <c r="B253" t="s">
        <v>119</v>
      </c>
      <c r="D253">
        <v>1.5</v>
      </c>
    </row>
    <row r="254" spans="1:4">
      <c r="B254" t="s">
        <v>118</v>
      </c>
      <c r="D254">
        <v>1</v>
      </c>
    </row>
    <row r="255" spans="1:4">
      <c r="B255" t="s">
        <v>143</v>
      </c>
      <c r="D255">
        <v>0</v>
      </c>
    </row>
    <row r="256" spans="1:4">
      <c r="B256" t="s">
        <v>133</v>
      </c>
      <c r="D256">
        <v>26</v>
      </c>
    </row>
    <row r="257" spans="1:4">
      <c r="B257" t="s">
        <v>120</v>
      </c>
      <c r="D257">
        <v>1</v>
      </c>
    </row>
    <row r="259" spans="1:4" ht="17.399999999999999">
      <c r="A259" s="148" t="s">
        <v>115</v>
      </c>
      <c r="B259" s="67" t="s">
        <v>67</v>
      </c>
    </row>
    <row r="260" spans="1:4">
      <c r="B260" t="s">
        <v>142</v>
      </c>
      <c r="D260">
        <v>82</v>
      </c>
    </row>
    <row r="261" spans="1:4">
      <c r="B261" t="s">
        <v>119</v>
      </c>
      <c r="D261">
        <v>53</v>
      </c>
    </row>
    <row r="262" spans="1:4">
      <c r="B262" t="s">
        <v>118</v>
      </c>
      <c r="D262">
        <v>0.6</v>
      </c>
    </row>
    <row r="263" spans="1:4">
      <c r="B263" t="s">
        <v>143</v>
      </c>
      <c r="D263">
        <v>0.6</v>
      </c>
    </row>
    <row r="264" spans="1:4">
      <c r="B264" t="s">
        <v>133</v>
      </c>
      <c r="D264">
        <v>0.7</v>
      </c>
    </row>
    <row r="265" spans="1:4">
      <c r="B265" t="s">
        <v>120</v>
      </c>
      <c r="D265">
        <v>0.01</v>
      </c>
    </row>
    <row r="267" spans="1:4">
      <c r="A267" s="147" t="s">
        <v>310</v>
      </c>
      <c r="B267" s="67" t="s">
        <v>129</v>
      </c>
    </row>
    <row r="268" spans="1:4">
      <c r="B268" t="s">
        <v>142</v>
      </c>
      <c r="D268">
        <v>0.3</v>
      </c>
    </row>
    <row r="269" spans="1:4">
      <c r="B269" t="s">
        <v>119</v>
      </c>
    </row>
    <row r="270" spans="1:4">
      <c r="B270" t="s">
        <v>118</v>
      </c>
      <c r="D270">
        <v>3.4</v>
      </c>
    </row>
    <row r="271" spans="1:4">
      <c r="B271" t="s">
        <v>143</v>
      </c>
    </row>
    <row r="272" spans="1:4">
      <c r="B272" t="s">
        <v>133</v>
      </c>
      <c r="D272">
        <v>2.6</v>
      </c>
    </row>
    <row r="273" spans="1:4">
      <c r="B273" t="s">
        <v>120</v>
      </c>
      <c r="D273">
        <v>0.1</v>
      </c>
    </row>
    <row r="276" spans="1:4" ht="17.399999999999999">
      <c r="A276" s="149" t="s">
        <v>71</v>
      </c>
      <c r="B276" s="67" t="s">
        <v>68</v>
      </c>
    </row>
    <row r="277" spans="1:4">
      <c r="B277" t="s">
        <v>142</v>
      </c>
      <c r="D277">
        <v>5.6</v>
      </c>
    </row>
    <row r="278" spans="1:4">
      <c r="B278" t="s">
        <v>119</v>
      </c>
      <c r="D278">
        <v>0.5</v>
      </c>
    </row>
    <row r="279" spans="1:4">
      <c r="B279" t="s">
        <v>118</v>
      </c>
      <c r="D279">
        <v>5.9</v>
      </c>
    </row>
    <row r="280" spans="1:4">
      <c r="B280" t="s">
        <v>143</v>
      </c>
      <c r="D280">
        <v>5.5</v>
      </c>
    </row>
    <row r="281" spans="1:4">
      <c r="B281" t="s">
        <v>133</v>
      </c>
      <c r="D281">
        <v>6</v>
      </c>
    </row>
    <row r="282" spans="1:4">
      <c r="B282" t="s">
        <v>120</v>
      </c>
      <c r="D282">
        <v>2.2999999999999998</v>
      </c>
    </row>
    <row r="285" spans="1:4">
      <c r="A285" s="147" t="s">
        <v>308</v>
      </c>
      <c r="B285" s="67" t="s">
        <v>307</v>
      </c>
    </row>
    <row r="286" spans="1:4">
      <c r="B286" t="s">
        <v>142</v>
      </c>
      <c r="D286">
        <v>0.3</v>
      </c>
    </row>
    <row r="287" spans="1:4">
      <c r="B287" t="s">
        <v>119</v>
      </c>
    </row>
    <row r="288" spans="1:4">
      <c r="B288" t="s">
        <v>118</v>
      </c>
      <c r="D288">
        <v>6.6</v>
      </c>
    </row>
    <row r="289" spans="1:4">
      <c r="B289" t="s">
        <v>143</v>
      </c>
    </row>
    <row r="290" spans="1:4">
      <c r="B290" t="s">
        <v>133</v>
      </c>
      <c r="D290">
        <v>1.4</v>
      </c>
    </row>
    <row r="291" spans="1:4">
      <c r="B291" t="s">
        <v>120</v>
      </c>
    </row>
    <row r="294" spans="1:4">
      <c r="A294" s="147" t="s">
        <v>365</v>
      </c>
      <c r="B294" s="131" t="s">
        <v>363</v>
      </c>
    </row>
    <row r="295" spans="1:4">
      <c r="B295" t="s">
        <v>142</v>
      </c>
      <c r="D295">
        <v>10.71</v>
      </c>
    </row>
    <row r="296" spans="1:4">
      <c r="B296" t="s">
        <v>119</v>
      </c>
    </row>
    <row r="297" spans="1:4">
      <c r="B297" t="s">
        <v>118</v>
      </c>
    </row>
    <row r="298" spans="1:4">
      <c r="B298" t="s">
        <v>143</v>
      </c>
    </row>
    <row r="299" spans="1:4">
      <c r="B299" t="s">
        <v>133</v>
      </c>
      <c r="D299">
        <v>28.57</v>
      </c>
    </row>
    <row r="300" spans="1:4">
      <c r="B300" t="s">
        <v>120</v>
      </c>
      <c r="D300">
        <v>1.6</v>
      </c>
    </row>
    <row r="303" spans="1:4" ht="17.399999999999999">
      <c r="A303" s="149" t="s">
        <v>78</v>
      </c>
      <c r="B303" s="67" t="s">
        <v>55</v>
      </c>
    </row>
    <row r="304" spans="1:4">
      <c r="B304" t="s">
        <v>142</v>
      </c>
      <c r="D304">
        <v>0.3</v>
      </c>
    </row>
    <row r="305" spans="2:4">
      <c r="B305" t="s">
        <v>119</v>
      </c>
      <c r="D305">
        <v>4.4999999999999998E-2</v>
      </c>
    </row>
    <row r="306" spans="2:4">
      <c r="B306" t="s">
        <v>118</v>
      </c>
      <c r="D306">
        <v>3.9</v>
      </c>
    </row>
    <row r="307" spans="2:4">
      <c r="B307" t="s">
        <v>143</v>
      </c>
    </row>
    <row r="308" spans="2:4">
      <c r="B308" t="s">
        <v>133</v>
      </c>
      <c r="D308">
        <v>0.8</v>
      </c>
    </row>
    <row r="309" spans="2:4">
      <c r="B309" t="s">
        <v>120</v>
      </c>
    </row>
    <row r="312" spans="2:4">
      <c r="B312" s="132" t="s">
        <v>361</v>
      </c>
    </row>
    <row r="313" spans="2:4">
      <c r="B313" t="s">
        <v>142</v>
      </c>
      <c r="D313">
        <v>1.6</v>
      </c>
    </row>
    <row r="314" spans="2:4">
      <c r="B314" t="s">
        <v>119</v>
      </c>
    </row>
    <row r="315" spans="2:4">
      <c r="B315" t="s">
        <v>118</v>
      </c>
      <c r="D315">
        <v>46.5</v>
      </c>
    </row>
    <row r="316" spans="2:4">
      <c r="B316" t="s">
        <v>143</v>
      </c>
    </row>
    <row r="317" spans="2:4">
      <c r="B317" t="s">
        <v>133</v>
      </c>
      <c r="D317">
        <v>8.3000000000000007</v>
      </c>
    </row>
    <row r="318" spans="2:4">
      <c r="B318" t="s">
        <v>120</v>
      </c>
      <c r="D318">
        <v>1.3</v>
      </c>
    </row>
    <row r="321" spans="2:4">
      <c r="B321" s="131" t="s">
        <v>74</v>
      </c>
    </row>
    <row r="322" spans="2:4">
      <c r="B322" t="s">
        <v>142</v>
      </c>
      <c r="D322">
        <v>35.4</v>
      </c>
    </row>
    <row r="323" spans="2:4">
      <c r="B323" t="s">
        <v>119</v>
      </c>
    </row>
    <row r="324" spans="2:4">
      <c r="B324" t="s">
        <v>118</v>
      </c>
      <c r="D324">
        <v>0.2</v>
      </c>
    </row>
    <row r="325" spans="2:4">
      <c r="B325" t="s">
        <v>143</v>
      </c>
    </row>
    <row r="326" spans="2:4">
      <c r="B326" t="s">
        <v>133</v>
      </c>
      <c r="D326">
        <v>27.4</v>
      </c>
    </row>
    <row r="327" spans="2:4">
      <c r="B327" t="s">
        <v>120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1"/>
  <sheetViews>
    <sheetView zoomScale="55" zoomScaleNormal="55" zoomScalePageLayoutView="70" workbookViewId="0">
      <selection activeCell="O44" sqref="O44:O49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16.69921875" bestFit="1" customWidth="1"/>
    <col min="5" max="5" width="13.296875" bestFit="1" customWidth="1"/>
    <col min="6" max="6" width="47.19921875" customWidth="1"/>
    <col min="7" max="7" width="19.69921875" customWidth="1"/>
    <col min="8" max="8" width="29.19921875" customWidth="1"/>
    <col min="9" max="9" width="18.69921875" customWidth="1"/>
    <col min="10" max="10" width="17.19921875" customWidth="1"/>
    <col min="11" max="11" width="18.5" customWidth="1"/>
  </cols>
  <sheetData>
    <row r="1" spans="1:8" ht="31.05" customHeight="1">
      <c r="A1" s="193" t="s">
        <v>441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416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78.599999999999994">
      <c r="A3" s="166" t="s">
        <v>415</v>
      </c>
      <c r="B3" s="168" t="s">
        <v>3</v>
      </c>
      <c r="C3" s="3">
        <v>80</v>
      </c>
      <c r="D3" s="3"/>
      <c r="E3" s="3"/>
      <c r="F3" s="6" t="s">
        <v>417</v>
      </c>
      <c r="G3" s="68" t="s">
        <v>418</v>
      </c>
      <c r="H3" s="21" t="s">
        <v>8</v>
      </c>
    </row>
    <row r="4" spans="1:8" ht="109.8">
      <c r="A4" s="166" t="s">
        <v>10</v>
      </c>
      <c r="B4" s="168" t="s">
        <v>11</v>
      </c>
      <c r="C4" s="3">
        <v>25</v>
      </c>
      <c r="D4" s="3"/>
      <c r="E4" s="24"/>
      <c r="F4" s="5" t="s">
        <v>438</v>
      </c>
      <c r="G4" s="6" t="s">
        <v>82</v>
      </c>
      <c r="H4" s="3"/>
    </row>
    <row r="5" spans="1:8" ht="63">
      <c r="A5" s="166" t="s">
        <v>414</v>
      </c>
      <c r="B5" s="12" t="s">
        <v>419</v>
      </c>
      <c r="C5" s="3">
        <v>14</v>
      </c>
      <c r="D5" s="3"/>
      <c r="E5" s="3"/>
      <c r="F5" s="6" t="s">
        <v>420</v>
      </c>
      <c r="G5" s="3" t="s">
        <v>17</v>
      </c>
      <c r="H5" s="3"/>
    </row>
    <row r="6" spans="1:8" ht="17.399999999999999">
      <c r="A6" s="166"/>
      <c r="B6" s="12"/>
      <c r="C6" s="3"/>
      <c r="D6" s="3"/>
      <c r="E6" s="3"/>
      <c r="F6" s="6"/>
      <c r="G6" s="3"/>
      <c r="H6" s="3"/>
    </row>
    <row r="7" spans="1:8" ht="17.399999999999999">
      <c r="A7" s="166" t="s">
        <v>440</v>
      </c>
      <c r="B7" s="43"/>
      <c r="C7" s="3">
        <v>14</v>
      </c>
      <c r="D7" s="3"/>
      <c r="E7" s="3"/>
      <c r="F7" s="17"/>
      <c r="G7" s="3"/>
      <c r="H7" s="21"/>
    </row>
    <row r="8" spans="1:8" ht="43.95" customHeight="1">
      <c r="C8">
        <f>SUM(C3:C7)</f>
        <v>133</v>
      </c>
      <c r="D8">
        <f>SUM(D3:D7)</f>
        <v>0</v>
      </c>
      <c r="E8">
        <f>SUM(E3:E7)</f>
        <v>0</v>
      </c>
      <c r="F8" s="46"/>
    </row>
    <row r="21" spans="3:15">
      <c r="F21" t="s">
        <v>424</v>
      </c>
      <c r="G21" t="s">
        <v>437</v>
      </c>
      <c r="H21" t="s">
        <v>427</v>
      </c>
      <c r="K21" t="s">
        <v>443</v>
      </c>
      <c r="L21" t="s">
        <v>154</v>
      </c>
      <c r="M21" s="65" t="s">
        <v>155</v>
      </c>
    </row>
    <row r="22" spans="3:15">
      <c r="C22" t="s">
        <v>142</v>
      </c>
      <c r="F22">
        <v>2.8</v>
      </c>
      <c r="G22">
        <v>12.68</v>
      </c>
      <c r="H22" s="55">
        <v>3.64</v>
      </c>
      <c r="I22" s="55"/>
      <c r="J22" s="55"/>
      <c r="K22" s="55">
        <v>2.8000000000000004E-2</v>
      </c>
      <c r="L22" s="55">
        <f t="shared" ref="L22:L27" si="0">SUM(F22:K22)</f>
        <v>19.148</v>
      </c>
      <c r="M22" s="55">
        <f>$L22*100/133</f>
        <v>14.396992481203007</v>
      </c>
    </row>
    <row r="23" spans="3:15">
      <c r="C23" t="s">
        <v>119</v>
      </c>
      <c r="F23">
        <v>0.32</v>
      </c>
      <c r="G23">
        <v>8.3324999999999996</v>
      </c>
      <c r="H23" s="55">
        <v>1.68</v>
      </c>
      <c r="I23" s="55"/>
      <c r="J23" s="55"/>
      <c r="K23" s="55">
        <v>0</v>
      </c>
      <c r="L23" s="55">
        <f t="shared" si="0"/>
        <v>10.3325</v>
      </c>
      <c r="M23" s="55">
        <f t="shared" ref="M23:M27" si="1">$L23*100/133</f>
        <v>7.768796992481203</v>
      </c>
    </row>
    <row r="24" spans="3:15">
      <c r="C24" t="s">
        <v>118</v>
      </c>
      <c r="F24">
        <v>36.799999999999997</v>
      </c>
      <c r="G24">
        <v>1.2849999999999999</v>
      </c>
      <c r="H24" s="55">
        <v>9.799999999999999E-2</v>
      </c>
      <c r="I24" s="55"/>
      <c r="J24" s="55"/>
      <c r="K24" s="55">
        <v>0.16800000000000001</v>
      </c>
      <c r="L24" s="55">
        <f t="shared" si="0"/>
        <v>38.350999999999992</v>
      </c>
      <c r="M24" s="55">
        <f t="shared" si="1"/>
        <v>28.835338345864653</v>
      </c>
    </row>
    <row r="25" spans="3:15">
      <c r="C25" t="s">
        <v>143</v>
      </c>
      <c r="F25">
        <v>1.44</v>
      </c>
      <c r="G25">
        <v>1.175</v>
      </c>
      <c r="H25" s="55">
        <v>0</v>
      </c>
      <c r="I25" s="55"/>
      <c r="J25" s="55"/>
      <c r="K25" s="55">
        <v>0.14000000000000001</v>
      </c>
      <c r="L25" s="55">
        <f t="shared" si="0"/>
        <v>2.7550000000000003</v>
      </c>
      <c r="M25" s="55">
        <f t="shared" si="1"/>
        <v>2.0714285714285721</v>
      </c>
    </row>
    <row r="26" spans="3:15">
      <c r="C26" t="s">
        <v>133</v>
      </c>
      <c r="F26">
        <v>7.68</v>
      </c>
      <c r="G26">
        <v>0.47249999999999998</v>
      </c>
      <c r="H26" s="55">
        <v>3.64</v>
      </c>
      <c r="I26" s="55"/>
      <c r="J26" s="55"/>
      <c r="K26" s="55">
        <v>8.4000000000000005E-2</v>
      </c>
      <c r="L26" s="55">
        <f t="shared" si="0"/>
        <v>11.8765</v>
      </c>
      <c r="M26" s="55">
        <f t="shared" si="1"/>
        <v>8.9296992481203006</v>
      </c>
    </row>
    <row r="27" spans="3:15">
      <c r="C27" t="s">
        <v>120</v>
      </c>
      <c r="F27">
        <v>1.2</v>
      </c>
      <c r="G27">
        <v>0.30499999999999999</v>
      </c>
      <c r="H27" s="55">
        <v>0.16800000000000001</v>
      </c>
      <c r="I27" s="55"/>
      <c r="J27" s="55"/>
      <c r="K27" s="55">
        <v>0.126</v>
      </c>
      <c r="L27" s="55">
        <f t="shared" si="0"/>
        <v>1.7989999999999999</v>
      </c>
      <c r="M27" s="55">
        <f t="shared" si="1"/>
        <v>1.3526315789473684</v>
      </c>
    </row>
    <row r="30" spans="3:15">
      <c r="C30" s="64" t="s">
        <v>423</v>
      </c>
      <c r="D30" s="93"/>
      <c r="E30" t="s">
        <v>212</v>
      </c>
      <c r="F30" t="s">
        <v>424</v>
      </c>
      <c r="H30" s="69"/>
      <c r="I30" s="69"/>
      <c r="J30" s="199" t="s">
        <v>228</v>
      </c>
      <c r="K30" s="200"/>
      <c r="L30" s="200"/>
      <c r="M30" s="200"/>
      <c r="N30" s="200"/>
      <c r="O30" s="201"/>
    </row>
    <row r="31" spans="3:15" ht="28.8">
      <c r="C31" t="s">
        <v>142</v>
      </c>
      <c r="E31">
        <v>3.5</v>
      </c>
      <c r="F31" s="55">
        <f>80*$E31/100</f>
        <v>2.8</v>
      </c>
      <c r="H31" s="195" t="s">
        <v>216</v>
      </c>
      <c r="I31" s="197" t="s">
        <v>225</v>
      </c>
      <c r="J31" s="70" t="s">
        <v>217</v>
      </c>
      <c r="K31" s="70" t="s">
        <v>226</v>
      </c>
      <c r="L31" s="70" t="s">
        <v>118</v>
      </c>
      <c r="M31" s="70" t="s">
        <v>143</v>
      </c>
      <c r="N31" s="70" t="s">
        <v>227</v>
      </c>
      <c r="O31" s="70" t="s">
        <v>120</v>
      </c>
    </row>
    <row r="32" spans="3:15">
      <c r="C32" t="s">
        <v>119</v>
      </c>
      <c r="E32">
        <v>0.4</v>
      </c>
      <c r="F32" s="55">
        <f t="shared" ref="F32:F36" si="2">80*$E32/100</f>
        <v>0.32</v>
      </c>
      <c r="H32" s="195"/>
      <c r="I32" s="198"/>
      <c r="J32" s="167" t="s">
        <v>218</v>
      </c>
      <c r="K32" s="167" t="s">
        <v>219</v>
      </c>
      <c r="L32" s="167" t="s">
        <v>220</v>
      </c>
      <c r="M32" s="167" t="s">
        <v>221</v>
      </c>
      <c r="N32" s="167" t="s">
        <v>222</v>
      </c>
      <c r="O32" s="167" t="s">
        <v>223</v>
      </c>
    </row>
    <row r="33" spans="3:17" ht="16.2" thickBot="1">
      <c r="C33" t="s">
        <v>118</v>
      </c>
      <c r="E33">
        <v>46</v>
      </c>
      <c r="F33" s="55">
        <f t="shared" si="2"/>
        <v>36.799999999999997</v>
      </c>
      <c r="H33" s="196"/>
      <c r="I33" s="72" t="s">
        <v>224</v>
      </c>
      <c r="J33" s="77" t="s">
        <v>224</v>
      </c>
      <c r="K33" s="77" t="s">
        <v>224</v>
      </c>
      <c r="L33" s="77" t="s">
        <v>224</v>
      </c>
      <c r="M33" s="77" t="s">
        <v>224</v>
      </c>
      <c r="N33" s="77" t="s">
        <v>224</v>
      </c>
      <c r="O33" s="77" t="s">
        <v>224</v>
      </c>
    </row>
    <row r="34" spans="3:17" ht="17.399999999999999">
      <c r="C34" t="s">
        <v>143</v>
      </c>
      <c r="E34">
        <v>1.8</v>
      </c>
      <c r="F34" s="55">
        <f t="shared" si="2"/>
        <v>1.44</v>
      </c>
      <c r="H34" s="166" t="s">
        <v>415</v>
      </c>
      <c r="I34" s="3">
        <v>80</v>
      </c>
      <c r="J34" s="3">
        <v>3.5</v>
      </c>
      <c r="K34" s="3">
        <v>0.4</v>
      </c>
      <c r="L34" s="3">
        <v>46</v>
      </c>
      <c r="M34" s="3">
        <v>1.8</v>
      </c>
      <c r="N34" s="3">
        <v>9.6</v>
      </c>
      <c r="O34" s="3">
        <v>1.5</v>
      </c>
      <c r="P34" s="90"/>
    </row>
    <row r="35" spans="3:17" ht="17.399999999999999">
      <c r="C35" t="s">
        <v>133</v>
      </c>
      <c r="E35">
        <v>9.6</v>
      </c>
      <c r="F35" s="55">
        <f t="shared" si="2"/>
        <v>7.68</v>
      </c>
      <c r="H35" s="166" t="s">
        <v>436</v>
      </c>
      <c r="I35" s="3">
        <v>25</v>
      </c>
      <c r="J35" s="24">
        <v>50.72</v>
      </c>
      <c r="K35" s="24">
        <v>33.33</v>
      </c>
      <c r="L35" s="24">
        <v>5.14</v>
      </c>
      <c r="M35" s="24">
        <v>4.7</v>
      </c>
      <c r="N35" s="24">
        <v>1.89</v>
      </c>
      <c r="O35" s="24">
        <v>1.22</v>
      </c>
    </row>
    <row r="36" spans="3:17" ht="17.399999999999999">
      <c r="C36" t="s">
        <v>120</v>
      </c>
      <c r="E36">
        <v>1.5</v>
      </c>
      <c r="F36" s="55">
        <f t="shared" si="2"/>
        <v>1.2</v>
      </c>
      <c r="H36" s="166" t="s">
        <v>414</v>
      </c>
      <c r="I36" s="3">
        <v>14</v>
      </c>
      <c r="J36" s="18">
        <v>26</v>
      </c>
      <c r="K36" s="3">
        <v>12</v>
      </c>
      <c r="L36" s="3">
        <v>0.7</v>
      </c>
      <c r="M36" s="3">
        <v>0</v>
      </c>
      <c r="N36" s="3">
        <v>26</v>
      </c>
      <c r="O36" s="3">
        <v>1.2</v>
      </c>
    </row>
    <row r="37" spans="3:17" ht="17.399999999999999">
      <c r="H37" s="166"/>
      <c r="I37" s="3"/>
      <c r="J37" s="3"/>
      <c r="K37" s="3"/>
      <c r="L37" s="3"/>
      <c r="M37" s="3"/>
      <c r="N37" s="3"/>
      <c r="O37" s="3"/>
    </row>
    <row r="38" spans="3:17" ht="17.399999999999999">
      <c r="H38" s="166"/>
      <c r="I38" s="3"/>
      <c r="J38" s="3"/>
      <c r="K38" s="3"/>
      <c r="L38" s="3"/>
      <c r="M38" s="3"/>
      <c r="N38" s="3"/>
      <c r="O38" s="3"/>
    </row>
    <row r="39" spans="3:17" ht="17.399999999999999">
      <c r="C39" s="102" t="s">
        <v>10</v>
      </c>
      <c r="E39" t="s">
        <v>212</v>
      </c>
      <c r="F39" t="s">
        <v>435</v>
      </c>
      <c r="H39" s="166" t="s">
        <v>440</v>
      </c>
      <c r="I39" s="3">
        <v>14</v>
      </c>
      <c r="J39" s="3">
        <v>0.2</v>
      </c>
      <c r="K39" s="3">
        <v>0</v>
      </c>
      <c r="L39" s="3">
        <v>1.2</v>
      </c>
      <c r="M39" s="3">
        <v>1</v>
      </c>
      <c r="N39" s="3">
        <v>0.6</v>
      </c>
      <c r="O39" s="3">
        <v>0.9</v>
      </c>
    </row>
    <row r="40" spans="3:17">
      <c r="C40" t="s">
        <v>142</v>
      </c>
      <c r="E40">
        <v>50.72</v>
      </c>
      <c r="F40">
        <f>$E40*25/100</f>
        <v>12.68</v>
      </c>
    </row>
    <row r="41" spans="3:17" ht="28.8">
      <c r="C41" t="s">
        <v>119</v>
      </c>
      <c r="E41">
        <v>33.33</v>
      </c>
      <c r="F41">
        <f t="shared" ref="F41:F45" si="3">$E41*25/100</f>
        <v>8.3324999999999996</v>
      </c>
      <c r="H41" s="202" t="s">
        <v>0</v>
      </c>
      <c r="I41" s="204" t="s">
        <v>229</v>
      </c>
      <c r="J41" s="70" t="s">
        <v>217</v>
      </c>
      <c r="K41" s="70" t="s">
        <v>226</v>
      </c>
      <c r="L41" s="70" t="s">
        <v>118</v>
      </c>
      <c r="M41" s="70" t="s">
        <v>143</v>
      </c>
      <c r="N41" s="70" t="s">
        <v>227</v>
      </c>
      <c r="O41" s="70" t="s">
        <v>120</v>
      </c>
      <c r="P41" s="191" t="s">
        <v>230</v>
      </c>
      <c r="Q41" s="192"/>
    </row>
    <row r="42" spans="3:17">
      <c r="C42" t="s">
        <v>118</v>
      </c>
      <c r="E42">
        <v>5.14</v>
      </c>
      <c r="F42">
        <f t="shared" si="3"/>
        <v>1.2849999999999999</v>
      </c>
      <c r="H42" s="203"/>
      <c r="I42" s="205"/>
      <c r="J42" s="167" t="s">
        <v>218</v>
      </c>
      <c r="K42" s="167" t="s">
        <v>219</v>
      </c>
      <c r="L42" s="167" t="s">
        <v>220</v>
      </c>
      <c r="M42" s="167" t="s">
        <v>221</v>
      </c>
      <c r="N42" s="167" t="s">
        <v>222</v>
      </c>
      <c r="O42" s="167" t="s">
        <v>223</v>
      </c>
      <c r="P42" s="167" t="s">
        <v>231</v>
      </c>
      <c r="Q42" s="167" t="s">
        <v>231</v>
      </c>
    </row>
    <row r="43" spans="3:17">
      <c r="C43" t="s">
        <v>143</v>
      </c>
      <c r="E43">
        <v>4.7</v>
      </c>
      <c r="F43">
        <f t="shared" si="3"/>
        <v>1.175</v>
      </c>
      <c r="H43" s="203"/>
      <c r="I43" s="205"/>
      <c r="J43" s="77" t="s">
        <v>224</v>
      </c>
      <c r="K43" s="77" t="s">
        <v>224</v>
      </c>
      <c r="L43" s="77" t="s">
        <v>224</v>
      </c>
      <c r="M43" s="77" t="s">
        <v>224</v>
      </c>
      <c r="N43" s="77" t="s">
        <v>224</v>
      </c>
      <c r="O43" s="77" t="s">
        <v>224</v>
      </c>
      <c r="P43" s="77" t="s">
        <v>232</v>
      </c>
      <c r="Q43" s="77" t="s">
        <v>233</v>
      </c>
    </row>
    <row r="44" spans="3:17" ht="17.399999999999999">
      <c r="C44" t="s">
        <v>133</v>
      </c>
      <c r="E44">
        <v>1.89</v>
      </c>
      <c r="F44">
        <f t="shared" si="3"/>
        <v>0.47249999999999998</v>
      </c>
      <c r="H44" s="188" t="s">
        <v>415</v>
      </c>
      <c r="I44" s="188"/>
      <c r="J44" s="78">
        <f>$J34*$I34/133</f>
        <v>2.1052631578947367</v>
      </c>
      <c r="K44" s="78">
        <f>$K34*$I34/133</f>
        <v>0.24060150375939848</v>
      </c>
      <c r="L44" s="78">
        <f>$L34*$I34/133</f>
        <v>27.669172932330827</v>
      </c>
      <c r="M44" s="78">
        <f>$M34*$I34/133</f>
        <v>1.0827067669172932</v>
      </c>
      <c r="N44" s="78">
        <f>N34*I34/133</f>
        <v>5.7744360902255636</v>
      </c>
      <c r="O44" s="78">
        <f>O34*I34/133</f>
        <v>0.90225563909774431</v>
      </c>
      <c r="P44" s="3"/>
      <c r="Q44" s="3"/>
    </row>
    <row r="45" spans="3:17" ht="17.399999999999999">
      <c r="C45" t="s">
        <v>120</v>
      </c>
      <c r="E45">
        <v>1.22</v>
      </c>
      <c r="F45">
        <f t="shared" si="3"/>
        <v>0.30499999999999999</v>
      </c>
      <c r="H45" s="240" t="s">
        <v>436</v>
      </c>
      <c r="I45" s="241"/>
      <c r="J45" s="78">
        <f t="shared" ref="J45:J49" si="4">$J35*$I35/133</f>
        <v>9.5338345864661651</v>
      </c>
      <c r="K45" s="78">
        <f t="shared" ref="K45:K49" si="5">$K35*$I35/133</f>
        <v>6.2650375939849621</v>
      </c>
      <c r="L45" s="78">
        <f t="shared" ref="L45:L49" si="6">$L35*$I35/133</f>
        <v>0.96616541353383456</v>
      </c>
      <c r="M45" s="78">
        <f t="shared" ref="M45:M49" si="7">$M35*$I35/133</f>
        <v>0.88345864661654139</v>
      </c>
      <c r="N45" s="78">
        <f t="shared" ref="N45:N49" si="8">N35*I35/133</f>
        <v>0.35526315789473684</v>
      </c>
      <c r="O45" s="78">
        <f t="shared" ref="O45:O49" si="9">O35*I35/133</f>
        <v>0.22932330827067668</v>
      </c>
      <c r="P45" s="3"/>
      <c r="Q45" s="3"/>
    </row>
    <row r="46" spans="3:17" ht="17.399999999999999">
      <c r="H46" s="240" t="s">
        <v>74</v>
      </c>
      <c r="I46" s="241"/>
      <c r="J46" s="78">
        <f t="shared" si="4"/>
        <v>2.736842105263158</v>
      </c>
      <c r="K46" s="78">
        <f t="shared" si="5"/>
        <v>1.263157894736842</v>
      </c>
      <c r="L46" s="78">
        <f t="shared" si="6"/>
        <v>7.3684210526315783E-2</v>
      </c>
      <c r="M46" s="78">
        <f t="shared" si="7"/>
        <v>0</v>
      </c>
      <c r="N46" s="78">
        <f t="shared" si="8"/>
        <v>2.736842105263158</v>
      </c>
      <c r="O46" s="78">
        <f t="shared" si="9"/>
        <v>0.12631578947368421</v>
      </c>
      <c r="P46" s="3"/>
      <c r="Q46" s="3"/>
    </row>
    <row r="47" spans="3:17" ht="17.399999999999999">
      <c r="H47" s="188"/>
      <c r="I47" s="188"/>
      <c r="J47" s="78">
        <f t="shared" si="4"/>
        <v>0</v>
      </c>
      <c r="K47" s="78">
        <f t="shared" si="5"/>
        <v>0</v>
      </c>
      <c r="L47" s="78">
        <f t="shared" si="6"/>
        <v>0</v>
      </c>
      <c r="M47" s="78">
        <f t="shared" si="7"/>
        <v>0</v>
      </c>
      <c r="N47" s="78">
        <f t="shared" si="8"/>
        <v>0</v>
      </c>
      <c r="O47" s="78">
        <f t="shared" si="9"/>
        <v>0</v>
      </c>
      <c r="P47" s="3"/>
      <c r="Q47" s="3"/>
    </row>
    <row r="48" spans="3:17" ht="17.399999999999999">
      <c r="C48" s="64" t="s">
        <v>414</v>
      </c>
      <c r="D48" s="93"/>
      <c r="E48" t="s">
        <v>212</v>
      </c>
      <c r="F48" t="s">
        <v>427</v>
      </c>
      <c r="H48" s="188"/>
      <c r="I48" s="188"/>
      <c r="J48" s="78">
        <f t="shared" si="4"/>
        <v>0</v>
      </c>
      <c r="K48" s="78">
        <f t="shared" si="5"/>
        <v>0</v>
      </c>
      <c r="L48" s="78">
        <f t="shared" si="6"/>
        <v>0</v>
      </c>
      <c r="M48" s="78">
        <f t="shared" si="7"/>
        <v>0</v>
      </c>
      <c r="N48" s="78">
        <f t="shared" si="8"/>
        <v>0</v>
      </c>
      <c r="O48" s="78">
        <f t="shared" si="9"/>
        <v>0</v>
      </c>
      <c r="P48" s="3"/>
      <c r="Q48" s="3"/>
    </row>
    <row r="49" spans="3:17" ht="17.399999999999999">
      <c r="C49" t="s">
        <v>142</v>
      </c>
      <c r="E49">
        <v>26</v>
      </c>
      <c r="F49" s="55">
        <f>$E49*14/100</f>
        <v>3.64</v>
      </c>
      <c r="H49" s="188" t="s">
        <v>440</v>
      </c>
      <c r="I49" s="188"/>
      <c r="J49" s="78">
        <f t="shared" si="4"/>
        <v>2.1052631578947371E-2</v>
      </c>
      <c r="K49" s="78">
        <f t="shared" si="5"/>
        <v>0</v>
      </c>
      <c r="L49" s="78">
        <f t="shared" si="6"/>
        <v>0.12631578947368421</v>
      </c>
      <c r="M49" s="78">
        <f t="shared" si="7"/>
        <v>0.10526315789473684</v>
      </c>
      <c r="N49" s="78">
        <f t="shared" si="8"/>
        <v>6.3157894736842107E-2</v>
      </c>
      <c r="O49" s="78">
        <f t="shared" si="9"/>
        <v>9.4736842105263161E-2</v>
      </c>
      <c r="P49" s="3"/>
      <c r="Q49" s="3"/>
    </row>
    <row r="50" spans="3:17" ht="31.5" customHeight="1">
      <c r="C50" t="s">
        <v>119</v>
      </c>
      <c r="E50">
        <v>12</v>
      </c>
      <c r="F50" s="55">
        <f t="shared" ref="F50:F54" si="10">$E50*14/100</f>
        <v>1.68</v>
      </c>
      <c r="H50" s="189" t="s">
        <v>234</v>
      </c>
      <c r="I50" s="190"/>
      <c r="J50" s="85">
        <f t="shared" ref="J50:O50" si="11">SUM(J44:J49)</f>
        <v>14.396992481203005</v>
      </c>
      <c r="K50" s="84">
        <f t="shared" si="11"/>
        <v>7.768796992481203</v>
      </c>
      <c r="L50" s="85">
        <f t="shared" si="11"/>
        <v>28.83533834586466</v>
      </c>
      <c r="M50" s="84">
        <f t="shared" si="11"/>
        <v>2.0714285714285712</v>
      </c>
      <c r="N50" s="84">
        <f t="shared" si="11"/>
        <v>8.9296992481203006</v>
      </c>
      <c r="O50" s="84">
        <f t="shared" si="11"/>
        <v>1.3526315789473684</v>
      </c>
      <c r="P50" s="85">
        <f>17*N50+37*J50+17*L50</f>
        <v>1174.6943609022555</v>
      </c>
      <c r="Q50" s="85">
        <f>4*N50+9*J50+4*L50</f>
        <v>280.63308270676691</v>
      </c>
    </row>
    <row r="51" spans="3:17">
      <c r="C51" t="s">
        <v>118</v>
      </c>
      <c r="E51">
        <v>0.7</v>
      </c>
      <c r="F51" s="55">
        <f t="shared" si="10"/>
        <v>9.799999999999999E-2</v>
      </c>
    </row>
    <row r="52" spans="3:17">
      <c r="C52" t="s">
        <v>143</v>
      </c>
      <c r="E52">
        <v>0</v>
      </c>
      <c r="F52" s="55">
        <f t="shared" si="10"/>
        <v>0</v>
      </c>
    </row>
    <row r="53" spans="3:17">
      <c r="C53" t="s">
        <v>133</v>
      </c>
      <c r="E53">
        <v>26</v>
      </c>
      <c r="F53" s="55">
        <f t="shared" si="10"/>
        <v>3.64</v>
      </c>
    </row>
    <row r="54" spans="3:17">
      <c r="C54" t="s">
        <v>120</v>
      </c>
      <c r="E54">
        <v>1.2</v>
      </c>
      <c r="F54" s="55">
        <f t="shared" si="10"/>
        <v>0.16800000000000001</v>
      </c>
    </row>
    <row r="57" spans="3:17">
      <c r="C57" s="64" t="s">
        <v>442</v>
      </c>
      <c r="D57" s="147" t="s">
        <v>271</v>
      </c>
      <c r="E57" t="s">
        <v>212</v>
      </c>
      <c r="F57" t="s">
        <v>443</v>
      </c>
    </row>
    <row r="58" spans="3:17">
      <c r="C58" t="s">
        <v>142</v>
      </c>
      <c r="E58">
        <v>0.2</v>
      </c>
      <c r="F58">
        <f>$E58*14/100</f>
        <v>2.8000000000000004E-2</v>
      </c>
    </row>
    <row r="59" spans="3:17">
      <c r="C59" t="s">
        <v>119</v>
      </c>
      <c r="E59">
        <v>0</v>
      </c>
      <c r="F59">
        <f t="shared" ref="F59:F63" si="12">$E59*14/100</f>
        <v>0</v>
      </c>
    </row>
    <row r="60" spans="3:17">
      <c r="C60" t="s">
        <v>118</v>
      </c>
      <c r="E60">
        <v>1.2</v>
      </c>
      <c r="F60">
        <f t="shared" si="12"/>
        <v>0.16800000000000001</v>
      </c>
    </row>
    <row r="61" spans="3:17">
      <c r="C61" t="s">
        <v>143</v>
      </c>
      <c r="E61">
        <v>1</v>
      </c>
      <c r="F61">
        <f t="shared" si="12"/>
        <v>0.14000000000000001</v>
      </c>
    </row>
    <row r="62" spans="3:17">
      <c r="C62" t="s">
        <v>133</v>
      </c>
      <c r="E62">
        <v>0.6</v>
      </c>
      <c r="F62">
        <f t="shared" si="12"/>
        <v>8.4000000000000005E-2</v>
      </c>
    </row>
    <row r="63" spans="3:17">
      <c r="C63" t="s">
        <v>120</v>
      </c>
      <c r="E63">
        <v>0.9</v>
      </c>
      <c r="F63">
        <f t="shared" si="12"/>
        <v>0.126</v>
      </c>
    </row>
    <row r="66" spans="3:6">
      <c r="C66" s="92"/>
      <c r="D66" s="93"/>
    </row>
    <row r="67" spans="3:6">
      <c r="F67" s="55"/>
    </row>
    <row r="68" spans="3:6">
      <c r="F68" s="55"/>
    </row>
    <row r="69" spans="3:6">
      <c r="F69" s="55"/>
    </row>
    <row r="70" spans="3:6">
      <c r="F70" s="55"/>
    </row>
    <row r="71" spans="3:6">
      <c r="F71" s="55"/>
    </row>
    <row r="72" spans="3:6">
      <c r="F72" s="55"/>
    </row>
    <row r="75" spans="3:6">
      <c r="C75" s="64"/>
      <c r="D75" s="93"/>
    </row>
    <row r="76" spans="3:6">
      <c r="F76" s="55"/>
    </row>
    <row r="77" spans="3:6">
      <c r="F77" s="55"/>
    </row>
    <row r="78" spans="3:6">
      <c r="F78" s="55"/>
    </row>
    <row r="79" spans="3:6">
      <c r="F79" s="55"/>
    </row>
    <row r="80" spans="3:6">
      <c r="F80" s="55"/>
    </row>
    <row r="81" spans="6:6">
      <c r="F81" s="55"/>
    </row>
  </sheetData>
  <mergeCells count="14">
    <mergeCell ref="A1:H1"/>
    <mergeCell ref="J30:O30"/>
    <mergeCell ref="H31:H33"/>
    <mergeCell ref="I31:I32"/>
    <mergeCell ref="H41:H43"/>
    <mergeCell ref="I41:I43"/>
    <mergeCell ref="H49:I49"/>
    <mergeCell ref="H50:I50"/>
    <mergeCell ref="P41:Q41"/>
    <mergeCell ref="H44:I44"/>
    <mergeCell ref="H45:I45"/>
    <mergeCell ref="H46:I46"/>
    <mergeCell ref="H47:I47"/>
    <mergeCell ref="H48:I48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1"/>
  <sheetViews>
    <sheetView topLeftCell="D12" zoomScale="68" zoomScaleNormal="68" zoomScalePageLayoutView="70" workbookViewId="0">
      <selection activeCell="J36" sqref="J36:O36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16.69921875" bestFit="1" customWidth="1"/>
    <col min="5" max="5" width="13.296875" bestFit="1" customWidth="1"/>
    <col min="6" max="6" width="47.19921875" customWidth="1"/>
    <col min="7" max="7" width="19.69921875" customWidth="1"/>
    <col min="8" max="8" width="29.19921875" customWidth="1"/>
    <col min="9" max="9" width="18.69921875" customWidth="1"/>
    <col min="10" max="10" width="17.19921875" customWidth="1"/>
    <col min="11" max="11" width="18.5" customWidth="1"/>
  </cols>
  <sheetData>
    <row r="1" spans="1:8" ht="31.05" customHeight="1">
      <c r="A1" s="193" t="s">
        <v>444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416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78.599999999999994">
      <c r="A3" s="166" t="s">
        <v>445</v>
      </c>
      <c r="B3" s="168" t="s">
        <v>3</v>
      </c>
      <c r="C3" s="3">
        <v>120</v>
      </c>
      <c r="D3" s="3"/>
      <c r="E3" s="3"/>
      <c r="F3" s="6" t="s">
        <v>417</v>
      </c>
      <c r="G3" s="68" t="s">
        <v>418</v>
      </c>
      <c r="H3" s="21" t="s">
        <v>8</v>
      </c>
    </row>
    <row r="4" spans="1:8" ht="109.8">
      <c r="A4" s="166" t="s">
        <v>10</v>
      </c>
      <c r="B4" s="168" t="s">
        <v>11</v>
      </c>
      <c r="C4" s="3">
        <v>35</v>
      </c>
      <c r="D4" s="3"/>
      <c r="E4" s="24"/>
      <c r="F4" s="5" t="s">
        <v>438</v>
      </c>
      <c r="G4" s="6" t="s">
        <v>82</v>
      </c>
      <c r="H4" s="3"/>
    </row>
    <row r="5" spans="1:8" ht="63">
      <c r="A5" s="166" t="s">
        <v>414</v>
      </c>
      <c r="B5" s="12" t="s">
        <v>419</v>
      </c>
      <c r="C5" s="3">
        <v>44</v>
      </c>
      <c r="D5" s="3"/>
      <c r="E5" s="3"/>
      <c r="F5" s="6" t="s">
        <v>420</v>
      </c>
      <c r="G5" s="3" t="s">
        <v>17</v>
      </c>
      <c r="H5" s="3"/>
    </row>
    <row r="6" spans="1:8" ht="17.399999999999999">
      <c r="A6" s="166"/>
      <c r="B6" s="12"/>
      <c r="C6" s="3"/>
      <c r="D6" s="3"/>
      <c r="E6" s="3"/>
      <c r="F6" s="6"/>
      <c r="G6" s="3"/>
      <c r="H6" s="3"/>
    </row>
    <row r="7" spans="1:8" ht="17.399999999999999">
      <c r="A7" s="166" t="s">
        <v>440</v>
      </c>
      <c r="B7" s="43"/>
      <c r="C7" s="3">
        <v>24</v>
      </c>
      <c r="D7" s="3"/>
      <c r="E7" s="3"/>
      <c r="F7" s="17"/>
      <c r="G7" s="3"/>
      <c r="H7" s="21"/>
    </row>
    <row r="8" spans="1:8" ht="43.95" customHeight="1">
      <c r="C8">
        <f>SUM(C3:C7)</f>
        <v>223</v>
      </c>
      <c r="D8">
        <f>SUM(D3:D7)</f>
        <v>0</v>
      </c>
      <c r="E8">
        <f>SUM(E3:E7)</f>
        <v>0</v>
      </c>
      <c r="F8" s="46"/>
    </row>
    <row r="21" spans="3:15">
      <c r="F21" t="s">
        <v>452</v>
      </c>
      <c r="G21" t="s">
        <v>447</v>
      </c>
      <c r="H21" t="s">
        <v>448</v>
      </c>
      <c r="K21" t="s">
        <v>449</v>
      </c>
      <c r="L21" t="s">
        <v>154</v>
      </c>
      <c r="M21" s="65" t="s">
        <v>155</v>
      </c>
    </row>
    <row r="22" spans="3:15">
      <c r="C22" t="s">
        <v>142</v>
      </c>
      <c r="F22">
        <v>4.2</v>
      </c>
      <c r="G22">
        <v>17.751999999999999</v>
      </c>
      <c r="H22" s="55">
        <v>11.44</v>
      </c>
      <c r="I22" s="55"/>
      <c r="J22" s="55"/>
      <c r="K22" s="55">
        <v>4.8000000000000008E-2</v>
      </c>
      <c r="L22" s="55">
        <f t="shared" ref="L22:L27" si="0">SUM(F22:K22)</f>
        <v>33.44</v>
      </c>
      <c r="M22" s="55">
        <f>$L22*100/223</f>
        <v>14.995515695067265</v>
      </c>
    </row>
    <row r="23" spans="3:15">
      <c r="C23" t="s">
        <v>119</v>
      </c>
      <c r="F23">
        <v>0.48</v>
      </c>
      <c r="G23">
        <v>11.6655</v>
      </c>
      <c r="H23" s="55">
        <v>5.28</v>
      </c>
      <c r="I23" s="55"/>
      <c r="J23" s="55"/>
      <c r="K23" s="55">
        <v>0</v>
      </c>
      <c r="L23" s="55">
        <f t="shared" si="0"/>
        <v>17.4255</v>
      </c>
      <c r="M23" s="55">
        <f t="shared" ref="M23:M27" si="1">$L23*100/223</f>
        <v>7.8141255605381161</v>
      </c>
    </row>
    <row r="24" spans="3:15">
      <c r="C24" t="s">
        <v>118</v>
      </c>
      <c r="F24">
        <v>55.2</v>
      </c>
      <c r="G24">
        <v>1.7989999999999997</v>
      </c>
      <c r="H24" s="55">
        <v>0.308</v>
      </c>
      <c r="I24" s="55"/>
      <c r="J24" s="55"/>
      <c r="K24" s="55">
        <v>0.28799999999999998</v>
      </c>
      <c r="L24" s="55">
        <f t="shared" si="0"/>
        <v>57.594999999999999</v>
      </c>
      <c r="M24" s="55">
        <f t="shared" si="1"/>
        <v>25.827354260089685</v>
      </c>
    </row>
    <row r="25" spans="3:15">
      <c r="C25" t="s">
        <v>143</v>
      </c>
      <c r="F25">
        <v>2.16</v>
      </c>
      <c r="G25">
        <v>1.645</v>
      </c>
      <c r="H25" s="55">
        <v>0</v>
      </c>
      <c r="I25" s="55"/>
      <c r="J25" s="55"/>
      <c r="K25" s="55">
        <v>0.24</v>
      </c>
      <c r="L25" s="55">
        <f t="shared" si="0"/>
        <v>4.0449999999999999</v>
      </c>
      <c r="M25" s="55">
        <f t="shared" si="1"/>
        <v>1.8139013452914798</v>
      </c>
    </row>
    <row r="26" spans="3:15">
      <c r="C26" t="s">
        <v>133</v>
      </c>
      <c r="F26">
        <v>11.52</v>
      </c>
      <c r="G26">
        <v>0.66149999999999987</v>
      </c>
      <c r="H26" s="55">
        <v>11.44</v>
      </c>
      <c r="I26" s="55"/>
      <c r="J26" s="55"/>
      <c r="K26" s="55">
        <v>0.14399999999999999</v>
      </c>
      <c r="L26" s="55">
        <f t="shared" si="0"/>
        <v>23.765499999999996</v>
      </c>
      <c r="M26" s="55">
        <f t="shared" si="1"/>
        <v>10.657174887892376</v>
      </c>
    </row>
    <row r="27" spans="3:15">
      <c r="C27" t="s">
        <v>120</v>
      </c>
      <c r="F27">
        <v>1.8</v>
      </c>
      <c r="G27">
        <v>0.42699999999999994</v>
      </c>
      <c r="H27" s="55">
        <v>0.52800000000000002</v>
      </c>
      <c r="I27" s="55"/>
      <c r="J27" s="55"/>
      <c r="K27" s="55">
        <v>0.21600000000000003</v>
      </c>
      <c r="L27" s="55">
        <f t="shared" si="0"/>
        <v>2.9710000000000001</v>
      </c>
      <c r="M27" s="55">
        <f t="shared" si="1"/>
        <v>1.3322869955156951</v>
      </c>
    </row>
    <row r="30" spans="3:15">
      <c r="C30" s="64" t="s">
        <v>450</v>
      </c>
      <c r="D30" s="93"/>
      <c r="E30" t="s">
        <v>212</v>
      </c>
      <c r="F30" t="s">
        <v>451</v>
      </c>
      <c r="H30" s="69"/>
      <c r="I30" s="69"/>
      <c r="J30" s="199" t="s">
        <v>228</v>
      </c>
      <c r="K30" s="200"/>
      <c r="L30" s="200"/>
      <c r="M30" s="200"/>
      <c r="N30" s="200"/>
      <c r="O30" s="201"/>
    </row>
    <row r="31" spans="3:15" ht="28.8">
      <c r="C31" t="s">
        <v>142</v>
      </c>
      <c r="E31">
        <v>3.5</v>
      </c>
      <c r="F31" s="55">
        <f>120*$E31/100</f>
        <v>4.2</v>
      </c>
      <c r="H31" s="195" t="s">
        <v>216</v>
      </c>
      <c r="I31" s="197" t="s">
        <v>225</v>
      </c>
      <c r="J31" s="70" t="s">
        <v>217</v>
      </c>
      <c r="K31" s="70" t="s">
        <v>226</v>
      </c>
      <c r="L31" s="70" t="s">
        <v>118</v>
      </c>
      <c r="M31" s="70" t="s">
        <v>143</v>
      </c>
      <c r="N31" s="70" t="s">
        <v>227</v>
      </c>
      <c r="O31" s="70" t="s">
        <v>120</v>
      </c>
    </row>
    <row r="32" spans="3:15">
      <c r="C32" t="s">
        <v>119</v>
      </c>
      <c r="E32">
        <v>0.4</v>
      </c>
      <c r="F32" s="55">
        <f t="shared" ref="F32:F36" si="2">120*$E32/100</f>
        <v>0.48</v>
      </c>
      <c r="H32" s="195"/>
      <c r="I32" s="198"/>
      <c r="J32" s="167" t="s">
        <v>218</v>
      </c>
      <c r="K32" s="167" t="s">
        <v>219</v>
      </c>
      <c r="L32" s="167" t="s">
        <v>220</v>
      </c>
      <c r="M32" s="167" t="s">
        <v>221</v>
      </c>
      <c r="N32" s="167" t="s">
        <v>222</v>
      </c>
      <c r="O32" s="167" t="s">
        <v>223</v>
      </c>
    </row>
    <row r="33" spans="3:17" ht="16.2" thickBot="1">
      <c r="C33" t="s">
        <v>118</v>
      </c>
      <c r="E33">
        <v>46</v>
      </c>
      <c r="F33" s="55">
        <f t="shared" si="2"/>
        <v>55.2</v>
      </c>
      <c r="H33" s="196"/>
      <c r="I33" s="72" t="s">
        <v>224</v>
      </c>
      <c r="J33" s="77" t="s">
        <v>224</v>
      </c>
      <c r="K33" s="77" t="s">
        <v>224</v>
      </c>
      <c r="L33" s="77" t="s">
        <v>224</v>
      </c>
      <c r="M33" s="77" t="s">
        <v>224</v>
      </c>
      <c r="N33" s="77" t="s">
        <v>224</v>
      </c>
      <c r="O33" s="77" t="s">
        <v>224</v>
      </c>
    </row>
    <row r="34" spans="3:17" ht="17.399999999999999">
      <c r="C34" t="s">
        <v>143</v>
      </c>
      <c r="E34">
        <v>1.8</v>
      </c>
      <c r="F34" s="55">
        <f t="shared" si="2"/>
        <v>2.16</v>
      </c>
      <c r="H34" s="166" t="s">
        <v>453</v>
      </c>
      <c r="I34" s="3">
        <v>120</v>
      </c>
      <c r="J34" s="3">
        <v>3.5</v>
      </c>
      <c r="K34" s="3">
        <v>0.4</v>
      </c>
      <c r="L34" s="3">
        <v>46</v>
      </c>
      <c r="M34" s="3">
        <v>1.8</v>
      </c>
      <c r="N34" s="3">
        <v>9.6</v>
      </c>
      <c r="O34" s="3">
        <v>1.5</v>
      </c>
      <c r="P34" s="90"/>
    </row>
    <row r="35" spans="3:17" ht="17.399999999999999">
      <c r="C35" t="s">
        <v>133</v>
      </c>
      <c r="E35">
        <v>9.6</v>
      </c>
      <c r="F35" s="55">
        <f t="shared" si="2"/>
        <v>11.52</v>
      </c>
      <c r="H35" s="166" t="s">
        <v>436</v>
      </c>
      <c r="I35" s="3">
        <v>35</v>
      </c>
      <c r="J35" s="24">
        <v>50.72</v>
      </c>
      <c r="K35" s="24">
        <v>33.33</v>
      </c>
      <c r="L35" s="24">
        <v>5.14</v>
      </c>
      <c r="M35" s="24">
        <v>4.7</v>
      </c>
      <c r="N35" s="24">
        <v>1.89</v>
      </c>
      <c r="O35" s="24">
        <v>1.22</v>
      </c>
    </row>
    <row r="36" spans="3:17" ht="17.399999999999999">
      <c r="C36" t="s">
        <v>120</v>
      </c>
      <c r="E36">
        <v>1.5</v>
      </c>
      <c r="F36" s="55">
        <f t="shared" si="2"/>
        <v>1.8</v>
      </c>
      <c r="H36" s="166" t="s">
        <v>414</v>
      </c>
      <c r="I36" s="3">
        <v>44</v>
      </c>
      <c r="J36" s="18">
        <v>26</v>
      </c>
      <c r="K36" s="3">
        <v>12</v>
      </c>
      <c r="L36" s="3">
        <v>0.7</v>
      </c>
      <c r="M36" s="3">
        <v>0</v>
      </c>
      <c r="N36" s="3">
        <v>26</v>
      </c>
      <c r="O36" s="3">
        <v>1.2</v>
      </c>
    </row>
    <row r="37" spans="3:17" ht="17.399999999999999">
      <c r="H37" s="166"/>
      <c r="I37" s="3"/>
      <c r="J37" s="3"/>
      <c r="K37" s="3"/>
      <c r="L37" s="3"/>
      <c r="M37" s="3"/>
      <c r="N37" s="3"/>
      <c r="O37" s="3"/>
    </row>
    <row r="38" spans="3:17" ht="17.399999999999999">
      <c r="H38" s="166"/>
      <c r="I38" s="3"/>
      <c r="J38" s="3"/>
      <c r="K38" s="3"/>
      <c r="L38" s="3"/>
      <c r="M38" s="3"/>
      <c r="N38" s="3"/>
      <c r="O38" s="3"/>
    </row>
    <row r="39" spans="3:17" ht="17.399999999999999">
      <c r="C39" s="102" t="s">
        <v>10</v>
      </c>
      <c r="E39" t="s">
        <v>212</v>
      </c>
      <c r="F39" t="s">
        <v>446</v>
      </c>
      <c r="H39" s="166" t="s">
        <v>440</v>
      </c>
      <c r="I39" s="3">
        <v>24</v>
      </c>
      <c r="J39" s="3">
        <v>0.2</v>
      </c>
      <c r="K39" s="3">
        <v>0</v>
      </c>
      <c r="L39" s="3">
        <v>1.2</v>
      </c>
      <c r="M39" s="3">
        <v>1</v>
      </c>
      <c r="N39" s="3">
        <v>0.6</v>
      </c>
      <c r="O39" s="3">
        <v>0.9</v>
      </c>
    </row>
    <row r="40" spans="3:17">
      <c r="C40" t="s">
        <v>142</v>
      </c>
      <c r="E40">
        <v>50.72</v>
      </c>
      <c r="F40">
        <f>$E40*35/100</f>
        <v>17.751999999999999</v>
      </c>
    </row>
    <row r="41" spans="3:17" ht="28.8">
      <c r="C41" t="s">
        <v>119</v>
      </c>
      <c r="E41">
        <v>33.33</v>
      </c>
      <c r="F41">
        <f t="shared" ref="F41:F45" si="3">$E41*35/100</f>
        <v>11.6655</v>
      </c>
      <c r="H41" s="202" t="s">
        <v>0</v>
      </c>
      <c r="I41" s="204" t="s">
        <v>229</v>
      </c>
      <c r="J41" s="70" t="s">
        <v>217</v>
      </c>
      <c r="K41" s="70" t="s">
        <v>226</v>
      </c>
      <c r="L41" s="70" t="s">
        <v>118</v>
      </c>
      <c r="M41" s="70" t="s">
        <v>143</v>
      </c>
      <c r="N41" s="70" t="s">
        <v>227</v>
      </c>
      <c r="O41" s="70" t="s">
        <v>120</v>
      </c>
      <c r="P41" s="191" t="s">
        <v>230</v>
      </c>
      <c r="Q41" s="192"/>
    </row>
    <row r="42" spans="3:17">
      <c r="C42" t="s">
        <v>118</v>
      </c>
      <c r="E42">
        <v>5.14</v>
      </c>
      <c r="F42">
        <f t="shared" si="3"/>
        <v>1.7989999999999997</v>
      </c>
      <c r="H42" s="203"/>
      <c r="I42" s="205"/>
      <c r="J42" s="167" t="s">
        <v>218</v>
      </c>
      <c r="K42" s="167" t="s">
        <v>219</v>
      </c>
      <c r="L42" s="167" t="s">
        <v>220</v>
      </c>
      <c r="M42" s="167" t="s">
        <v>221</v>
      </c>
      <c r="N42" s="167" t="s">
        <v>222</v>
      </c>
      <c r="O42" s="167" t="s">
        <v>223</v>
      </c>
      <c r="P42" s="167" t="s">
        <v>231</v>
      </c>
      <c r="Q42" s="167" t="s">
        <v>231</v>
      </c>
    </row>
    <row r="43" spans="3:17">
      <c r="C43" t="s">
        <v>143</v>
      </c>
      <c r="E43">
        <v>4.7</v>
      </c>
      <c r="F43">
        <f t="shared" si="3"/>
        <v>1.645</v>
      </c>
      <c r="H43" s="203"/>
      <c r="I43" s="205"/>
      <c r="J43" s="77" t="s">
        <v>224</v>
      </c>
      <c r="K43" s="77" t="s">
        <v>224</v>
      </c>
      <c r="L43" s="77" t="s">
        <v>224</v>
      </c>
      <c r="M43" s="77" t="s">
        <v>224</v>
      </c>
      <c r="N43" s="77" t="s">
        <v>224</v>
      </c>
      <c r="O43" s="77" t="s">
        <v>224</v>
      </c>
      <c r="P43" s="77" t="s">
        <v>232</v>
      </c>
      <c r="Q43" s="77" t="s">
        <v>233</v>
      </c>
    </row>
    <row r="44" spans="3:17" ht="17.399999999999999">
      <c r="C44" t="s">
        <v>133</v>
      </c>
      <c r="E44">
        <v>1.89</v>
      </c>
      <c r="F44">
        <f t="shared" si="3"/>
        <v>0.66149999999999987</v>
      </c>
      <c r="H44" s="188" t="s">
        <v>453</v>
      </c>
      <c r="I44" s="188"/>
      <c r="J44" s="78">
        <f>$J34*$I34/223</f>
        <v>1.883408071748879</v>
      </c>
      <c r="K44" s="78">
        <f t="shared" ref="K44:K49" si="4">$K34*$I34/245</f>
        <v>0.19591836734693877</v>
      </c>
      <c r="L44" s="78">
        <f t="shared" ref="L44:L49" si="5">$L34*$I34/245</f>
        <v>22.530612244897959</v>
      </c>
      <c r="M44" s="78">
        <f t="shared" ref="M44:M49" si="6">$M34*$I34/245</f>
        <v>0.88163265306122451</v>
      </c>
      <c r="N44" s="78">
        <f t="shared" ref="N44:N49" si="7">N34*I34/245</f>
        <v>4.702040816326531</v>
      </c>
      <c r="O44" s="78">
        <f t="shared" ref="O44:O49" si="8">O34*I34/245</f>
        <v>0.73469387755102045</v>
      </c>
      <c r="P44" s="3"/>
      <c r="Q44" s="3"/>
    </row>
    <row r="45" spans="3:17" ht="17.399999999999999">
      <c r="C45" t="s">
        <v>120</v>
      </c>
      <c r="E45">
        <v>1.22</v>
      </c>
      <c r="F45">
        <f t="shared" si="3"/>
        <v>0.42699999999999994</v>
      </c>
      <c r="H45" s="240" t="s">
        <v>436</v>
      </c>
      <c r="I45" s="241"/>
      <c r="J45" s="78">
        <f t="shared" ref="J45:J49" si="9">$J35*$I35/223</f>
        <v>7.9605381165919287</v>
      </c>
      <c r="K45" s="78">
        <f t="shared" si="4"/>
        <v>4.7614285714285716</v>
      </c>
      <c r="L45" s="78">
        <f t="shared" si="5"/>
        <v>0.73428571428571421</v>
      </c>
      <c r="M45" s="78">
        <f t="shared" si="6"/>
        <v>0.67142857142857137</v>
      </c>
      <c r="N45" s="78">
        <f t="shared" si="7"/>
        <v>0.26999999999999996</v>
      </c>
      <c r="O45" s="78">
        <f t="shared" si="8"/>
        <v>0.17428571428571427</v>
      </c>
      <c r="P45" s="3"/>
      <c r="Q45" s="3"/>
    </row>
    <row r="46" spans="3:17" ht="17.399999999999999">
      <c r="H46" s="240" t="s">
        <v>74</v>
      </c>
      <c r="I46" s="241"/>
      <c r="J46" s="78">
        <f t="shared" si="9"/>
        <v>5.1300448430493271</v>
      </c>
      <c r="K46" s="78">
        <f t="shared" si="4"/>
        <v>2.1551020408163266</v>
      </c>
      <c r="L46" s="78">
        <f t="shared" si="5"/>
        <v>0.1257142857142857</v>
      </c>
      <c r="M46" s="78">
        <f t="shared" si="6"/>
        <v>0</v>
      </c>
      <c r="N46" s="78">
        <f t="shared" si="7"/>
        <v>4.6693877551020408</v>
      </c>
      <c r="O46" s="78">
        <f t="shared" si="8"/>
        <v>0.21551020408163263</v>
      </c>
      <c r="P46" s="3"/>
      <c r="Q46" s="3"/>
    </row>
    <row r="47" spans="3:17" ht="17.399999999999999">
      <c r="H47" s="188"/>
      <c r="I47" s="188"/>
      <c r="J47" s="78">
        <f t="shared" si="9"/>
        <v>0</v>
      </c>
      <c r="K47" s="78"/>
      <c r="L47" s="78"/>
      <c r="M47" s="78"/>
      <c r="N47" s="78"/>
      <c r="O47" s="78"/>
      <c r="P47" s="3"/>
      <c r="Q47" s="3"/>
    </row>
    <row r="48" spans="3:17" ht="17.399999999999999">
      <c r="C48" s="64" t="s">
        <v>414</v>
      </c>
      <c r="D48" s="93"/>
      <c r="E48" t="s">
        <v>212</v>
      </c>
      <c r="F48" t="s">
        <v>448</v>
      </c>
      <c r="H48" s="188"/>
      <c r="I48" s="188"/>
      <c r="J48" s="78">
        <f t="shared" si="9"/>
        <v>0</v>
      </c>
      <c r="K48" s="78"/>
      <c r="L48" s="78"/>
      <c r="M48" s="78"/>
      <c r="N48" s="78"/>
      <c r="O48" s="78"/>
      <c r="P48" s="3"/>
      <c r="Q48" s="3"/>
    </row>
    <row r="49" spans="3:17" ht="17.399999999999999">
      <c r="C49" t="s">
        <v>142</v>
      </c>
      <c r="E49">
        <v>26</v>
      </c>
      <c r="F49" s="55">
        <f>$E49*44/100</f>
        <v>11.44</v>
      </c>
      <c r="H49" s="188" t="s">
        <v>440</v>
      </c>
      <c r="I49" s="188"/>
      <c r="J49" s="78">
        <f t="shared" si="9"/>
        <v>2.1524663677130049E-2</v>
      </c>
      <c r="K49" s="78">
        <f t="shared" si="4"/>
        <v>0</v>
      </c>
      <c r="L49" s="78">
        <f t="shared" si="5"/>
        <v>0.11755102040816326</v>
      </c>
      <c r="M49" s="78">
        <f t="shared" si="6"/>
        <v>9.7959183673469383E-2</v>
      </c>
      <c r="N49" s="78">
        <f t="shared" si="7"/>
        <v>5.877551020408163E-2</v>
      </c>
      <c r="O49" s="78">
        <f t="shared" si="8"/>
        <v>8.8163265306122451E-2</v>
      </c>
      <c r="P49" s="3"/>
      <c r="Q49" s="3"/>
    </row>
    <row r="50" spans="3:17" ht="31.5" customHeight="1">
      <c r="C50" t="s">
        <v>119</v>
      </c>
      <c r="E50">
        <v>12</v>
      </c>
      <c r="F50" s="55">
        <f t="shared" ref="F50:F54" si="10">$E50*44/100</f>
        <v>5.28</v>
      </c>
      <c r="H50" s="189" t="s">
        <v>234</v>
      </c>
      <c r="I50" s="190"/>
      <c r="J50" s="85">
        <f t="shared" ref="J50:O50" si="11">SUM(J44:J49)</f>
        <v>14.995515695067265</v>
      </c>
      <c r="K50" s="84">
        <f t="shared" si="11"/>
        <v>7.1124489795918366</v>
      </c>
      <c r="L50" s="85">
        <f t="shared" si="11"/>
        <v>23.508163265306123</v>
      </c>
      <c r="M50" s="84">
        <f t="shared" si="11"/>
        <v>1.6510204081632653</v>
      </c>
      <c r="N50" s="84">
        <f t="shared" si="11"/>
        <v>9.7002040816326538</v>
      </c>
      <c r="O50" s="84">
        <f t="shared" si="11"/>
        <v>1.2126530612244897</v>
      </c>
      <c r="P50" s="85">
        <f>17*N50+37*J50+17*L50</f>
        <v>1119.376325615448</v>
      </c>
      <c r="Q50" s="85">
        <f>4*N50+9*J50+4*L50</f>
        <v>267.79311064336048</v>
      </c>
    </row>
    <row r="51" spans="3:17">
      <c r="C51" t="s">
        <v>118</v>
      </c>
      <c r="E51">
        <v>0.7</v>
      </c>
      <c r="F51" s="55">
        <f t="shared" si="10"/>
        <v>0.308</v>
      </c>
    </row>
    <row r="52" spans="3:17">
      <c r="C52" t="s">
        <v>143</v>
      </c>
      <c r="E52">
        <v>0</v>
      </c>
      <c r="F52" s="55">
        <f t="shared" si="10"/>
        <v>0</v>
      </c>
    </row>
    <row r="53" spans="3:17">
      <c r="C53" t="s">
        <v>133</v>
      </c>
      <c r="E53">
        <v>26</v>
      </c>
      <c r="F53" s="55">
        <f t="shared" si="10"/>
        <v>11.44</v>
      </c>
    </row>
    <row r="54" spans="3:17">
      <c r="C54" t="s">
        <v>120</v>
      </c>
      <c r="E54">
        <v>1.2</v>
      </c>
      <c r="F54" s="55">
        <f t="shared" si="10"/>
        <v>0.52800000000000002</v>
      </c>
    </row>
    <row r="57" spans="3:17">
      <c r="C57" s="64" t="s">
        <v>442</v>
      </c>
      <c r="D57" s="147" t="s">
        <v>271</v>
      </c>
      <c r="E57" t="s">
        <v>212</v>
      </c>
      <c r="F57" t="s">
        <v>449</v>
      </c>
    </row>
    <row r="58" spans="3:17">
      <c r="C58" t="s">
        <v>142</v>
      </c>
      <c r="E58">
        <v>0.2</v>
      </c>
      <c r="F58">
        <f>$E58*24/100</f>
        <v>4.8000000000000008E-2</v>
      </c>
    </row>
    <row r="59" spans="3:17">
      <c r="C59" t="s">
        <v>119</v>
      </c>
      <c r="E59">
        <v>0</v>
      </c>
      <c r="F59">
        <f t="shared" ref="F59:F63" si="12">$E59*24/100</f>
        <v>0</v>
      </c>
    </row>
    <row r="60" spans="3:17">
      <c r="C60" t="s">
        <v>118</v>
      </c>
      <c r="E60">
        <v>1.2</v>
      </c>
      <c r="F60">
        <f t="shared" si="12"/>
        <v>0.28799999999999998</v>
      </c>
    </row>
    <row r="61" spans="3:17">
      <c r="C61" t="s">
        <v>143</v>
      </c>
      <c r="E61">
        <v>1</v>
      </c>
      <c r="F61">
        <f t="shared" si="12"/>
        <v>0.24</v>
      </c>
    </row>
    <row r="62" spans="3:17">
      <c r="C62" t="s">
        <v>133</v>
      </c>
      <c r="E62">
        <v>0.6</v>
      </c>
      <c r="F62">
        <f t="shared" si="12"/>
        <v>0.14399999999999999</v>
      </c>
    </row>
    <row r="63" spans="3:17">
      <c r="C63" t="s">
        <v>120</v>
      </c>
      <c r="E63">
        <v>0.9</v>
      </c>
      <c r="F63">
        <f t="shared" si="12"/>
        <v>0.21600000000000003</v>
      </c>
    </row>
    <row r="66" spans="3:6">
      <c r="C66" s="92"/>
      <c r="D66" s="93"/>
    </row>
    <row r="67" spans="3:6">
      <c r="F67" s="55"/>
    </row>
    <row r="68" spans="3:6">
      <c r="F68" s="55"/>
    </row>
    <row r="69" spans="3:6">
      <c r="F69" s="55"/>
    </row>
    <row r="70" spans="3:6">
      <c r="F70" s="55"/>
    </row>
    <row r="71" spans="3:6">
      <c r="F71" s="55"/>
    </row>
    <row r="72" spans="3:6">
      <c r="F72" s="55"/>
    </row>
    <row r="75" spans="3:6">
      <c r="C75" s="64"/>
      <c r="D75" s="93"/>
    </row>
    <row r="76" spans="3:6">
      <c r="F76" s="55"/>
    </row>
    <row r="77" spans="3:6">
      <c r="F77" s="55"/>
    </row>
    <row r="78" spans="3:6">
      <c r="F78" s="55"/>
    </row>
    <row r="79" spans="3:6">
      <c r="F79" s="55"/>
    </row>
    <row r="80" spans="3:6">
      <c r="F80" s="55"/>
    </row>
    <row r="81" spans="6:6">
      <c r="F81" s="55"/>
    </row>
  </sheetData>
  <mergeCells count="14">
    <mergeCell ref="A1:H1"/>
    <mergeCell ref="J30:O30"/>
    <mergeCell ref="H31:H33"/>
    <mergeCell ref="I31:I32"/>
    <mergeCell ref="H41:H43"/>
    <mergeCell ref="I41:I43"/>
    <mergeCell ref="H49:I49"/>
    <mergeCell ref="H50:I50"/>
    <mergeCell ref="P41:Q41"/>
    <mergeCell ref="H44:I44"/>
    <mergeCell ref="H45:I45"/>
    <mergeCell ref="H46:I46"/>
    <mergeCell ref="H47:I47"/>
    <mergeCell ref="H48:I48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07"/>
  <sheetViews>
    <sheetView topLeftCell="A82" zoomScale="85" zoomScaleNormal="85" zoomScalePageLayoutView="70" workbookViewId="0">
      <selection activeCell="A90" sqref="A90:Q109"/>
    </sheetView>
  </sheetViews>
  <sheetFormatPr defaultColWidth="11" defaultRowHeight="15.6"/>
  <cols>
    <col min="1" max="1" width="21.5" customWidth="1"/>
    <col min="2" max="2" width="10.3984375" customWidth="1"/>
    <col min="3" max="3" width="8.09765625" customWidth="1"/>
    <col min="4" max="4" width="11.59765625" customWidth="1"/>
    <col min="5" max="5" width="8.796875" customWidth="1"/>
    <col min="6" max="6" width="10.69921875" customWidth="1"/>
    <col min="7" max="7" width="6.3984375" customWidth="1"/>
    <col min="8" max="8" width="8.296875" customWidth="1"/>
    <col min="9" max="10" width="7.296875" customWidth="1"/>
    <col min="11" max="12" width="18.5" customWidth="1"/>
  </cols>
  <sheetData>
    <row r="1" spans="1:8" ht="31.05" customHeight="1">
      <c r="A1" s="193" t="s">
        <v>454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416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328.2">
      <c r="A3" s="169" t="s">
        <v>445</v>
      </c>
      <c r="B3" s="177" t="s">
        <v>3</v>
      </c>
      <c r="C3" s="3">
        <v>120</v>
      </c>
      <c r="D3" s="3"/>
      <c r="E3" s="3"/>
      <c r="F3" s="6" t="s">
        <v>417</v>
      </c>
      <c r="G3" s="68" t="s">
        <v>418</v>
      </c>
      <c r="H3" s="21" t="s">
        <v>8</v>
      </c>
    </row>
    <row r="4" spans="1:8" ht="219">
      <c r="A4" s="169" t="s">
        <v>49</v>
      </c>
      <c r="B4" s="177" t="s">
        <v>50</v>
      </c>
      <c r="C4" s="3">
        <v>30</v>
      </c>
      <c r="D4" s="3"/>
      <c r="F4" s="30" t="s">
        <v>89</v>
      </c>
      <c r="G4" s="19" t="s">
        <v>17</v>
      </c>
      <c r="H4" s="3"/>
    </row>
    <row r="5" spans="1:8" ht="297">
      <c r="A5" s="169" t="s">
        <v>414</v>
      </c>
      <c r="B5" s="12" t="s">
        <v>419</v>
      </c>
      <c r="C5" s="3">
        <v>22</v>
      </c>
      <c r="D5" s="3"/>
      <c r="E5" s="3"/>
      <c r="F5" s="6" t="s">
        <v>420</v>
      </c>
      <c r="G5" s="3" t="s">
        <v>17</v>
      </c>
      <c r="H5" s="3"/>
    </row>
    <row r="6" spans="1:8" ht="281.39999999999998">
      <c r="A6" s="169" t="s">
        <v>39</v>
      </c>
      <c r="B6" s="12" t="s">
        <v>40</v>
      </c>
      <c r="C6" s="3">
        <v>28</v>
      </c>
      <c r="D6" s="3"/>
      <c r="E6" s="3"/>
      <c r="F6" s="6" t="s">
        <v>85</v>
      </c>
      <c r="G6" s="3"/>
      <c r="H6" s="3"/>
    </row>
    <row r="7" spans="1:8" ht="106.2">
      <c r="A7" s="169" t="s">
        <v>55</v>
      </c>
      <c r="B7" s="43" t="s">
        <v>421</v>
      </c>
      <c r="C7" s="3">
        <v>20</v>
      </c>
      <c r="D7" s="3"/>
      <c r="E7" s="3"/>
      <c r="F7" s="17" t="s">
        <v>422</v>
      </c>
      <c r="G7" s="3"/>
      <c r="H7" s="21"/>
    </row>
    <row r="8" spans="1:8" ht="43.95" customHeight="1">
      <c r="C8">
        <f>SUM(C3:C7)</f>
        <v>220</v>
      </c>
      <c r="D8">
        <f>SUM(D3:D7)</f>
        <v>0</v>
      </c>
      <c r="E8">
        <f>SUM(E3:E7)</f>
        <v>0</v>
      </c>
      <c r="F8" s="46"/>
    </row>
    <row r="21" spans="3:16">
      <c r="F21" t="s">
        <v>452</v>
      </c>
      <c r="G21" t="s">
        <v>455</v>
      </c>
      <c r="H21" t="s">
        <v>457</v>
      </c>
      <c r="I21" t="s">
        <v>460</v>
      </c>
      <c r="L21" t="s">
        <v>458</v>
      </c>
      <c r="M21" t="s">
        <v>154</v>
      </c>
      <c r="N21" s="65" t="s">
        <v>155</v>
      </c>
    </row>
    <row r="22" spans="3:16">
      <c r="C22" t="s">
        <v>142</v>
      </c>
      <c r="F22">
        <v>4.2</v>
      </c>
      <c r="G22">
        <v>9.3000000000000007</v>
      </c>
      <c r="H22" s="55">
        <v>5.72</v>
      </c>
      <c r="I22" s="55">
        <v>0.04</v>
      </c>
      <c r="J22" s="55"/>
      <c r="K22" s="55"/>
      <c r="L22" s="55">
        <v>1.036</v>
      </c>
      <c r="M22" s="55">
        <f t="shared" ref="M22:M27" si="0">SUM(F22:L22)</f>
        <v>20.295999999999999</v>
      </c>
      <c r="N22" s="55">
        <f>$M22*100/220</f>
        <v>9.2254545454545447</v>
      </c>
    </row>
    <row r="23" spans="3:16">
      <c r="C23" t="s">
        <v>119</v>
      </c>
      <c r="F23">
        <v>0.48</v>
      </c>
      <c r="G23">
        <v>7.2</v>
      </c>
      <c r="H23" s="55">
        <v>2.64</v>
      </c>
      <c r="I23" s="55">
        <v>0</v>
      </c>
      <c r="J23" s="55"/>
      <c r="K23" s="55"/>
      <c r="L23" s="55">
        <v>0.33600000000000002</v>
      </c>
      <c r="M23" s="55">
        <f t="shared" si="0"/>
        <v>10.656000000000001</v>
      </c>
      <c r="N23" s="55">
        <f t="shared" ref="N23:N27" si="1">$M23*100/220</f>
        <v>4.8436363636363646</v>
      </c>
    </row>
    <row r="24" spans="3:16">
      <c r="C24" t="s">
        <v>118</v>
      </c>
      <c r="F24">
        <v>55.2</v>
      </c>
      <c r="G24">
        <v>1.92</v>
      </c>
      <c r="H24" s="55">
        <v>0.154</v>
      </c>
      <c r="I24" s="55">
        <v>1.22</v>
      </c>
      <c r="J24" s="55"/>
      <c r="K24" s="55"/>
      <c r="L24" s="55">
        <v>0.56000000000000005</v>
      </c>
      <c r="M24" s="55">
        <f t="shared" si="0"/>
        <v>59.054000000000009</v>
      </c>
      <c r="N24" s="55">
        <f t="shared" si="1"/>
        <v>26.842727272727274</v>
      </c>
    </row>
    <row r="25" spans="3:16">
      <c r="C25" t="s">
        <v>143</v>
      </c>
      <c r="F25">
        <v>2.16</v>
      </c>
      <c r="G25">
        <v>1.41</v>
      </c>
      <c r="H25" s="55">
        <v>0</v>
      </c>
      <c r="I25" s="55">
        <v>0.96</v>
      </c>
      <c r="J25" s="55"/>
      <c r="K25" s="55"/>
      <c r="L25" s="55">
        <v>0.252</v>
      </c>
      <c r="M25" s="55">
        <f t="shared" si="0"/>
        <v>4.782</v>
      </c>
      <c r="N25" s="55">
        <f t="shared" si="1"/>
        <v>2.1736363636363634</v>
      </c>
    </row>
    <row r="26" spans="3:16">
      <c r="C26" t="s">
        <v>133</v>
      </c>
      <c r="F26">
        <v>11.52</v>
      </c>
      <c r="G26">
        <v>0.81</v>
      </c>
      <c r="H26" s="55">
        <v>5.72</v>
      </c>
      <c r="I26" s="55">
        <v>0.16</v>
      </c>
      <c r="J26" s="55"/>
      <c r="K26" s="55"/>
      <c r="L26" s="55">
        <v>3.8640000000000003</v>
      </c>
      <c r="M26" s="55">
        <f t="shared" si="0"/>
        <v>22.074000000000002</v>
      </c>
      <c r="N26" s="55">
        <f t="shared" si="1"/>
        <v>10.033636363636363</v>
      </c>
    </row>
    <row r="27" spans="3:16">
      <c r="C27" t="s">
        <v>120</v>
      </c>
      <c r="F27">
        <v>1.8</v>
      </c>
      <c r="G27">
        <v>0.15</v>
      </c>
      <c r="H27" s="55">
        <v>0.26400000000000001</v>
      </c>
      <c r="I27" s="55">
        <v>0.2</v>
      </c>
      <c r="J27" s="55"/>
      <c r="K27" s="55"/>
      <c r="L27" s="55">
        <v>0.58800000000000008</v>
      </c>
      <c r="M27" s="55">
        <f t="shared" si="0"/>
        <v>3.0020000000000002</v>
      </c>
      <c r="N27" s="55">
        <f t="shared" si="1"/>
        <v>1.3645454545454547</v>
      </c>
    </row>
    <row r="30" spans="3:16">
      <c r="C30" s="64" t="s">
        <v>450</v>
      </c>
      <c r="D30" s="93"/>
      <c r="E30" t="s">
        <v>212</v>
      </c>
      <c r="F30" t="s">
        <v>451</v>
      </c>
      <c r="H30" s="69"/>
      <c r="I30" s="69"/>
      <c r="J30" s="186"/>
      <c r="K30" s="199" t="s">
        <v>228</v>
      </c>
      <c r="L30" s="200"/>
      <c r="M30" s="200"/>
      <c r="N30" s="200"/>
      <c r="O30" s="200"/>
      <c r="P30" s="201"/>
    </row>
    <row r="31" spans="3:16" ht="28.8">
      <c r="C31" t="s">
        <v>142</v>
      </c>
      <c r="E31">
        <v>3.5</v>
      </c>
      <c r="F31" s="55">
        <f>120*$E31/100</f>
        <v>4.2</v>
      </c>
      <c r="H31" s="195" t="s">
        <v>216</v>
      </c>
      <c r="I31" s="197" t="s">
        <v>225</v>
      </c>
      <c r="J31" s="171"/>
      <c r="K31" s="70" t="s">
        <v>217</v>
      </c>
      <c r="L31" s="70" t="s">
        <v>226</v>
      </c>
      <c r="M31" s="70" t="s">
        <v>118</v>
      </c>
      <c r="N31" s="70" t="s">
        <v>143</v>
      </c>
      <c r="O31" s="70" t="s">
        <v>227</v>
      </c>
      <c r="P31" s="70" t="s">
        <v>120</v>
      </c>
    </row>
    <row r="32" spans="3:16">
      <c r="C32" t="s">
        <v>119</v>
      </c>
      <c r="E32">
        <v>0.4</v>
      </c>
      <c r="F32" s="55">
        <f t="shared" ref="F32:F36" si="2">120*$E32/100</f>
        <v>0.48</v>
      </c>
      <c r="H32" s="195"/>
      <c r="I32" s="198"/>
      <c r="J32" s="172"/>
      <c r="K32" s="175" t="s">
        <v>218</v>
      </c>
      <c r="L32" s="175" t="s">
        <v>219</v>
      </c>
      <c r="M32" s="175" t="s">
        <v>220</v>
      </c>
      <c r="N32" s="175" t="s">
        <v>221</v>
      </c>
      <c r="O32" s="175" t="s">
        <v>222</v>
      </c>
      <c r="P32" s="175" t="s">
        <v>223</v>
      </c>
    </row>
    <row r="33" spans="3:18" ht="16.2" thickBot="1">
      <c r="C33" t="s">
        <v>118</v>
      </c>
      <c r="E33">
        <v>46</v>
      </c>
      <c r="F33" s="55">
        <f t="shared" si="2"/>
        <v>55.2</v>
      </c>
      <c r="H33" s="196"/>
      <c r="I33" s="72" t="s">
        <v>224</v>
      </c>
      <c r="J33" s="163"/>
      <c r="K33" s="77" t="s">
        <v>224</v>
      </c>
      <c r="L33" s="77" t="s">
        <v>224</v>
      </c>
      <c r="M33" s="77" t="s">
        <v>224</v>
      </c>
      <c r="N33" s="77" t="s">
        <v>224</v>
      </c>
      <c r="O33" s="77" t="s">
        <v>224</v>
      </c>
      <c r="P33" s="77" t="s">
        <v>224</v>
      </c>
    </row>
    <row r="34" spans="3:18" ht="17.399999999999999">
      <c r="C34" t="s">
        <v>143</v>
      </c>
      <c r="E34">
        <v>1.8</v>
      </c>
      <c r="F34" s="55">
        <f t="shared" si="2"/>
        <v>2.16</v>
      </c>
      <c r="H34" s="169" t="s">
        <v>445</v>
      </c>
      <c r="I34" s="3">
        <v>120</v>
      </c>
      <c r="J34" s="3"/>
      <c r="K34" s="3">
        <v>3.5</v>
      </c>
      <c r="L34" s="3">
        <v>0.4</v>
      </c>
      <c r="M34" s="3">
        <v>46</v>
      </c>
      <c r="N34" s="3">
        <v>1.8</v>
      </c>
      <c r="O34" s="3">
        <v>9.6</v>
      </c>
      <c r="P34" s="3">
        <v>1.5</v>
      </c>
      <c r="Q34" s="90"/>
    </row>
    <row r="35" spans="3:18" ht="17.399999999999999">
      <c r="C35" t="s">
        <v>133</v>
      </c>
      <c r="E35">
        <v>9.6</v>
      </c>
      <c r="F35" s="55">
        <f t="shared" si="2"/>
        <v>11.52</v>
      </c>
      <c r="H35" s="169" t="s">
        <v>49</v>
      </c>
      <c r="I35" s="3">
        <v>30</v>
      </c>
      <c r="J35" s="3"/>
      <c r="K35" s="24">
        <v>31</v>
      </c>
      <c r="L35" s="24">
        <v>24</v>
      </c>
      <c r="M35" s="24">
        <v>6.4</v>
      </c>
      <c r="N35" s="24">
        <v>4.7</v>
      </c>
      <c r="O35" s="24">
        <v>2.7</v>
      </c>
      <c r="P35" s="24">
        <v>0.5</v>
      </c>
    </row>
    <row r="36" spans="3:18" ht="17.399999999999999">
      <c r="C36" t="s">
        <v>120</v>
      </c>
      <c r="E36">
        <v>1.5</v>
      </c>
      <c r="F36" s="55">
        <f t="shared" si="2"/>
        <v>1.8</v>
      </c>
      <c r="H36" s="169" t="s">
        <v>414</v>
      </c>
      <c r="I36" s="3">
        <v>22</v>
      </c>
      <c r="J36" s="3"/>
      <c r="K36" s="18">
        <v>26</v>
      </c>
      <c r="L36" s="3">
        <v>12</v>
      </c>
      <c r="M36" s="3">
        <v>0.7</v>
      </c>
      <c r="N36" s="3">
        <v>0</v>
      </c>
      <c r="O36" s="3">
        <v>26</v>
      </c>
      <c r="P36" s="3">
        <v>1.2</v>
      </c>
    </row>
    <row r="37" spans="3:18" ht="17.399999999999999">
      <c r="H37" s="169" t="s">
        <v>39</v>
      </c>
      <c r="I37" s="3">
        <v>28</v>
      </c>
      <c r="J37" s="3"/>
      <c r="K37" s="3"/>
      <c r="L37" s="3"/>
      <c r="M37" s="3"/>
      <c r="N37" s="3"/>
      <c r="O37" s="3"/>
      <c r="P37" s="3"/>
    </row>
    <row r="38" spans="3:18" ht="17.399999999999999">
      <c r="H38" s="169" t="s">
        <v>55</v>
      </c>
      <c r="I38" s="3">
        <v>20</v>
      </c>
      <c r="J38" s="3"/>
      <c r="K38" s="3"/>
      <c r="L38" s="3"/>
      <c r="M38" s="3"/>
      <c r="N38" s="3"/>
      <c r="O38" s="3"/>
      <c r="P38" s="3"/>
    </row>
    <row r="39" spans="3:18" ht="17.399999999999999">
      <c r="C39" s="102" t="s">
        <v>393</v>
      </c>
      <c r="E39" t="s">
        <v>212</v>
      </c>
      <c r="F39" t="s">
        <v>455</v>
      </c>
      <c r="H39" s="169" t="s">
        <v>461</v>
      </c>
      <c r="I39" s="3">
        <v>0</v>
      </c>
      <c r="J39" s="3"/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0.9</v>
      </c>
    </row>
    <row r="40" spans="3:18">
      <c r="C40" t="s">
        <v>142</v>
      </c>
      <c r="E40">
        <v>31</v>
      </c>
      <c r="F40">
        <f>$E40*30/100</f>
        <v>9.3000000000000007</v>
      </c>
    </row>
    <row r="41" spans="3:18" ht="28.8">
      <c r="C41" t="s">
        <v>119</v>
      </c>
      <c r="E41">
        <v>24</v>
      </c>
      <c r="F41">
        <f t="shared" ref="F41:F45" si="3">$E41*30/100</f>
        <v>7.2</v>
      </c>
      <c r="H41" s="202" t="s">
        <v>0</v>
      </c>
      <c r="I41" s="204" t="s">
        <v>229</v>
      </c>
      <c r="J41" s="173"/>
      <c r="K41" s="70" t="s">
        <v>217</v>
      </c>
      <c r="L41" s="70" t="s">
        <v>226</v>
      </c>
      <c r="M41" s="70" t="s">
        <v>118</v>
      </c>
      <c r="N41" s="70" t="s">
        <v>143</v>
      </c>
      <c r="O41" s="70" t="s">
        <v>227</v>
      </c>
      <c r="P41" s="70" t="s">
        <v>120</v>
      </c>
      <c r="Q41" s="191" t="s">
        <v>230</v>
      </c>
      <c r="R41" s="192"/>
    </row>
    <row r="42" spans="3:18">
      <c r="C42" t="s">
        <v>118</v>
      </c>
      <c r="E42">
        <v>6.4</v>
      </c>
      <c r="F42">
        <f t="shared" si="3"/>
        <v>1.92</v>
      </c>
      <c r="H42" s="203"/>
      <c r="I42" s="205"/>
      <c r="J42" s="174"/>
      <c r="K42" s="175" t="s">
        <v>218</v>
      </c>
      <c r="L42" s="175" t="s">
        <v>219</v>
      </c>
      <c r="M42" s="175" t="s">
        <v>220</v>
      </c>
      <c r="N42" s="175" t="s">
        <v>221</v>
      </c>
      <c r="O42" s="175" t="s">
        <v>222</v>
      </c>
      <c r="P42" s="175" t="s">
        <v>223</v>
      </c>
      <c r="Q42" s="175" t="s">
        <v>231</v>
      </c>
      <c r="R42" s="175" t="s">
        <v>231</v>
      </c>
    </row>
    <row r="43" spans="3:18">
      <c r="C43" t="s">
        <v>143</v>
      </c>
      <c r="E43">
        <v>4.7</v>
      </c>
      <c r="F43">
        <f t="shared" si="3"/>
        <v>1.41</v>
      </c>
      <c r="H43" s="203"/>
      <c r="I43" s="205"/>
      <c r="J43" s="174"/>
      <c r="K43" s="77" t="s">
        <v>224</v>
      </c>
      <c r="L43" s="77" t="s">
        <v>224</v>
      </c>
      <c r="M43" s="77" t="s">
        <v>224</v>
      </c>
      <c r="N43" s="77" t="s">
        <v>224</v>
      </c>
      <c r="O43" s="77" t="s">
        <v>224</v>
      </c>
      <c r="P43" s="77" t="s">
        <v>224</v>
      </c>
      <c r="Q43" s="77" t="s">
        <v>232</v>
      </c>
      <c r="R43" s="77" t="s">
        <v>233</v>
      </c>
    </row>
    <row r="44" spans="3:18" ht="17.399999999999999">
      <c r="C44" t="s">
        <v>133</v>
      </c>
      <c r="E44">
        <v>2.7</v>
      </c>
      <c r="F44">
        <f t="shared" si="3"/>
        <v>0.81</v>
      </c>
      <c r="H44" s="188" t="s">
        <v>453</v>
      </c>
      <c r="I44" s="188"/>
      <c r="J44" s="169"/>
      <c r="K44" s="78">
        <f>$K34*$I34/223</f>
        <v>1.883408071748879</v>
      </c>
      <c r="L44" s="78">
        <f t="shared" ref="L44:L49" si="4">$L34*$I34/245</f>
        <v>0.19591836734693877</v>
      </c>
      <c r="M44" s="78">
        <f t="shared" ref="M44:M49" si="5">$M34*$I34/245</f>
        <v>22.530612244897959</v>
      </c>
      <c r="N44" s="78">
        <f t="shared" ref="N44:N49" si="6">$N34*$I34/245</f>
        <v>0.88163265306122451</v>
      </c>
      <c r="O44" s="78">
        <f t="shared" ref="O44:O49" si="7">O34*I34/245</f>
        <v>4.702040816326531</v>
      </c>
      <c r="P44" s="78">
        <f t="shared" ref="P44:P49" si="8">P34*I34/245</f>
        <v>0.73469387755102045</v>
      </c>
      <c r="Q44" s="3"/>
      <c r="R44" s="3"/>
    </row>
    <row r="45" spans="3:18" ht="17.399999999999999">
      <c r="C45" t="s">
        <v>120</v>
      </c>
      <c r="E45">
        <v>0.5</v>
      </c>
      <c r="F45">
        <f t="shared" si="3"/>
        <v>0.15</v>
      </c>
      <c r="H45" s="240" t="s">
        <v>436</v>
      </c>
      <c r="I45" s="241"/>
      <c r="J45" s="176"/>
      <c r="K45" s="78">
        <f t="shared" ref="K45:K49" si="9">$K35*$I35/223</f>
        <v>4.1704035874439462</v>
      </c>
      <c r="L45" s="78">
        <f t="shared" si="4"/>
        <v>2.9387755102040818</v>
      </c>
      <c r="M45" s="78">
        <f t="shared" si="5"/>
        <v>0.78367346938775506</v>
      </c>
      <c r="N45" s="78">
        <f t="shared" si="6"/>
        <v>0.57551020408163267</v>
      </c>
      <c r="O45" s="78">
        <f t="shared" si="7"/>
        <v>0.33061224489795921</v>
      </c>
      <c r="P45" s="78">
        <f t="shared" si="8"/>
        <v>6.1224489795918366E-2</v>
      </c>
      <c r="Q45" s="3"/>
      <c r="R45" s="3"/>
    </row>
    <row r="46" spans="3:18" ht="17.399999999999999">
      <c r="H46" s="240" t="s">
        <v>74</v>
      </c>
      <c r="I46" s="241"/>
      <c r="J46" s="176"/>
      <c r="K46" s="78">
        <f t="shared" si="9"/>
        <v>2.5650224215246635</v>
      </c>
      <c r="L46" s="78">
        <f t="shared" si="4"/>
        <v>1.0775510204081633</v>
      </c>
      <c r="M46" s="78">
        <f t="shared" si="5"/>
        <v>6.2857142857142848E-2</v>
      </c>
      <c r="N46" s="78">
        <f t="shared" si="6"/>
        <v>0</v>
      </c>
      <c r="O46" s="78">
        <f t="shared" si="7"/>
        <v>2.3346938775510204</v>
      </c>
      <c r="P46" s="78">
        <f t="shared" si="8"/>
        <v>0.10775510204081631</v>
      </c>
      <c r="Q46" s="3"/>
      <c r="R46" s="3"/>
    </row>
    <row r="47" spans="3:18" ht="17.399999999999999">
      <c r="H47" s="188"/>
      <c r="I47" s="188"/>
      <c r="J47" s="169"/>
      <c r="K47" s="78">
        <f t="shared" si="9"/>
        <v>0</v>
      </c>
      <c r="L47" s="78"/>
      <c r="M47" s="78"/>
      <c r="N47" s="78"/>
      <c r="O47" s="78"/>
      <c r="P47" s="78"/>
      <c r="Q47" s="3"/>
      <c r="R47" s="3"/>
    </row>
    <row r="48" spans="3:18" ht="17.399999999999999">
      <c r="C48" s="64" t="s">
        <v>414</v>
      </c>
      <c r="D48" s="93"/>
      <c r="E48" t="s">
        <v>212</v>
      </c>
      <c r="F48" t="s">
        <v>456</v>
      </c>
      <c r="H48" s="188"/>
      <c r="I48" s="188"/>
      <c r="J48" s="169"/>
      <c r="K48" s="78">
        <f t="shared" si="9"/>
        <v>0</v>
      </c>
      <c r="L48" s="78"/>
      <c r="M48" s="78"/>
      <c r="N48" s="78"/>
      <c r="O48" s="78"/>
      <c r="P48" s="78"/>
      <c r="Q48" s="3"/>
      <c r="R48" s="3"/>
    </row>
    <row r="49" spans="3:18" ht="17.399999999999999">
      <c r="C49" t="s">
        <v>142</v>
      </c>
      <c r="E49">
        <v>26</v>
      </c>
      <c r="F49" s="55">
        <f>$E49*22/100</f>
        <v>5.72</v>
      </c>
      <c r="H49" s="188" t="s">
        <v>440</v>
      </c>
      <c r="I49" s="188"/>
      <c r="J49" s="169"/>
      <c r="K49" s="78">
        <f t="shared" si="9"/>
        <v>0</v>
      </c>
      <c r="L49" s="78">
        <f t="shared" si="4"/>
        <v>0</v>
      </c>
      <c r="M49" s="78">
        <f t="shared" si="5"/>
        <v>0</v>
      </c>
      <c r="N49" s="78">
        <f t="shared" si="6"/>
        <v>0</v>
      </c>
      <c r="O49" s="78">
        <f t="shared" si="7"/>
        <v>0</v>
      </c>
      <c r="P49" s="78">
        <f t="shared" si="8"/>
        <v>0</v>
      </c>
      <c r="Q49" s="3"/>
      <c r="R49" s="3"/>
    </row>
    <row r="50" spans="3:18" ht="31.5" customHeight="1">
      <c r="C50" t="s">
        <v>119</v>
      </c>
      <c r="E50">
        <v>12</v>
      </c>
      <c r="F50" s="55">
        <f t="shared" ref="F50:F54" si="10">$E50*22/100</f>
        <v>2.64</v>
      </c>
      <c r="H50" s="189" t="s">
        <v>234</v>
      </c>
      <c r="I50" s="190"/>
      <c r="J50" s="170"/>
      <c r="K50" s="85">
        <f t="shared" ref="K50:P50" si="11">SUM(K44:K49)</f>
        <v>8.6188340807174892</v>
      </c>
      <c r="L50" s="84">
        <f t="shared" si="11"/>
        <v>4.2122448979591844</v>
      </c>
      <c r="M50" s="85">
        <f t="shared" si="11"/>
        <v>23.377142857142857</v>
      </c>
      <c r="N50" s="84">
        <f t="shared" si="11"/>
        <v>1.4571428571428573</v>
      </c>
      <c r="O50" s="84">
        <f t="shared" si="11"/>
        <v>7.3673469387755102</v>
      </c>
      <c r="P50" s="84">
        <f t="shared" si="11"/>
        <v>0.90367346938775506</v>
      </c>
      <c r="Q50" s="85">
        <f>17*O50+37*K50+17*M50</f>
        <v>841.55318751715936</v>
      </c>
      <c r="R50" s="85">
        <f>4*O50+9*K50+4*M50</f>
        <v>200.54746591013088</v>
      </c>
    </row>
    <row r="51" spans="3:18">
      <c r="C51" t="s">
        <v>118</v>
      </c>
      <c r="E51">
        <v>0.7</v>
      </c>
      <c r="F51" s="55">
        <f t="shared" si="10"/>
        <v>0.154</v>
      </c>
    </row>
    <row r="52" spans="3:18">
      <c r="C52" t="s">
        <v>143</v>
      </c>
      <c r="E52">
        <v>0</v>
      </c>
      <c r="F52" s="55">
        <f t="shared" si="10"/>
        <v>0</v>
      </c>
    </row>
    <row r="53" spans="3:18">
      <c r="C53" t="s">
        <v>133</v>
      </c>
      <c r="E53">
        <v>26</v>
      </c>
      <c r="F53" s="55">
        <f t="shared" si="10"/>
        <v>5.72</v>
      </c>
    </row>
    <row r="54" spans="3:18">
      <c r="C54" t="s">
        <v>120</v>
      </c>
      <c r="E54">
        <v>1.2</v>
      </c>
      <c r="F54" s="55">
        <f t="shared" si="10"/>
        <v>0.26400000000000001</v>
      </c>
    </row>
    <row r="57" spans="3:18">
      <c r="C57" s="92" t="s">
        <v>256</v>
      </c>
      <c r="D57" s="93"/>
      <c r="E57" t="s">
        <v>212</v>
      </c>
      <c r="F57" t="s">
        <v>458</v>
      </c>
    </row>
    <row r="58" spans="3:18">
      <c r="C58" t="s">
        <v>142</v>
      </c>
      <c r="E58">
        <v>3.7</v>
      </c>
      <c r="F58">
        <f>$E58*28/100</f>
        <v>1.036</v>
      </c>
    </row>
    <row r="59" spans="3:18">
      <c r="C59" t="s">
        <v>119</v>
      </c>
      <c r="E59">
        <v>1.2</v>
      </c>
      <c r="F59">
        <f t="shared" ref="F59:F63" si="12">$E59*28/100</f>
        <v>0.33600000000000002</v>
      </c>
    </row>
    <row r="60" spans="3:18">
      <c r="C60" t="s">
        <v>118</v>
      </c>
      <c r="E60">
        <v>2</v>
      </c>
      <c r="F60">
        <f t="shared" si="12"/>
        <v>0.56000000000000005</v>
      </c>
    </row>
    <row r="61" spans="3:18">
      <c r="C61" t="s">
        <v>143</v>
      </c>
      <c r="E61">
        <v>0.9</v>
      </c>
      <c r="F61">
        <f t="shared" si="12"/>
        <v>0.252</v>
      </c>
    </row>
    <row r="62" spans="3:18">
      <c r="C62" t="s">
        <v>133</v>
      </c>
      <c r="E62">
        <v>13.8</v>
      </c>
      <c r="F62">
        <f t="shared" si="12"/>
        <v>3.8640000000000003</v>
      </c>
    </row>
    <row r="63" spans="3:18">
      <c r="C63" t="s">
        <v>120</v>
      </c>
      <c r="E63">
        <v>2.1</v>
      </c>
      <c r="F63">
        <f t="shared" si="12"/>
        <v>0.58800000000000008</v>
      </c>
    </row>
    <row r="66" spans="3:6">
      <c r="C66" s="64" t="s">
        <v>459</v>
      </c>
      <c r="D66" s="93"/>
      <c r="E66" t="s">
        <v>212</v>
      </c>
      <c r="F66" t="s">
        <v>460</v>
      </c>
    </row>
    <row r="67" spans="3:6">
      <c r="C67" t="s">
        <v>142</v>
      </c>
      <c r="E67">
        <v>0.2</v>
      </c>
      <c r="F67">
        <f>$E67*20/100</f>
        <v>0.04</v>
      </c>
    </row>
    <row r="68" spans="3:6">
      <c r="C68" t="s">
        <v>119</v>
      </c>
      <c r="E68">
        <v>0</v>
      </c>
      <c r="F68">
        <f t="shared" ref="F68:F72" si="13">$E68*20/100</f>
        <v>0</v>
      </c>
    </row>
    <row r="69" spans="3:6">
      <c r="C69" t="s">
        <v>118</v>
      </c>
      <c r="E69">
        <v>6.1</v>
      </c>
      <c r="F69">
        <f t="shared" si="13"/>
        <v>1.22</v>
      </c>
    </row>
    <row r="70" spans="3:6">
      <c r="C70" t="s">
        <v>143</v>
      </c>
      <c r="E70">
        <v>4.8</v>
      </c>
      <c r="F70">
        <f t="shared" si="13"/>
        <v>0.96</v>
      </c>
    </row>
    <row r="71" spans="3:6">
      <c r="C71" t="s">
        <v>133</v>
      </c>
      <c r="E71">
        <v>0.8</v>
      </c>
      <c r="F71">
        <f t="shared" si="13"/>
        <v>0.16</v>
      </c>
    </row>
    <row r="72" spans="3:6">
      <c r="C72" t="s">
        <v>120</v>
      </c>
      <c r="E72">
        <v>1</v>
      </c>
      <c r="F72">
        <f t="shared" si="13"/>
        <v>0.2</v>
      </c>
    </row>
    <row r="75" spans="3:6">
      <c r="C75" s="64"/>
      <c r="D75" s="93"/>
    </row>
    <row r="76" spans="3:6">
      <c r="F76" s="55"/>
    </row>
    <row r="77" spans="3:6">
      <c r="F77" s="55"/>
    </row>
    <row r="78" spans="3:6">
      <c r="F78" s="55"/>
    </row>
    <row r="79" spans="3:6">
      <c r="F79" s="55"/>
    </row>
    <row r="80" spans="3:6">
      <c r="F80" s="55"/>
    </row>
    <row r="81" spans="1:17">
      <c r="F81" s="55"/>
    </row>
    <row r="91" spans="1:17">
      <c r="A91" s="3"/>
      <c r="B91" s="179" t="s">
        <v>462</v>
      </c>
      <c r="C91" s="179" t="s">
        <v>142</v>
      </c>
      <c r="D91" s="179" t="s">
        <v>119</v>
      </c>
      <c r="E91" s="179" t="s">
        <v>118</v>
      </c>
      <c r="F91" s="179" t="s">
        <v>143</v>
      </c>
      <c r="G91" s="179" t="s">
        <v>133</v>
      </c>
      <c r="H91" s="179" t="s">
        <v>120</v>
      </c>
      <c r="J91" s="183" t="s">
        <v>470</v>
      </c>
      <c r="K91" s="183" t="s">
        <v>462</v>
      </c>
      <c r="L91" s="183" t="s">
        <v>142</v>
      </c>
      <c r="M91" s="183" t="s">
        <v>119</v>
      </c>
      <c r="N91" s="183" t="s">
        <v>118</v>
      </c>
      <c r="O91" s="183" t="s">
        <v>143</v>
      </c>
      <c r="P91" s="183" t="s">
        <v>133</v>
      </c>
      <c r="Q91" s="183" t="s">
        <v>120</v>
      </c>
    </row>
    <row r="92" spans="1:17">
      <c r="A92" s="180" t="s">
        <v>463</v>
      </c>
      <c r="B92" s="184" t="s">
        <v>212</v>
      </c>
      <c r="C92" s="184">
        <v>3.5</v>
      </c>
      <c r="D92" s="184">
        <v>0.4</v>
      </c>
      <c r="E92" s="184">
        <v>46</v>
      </c>
      <c r="F92" s="184">
        <v>1.8</v>
      </c>
      <c r="G92" s="184">
        <v>9.6</v>
      </c>
      <c r="H92" s="184">
        <v>1.5</v>
      </c>
      <c r="J92" s="184" t="s">
        <v>471</v>
      </c>
      <c r="K92" s="184">
        <v>120</v>
      </c>
      <c r="L92" s="184">
        <f t="shared" ref="L92:Q92" si="14">120*C92/100</f>
        <v>4.2</v>
      </c>
      <c r="M92" s="184">
        <f t="shared" si="14"/>
        <v>0.48</v>
      </c>
      <c r="N92" s="184">
        <f t="shared" si="14"/>
        <v>55.2</v>
      </c>
      <c r="O92" s="184">
        <f t="shared" si="14"/>
        <v>2.16</v>
      </c>
      <c r="P92" s="184">
        <f t="shared" si="14"/>
        <v>11.52</v>
      </c>
      <c r="Q92" s="184">
        <f t="shared" si="14"/>
        <v>1.8</v>
      </c>
    </row>
    <row r="93" spans="1:17">
      <c r="A93" s="3"/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</row>
    <row r="94" spans="1:17">
      <c r="A94" s="181" t="s">
        <v>464</v>
      </c>
      <c r="B94" s="184" t="s">
        <v>212</v>
      </c>
      <c r="C94" s="184">
        <v>31</v>
      </c>
      <c r="D94" s="184">
        <v>24</v>
      </c>
      <c r="E94" s="184">
        <v>6.4</v>
      </c>
      <c r="F94" s="184">
        <v>4.7</v>
      </c>
      <c r="G94" s="184">
        <v>2.7</v>
      </c>
      <c r="H94" s="184">
        <v>0.5</v>
      </c>
      <c r="J94" s="184" t="s">
        <v>472</v>
      </c>
      <c r="K94" s="184">
        <v>30</v>
      </c>
      <c r="L94" s="184">
        <f t="shared" ref="L94:Q94" si="15">30*C94/100</f>
        <v>9.3000000000000007</v>
      </c>
      <c r="M94" s="184">
        <f t="shared" si="15"/>
        <v>7.2</v>
      </c>
      <c r="N94" s="184">
        <f t="shared" si="15"/>
        <v>1.92</v>
      </c>
      <c r="O94" s="184">
        <f t="shared" si="15"/>
        <v>1.41</v>
      </c>
      <c r="P94" s="184">
        <f t="shared" si="15"/>
        <v>0.81</v>
      </c>
      <c r="Q94" s="184">
        <f t="shared" si="15"/>
        <v>0.15</v>
      </c>
    </row>
    <row r="95" spans="1:17">
      <c r="A95" s="3"/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</row>
    <row r="96" spans="1:17">
      <c r="A96" s="180" t="s">
        <v>465</v>
      </c>
      <c r="B96" s="184" t="s">
        <v>212</v>
      </c>
      <c r="C96" s="184">
        <v>26</v>
      </c>
      <c r="D96" s="184">
        <v>12</v>
      </c>
      <c r="E96" s="184">
        <v>0.7</v>
      </c>
      <c r="F96" s="184">
        <v>0</v>
      </c>
      <c r="G96" s="184">
        <v>26</v>
      </c>
      <c r="H96" s="184">
        <v>1.2</v>
      </c>
      <c r="J96" s="184" t="s">
        <v>473</v>
      </c>
      <c r="K96" s="184">
        <v>22</v>
      </c>
      <c r="L96" s="184">
        <f t="shared" ref="L96:Q96" si="16">22*C96/100</f>
        <v>5.72</v>
      </c>
      <c r="M96" s="184">
        <f t="shared" si="16"/>
        <v>2.64</v>
      </c>
      <c r="N96" s="184">
        <f t="shared" si="16"/>
        <v>0.154</v>
      </c>
      <c r="O96" s="184">
        <f t="shared" si="16"/>
        <v>0</v>
      </c>
      <c r="P96" s="184">
        <f t="shared" si="16"/>
        <v>5.72</v>
      </c>
      <c r="Q96" s="184">
        <f t="shared" si="16"/>
        <v>0.26400000000000001</v>
      </c>
    </row>
    <row r="97" spans="1:17">
      <c r="A97" s="3"/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</row>
    <row r="98" spans="1:17">
      <c r="A98" s="182" t="s">
        <v>268</v>
      </c>
      <c r="B98" s="184" t="s">
        <v>212</v>
      </c>
      <c r="C98" s="184">
        <v>3.7</v>
      </c>
      <c r="D98" s="184">
        <v>1.2</v>
      </c>
      <c r="E98" s="184">
        <v>2</v>
      </c>
      <c r="F98" s="184">
        <v>0.9</v>
      </c>
      <c r="G98" s="184">
        <v>13.8</v>
      </c>
      <c r="H98" s="184">
        <v>2.1</v>
      </c>
      <c r="J98" s="184" t="s">
        <v>474</v>
      </c>
      <c r="K98" s="184">
        <v>28</v>
      </c>
      <c r="L98" s="184">
        <f t="shared" ref="L98:Q98" si="17">28*C98/100</f>
        <v>1.036</v>
      </c>
      <c r="M98" s="184">
        <f t="shared" si="17"/>
        <v>0.33600000000000002</v>
      </c>
      <c r="N98" s="184">
        <f t="shared" si="17"/>
        <v>0.56000000000000005</v>
      </c>
      <c r="O98" s="184">
        <f t="shared" si="17"/>
        <v>0.252</v>
      </c>
      <c r="P98" s="184">
        <f t="shared" si="17"/>
        <v>3.8640000000000003</v>
      </c>
      <c r="Q98" s="184">
        <f t="shared" si="17"/>
        <v>0.58800000000000008</v>
      </c>
    </row>
    <row r="99" spans="1:17">
      <c r="A99" s="3"/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</row>
    <row r="100" spans="1:17">
      <c r="A100" s="180" t="s">
        <v>466</v>
      </c>
      <c r="B100" s="184" t="s">
        <v>212</v>
      </c>
      <c r="C100" s="184">
        <v>0.2</v>
      </c>
      <c r="D100" s="184">
        <v>0</v>
      </c>
      <c r="E100" s="184">
        <v>6.1</v>
      </c>
      <c r="F100" s="184">
        <v>4.8</v>
      </c>
      <c r="G100" s="184">
        <v>0.8</v>
      </c>
      <c r="H100" s="184">
        <v>1</v>
      </c>
      <c r="J100" s="184" t="s">
        <v>475</v>
      </c>
      <c r="K100" s="184">
        <v>20</v>
      </c>
      <c r="L100" s="184">
        <f t="shared" ref="L100:Q100" si="18">20*C100/100</f>
        <v>0.04</v>
      </c>
      <c r="M100" s="184">
        <f t="shared" si="18"/>
        <v>0</v>
      </c>
      <c r="N100" s="184">
        <f t="shared" si="18"/>
        <v>1.22</v>
      </c>
      <c r="O100" s="184">
        <f t="shared" si="18"/>
        <v>0.96</v>
      </c>
      <c r="P100" s="184">
        <f t="shared" si="18"/>
        <v>0.16</v>
      </c>
      <c r="Q100" s="184">
        <f t="shared" si="18"/>
        <v>0.2</v>
      </c>
    </row>
    <row r="103" spans="1:17">
      <c r="K103" s="185" t="s">
        <v>469</v>
      </c>
      <c r="L103">
        <f>SUM(K92:K100)</f>
        <v>220</v>
      </c>
    </row>
    <row r="104" spans="1:17">
      <c r="K104" s="185" t="s">
        <v>467</v>
      </c>
      <c r="L104">
        <f t="shared" ref="L104:Q104" si="19">SUM(L92:L100)</f>
        <v>20.295999999999999</v>
      </c>
      <c r="M104">
        <f t="shared" si="19"/>
        <v>10.656000000000001</v>
      </c>
      <c r="N104">
        <f t="shared" si="19"/>
        <v>59.054000000000009</v>
      </c>
      <c r="O104">
        <f t="shared" si="19"/>
        <v>4.782</v>
      </c>
      <c r="P104">
        <f t="shared" si="19"/>
        <v>22.074000000000002</v>
      </c>
      <c r="Q104">
        <f t="shared" si="19"/>
        <v>3.0020000000000002</v>
      </c>
    </row>
    <row r="105" spans="1:17">
      <c r="K105" s="185" t="s">
        <v>468</v>
      </c>
      <c r="L105">
        <f>100*L104/220</f>
        <v>9.2254545454545447</v>
      </c>
      <c r="M105">
        <f t="shared" ref="M105:Q105" si="20">100*M104/220</f>
        <v>4.8436363636363646</v>
      </c>
      <c r="N105">
        <f t="shared" si="20"/>
        <v>26.842727272727274</v>
      </c>
      <c r="O105">
        <f t="shared" si="20"/>
        <v>2.1736363636363634</v>
      </c>
      <c r="P105">
        <f t="shared" si="20"/>
        <v>10.033636363636363</v>
      </c>
      <c r="Q105">
        <f t="shared" si="20"/>
        <v>1.3645454545454547</v>
      </c>
    </row>
    <row r="107" spans="1:17">
      <c r="K107" s="185" t="s">
        <v>476</v>
      </c>
      <c r="L107">
        <f>17*P105+37*L105+17*N105</f>
        <v>968.24</v>
      </c>
    </row>
  </sheetData>
  <mergeCells count="14">
    <mergeCell ref="A1:H1"/>
    <mergeCell ref="K30:P30"/>
    <mergeCell ref="H31:H33"/>
    <mergeCell ref="I31:I32"/>
    <mergeCell ref="H41:H43"/>
    <mergeCell ref="I41:I43"/>
    <mergeCell ref="H49:I49"/>
    <mergeCell ref="H50:I50"/>
    <mergeCell ref="Q41:R41"/>
    <mergeCell ref="H44:I44"/>
    <mergeCell ref="H45:I45"/>
    <mergeCell ref="H46:I46"/>
    <mergeCell ref="H47:I47"/>
    <mergeCell ref="H48:I4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6:S34"/>
  <sheetViews>
    <sheetView topLeftCell="A13" zoomScale="85" zoomScaleNormal="85" workbookViewId="0">
      <selection activeCell="I34" sqref="I34"/>
    </sheetView>
  </sheetViews>
  <sheetFormatPr defaultRowHeight="15.6"/>
  <cols>
    <col min="3" max="3" width="15.59765625" customWidth="1"/>
  </cols>
  <sheetData>
    <row r="6" spans="2:19">
      <c r="L6" s="260" t="s">
        <v>494</v>
      </c>
      <c r="M6" s="260">
        <v>200</v>
      </c>
    </row>
    <row r="9" spans="2:19">
      <c r="B9" s="179" t="s">
        <v>479</v>
      </c>
      <c r="C9" s="179" t="s">
        <v>480</v>
      </c>
      <c r="D9" s="179" t="s">
        <v>462</v>
      </c>
      <c r="E9" s="179" t="s">
        <v>142</v>
      </c>
      <c r="F9" s="179" t="s">
        <v>119</v>
      </c>
      <c r="G9" s="179" t="s">
        <v>118</v>
      </c>
      <c r="H9" s="179" t="s">
        <v>143</v>
      </c>
      <c r="I9" s="179" t="s">
        <v>133</v>
      </c>
      <c r="J9" s="179" t="s">
        <v>120</v>
      </c>
      <c r="L9" s="183" t="s">
        <v>470</v>
      </c>
      <c r="M9" s="260" t="s">
        <v>462</v>
      </c>
      <c r="N9" s="183" t="s">
        <v>142</v>
      </c>
      <c r="O9" s="183" t="s">
        <v>119</v>
      </c>
      <c r="P9" s="183" t="s">
        <v>118</v>
      </c>
      <c r="Q9" s="183" t="s">
        <v>143</v>
      </c>
      <c r="R9" s="183" t="s">
        <v>133</v>
      </c>
      <c r="S9" s="183" t="s">
        <v>120</v>
      </c>
    </row>
    <row r="10" spans="2:19">
      <c r="B10" s="258">
        <v>146</v>
      </c>
      <c r="C10" s="180" t="s">
        <v>478</v>
      </c>
      <c r="D10" s="184" t="s">
        <v>212</v>
      </c>
      <c r="E10" s="184">
        <v>1.7</v>
      </c>
      <c r="F10" s="184">
        <v>0.22</v>
      </c>
      <c r="G10" s="184">
        <v>68.900000000000006</v>
      </c>
      <c r="H10" s="184">
        <v>1.1000000000000001</v>
      </c>
      <c r="I10" s="184">
        <v>11.9</v>
      </c>
      <c r="J10" s="184">
        <v>0</v>
      </c>
      <c r="L10" s="184" t="s">
        <v>471</v>
      </c>
      <c r="M10" s="184">
        <v>20</v>
      </c>
      <c r="N10" s="184">
        <f>X*E10/const</f>
        <v>0.17</v>
      </c>
      <c r="O10" s="184">
        <f>X*F10/const</f>
        <v>2.2000000000000002E-2</v>
      </c>
      <c r="P10" s="184">
        <f>X*G10/const</f>
        <v>6.89</v>
      </c>
      <c r="Q10" s="184">
        <f>X*H10/const</f>
        <v>0.11</v>
      </c>
      <c r="R10" s="184">
        <f>X*I10/const</f>
        <v>1.19</v>
      </c>
      <c r="S10" s="184">
        <f>X*J10/const</f>
        <v>0</v>
      </c>
    </row>
    <row r="11" spans="2:19">
      <c r="B11" s="178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2:19">
      <c r="B12" s="258">
        <v>230</v>
      </c>
      <c r="C12" s="181" t="s">
        <v>477</v>
      </c>
      <c r="D12" s="184" t="s">
        <v>212</v>
      </c>
      <c r="E12" s="184">
        <v>1.2</v>
      </c>
      <c r="F12" s="184">
        <v>0.38</v>
      </c>
      <c r="G12" s="184">
        <v>0</v>
      </c>
      <c r="H12" s="184">
        <v>0</v>
      </c>
      <c r="I12" s="184">
        <v>22.8</v>
      </c>
      <c r="J12" s="184">
        <v>0.13</v>
      </c>
      <c r="L12" s="184" t="s">
        <v>472</v>
      </c>
      <c r="M12" s="184">
        <v>100</v>
      </c>
      <c r="N12" s="184">
        <f>Y*E12/const</f>
        <v>0.6</v>
      </c>
      <c r="O12" s="184">
        <f>Y*F12/const</f>
        <v>0.19</v>
      </c>
      <c r="P12" s="184">
        <f>Y*G12/const</f>
        <v>0</v>
      </c>
      <c r="Q12" s="184">
        <f>Y*H12/const</f>
        <v>0</v>
      </c>
      <c r="R12" s="184">
        <f>Y*I12/const</f>
        <v>11.4</v>
      </c>
      <c r="S12" s="184">
        <f>Y*J12/const</f>
        <v>6.5000000000000002E-2</v>
      </c>
    </row>
    <row r="13" spans="2:19">
      <c r="B13" s="178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</row>
    <row r="14" spans="2:19">
      <c r="B14" s="258">
        <v>80</v>
      </c>
      <c r="C14" s="180" t="s">
        <v>481</v>
      </c>
      <c r="D14" s="184" t="s">
        <v>212</v>
      </c>
      <c r="E14" s="184">
        <v>25.2</v>
      </c>
      <c r="F14" s="184">
        <v>6.71</v>
      </c>
      <c r="G14" s="184">
        <v>1.7</v>
      </c>
      <c r="H14" s="184">
        <v>0.3</v>
      </c>
      <c r="I14" s="184">
        <v>15</v>
      </c>
      <c r="J14" s="184">
        <v>0.14000000000000001</v>
      </c>
      <c r="L14" s="184" t="s">
        <v>473</v>
      </c>
      <c r="M14" s="184">
        <v>25</v>
      </c>
      <c r="N14" s="184">
        <f>Z*E14/const</f>
        <v>3.15</v>
      </c>
      <c r="O14" s="184">
        <f>Z*F14/const</f>
        <v>0.83875</v>
      </c>
      <c r="P14" s="184">
        <f>Z*G14/const</f>
        <v>0.21249999999999999</v>
      </c>
      <c r="Q14" s="184">
        <f>Z*H14/const</f>
        <v>3.7499999999999999E-2</v>
      </c>
      <c r="R14" s="184">
        <f>Z*I14/const</f>
        <v>1.875</v>
      </c>
      <c r="S14" s="184">
        <f>Z*J14/const</f>
        <v>1.7500000000000002E-2</v>
      </c>
    </row>
    <row r="15" spans="2:19">
      <c r="B15" s="178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</row>
    <row r="16" spans="2:19">
      <c r="B16" s="259" t="s">
        <v>484</v>
      </c>
      <c r="C16" s="182" t="s">
        <v>482</v>
      </c>
      <c r="D16" s="184" t="s">
        <v>212</v>
      </c>
      <c r="E16" s="184">
        <v>5</v>
      </c>
      <c r="F16" s="184">
        <v>1.2</v>
      </c>
      <c r="G16" s="184">
        <v>72</v>
      </c>
      <c r="H16" s="184">
        <v>6</v>
      </c>
      <c r="I16" s="184">
        <v>13</v>
      </c>
      <c r="J16" s="184">
        <v>0</v>
      </c>
      <c r="L16" s="184" t="s">
        <v>474</v>
      </c>
      <c r="M16" s="184">
        <v>30</v>
      </c>
      <c r="N16" s="184">
        <f>J*E16/const</f>
        <v>0.75</v>
      </c>
      <c r="O16" s="184">
        <f>J*F16/const</f>
        <v>0.18</v>
      </c>
      <c r="P16" s="184">
        <f>J*G16/const</f>
        <v>10.8</v>
      </c>
      <c r="Q16" s="184">
        <f>J*H16/const</f>
        <v>0.9</v>
      </c>
      <c r="R16" s="184">
        <f>J*I16/const</f>
        <v>1.95</v>
      </c>
      <c r="S16" s="184">
        <f>J*J16/const</f>
        <v>0</v>
      </c>
    </row>
    <row r="17" spans="2:19">
      <c r="B17" s="178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</row>
    <row r="18" spans="2:19">
      <c r="B18" s="258">
        <v>86</v>
      </c>
      <c r="C18" s="180" t="s">
        <v>483</v>
      </c>
      <c r="D18" s="184" t="s">
        <v>212</v>
      </c>
      <c r="E18" s="184">
        <v>100</v>
      </c>
      <c r="F18" s="184">
        <v>10.199999999999999</v>
      </c>
      <c r="G18" s="184">
        <v>0</v>
      </c>
      <c r="H18" s="184">
        <v>0</v>
      </c>
      <c r="I18" s="184">
        <v>0</v>
      </c>
      <c r="J18" s="184">
        <v>0</v>
      </c>
      <c r="L18" s="184" t="s">
        <v>475</v>
      </c>
      <c r="M18" s="184">
        <v>30</v>
      </c>
      <c r="N18" s="184">
        <f>K*E18/const</f>
        <v>15</v>
      </c>
      <c r="O18" s="184">
        <f>K*F18/const</f>
        <v>1.53</v>
      </c>
      <c r="P18" s="184">
        <f>K*G18/const</f>
        <v>0</v>
      </c>
      <c r="Q18" s="184">
        <f>K*H18/const</f>
        <v>0</v>
      </c>
      <c r="R18" s="184">
        <f>K*I18/const</f>
        <v>0</v>
      </c>
      <c r="S18" s="184">
        <f>K*J18/const</f>
        <v>0</v>
      </c>
    </row>
    <row r="19" spans="2:19">
      <c r="B19" s="3"/>
      <c r="C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</row>
    <row r="20" spans="2:19">
      <c r="B20" s="258">
        <v>249</v>
      </c>
      <c r="C20" s="180" t="s">
        <v>485</v>
      </c>
      <c r="D20" s="184" t="s">
        <v>212</v>
      </c>
      <c r="E20" s="184">
        <v>0</v>
      </c>
      <c r="F20" s="184">
        <v>0</v>
      </c>
      <c r="G20" s="184">
        <v>0</v>
      </c>
      <c r="H20" s="184">
        <v>0</v>
      </c>
      <c r="I20" s="184">
        <v>0</v>
      </c>
      <c r="J20" s="184">
        <v>97.1</v>
      </c>
      <c r="L20" s="184" t="s">
        <v>489</v>
      </c>
      <c r="M20" s="184">
        <v>0.6</v>
      </c>
      <c r="N20" s="184">
        <f>W*E20/const</f>
        <v>0</v>
      </c>
      <c r="O20" s="184">
        <f>W*F20/const</f>
        <v>0</v>
      </c>
      <c r="P20" s="184">
        <f>W*G20/const</f>
        <v>0</v>
      </c>
      <c r="Q20" s="184">
        <f>W*H20/const</f>
        <v>0</v>
      </c>
      <c r="R20" s="184">
        <f>W*I20/const</f>
        <v>0</v>
      </c>
      <c r="S20" s="184">
        <f>W*J20/const</f>
        <v>0.29129999999999995</v>
      </c>
    </row>
    <row r="21" spans="2:19">
      <c r="B21" s="3"/>
      <c r="C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</row>
    <row r="22" spans="2:19">
      <c r="B22" s="258">
        <v>254</v>
      </c>
      <c r="C22" s="180" t="s">
        <v>486</v>
      </c>
      <c r="D22" s="184" t="s">
        <v>212</v>
      </c>
      <c r="E22" s="184">
        <v>7</v>
      </c>
      <c r="F22" s="184">
        <v>0</v>
      </c>
      <c r="G22" s="184">
        <v>53.2</v>
      </c>
      <c r="H22" s="184">
        <v>0</v>
      </c>
      <c r="I22" s="184">
        <v>5.6</v>
      </c>
      <c r="J22" s="184">
        <v>0.2</v>
      </c>
      <c r="L22" s="184" t="s">
        <v>490</v>
      </c>
      <c r="M22" s="184">
        <v>0.2</v>
      </c>
      <c r="N22" s="184">
        <f>M*E22/const</f>
        <v>7.000000000000001E-3</v>
      </c>
      <c r="O22" s="184">
        <f>M*F22/const</f>
        <v>0</v>
      </c>
      <c r="P22" s="184">
        <f>M*G22/const</f>
        <v>5.3200000000000004E-2</v>
      </c>
      <c r="Q22" s="184">
        <f>M*H22/const</f>
        <v>0</v>
      </c>
      <c r="R22" s="184">
        <f>M*I22/const</f>
        <v>5.5999999999999991E-3</v>
      </c>
      <c r="S22" s="184">
        <f>M*J22/const</f>
        <v>2.0000000000000004E-4</v>
      </c>
    </row>
    <row r="23" spans="2:19">
      <c r="B23" s="3"/>
      <c r="C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</row>
    <row r="24" spans="2:19">
      <c r="B24" s="258">
        <v>194</v>
      </c>
      <c r="C24" s="180" t="s">
        <v>487</v>
      </c>
      <c r="D24" s="184" t="s">
        <v>212</v>
      </c>
      <c r="E24" s="184">
        <v>0.3</v>
      </c>
      <c r="F24" s="184">
        <v>0</v>
      </c>
      <c r="G24" s="184">
        <v>15.6</v>
      </c>
      <c r="H24" s="184">
        <v>0</v>
      </c>
      <c r="I24" s="184">
        <v>2.4</v>
      </c>
      <c r="J24" s="184">
        <v>0</v>
      </c>
      <c r="L24" s="184" t="s">
        <v>491</v>
      </c>
      <c r="M24" s="184">
        <v>250</v>
      </c>
      <c r="N24" s="184">
        <f>N*E24/const</f>
        <v>0.375</v>
      </c>
      <c r="O24" s="184">
        <f>N*F24/const</f>
        <v>0</v>
      </c>
      <c r="P24" s="184">
        <f>N*G24/const</f>
        <v>19.5</v>
      </c>
      <c r="Q24" s="184">
        <f>N*H24/const</f>
        <v>0</v>
      </c>
      <c r="R24" s="184">
        <f>N*I24/const</f>
        <v>3</v>
      </c>
      <c r="S24" s="184">
        <f>N*J24/const</f>
        <v>0</v>
      </c>
    </row>
    <row r="25" spans="2:19">
      <c r="B25" s="3"/>
      <c r="C25" s="3"/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</row>
    <row r="26" spans="2:19">
      <c r="B26" s="258">
        <v>68</v>
      </c>
      <c r="C26" s="180" t="s">
        <v>488</v>
      </c>
      <c r="D26" s="184" t="s">
        <v>212</v>
      </c>
      <c r="E26" s="184">
        <v>0.42</v>
      </c>
      <c r="F26" s="184">
        <v>0</v>
      </c>
      <c r="G26" s="184">
        <v>6.1</v>
      </c>
      <c r="H26" s="184">
        <v>0</v>
      </c>
      <c r="I26" s="184">
        <v>4.3</v>
      </c>
      <c r="J26" s="184">
        <v>0.1</v>
      </c>
      <c r="L26" s="184" t="s">
        <v>492</v>
      </c>
      <c r="M26" s="184">
        <v>0.1</v>
      </c>
      <c r="N26" s="184">
        <f>U*E26/const</f>
        <v>2.1000000000000001E-4</v>
      </c>
      <c r="O26" s="184">
        <f>U*F26/const</f>
        <v>0</v>
      </c>
      <c r="P26" s="184">
        <f>U*G26/const</f>
        <v>3.0499999999999998E-3</v>
      </c>
      <c r="Q26" s="184">
        <f>U*H26/const</f>
        <v>0</v>
      </c>
      <c r="R26" s="184">
        <f>U*I26/const</f>
        <v>2.15E-3</v>
      </c>
      <c r="S26" s="184">
        <f>U*J26/const</f>
        <v>5.0000000000000009E-5</v>
      </c>
    </row>
    <row r="31" spans="2:19">
      <c r="M31" s="183" t="s">
        <v>493</v>
      </c>
      <c r="N31" s="3">
        <f>SUM(M10:M26)</f>
        <v>455.9</v>
      </c>
      <c r="O31" s="3"/>
      <c r="P31" s="3"/>
      <c r="Q31" s="3"/>
      <c r="R31" s="3"/>
      <c r="S31" s="3"/>
    </row>
    <row r="32" spans="2:19">
      <c r="M32" s="183" t="s">
        <v>467</v>
      </c>
      <c r="N32" s="85">
        <f>SUM(N10:N26)</f>
        <v>20.052210000000002</v>
      </c>
      <c r="O32" s="84">
        <f>SUM(O10:O26)</f>
        <v>2.7607499999999998</v>
      </c>
      <c r="P32" s="85">
        <f>SUM(P10:P26)</f>
        <v>37.458750000000002</v>
      </c>
      <c r="Q32" s="84">
        <f>SUM(Q10:Q26)</f>
        <v>1.0475000000000001</v>
      </c>
      <c r="R32" s="84">
        <f>SUM(R10:R26)</f>
        <v>19.422750000000001</v>
      </c>
      <c r="S32" s="84">
        <f>SUM(S10:S26)</f>
        <v>0.37404999999999994</v>
      </c>
    </row>
    <row r="33" spans="13:19">
      <c r="M33" s="183" t="s">
        <v>476</v>
      </c>
      <c r="N33" s="85">
        <f>17*R32+37*N32+17*P32</f>
        <v>1708.9172700000004</v>
      </c>
      <c r="O33" s="3"/>
      <c r="P33" s="3"/>
      <c r="Q33" s="3"/>
      <c r="R33" s="3"/>
      <c r="S33" s="3"/>
    </row>
    <row r="34" spans="13:19">
      <c r="M34" s="183" t="s">
        <v>495</v>
      </c>
      <c r="N34" s="85">
        <f>4*R32+9*N32+4*P32</f>
        <v>407.99589000000003</v>
      </c>
      <c r="O34" s="3"/>
      <c r="P34" s="3"/>
      <c r="Q34" s="3"/>
      <c r="R34" s="3"/>
      <c r="S3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6:S34"/>
  <sheetViews>
    <sheetView topLeftCell="A13" zoomScale="85" zoomScaleNormal="85" workbookViewId="0">
      <selection activeCell="M37" sqref="M37"/>
    </sheetView>
  </sheetViews>
  <sheetFormatPr defaultRowHeight="15.6"/>
  <cols>
    <col min="3" max="3" width="15.59765625" customWidth="1"/>
  </cols>
  <sheetData>
    <row r="6" spans="1:19">
      <c r="L6" s="260" t="s">
        <v>494</v>
      </c>
      <c r="M6" s="260">
        <v>200</v>
      </c>
    </row>
    <row r="9" spans="1:19">
      <c r="B9" s="179" t="s">
        <v>479</v>
      </c>
      <c r="C9" s="179" t="s">
        <v>480</v>
      </c>
      <c r="D9" s="179" t="s">
        <v>462</v>
      </c>
      <c r="E9" s="179" t="s">
        <v>142</v>
      </c>
      <c r="F9" s="179" t="s">
        <v>119</v>
      </c>
      <c r="G9" s="179" t="s">
        <v>118</v>
      </c>
      <c r="H9" s="179" t="s">
        <v>143</v>
      </c>
      <c r="I9" s="179" t="s">
        <v>133</v>
      </c>
      <c r="J9" s="179" t="s">
        <v>120</v>
      </c>
      <c r="L9" s="183" t="s">
        <v>470</v>
      </c>
      <c r="M9" s="260" t="s">
        <v>462</v>
      </c>
      <c r="N9" s="183" t="s">
        <v>142</v>
      </c>
      <c r="O9" s="183" t="s">
        <v>119</v>
      </c>
      <c r="P9" s="183" t="s">
        <v>118</v>
      </c>
      <c r="Q9" s="183" t="s">
        <v>143</v>
      </c>
      <c r="R9" s="183" t="s">
        <v>133</v>
      </c>
      <c r="S9" s="183" t="s">
        <v>120</v>
      </c>
    </row>
    <row r="10" spans="1:19">
      <c r="B10" s="258">
        <v>69</v>
      </c>
      <c r="C10" s="180" t="s">
        <v>498</v>
      </c>
      <c r="D10" s="184" t="s">
        <v>212</v>
      </c>
      <c r="E10" s="184">
        <v>0.3</v>
      </c>
      <c r="F10" s="184">
        <v>0</v>
      </c>
      <c r="G10" s="184">
        <v>3.8</v>
      </c>
      <c r="H10" s="184"/>
      <c r="I10" s="184">
        <v>2.2000000000000002</v>
      </c>
      <c r="J10" s="184">
        <v>0</v>
      </c>
      <c r="L10" s="184" t="s">
        <v>471</v>
      </c>
      <c r="M10" s="184">
        <v>30</v>
      </c>
      <c r="N10" s="184">
        <f>X*E10/const</f>
        <v>4.4999999999999998E-2</v>
      </c>
      <c r="O10" s="184">
        <f>X*F10/const</f>
        <v>0</v>
      </c>
      <c r="P10" s="184">
        <f>X*G10/const</f>
        <v>0.56999999999999995</v>
      </c>
      <c r="Q10" s="184">
        <f>X*H10/const</f>
        <v>0</v>
      </c>
      <c r="R10" s="184">
        <f>X*I10/const</f>
        <v>0.33</v>
      </c>
      <c r="S10" s="184">
        <f>X*J10/const</f>
        <v>0</v>
      </c>
    </row>
    <row r="11" spans="1:19">
      <c r="B11" s="178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>
      <c r="A12" t="s">
        <v>108</v>
      </c>
      <c r="B12" s="258">
        <v>230</v>
      </c>
      <c r="C12" s="181" t="s">
        <v>477</v>
      </c>
      <c r="D12" s="184" t="s">
        <v>212</v>
      </c>
      <c r="E12" s="184">
        <v>1.2</v>
      </c>
      <c r="F12" s="184">
        <v>0.38</v>
      </c>
      <c r="G12" s="184">
        <v>0</v>
      </c>
      <c r="H12" s="184">
        <v>0</v>
      </c>
      <c r="I12" s="184">
        <v>22.8</v>
      </c>
      <c r="J12" s="184">
        <v>0.13</v>
      </c>
      <c r="L12" s="184" t="s">
        <v>472</v>
      </c>
      <c r="M12" s="184">
        <v>100</v>
      </c>
      <c r="N12" s="184">
        <f>Y*E12/const</f>
        <v>0.6</v>
      </c>
      <c r="O12" s="184">
        <f>Y*F12/const</f>
        <v>0.19</v>
      </c>
      <c r="P12" s="184">
        <f>Y*G12/const</f>
        <v>0</v>
      </c>
      <c r="Q12" s="184">
        <f>Y*H12/const</f>
        <v>0</v>
      </c>
      <c r="R12" s="184">
        <f>Y*I12/const</f>
        <v>11.4</v>
      </c>
      <c r="S12" s="184">
        <f>Y*J12/const</f>
        <v>6.5000000000000002E-2</v>
      </c>
    </row>
    <row r="13" spans="1:19">
      <c r="B13" s="178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</row>
    <row r="14" spans="1:19">
      <c r="B14" s="258" t="s">
        <v>497</v>
      </c>
      <c r="C14" s="180" t="s">
        <v>496</v>
      </c>
      <c r="D14" s="184" t="s">
        <v>212</v>
      </c>
      <c r="E14" s="184">
        <v>0.2</v>
      </c>
      <c r="F14" s="184">
        <v>0.1</v>
      </c>
      <c r="G14" s="184">
        <v>79</v>
      </c>
      <c r="H14" s="184">
        <v>0.5</v>
      </c>
      <c r="I14" s="184">
        <v>0.1</v>
      </c>
      <c r="J14" s="184">
        <v>0</v>
      </c>
      <c r="L14" s="184" t="s">
        <v>473</v>
      </c>
      <c r="M14" s="184">
        <v>5</v>
      </c>
      <c r="N14" s="184">
        <f>Z*E14/const</f>
        <v>5.0000000000000001E-3</v>
      </c>
      <c r="O14" s="184">
        <f>Z*F14/const</f>
        <v>2.5000000000000001E-3</v>
      </c>
      <c r="P14" s="184">
        <f>Z*G14/const</f>
        <v>1.9750000000000001</v>
      </c>
      <c r="Q14" s="184">
        <f>Z*H14/const</f>
        <v>1.2500000000000001E-2</v>
      </c>
      <c r="R14" s="184">
        <f>Z*I14/const</f>
        <v>2.5000000000000001E-3</v>
      </c>
      <c r="S14" s="184">
        <f>Z*J14/const</f>
        <v>0</v>
      </c>
    </row>
    <row r="15" spans="1:19">
      <c r="B15" s="178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</row>
    <row r="16" spans="1:19">
      <c r="B16" s="259">
        <v>499</v>
      </c>
      <c r="C16" s="182" t="s">
        <v>499</v>
      </c>
      <c r="D16" s="184" t="s">
        <v>212</v>
      </c>
      <c r="E16" s="184">
        <v>2.1</v>
      </c>
      <c r="F16" s="184">
        <v>0</v>
      </c>
      <c r="G16" s="184">
        <v>72.599999999999994</v>
      </c>
      <c r="H16" s="184">
        <v>0</v>
      </c>
      <c r="I16" s="184">
        <v>9.9</v>
      </c>
      <c r="J16" s="184">
        <v>0</v>
      </c>
      <c r="L16" s="184" t="s">
        <v>474</v>
      </c>
      <c r="M16" s="184">
        <v>80</v>
      </c>
      <c r="N16" s="184">
        <f>J*E16/const</f>
        <v>0.84</v>
      </c>
      <c r="O16" s="184">
        <f>J*F16/const</f>
        <v>0</v>
      </c>
      <c r="P16" s="184">
        <f>J*G16/const</f>
        <v>29.04</v>
      </c>
      <c r="Q16" s="184">
        <f>J*H16/const</f>
        <v>0</v>
      </c>
      <c r="R16" s="184">
        <f>J*I16/const</f>
        <v>3.96</v>
      </c>
      <c r="S16" s="184">
        <f>J*J16/const</f>
        <v>0</v>
      </c>
    </row>
    <row r="17" spans="1:19">
      <c r="B17" s="178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</row>
    <row r="18" spans="1:19">
      <c r="A18" t="s">
        <v>108</v>
      </c>
      <c r="B18" s="258">
        <v>86</v>
      </c>
      <c r="C18" s="180" t="s">
        <v>483</v>
      </c>
      <c r="D18" s="184" t="s">
        <v>212</v>
      </c>
      <c r="E18" s="184">
        <v>100</v>
      </c>
      <c r="F18" s="184">
        <v>10.199999999999999</v>
      </c>
      <c r="G18" s="184">
        <v>0</v>
      </c>
      <c r="H18" s="184">
        <v>0</v>
      </c>
      <c r="I18" s="184">
        <v>0</v>
      </c>
      <c r="J18" s="184">
        <v>0</v>
      </c>
      <c r="L18" s="184" t="s">
        <v>475</v>
      </c>
      <c r="M18" s="184">
        <v>10</v>
      </c>
      <c r="N18" s="184">
        <f>K*E18/const</f>
        <v>5</v>
      </c>
      <c r="O18" s="184">
        <f>K*F18/const</f>
        <v>0.51</v>
      </c>
      <c r="P18" s="184">
        <f>K*G18/const</f>
        <v>0</v>
      </c>
      <c r="Q18" s="184">
        <f>K*H18/const</f>
        <v>0</v>
      </c>
      <c r="R18" s="184">
        <f>K*I18/const</f>
        <v>0</v>
      </c>
      <c r="S18" s="184">
        <f>K*J18/const</f>
        <v>0</v>
      </c>
    </row>
    <row r="19" spans="1:19">
      <c r="B19" s="3"/>
      <c r="C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</row>
    <row r="20" spans="1:19">
      <c r="A20" t="s">
        <v>108</v>
      </c>
      <c r="B20" s="258">
        <v>249</v>
      </c>
      <c r="C20" s="180" t="s">
        <v>485</v>
      </c>
      <c r="D20" s="184" t="s">
        <v>212</v>
      </c>
      <c r="E20" s="184">
        <v>0</v>
      </c>
      <c r="F20" s="184">
        <v>0</v>
      </c>
      <c r="G20" s="184">
        <v>0</v>
      </c>
      <c r="H20" s="184">
        <v>0</v>
      </c>
      <c r="I20" s="184">
        <v>0</v>
      </c>
      <c r="J20" s="184">
        <v>97.1</v>
      </c>
      <c r="L20" s="184" t="s">
        <v>489</v>
      </c>
      <c r="M20" s="184">
        <v>0.4</v>
      </c>
      <c r="N20" s="184">
        <f>W*E20/const</f>
        <v>0</v>
      </c>
      <c r="O20" s="184">
        <f>W*F20/const</f>
        <v>0</v>
      </c>
      <c r="P20" s="184">
        <f>W*G20/const</f>
        <v>0</v>
      </c>
      <c r="Q20" s="184">
        <f>W*H20/const</f>
        <v>0</v>
      </c>
      <c r="R20" s="184">
        <f>W*I20/const</f>
        <v>0</v>
      </c>
      <c r="S20" s="184">
        <f>W*J20/const</f>
        <v>0.19420000000000001</v>
      </c>
    </row>
    <row r="21" spans="1:19">
      <c r="B21" s="3"/>
      <c r="C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</row>
    <row r="22" spans="1:19">
      <c r="A22" t="s">
        <v>108</v>
      </c>
      <c r="B22" s="258">
        <v>254</v>
      </c>
      <c r="C22" s="180" t="s">
        <v>486</v>
      </c>
      <c r="D22" s="184" t="s">
        <v>212</v>
      </c>
      <c r="E22" s="184">
        <v>7</v>
      </c>
      <c r="F22" s="184">
        <v>0</v>
      </c>
      <c r="G22" s="184">
        <v>53.2</v>
      </c>
      <c r="H22" s="184">
        <v>0</v>
      </c>
      <c r="I22" s="184">
        <v>5.6</v>
      </c>
      <c r="J22" s="184">
        <v>0.2</v>
      </c>
      <c r="L22" s="184" t="s">
        <v>490</v>
      </c>
      <c r="M22" s="184">
        <v>0.2</v>
      </c>
      <c r="N22" s="184">
        <f>M*E22/const</f>
        <v>7.000000000000001E-3</v>
      </c>
      <c r="O22" s="184">
        <f>M*F22/const</f>
        <v>0</v>
      </c>
      <c r="P22" s="184">
        <f>M*G22/const</f>
        <v>5.3200000000000004E-2</v>
      </c>
      <c r="Q22" s="184">
        <f>M*H22/const</f>
        <v>0</v>
      </c>
      <c r="R22" s="184">
        <f>M*I22/const</f>
        <v>5.5999999999999991E-3</v>
      </c>
      <c r="S22" s="184">
        <f>M*J22/const</f>
        <v>2.0000000000000004E-4</v>
      </c>
    </row>
    <row r="23" spans="1:19">
      <c r="B23" s="3"/>
      <c r="C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</row>
    <row r="24" spans="1:19">
      <c r="B24" s="258" t="s">
        <v>484</v>
      </c>
      <c r="C24" s="180" t="s">
        <v>484</v>
      </c>
      <c r="D24" s="184" t="s">
        <v>212</v>
      </c>
      <c r="E24" s="184">
        <v>0</v>
      </c>
      <c r="F24" s="184">
        <v>0</v>
      </c>
      <c r="G24" s="184">
        <v>0</v>
      </c>
      <c r="H24" s="184">
        <v>0</v>
      </c>
      <c r="I24" s="184">
        <v>0</v>
      </c>
      <c r="J24" s="184">
        <v>0</v>
      </c>
      <c r="L24" s="184" t="s">
        <v>491</v>
      </c>
      <c r="M24" s="184">
        <v>0</v>
      </c>
      <c r="N24" s="184">
        <f>N*E24/const</f>
        <v>0</v>
      </c>
      <c r="O24" s="184">
        <f>N*F24/const</f>
        <v>0</v>
      </c>
      <c r="P24" s="184">
        <f>N*G24/const</f>
        <v>0</v>
      </c>
      <c r="Q24" s="184">
        <f>N*H24/const</f>
        <v>0</v>
      </c>
      <c r="R24" s="184">
        <f>N*I24/const</f>
        <v>0</v>
      </c>
      <c r="S24" s="184">
        <f>N*J24/const</f>
        <v>0</v>
      </c>
    </row>
    <row r="25" spans="1:19">
      <c r="B25" s="3"/>
      <c r="C25" s="3"/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</row>
    <row r="26" spans="1:19">
      <c r="A26" t="s">
        <v>108</v>
      </c>
      <c r="B26" s="258">
        <v>68</v>
      </c>
      <c r="C26" s="180" t="s">
        <v>488</v>
      </c>
      <c r="D26" s="184" t="s">
        <v>212</v>
      </c>
      <c r="E26" s="184">
        <v>0.42</v>
      </c>
      <c r="F26" s="184">
        <v>0</v>
      </c>
      <c r="G26" s="184">
        <v>6.1</v>
      </c>
      <c r="H26" s="184">
        <v>0</v>
      </c>
      <c r="I26" s="184">
        <v>4.3</v>
      </c>
      <c r="J26" s="184">
        <v>0.1</v>
      </c>
      <c r="L26" s="184" t="s">
        <v>492</v>
      </c>
      <c r="M26" s="184">
        <v>0.1</v>
      </c>
      <c r="N26" s="184">
        <f>U*E26/const</f>
        <v>2.1000000000000001E-4</v>
      </c>
      <c r="O26" s="184">
        <f>U*F26/const</f>
        <v>0</v>
      </c>
      <c r="P26" s="184">
        <f>U*G26/const</f>
        <v>3.0499999999999998E-3</v>
      </c>
      <c r="Q26" s="184">
        <f>U*H26/const</f>
        <v>0</v>
      </c>
      <c r="R26" s="184">
        <f>U*I26/const</f>
        <v>2.15E-3</v>
      </c>
      <c r="S26" s="184">
        <f>U*J26/const</f>
        <v>5.0000000000000009E-5</v>
      </c>
    </row>
    <row r="31" spans="1:19">
      <c r="M31" s="183" t="s">
        <v>493</v>
      </c>
      <c r="N31" s="3">
        <f>SUM(M10:M26)</f>
        <v>225.7</v>
      </c>
      <c r="O31" s="3"/>
      <c r="P31" s="3"/>
      <c r="Q31" s="3"/>
      <c r="R31" s="3"/>
      <c r="S31" s="3"/>
    </row>
    <row r="32" spans="1:19">
      <c r="M32" s="183" t="s">
        <v>467</v>
      </c>
      <c r="N32" s="85">
        <f>SUM(N10:N26)</f>
        <v>6.4972099999999999</v>
      </c>
      <c r="O32" s="84">
        <f>SUM(O10:O26)</f>
        <v>0.70250000000000001</v>
      </c>
      <c r="P32" s="85">
        <f>SUM(P10:P26)</f>
        <v>31.641250000000003</v>
      </c>
      <c r="Q32" s="84">
        <f>SUM(Q10:Q26)</f>
        <v>1.2500000000000001E-2</v>
      </c>
      <c r="R32" s="84">
        <f>SUM(R10:R26)</f>
        <v>15.700249999999999</v>
      </c>
      <c r="S32" s="84">
        <f>SUM(S10:S26)</f>
        <v>0.25944999999999996</v>
      </c>
    </row>
    <row r="33" spans="13:19">
      <c r="M33" s="183" t="s">
        <v>476</v>
      </c>
      <c r="N33" s="85">
        <f>17*R32+37*N32+17*P32</f>
        <v>1045.20227</v>
      </c>
      <c r="O33" s="3"/>
      <c r="P33" s="3"/>
      <c r="Q33" s="3"/>
      <c r="R33" s="3"/>
      <c r="S33" s="3"/>
    </row>
    <row r="34" spans="13:19">
      <c r="M34" s="183" t="s">
        <v>495</v>
      </c>
      <c r="N34" s="85">
        <f>4*R32+9*N32+4*P32</f>
        <v>247.84089</v>
      </c>
      <c r="O34" s="3"/>
      <c r="P34" s="3"/>
      <c r="Q34" s="3"/>
      <c r="R34" s="3"/>
      <c r="S3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6:S45"/>
  <sheetViews>
    <sheetView tabSelected="1" topLeftCell="A13" zoomScale="85" zoomScaleNormal="85" workbookViewId="0">
      <selection activeCell="N32" sqref="N32"/>
    </sheetView>
  </sheetViews>
  <sheetFormatPr defaultRowHeight="15.6"/>
  <cols>
    <col min="3" max="3" width="15.59765625" customWidth="1"/>
  </cols>
  <sheetData>
    <row r="6" spans="1:19">
      <c r="L6" s="260" t="s">
        <v>494</v>
      </c>
      <c r="M6" s="260">
        <v>200</v>
      </c>
    </row>
    <row r="9" spans="1:19">
      <c r="B9" s="179" t="s">
        <v>479</v>
      </c>
      <c r="C9" s="179" t="s">
        <v>480</v>
      </c>
      <c r="D9" s="179" t="s">
        <v>462</v>
      </c>
      <c r="E9" s="179" t="s">
        <v>142</v>
      </c>
      <c r="F9" s="179" t="s">
        <v>119</v>
      </c>
      <c r="G9" s="179" t="s">
        <v>118</v>
      </c>
      <c r="H9" s="179" t="s">
        <v>143</v>
      </c>
      <c r="I9" s="179" t="s">
        <v>133</v>
      </c>
      <c r="J9" s="179" t="s">
        <v>120</v>
      </c>
      <c r="L9" s="183" t="s">
        <v>470</v>
      </c>
      <c r="M9" s="260" t="s">
        <v>462</v>
      </c>
      <c r="N9" s="183" t="s">
        <v>142</v>
      </c>
      <c r="O9" s="183" t="s">
        <v>119</v>
      </c>
      <c r="P9" s="183" t="s">
        <v>118</v>
      </c>
      <c r="Q9" s="183" t="s">
        <v>143</v>
      </c>
      <c r="R9" s="183" t="s">
        <v>133</v>
      </c>
      <c r="S9" s="183" t="s">
        <v>120</v>
      </c>
    </row>
    <row r="10" spans="1:19">
      <c r="B10" s="258">
        <v>388</v>
      </c>
      <c r="C10" s="180" t="s">
        <v>506</v>
      </c>
      <c r="D10" s="184" t="s">
        <v>212</v>
      </c>
      <c r="E10" s="184">
        <v>10.7</v>
      </c>
      <c r="F10" s="184">
        <v>1.42</v>
      </c>
      <c r="G10" s="184">
        <v>3.1</v>
      </c>
      <c r="H10" s="184">
        <v>0</v>
      </c>
      <c r="I10" s="184">
        <v>0.8</v>
      </c>
      <c r="J10" s="184">
        <v>1.8</v>
      </c>
      <c r="L10" s="184" t="s">
        <v>471</v>
      </c>
      <c r="M10" s="184">
        <v>20</v>
      </c>
      <c r="N10" s="184">
        <f>X*E10/const</f>
        <v>1.07</v>
      </c>
      <c r="O10" s="184">
        <f>X*F10/const</f>
        <v>0.14199999999999999</v>
      </c>
      <c r="P10" s="184">
        <f>X*G10/const</f>
        <v>0.31</v>
      </c>
      <c r="Q10" s="184">
        <f>X*H10/const</f>
        <v>0</v>
      </c>
      <c r="R10" s="184">
        <f>X*I10/const</f>
        <v>0.08</v>
      </c>
      <c r="S10" s="184">
        <f>X*J10/const</f>
        <v>0.18</v>
      </c>
    </row>
    <row r="11" spans="1:19">
      <c r="B11" s="178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>
      <c r="A12" t="s">
        <v>108</v>
      </c>
      <c r="B12" s="258">
        <v>230</v>
      </c>
      <c r="C12" s="181" t="s">
        <v>477</v>
      </c>
      <c r="D12" s="184" t="s">
        <v>212</v>
      </c>
      <c r="E12" s="184">
        <v>1.2</v>
      </c>
      <c r="F12" s="184">
        <v>0.38</v>
      </c>
      <c r="G12" s="184">
        <v>0</v>
      </c>
      <c r="H12" s="184">
        <v>0</v>
      </c>
      <c r="I12" s="184">
        <v>22.8</v>
      </c>
      <c r="J12" s="184">
        <v>0.13</v>
      </c>
      <c r="L12" s="184" t="s">
        <v>472</v>
      </c>
      <c r="M12" s="184">
        <v>100</v>
      </c>
      <c r="N12" s="184">
        <f>Y*E12/const</f>
        <v>0.6</v>
      </c>
      <c r="O12" s="184">
        <f>Y*F12/const</f>
        <v>0.19</v>
      </c>
      <c r="P12" s="184">
        <f>Y*G12/const</f>
        <v>0</v>
      </c>
      <c r="Q12" s="184">
        <f>Y*H12/const</f>
        <v>0</v>
      </c>
      <c r="R12" s="184">
        <f>Y*I12/const</f>
        <v>11.4</v>
      </c>
      <c r="S12" s="184">
        <f>Y*J12/const</f>
        <v>6.5000000000000002E-2</v>
      </c>
    </row>
    <row r="13" spans="1:19">
      <c r="B13" s="178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</row>
    <row r="14" spans="1:19">
      <c r="A14" t="s">
        <v>108</v>
      </c>
      <c r="B14" s="258" t="s">
        <v>497</v>
      </c>
      <c r="C14" s="180" t="s">
        <v>496</v>
      </c>
      <c r="D14" s="184" t="s">
        <v>212</v>
      </c>
      <c r="E14" s="184">
        <v>0.2</v>
      </c>
      <c r="F14" s="184">
        <v>0.1</v>
      </c>
      <c r="G14" s="184">
        <v>79</v>
      </c>
      <c r="H14" s="184">
        <v>0.5</v>
      </c>
      <c r="I14" s="184">
        <v>0.1</v>
      </c>
      <c r="J14" s="184">
        <v>0</v>
      </c>
      <c r="L14" s="184" t="s">
        <v>473</v>
      </c>
      <c r="M14" s="184">
        <v>5</v>
      </c>
      <c r="N14" s="184">
        <f>Z*E14/const</f>
        <v>5.0000000000000001E-3</v>
      </c>
      <c r="O14" s="184">
        <f>Z*F14/const</f>
        <v>2.5000000000000001E-3</v>
      </c>
      <c r="P14" s="184">
        <f>Z*G14/const</f>
        <v>1.9750000000000001</v>
      </c>
      <c r="Q14" s="184">
        <f>Z*H14/const</f>
        <v>1.2500000000000001E-2</v>
      </c>
      <c r="R14" s="184">
        <f>Z*I14/const</f>
        <v>2.5000000000000001E-3</v>
      </c>
      <c r="S14" s="184">
        <f>Z*J14/const</f>
        <v>0</v>
      </c>
    </row>
    <row r="15" spans="1:19">
      <c r="B15" s="178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</row>
    <row r="16" spans="1:19">
      <c r="B16" s="259" t="s">
        <v>497</v>
      </c>
      <c r="C16" s="182" t="s">
        <v>504</v>
      </c>
      <c r="D16" s="184" t="s">
        <v>212</v>
      </c>
      <c r="E16" s="184">
        <v>0.2</v>
      </c>
      <c r="F16" s="184">
        <v>0</v>
      </c>
      <c r="G16" s="184">
        <v>3.9</v>
      </c>
      <c r="H16" s="184">
        <v>3.9</v>
      </c>
      <c r="I16" s="184">
        <v>1</v>
      </c>
      <c r="J16" s="184">
        <v>0.06</v>
      </c>
      <c r="L16" s="184" t="s">
        <v>474</v>
      </c>
      <c r="M16" s="184">
        <v>20</v>
      </c>
      <c r="N16" s="184">
        <f>J*E16/const</f>
        <v>0.02</v>
      </c>
      <c r="O16" s="184">
        <f>J*F16/const</f>
        <v>0</v>
      </c>
      <c r="P16" s="184">
        <f>J*G16/const</f>
        <v>0.39</v>
      </c>
      <c r="Q16" s="184">
        <f>J*H16/const</f>
        <v>0.39</v>
      </c>
      <c r="R16" s="184">
        <f>J*I16/const</f>
        <v>0.1</v>
      </c>
      <c r="S16" s="184">
        <f>J*J16/const</f>
        <v>6.0000000000000001E-3</v>
      </c>
    </row>
    <row r="17" spans="1:19">
      <c r="B17" s="178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</row>
    <row r="18" spans="1:19">
      <c r="A18" t="s">
        <v>108</v>
      </c>
      <c r="B18" s="258">
        <v>86</v>
      </c>
      <c r="C18" s="180" t="s">
        <v>483</v>
      </c>
      <c r="D18" s="184" t="s">
        <v>212</v>
      </c>
      <c r="E18" s="184">
        <v>100</v>
      </c>
      <c r="F18" s="184">
        <v>10.199999999999999</v>
      </c>
      <c r="G18" s="184">
        <v>0</v>
      </c>
      <c r="H18" s="184">
        <v>0</v>
      </c>
      <c r="I18" s="184">
        <v>0</v>
      </c>
      <c r="J18" s="184">
        <v>0</v>
      </c>
      <c r="L18" s="184" t="s">
        <v>475</v>
      </c>
      <c r="M18" s="184">
        <v>30</v>
      </c>
      <c r="N18" s="184">
        <f>K*E18/const</f>
        <v>15</v>
      </c>
      <c r="O18" s="184">
        <f>K*F18/const</f>
        <v>1.53</v>
      </c>
      <c r="P18" s="184">
        <f>K*G18/const</f>
        <v>0</v>
      </c>
      <c r="Q18" s="184">
        <f>K*H18/const</f>
        <v>0</v>
      </c>
      <c r="R18" s="184">
        <f>K*I18/const</f>
        <v>0</v>
      </c>
      <c r="S18" s="184">
        <f>K*J18/const</f>
        <v>0</v>
      </c>
    </row>
    <row r="19" spans="1:19">
      <c r="B19" s="3"/>
      <c r="C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</row>
    <row r="20" spans="1:19">
      <c r="A20" t="s">
        <v>108</v>
      </c>
      <c r="B20" s="258">
        <v>249</v>
      </c>
      <c r="C20" s="180" t="s">
        <v>485</v>
      </c>
      <c r="D20" s="184" t="s">
        <v>212</v>
      </c>
      <c r="E20" s="184">
        <v>0</v>
      </c>
      <c r="F20" s="184">
        <v>0</v>
      </c>
      <c r="G20" s="184">
        <v>0</v>
      </c>
      <c r="H20" s="184">
        <v>0</v>
      </c>
      <c r="I20" s="184">
        <v>0</v>
      </c>
      <c r="J20" s="184">
        <v>97.1</v>
      </c>
      <c r="L20" s="184" t="s">
        <v>489</v>
      </c>
      <c r="M20" s="184">
        <v>0.8</v>
      </c>
      <c r="N20" s="184">
        <f>W*E20/const</f>
        <v>0</v>
      </c>
      <c r="O20" s="184">
        <f>W*F20/const</f>
        <v>0</v>
      </c>
      <c r="P20" s="184">
        <f>W*G20/const</f>
        <v>0</v>
      </c>
      <c r="Q20" s="184">
        <f>W*H20/const</f>
        <v>0</v>
      </c>
      <c r="R20" s="184">
        <f>W*I20/const</f>
        <v>0</v>
      </c>
      <c r="S20" s="184">
        <f>W*J20/const</f>
        <v>0.38840000000000002</v>
      </c>
    </row>
    <row r="21" spans="1:19">
      <c r="B21" s="3"/>
      <c r="C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</row>
    <row r="22" spans="1:19">
      <c r="A22" t="s">
        <v>108</v>
      </c>
      <c r="B22" s="258">
        <v>254</v>
      </c>
      <c r="C22" s="180" t="s">
        <v>486</v>
      </c>
      <c r="D22" s="184" t="s">
        <v>212</v>
      </c>
      <c r="E22" s="184">
        <v>7</v>
      </c>
      <c r="F22" s="184">
        <v>0</v>
      </c>
      <c r="G22" s="184">
        <v>53.2</v>
      </c>
      <c r="H22" s="184">
        <v>0</v>
      </c>
      <c r="I22" s="184">
        <v>5.6</v>
      </c>
      <c r="J22" s="184">
        <v>0.2</v>
      </c>
      <c r="L22" s="184" t="s">
        <v>490</v>
      </c>
      <c r="M22" s="184">
        <v>0.2</v>
      </c>
      <c r="N22" s="184">
        <f>M*E22/const</f>
        <v>7.000000000000001E-3</v>
      </c>
      <c r="O22" s="184">
        <f>M*F22/const</f>
        <v>0</v>
      </c>
      <c r="P22" s="184">
        <f>M*G22/const</f>
        <v>5.3200000000000004E-2</v>
      </c>
      <c r="Q22" s="184">
        <f>M*H22/const</f>
        <v>0</v>
      </c>
      <c r="R22" s="184">
        <f>M*I22/const</f>
        <v>5.5999999999999991E-3</v>
      </c>
      <c r="S22" s="184">
        <f>M*J22/const</f>
        <v>2.0000000000000004E-4</v>
      </c>
    </row>
    <row r="23" spans="1:19">
      <c r="B23" s="3"/>
      <c r="C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</row>
    <row r="24" spans="1:19">
      <c r="B24" s="258">
        <v>181</v>
      </c>
      <c r="C24" s="180" t="s">
        <v>505</v>
      </c>
      <c r="D24" s="184" t="s">
        <v>212</v>
      </c>
      <c r="E24" s="184">
        <v>0.4</v>
      </c>
      <c r="F24" s="184">
        <v>0</v>
      </c>
      <c r="G24" s="184">
        <v>78.7</v>
      </c>
      <c r="H24" s="184">
        <v>0</v>
      </c>
      <c r="I24" s="184">
        <v>7.2</v>
      </c>
      <c r="J24" s="184">
        <v>0</v>
      </c>
      <c r="L24" s="184" t="s">
        <v>491</v>
      </c>
      <c r="M24" s="184">
        <v>75</v>
      </c>
      <c r="N24" s="184">
        <f>N*E24/const</f>
        <v>0.15</v>
      </c>
      <c r="O24" s="184">
        <f>N*F24/const</f>
        <v>0</v>
      </c>
      <c r="P24" s="184">
        <f>N*G24/const</f>
        <v>29.512499999999999</v>
      </c>
      <c r="Q24" s="184">
        <f>N*H24/const</f>
        <v>0</v>
      </c>
      <c r="R24" s="184">
        <f>N*I24/const</f>
        <v>2.7</v>
      </c>
      <c r="S24" s="184">
        <f>N*J24/const</f>
        <v>0</v>
      </c>
    </row>
    <row r="25" spans="1:19">
      <c r="B25" s="3"/>
      <c r="C25" s="3"/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</row>
    <row r="26" spans="1:19">
      <c r="A26" t="s">
        <v>108</v>
      </c>
      <c r="B26" s="258">
        <v>68</v>
      </c>
      <c r="C26" s="180" t="s">
        <v>488</v>
      </c>
      <c r="D26" s="184" t="s">
        <v>212</v>
      </c>
      <c r="E26" s="184">
        <v>0.42</v>
      </c>
      <c r="F26" s="184">
        <v>0</v>
      </c>
      <c r="G26" s="184">
        <v>6.1</v>
      </c>
      <c r="H26" s="184">
        <v>0</v>
      </c>
      <c r="I26" s="184">
        <v>4.3</v>
      </c>
      <c r="J26" s="184">
        <v>0.1</v>
      </c>
      <c r="L26" s="184" t="s">
        <v>492</v>
      </c>
      <c r="M26" s="184">
        <v>0.1</v>
      </c>
      <c r="N26" s="184">
        <f>U*E26/const</f>
        <v>2.1000000000000001E-4</v>
      </c>
      <c r="O26" s="184">
        <f>U*F26/const</f>
        <v>0</v>
      </c>
      <c r="P26" s="184">
        <f>U*G26/const</f>
        <v>3.0499999999999998E-3</v>
      </c>
      <c r="Q26" s="184">
        <f>U*H26/const</f>
        <v>0</v>
      </c>
      <c r="R26" s="184">
        <f>U*I26/const</f>
        <v>2.15E-3</v>
      </c>
      <c r="S26" s="184">
        <f>U*J26/const</f>
        <v>5.0000000000000009E-5</v>
      </c>
    </row>
    <row r="31" spans="1:19">
      <c r="M31" s="183" t="s">
        <v>493</v>
      </c>
      <c r="N31" s="3">
        <f>SUM(M10:M26)</f>
        <v>251.1</v>
      </c>
      <c r="O31" s="3"/>
      <c r="P31" s="3"/>
      <c r="Q31" s="3"/>
      <c r="R31" s="3"/>
      <c r="S31" s="3"/>
    </row>
    <row r="32" spans="1:19">
      <c r="M32" s="183" t="s">
        <v>467</v>
      </c>
      <c r="N32" s="85">
        <f>SUM(N10:N26)</f>
        <v>16.852209999999999</v>
      </c>
      <c r="O32" s="84">
        <f>SUM(O10:O26)</f>
        <v>1.8645</v>
      </c>
      <c r="P32" s="85">
        <f>SUM(P10:P26)</f>
        <v>32.243749999999999</v>
      </c>
      <c r="Q32" s="84">
        <f>SUM(Q10:Q26)</f>
        <v>0.40250000000000002</v>
      </c>
      <c r="R32" s="84">
        <f>SUM(R10:R26)</f>
        <v>14.29025</v>
      </c>
      <c r="S32" s="84">
        <f>SUM(S10:S26)</f>
        <v>0.63964999999999994</v>
      </c>
    </row>
    <row r="33" spans="3:19">
      <c r="M33" s="183" t="s">
        <v>476</v>
      </c>
      <c r="N33" s="85">
        <f>17*R32+37*N32+17*P32</f>
        <v>1414.60977</v>
      </c>
      <c r="O33" s="3"/>
      <c r="P33" s="3"/>
      <c r="Q33" s="3"/>
      <c r="R33" s="3"/>
      <c r="S33" s="3"/>
    </row>
    <row r="34" spans="3:19">
      <c r="M34" s="183" t="s">
        <v>495</v>
      </c>
      <c r="N34" s="85">
        <f>4*R32+9*N32+4*P32</f>
        <v>337.80588999999998</v>
      </c>
      <c r="O34" s="3"/>
      <c r="P34" s="3"/>
      <c r="Q34" s="3"/>
      <c r="R34" s="3"/>
      <c r="S34" s="3"/>
    </row>
    <row r="39" spans="3:19" ht="16.2" thickBot="1"/>
    <row r="40" spans="3:19" ht="16.2" thickBot="1">
      <c r="C40" s="256" t="s">
        <v>136</v>
      </c>
      <c r="D40" s="256">
        <v>10.7</v>
      </c>
      <c r="E40" s="256" t="s">
        <v>224</v>
      </c>
      <c r="H40" s="256">
        <v>10.7</v>
      </c>
      <c r="I40" s="257">
        <v>1.42</v>
      </c>
      <c r="J40" s="256">
        <v>3.1</v>
      </c>
      <c r="K40" s="257">
        <v>0</v>
      </c>
      <c r="L40" s="256">
        <v>0.8</v>
      </c>
      <c r="M40" s="257">
        <v>1.8</v>
      </c>
    </row>
    <row r="41" spans="3:19" ht="21" thickBot="1">
      <c r="C41" s="257" t="s">
        <v>137</v>
      </c>
      <c r="D41" s="257">
        <v>1.42</v>
      </c>
      <c r="E41" s="257" t="s">
        <v>224</v>
      </c>
    </row>
    <row r="42" spans="3:19" ht="16.2" thickBot="1">
      <c r="C42" s="256" t="s">
        <v>138</v>
      </c>
      <c r="D42" s="256">
        <v>3.1</v>
      </c>
      <c r="E42" s="256" t="s">
        <v>224</v>
      </c>
    </row>
    <row r="43" spans="3:19" ht="16.2" thickBot="1">
      <c r="C43" s="257" t="s">
        <v>139</v>
      </c>
      <c r="D43" s="257">
        <v>0</v>
      </c>
      <c r="E43" s="257" t="s">
        <v>224</v>
      </c>
    </row>
    <row r="44" spans="3:19" ht="16.2" thickBot="1">
      <c r="C44" s="256" t="s">
        <v>140</v>
      </c>
      <c r="D44" s="256">
        <v>0.8</v>
      </c>
      <c r="E44" s="256" t="s">
        <v>224</v>
      </c>
    </row>
    <row r="45" spans="3:19" ht="16.2" thickBot="1">
      <c r="C45" s="257" t="s">
        <v>141</v>
      </c>
      <c r="D45" s="257">
        <v>1.8</v>
      </c>
      <c r="E45" s="257" t="s">
        <v>224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6:S34"/>
  <sheetViews>
    <sheetView topLeftCell="A10" zoomScale="85" zoomScaleNormal="85" workbookViewId="0">
      <selection activeCell="P32" sqref="P32"/>
    </sheetView>
  </sheetViews>
  <sheetFormatPr defaultRowHeight="15.6"/>
  <cols>
    <col min="3" max="3" width="15.59765625" customWidth="1"/>
  </cols>
  <sheetData>
    <row r="6" spans="2:19">
      <c r="L6" s="260" t="s">
        <v>494</v>
      </c>
      <c r="M6" s="260">
        <v>200</v>
      </c>
    </row>
    <row r="9" spans="2:19">
      <c r="B9" s="179" t="s">
        <v>479</v>
      </c>
      <c r="C9" s="179" t="s">
        <v>480</v>
      </c>
      <c r="D9" s="179" t="s">
        <v>462</v>
      </c>
      <c r="E9" s="179" t="s">
        <v>142</v>
      </c>
      <c r="F9" s="179" t="s">
        <v>119</v>
      </c>
      <c r="G9" s="179" t="s">
        <v>118</v>
      </c>
      <c r="H9" s="179" t="s">
        <v>143</v>
      </c>
      <c r="I9" s="179" t="s">
        <v>133</v>
      </c>
      <c r="J9" s="179" t="s">
        <v>120</v>
      </c>
      <c r="L9" s="183" t="s">
        <v>470</v>
      </c>
      <c r="M9" s="260" t="s">
        <v>462</v>
      </c>
      <c r="N9" s="183" t="s">
        <v>142</v>
      </c>
      <c r="O9" s="183" t="s">
        <v>119</v>
      </c>
      <c r="P9" s="183" t="s">
        <v>118</v>
      </c>
      <c r="Q9" s="183" t="s">
        <v>143</v>
      </c>
      <c r="R9" s="183" t="s">
        <v>133</v>
      </c>
      <c r="S9" s="183" t="s">
        <v>120</v>
      </c>
    </row>
    <row r="10" spans="2:19">
      <c r="B10" s="258"/>
      <c r="C10" s="180"/>
      <c r="D10" s="184" t="s">
        <v>212</v>
      </c>
      <c r="E10" s="184">
        <v>0</v>
      </c>
      <c r="F10" s="184">
        <v>0</v>
      </c>
      <c r="G10" s="184">
        <v>0</v>
      </c>
      <c r="H10" s="184">
        <v>0</v>
      </c>
      <c r="I10" s="184">
        <v>0</v>
      </c>
      <c r="J10" s="184">
        <v>0</v>
      </c>
      <c r="L10" s="184" t="s">
        <v>471</v>
      </c>
      <c r="M10" s="184">
        <v>0</v>
      </c>
      <c r="N10" s="184">
        <f>X*E10/const</f>
        <v>0</v>
      </c>
      <c r="O10" s="184">
        <f>X*F10/const</f>
        <v>0</v>
      </c>
      <c r="P10" s="184">
        <f>X*G10/const</f>
        <v>0</v>
      </c>
      <c r="Q10" s="184">
        <f>X*H10/const</f>
        <v>0</v>
      </c>
      <c r="R10" s="184">
        <f>X*I10/const</f>
        <v>0</v>
      </c>
      <c r="S10" s="184">
        <f>X*J10/const</f>
        <v>0</v>
      </c>
    </row>
    <row r="11" spans="2:19">
      <c r="B11" s="178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2:19">
      <c r="B12" s="258" t="s">
        <v>497</v>
      </c>
      <c r="C12" s="181" t="s">
        <v>501</v>
      </c>
      <c r="D12" s="184" t="s">
        <v>212</v>
      </c>
      <c r="E12" s="184">
        <v>0.5</v>
      </c>
      <c r="F12" s="184">
        <v>0</v>
      </c>
      <c r="G12" s="184">
        <v>32.9</v>
      </c>
      <c r="H12" s="184">
        <v>0</v>
      </c>
      <c r="I12" s="184">
        <v>3.7</v>
      </c>
      <c r="J12" s="184">
        <v>1</v>
      </c>
      <c r="L12" s="184" t="s">
        <v>472</v>
      </c>
      <c r="M12" s="184">
        <v>100</v>
      </c>
      <c r="N12" s="184">
        <f>Y*E12/const</f>
        <v>0.25</v>
      </c>
      <c r="O12" s="184">
        <f>Y*F12/const</f>
        <v>0</v>
      </c>
      <c r="P12" s="184">
        <f>Y*G12/const</f>
        <v>16.45</v>
      </c>
      <c r="Q12" s="184">
        <f>Y*H12/const</f>
        <v>0</v>
      </c>
      <c r="R12" s="184">
        <f>Y*I12/const</f>
        <v>1.85</v>
      </c>
      <c r="S12" s="184">
        <f>Y*J12/const</f>
        <v>0.5</v>
      </c>
    </row>
    <row r="13" spans="2:19">
      <c r="B13" s="178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</row>
    <row r="14" spans="2:19">
      <c r="B14" s="258">
        <v>123</v>
      </c>
      <c r="C14" s="180" t="s">
        <v>503</v>
      </c>
      <c r="D14" s="184" t="s">
        <v>212</v>
      </c>
      <c r="E14" s="184">
        <v>15</v>
      </c>
      <c r="F14" s="184">
        <v>9.7100000000000009</v>
      </c>
      <c r="G14" s="184">
        <v>3.4</v>
      </c>
      <c r="H14" s="184">
        <v>3.4</v>
      </c>
      <c r="I14" s="184">
        <v>2.9</v>
      </c>
      <c r="J14" s="184">
        <v>0.1</v>
      </c>
      <c r="L14" s="184" t="s">
        <v>473</v>
      </c>
      <c r="M14" s="184">
        <v>30</v>
      </c>
      <c r="N14" s="184">
        <f>Z*E14/const</f>
        <v>2.25</v>
      </c>
      <c r="O14" s="184">
        <f>Z*F14/const</f>
        <v>1.4565000000000001</v>
      </c>
      <c r="P14" s="184">
        <f>Z*G14/const</f>
        <v>0.51</v>
      </c>
      <c r="Q14" s="184">
        <f>Z*H14/const</f>
        <v>0.51</v>
      </c>
      <c r="R14" s="184">
        <f>Z*I14/const</f>
        <v>0.435</v>
      </c>
      <c r="S14" s="184">
        <f>Z*J14/const</f>
        <v>1.4999999999999999E-2</v>
      </c>
    </row>
    <row r="15" spans="2:19">
      <c r="B15" s="178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</row>
    <row r="16" spans="2:19">
      <c r="B16" s="259">
        <v>264</v>
      </c>
      <c r="C16" s="182" t="s">
        <v>500</v>
      </c>
      <c r="D16" s="184" t="s">
        <v>212</v>
      </c>
      <c r="E16" s="184">
        <v>6.6</v>
      </c>
      <c r="F16" s="184"/>
      <c r="G16" s="184">
        <v>12.4</v>
      </c>
      <c r="H16" s="184"/>
      <c r="I16" s="184">
        <v>4.5</v>
      </c>
      <c r="J16" s="184">
        <v>1.9</v>
      </c>
      <c r="L16" s="184" t="s">
        <v>474</v>
      </c>
      <c r="M16" s="184">
        <v>20</v>
      </c>
      <c r="N16" s="184">
        <f>J*E16/const</f>
        <v>0.66</v>
      </c>
      <c r="O16" s="184">
        <f>J*F16/const</f>
        <v>0</v>
      </c>
      <c r="P16" s="184">
        <f>J*G16/const</f>
        <v>1.24</v>
      </c>
      <c r="Q16" s="184">
        <f>J*H16/const</f>
        <v>0</v>
      </c>
      <c r="R16" s="184">
        <f>J*I16/const</f>
        <v>0.45</v>
      </c>
      <c r="S16" s="184">
        <f>J*J16/const</f>
        <v>0.19</v>
      </c>
    </row>
    <row r="17" spans="1:19">
      <c r="B17" s="178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</row>
    <row r="18" spans="1:19">
      <c r="A18" t="s">
        <v>108</v>
      </c>
      <c r="B18" s="258">
        <v>86</v>
      </c>
      <c r="C18" s="180" t="s">
        <v>483</v>
      </c>
      <c r="D18" s="184" t="s">
        <v>212</v>
      </c>
      <c r="E18" s="184">
        <v>100</v>
      </c>
      <c r="F18" s="184">
        <v>10.199999999999999</v>
      </c>
      <c r="G18" s="184">
        <v>0</v>
      </c>
      <c r="H18" s="184">
        <v>0</v>
      </c>
      <c r="I18" s="184">
        <v>0</v>
      </c>
      <c r="J18" s="184">
        <v>0</v>
      </c>
      <c r="L18" s="184" t="s">
        <v>475</v>
      </c>
      <c r="M18" s="184">
        <v>10</v>
      </c>
      <c r="N18" s="184">
        <f>K*E18/const</f>
        <v>5</v>
      </c>
      <c r="O18" s="184">
        <f>K*F18/const</f>
        <v>0.51</v>
      </c>
      <c r="P18" s="184">
        <f>K*G18/const</f>
        <v>0</v>
      </c>
      <c r="Q18" s="184">
        <f>K*H18/const</f>
        <v>0</v>
      </c>
      <c r="R18" s="184">
        <f>K*I18/const</f>
        <v>0</v>
      </c>
      <c r="S18" s="184">
        <f>K*J18/const</f>
        <v>0</v>
      </c>
    </row>
    <row r="19" spans="1:19">
      <c r="B19" s="3"/>
      <c r="C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</row>
    <row r="20" spans="1:19">
      <c r="A20" t="s">
        <v>108</v>
      </c>
      <c r="B20" s="258">
        <v>249</v>
      </c>
      <c r="C20" s="180" t="s">
        <v>485</v>
      </c>
      <c r="D20" s="184" t="s">
        <v>212</v>
      </c>
      <c r="E20" s="184">
        <v>0</v>
      </c>
      <c r="F20" s="184">
        <v>0</v>
      </c>
      <c r="G20" s="184">
        <v>0</v>
      </c>
      <c r="H20" s="184">
        <v>0</v>
      </c>
      <c r="I20" s="184">
        <v>0</v>
      </c>
      <c r="J20" s="184">
        <v>97.1</v>
      </c>
      <c r="L20" s="184" t="s">
        <v>489</v>
      </c>
      <c r="M20" s="184">
        <v>0.4</v>
      </c>
      <c r="N20" s="184">
        <f>W*E20/const</f>
        <v>0</v>
      </c>
      <c r="O20" s="184">
        <f>W*F20/const</f>
        <v>0</v>
      </c>
      <c r="P20" s="184">
        <f>W*G20/const</f>
        <v>0</v>
      </c>
      <c r="Q20" s="184">
        <f>W*H20/const</f>
        <v>0</v>
      </c>
      <c r="R20" s="184">
        <f>W*I20/const</f>
        <v>0</v>
      </c>
      <c r="S20" s="184">
        <f>W*J20/const</f>
        <v>0.19420000000000001</v>
      </c>
    </row>
    <row r="21" spans="1:19">
      <c r="B21" s="3"/>
      <c r="C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</row>
    <row r="22" spans="1:19">
      <c r="A22" t="s">
        <v>108</v>
      </c>
      <c r="B22" s="258">
        <v>254</v>
      </c>
      <c r="C22" s="180" t="s">
        <v>486</v>
      </c>
      <c r="D22" s="184" t="s">
        <v>212</v>
      </c>
      <c r="E22" s="184">
        <v>7</v>
      </c>
      <c r="F22" s="184">
        <v>0</v>
      </c>
      <c r="G22" s="184">
        <v>53.2</v>
      </c>
      <c r="H22" s="184">
        <v>0</v>
      </c>
      <c r="I22" s="184">
        <v>5.6</v>
      </c>
      <c r="J22" s="184">
        <v>0.2</v>
      </c>
      <c r="L22" s="184" t="s">
        <v>490</v>
      </c>
      <c r="M22" s="184">
        <v>0.2</v>
      </c>
      <c r="N22" s="184">
        <f>M*E22/const</f>
        <v>7.000000000000001E-3</v>
      </c>
      <c r="O22" s="184">
        <f>M*F22/const</f>
        <v>0</v>
      </c>
      <c r="P22" s="184">
        <f>M*G22/const</f>
        <v>5.3200000000000004E-2</v>
      </c>
      <c r="Q22" s="184">
        <f>M*H22/const</f>
        <v>0</v>
      </c>
      <c r="R22" s="184">
        <f>M*I22/const</f>
        <v>5.5999999999999991E-3</v>
      </c>
      <c r="S22" s="184">
        <f>M*J22/const</f>
        <v>2.0000000000000004E-4</v>
      </c>
    </row>
    <row r="23" spans="1:19">
      <c r="B23" s="3"/>
      <c r="C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</row>
    <row r="24" spans="1:19">
      <c r="B24" s="258">
        <v>273</v>
      </c>
      <c r="C24" s="180" t="s">
        <v>502</v>
      </c>
      <c r="D24" s="184" t="s">
        <v>212</v>
      </c>
      <c r="E24" s="184">
        <v>12.1</v>
      </c>
      <c r="F24" s="184">
        <v>3.16</v>
      </c>
      <c r="G24" s="184">
        <v>0</v>
      </c>
      <c r="H24" s="184">
        <v>0</v>
      </c>
      <c r="I24" s="184">
        <v>19.5</v>
      </c>
      <c r="J24" s="184">
        <v>0.1</v>
      </c>
      <c r="L24" s="184" t="s">
        <v>491</v>
      </c>
      <c r="M24" s="184">
        <v>110</v>
      </c>
      <c r="N24" s="184">
        <f>N*E24/const</f>
        <v>6.6550000000000002</v>
      </c>
      <c r="O24" s="184">
        <f>N*F24/const</f>
        <v>1.7380000000000002</v>
      </c>
      <c r="P24" s="184">
        <f>N*G24/const</f>
        <v>0</v>
      </c>
      <c r="Q24" s="184">
        <f>N*H24/const</f>
        <v>0</v>
      </c>
      <c r="R24" s="184">
        <f>N*I24/const</f>
        <v>10.725</v>
      </c>
      <c r="S24" s="184">
        <f>N*J24/const</f>
        <v>5.5E-2</v>
      </c>
    </row>
    <row r="25" spans="1:19">
      <c r="B25" s="3"/>
      <c r="C25" s="3"/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</row>
    <row r="26" spans="1:19">
      <c r="A26" t="s">
        <v>108</v>
      </c>
      <c r="B26" s="258">
        <v>68</v>
      </c>
      <c r="C26" s="180" t="s">
        <v>488</v>
      </c>
      <c r="D26" s="184" t="s">
        <v>212</v>
      </c>
      <c r="E26" s="184">
        <v>0.42</v>
      </c>
      <c r="F26" s="184">
        <v>0</v>
      </c>
      <c r="G26" s="184">
        <v>6.1</v>
      </c>
      <c r="H26" s="184">
        <v>0</v>
      </c>
      <c r="I26" s="184">
        <v>4.3</v>
      </c>
      <c r="J26" s="184">
        <v>0.1</v>
      </c>
      <c r="L26" s="184" t="s">
        <v>492</v>
      </c>
      <c r="M26" s="184">
        <v>0.1</v>
      </c>
      <c r="N26" s="184">
        <f>U*E26/const</f>
        <v>2.1000000000000001E-4</v>
      </c>
      <c r="O26" s="184">
        <f>U*F26/const</f>
        <v>0</v>
      </c>
      <c r="P26" s="184">
        <f>U*G26/const</f>
        <v>3.0499999999999998E-3</v>
      </c>
      <c r="Q26" s="184">
        <f>U*H26/const</f>
        <v>0</v>
      </c>
      <c r="R26" s="184">
        <f>U*I26/const</f>
        <v>2.15E-3</v>
      </c>
      <c r="S26" s="184">
        <f>U*J26/const</f>
        <v>5.0000000000000009E-5</v>
      </c>
    </row>
    <row r="31" spans="1:19">
      <c r="M31" s="183" t="s">
        <v>493</v>
      </c>
      <c r="N31" s="3">
        <f>SUM(M10:M26)</f>
        <v>270.70000000000005</v>
      </c>
      <c r="O31" s="3"/>
      <c r="P31" s="3"/>
      <c r="Q31" s="3"/>
      <c r="R31" s="3"/>
      <c r="S31" s="3"/>
    </row>
    <row r="32" spans="1:19">
      <c r="M32" s="183" t="s">
        <v>467</v>
      </c>
      <c r="N32" s="85">
        <f>SUM(N10:N26)</f>
        <v>14.822209999999998</v>
      </c>
      <c r="O32" s="84">
        <f>SUM(O10:O26)</f>
        <v>3.7045000000000003</v>
      </c>
      <c r="P32" s="85">
        <f>SUM(P10:P26)</f>
        <v>18.256250000000001</v>
      </c>
      <c r="Q32" s="84">
        <f>SUM(Q10:Q26)</f>
        <v>0.51</v>
      </c>
      <c r="R32" s="84">
        <f>SUM(R10:R26)</f>
        <v>13.467750000000001</v>
      </c>
      <c r="S32" s="84">
        <f>SUM(S10:S26)</f>
        <v>0.95445000000000013</v>
      </c>
    </row>
    <row r="33" spans="13:19">
      <c r="M33" s="183" t="s">
        <v>476</v>
      </c>
      <c r="N33" s="85">
        <f>17*R32+37*N32+17*P32</f>
        <v>1087.7297699999999</v>
      </c>
      <c r="O33" s="3"/>
      <c r="P33" s="3"/>
      <c r="Q33" s="3"/>
      <c r="R33" s="3"/>
      <c r="S33" s="3"/>
    </row>
    <row r="34" spans="13:19">
      <c r="M34" s="183" t="s">
        <v>495</v>
      </c>
      <c r="N34" s="85">
        <f>4*R32+9*N32+4*P32</f>
        <v>260.29588999999999</v>
      </c>
      <c r="O34" s="3"/>
      <c r="P34" s="3"/>
      <c r="Q34" s="3"/>
      <c r="R34" s="3"/>
      <c r="S3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.6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selection activeCell="B37" sqref="B37"/>
    </sheetView>
  </sheetViews>
  <sheetFormatPr defaultColWidth="11" defaultRowHeight="15.6"/>
  <cols>
    <col min="1" max="1" width="29" bestFit="1" customWidth="1"/>
    <col min="2" max="2" width="29" customWidth="1"/>
    <col min="3" max="3" width="20.796875" bestFit="1" customWidth="1"/>
    <col min="4" max="4" width="12.796875" bestFit="1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</cols>
  <sheetData>
    <row r="1" spans="1:8" ht="31.05" customHeight="1">
      <c r="A1" s="193" t="s">
        <v>113</v>
      </c>
      <c r="B1" s="193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/>
      <c r="C2" s="1" t="s">
        <v>1</v>
      </c>
      <c r="D2" s="1" t="s">
        <v>4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94.2">
      <c r="A3" s="2" t="s">
        <v>45</v>
      </c>
      <c r="B3" s="8"/>
      <c r="C3" s="37" t="s">
        <v>3</v>
      </c>
      <c r="D3" s="3">
        <v>55</v>
      </c>
      <c r="E3" s="3">
        <v>41</v>
      </c>
      <c r="F3" s="5" t="s">
        <v>91</v>
      </c>
      <c r="G3" s="6" t="s">
        <v>88</v>
      </c>
      <c r="H3" s="3" t="s">
        <v>87</v>
      </c>
    </row>
    <row r="4" spans="1:8" ht="17.399999999999999">
      <c r="A4" s="210" t="s">
        <v>46</v>
      </c>
      <c r="B4" s="9" t="s">
        <v>122</v>
      </c>
      <c r="C4" s="22" t="s">
        <v>123</v>
      </c>
      <c r="D4" s="231">
        <v>8</v>
      </c>
      <c r="E4" s="231">
        <v>6</v>
      </c>
      <c r="F4" s="51"/>
      <c r="G4" s="6"/>
      <c r="H4" s="3"/>
    </row>
    <row r="5" spans="1:8" ht="17.399999999999999">
      <c r="A5" s="226"/>
      <c r="B5" s="9" t="s">
        <v>124</v>
      </c>
      <c r="C5" s="37"/>
      <c r="D5" s="232"/>
      <c r="E5" s="232"/>
      <c r="F5" s="51"/>
      <c r="G5" s="6"/>
      <c r="H5" s="3"/>
    </row>
    <row r="6" spans="1:8" ht="31.8">
      <c r="A6" s="226"/>
      <c r="B6" s="9" t="s">
        <v>125</v>
      </c>
      <c r="C6" s="37" t="s">
        <v>314</v>
      </c>
      <c r="D6" s="232"/>
      <c r="E6" s="232"/>
      <c r="F6" s="30" t="s">
        <v>126</v>
      </c>
      <c r="G6" s="5" t="s">
        <v>121</v>
      </c>
      <c r="H6" s="3" t="s">
        <v>127</v>
      </c>
    </row>
    <row r="7" spans="1:8" ht="17.399999999999999">
      <c r="A7" s="211"/>
      <c r="B7" s="9" t="s">
        <v>98</v>
      </c>
      <c r="C7" s="37"/>
      <c r="D7" s="233"/>
      <c r="E7" s="233"/>
      <c r="F7" s="50"/>
      <c r="G7" s="13"/>
      <c r="H7" s="3"/>
    </row>
    <row r="8" spans="1:8" ht="16.05" customHeight="1">
      <c r="A8" s="2" t="s">
        <v>47</v>
      </c>
      <c r="B8" s="8"/>
      <c r="C8" s="37"/>
      <c r="D8" s="3">
        <v>10</v>
      </c>
      <c r="E8" s="3">
        <v>7</v>
      </c>
      <c r="F8" s="31"/>
      <c r="G8" s="3"/>
      <c r="H8" s="3"/>
    </row>
    <row r="9" spans="1:8" ht="31.8">
      <c r="A9" s="2" t="s">
        <v>48</v>
      </c>
      <c r="B9" s="8"/>
      <c r="C9" s="12"/>
      <c r="D9" s="3">
        <v>33</v>
      </c>
      <c r="E9" s="3">
        <v>24</v>
      </c>
      <c r="F9" s="38" t="s">
        <v>102</v>
      </c>
      <c r="G9" s="3" t="s">
        <v>17</v>
      </c>
      <c r="H9" s="3"/>
    </row>
    <row r="10" spans="1:8" ht="17.399999999999999">
      <c r="A10" s="2" t="s">
        <v>13</v>
      </c>
      <c r="B10" s="8"/>
      <c r="C10" s="9"/>
      <c r="D10" s="18">
        <v>30</v>
      </c>
      <c r="E10" s="3">
        <v>22</v>
      </c>
      <c r="F10" s="33"/>
      <c r="G10" s="3"/>
      <c r="H10" s="3"/>
    </row>
    <row r="11" spans="1:8" ht="43.95" customHeight="1">
      <c r="D11">
        <f>SUM(D3:D10)</f>
        <v>136</v>
      </c>
      <c r="E11">
        <f>SUM(E3:E10)</f>
        <v>100</v>
      </c>
      <c r="F11" t="s">
        <v>109</v>
      </c>
    </row>
    <row r="24" spans="3:12">
      <c r="F24" t="s">
        <v>263</v>
      </c>
      <c r="G24" t="s">
        <v>330</v>
      </c>
      <c r="H24" t="s">
        <v>265</v>
      </c>
      <c r="I24" t="s">
        <v>311</v>
      </c>
      <c r="J24" t="s">
        <v>312</v>
      </c>
      <c r="K24" t="s">
        <v>267</v>
      </c>
      <c r="L24" s="65" t="s">
        <v>155</v>
      </c>
    </row>
    <row r="25" spans="3:12">
      <c r="C25" t="s">
        <v>142</v>
      </c>
      <c r="F25" s="55">
        <v>8.25</v>
      </c>
      <c r="G25" s="55">
        <v>3.6957939914163092</v>
      </c>
      <c r="H25" s="55">
        <v>2.5000000000000001E-2</v>
      </c>
      <c r="I25" s="55">
        <v>6.1050000000000004</v>
      </c>
      <c r="J25" s="55">
        <v>0.06</v>
      </c>
      <c r="K25" s="55">
        <f t="shared" ref="K25:K30" si="0">SUM(F25:J25)</f>
        <v>18.13579399141631</v>
      </c>
      <c r="L25" s="55">
        <f t="shared" ref="L25:L30" si="1">$K25*100/136</f>
        <v>13.335142640747288</v>
      </c>
    </row>
    <row r="26" spans="3:12">
      <c r="C26" t="s">
        <v>119</v>
      </c>
      <c r="F26" s="55">
        <v>0.16500000000000001</v>
      </c>
      <c r="G26" s="55">
        <v>0.41442060085836907</v>
      </c>
      <c r="H26" s="55">
        <v>0</v>
      </c>
      <c r="I26" s="55">
        <v>4.29</v>
      </c>
      <c r="J26" s="55">
        <v>0</v>
      </c>
      <c r="K26" s="55">
        <f t="shared" si="0"/>
        <v>4.8694206008583691</v>
      </c>
      <c r="L26" s="55">
        <f t="shared" si="1"/>
        <v>3.5804563241605658</v>
      </c>
    </row>
    <row r="27" spans="3:12">
      <c r="C27" t="s">
        <v>118</v>
      </c>
      <c r="F27" s="55">
        <v>22</v>
      </c>
      <c r="G27" s="55">
        <v>0.31759656652360513</v>
      </c>
      <c r="H27" s="55">
        <v>0.14000000000000001</v>
      </c>
      <c r="I27" s="55">
        <v>0.495</v>
      </c>
      <c r="J27" s="55">
        <v>0.93</v>
      </c>
      <c r="K27" s="55">
        <f t="shared" si="0"/>
        <v>23.882596566523606</v>
      </c>
      <c r="L27" s="55">
        <f t="shared" si="1"/>
        <v>17.560732769502653</v>
      </c>
    </row>
    <row r="28" spans="3:12">
      <c r="C28" t="s">
        <v>143</v>
      </c>
      <c r="F28" s="55">
        <v>3.355</v>
      </c>
      <c r="G28" s="55">
        <v>4.3261802575107297E-2</v>
      </c>
      <c r="H28" s="55">
        <v>0</v>
      </c>
      <c r="I28" s="55">
        <v>0.495</v>
      </c>
      <c r="J28" s="55">
        <v>0</v>
      </c>
      <c r="K28" s="55">
        <f t="shared" si="0"/>
        <v>3.8932618025751076</v>
      </c>
      <c r="L28" s="55">
        <f t="shared" si="1"/>
        <v>2.8626925018934615</v>
      </c>
    </row>
    <row r="29" spans="3:12">
      <c r="C29" t="s">
        <v>133</v>
      </c>
      <c r="F29" s="55">
        <v>4.7300000000000004</v>
      </c>
      <c r="G29" s="55">
        <v>0.35536480686695276</v>
      </c>
      <c r="H29" s="55">
        <v>0.13</v>
      </c>
      <c r="I29" s="55">
        <v>5.94</v>
      </c>
      <c r="J29" s="55">
        <v>0.27</v>
      </c>
      <c r="K29" s="55">
        <f t="shared" si="0"/>
        <v>11.425364806866952</v>
      </c>
      <c r="L29" s="55">
        <f t="shared" si="1"/>
        <v>8.4010035344609939</v>
      </c>
    </row>
    <row r="30" spans="3:12">
      <c r="C30" t="s">
        <v>120</v>
      </c>
      <c r="F30" s="55">
        <v>0.22</v>
      </c>
      <c r="G30" s="55">
        <v>0.12360515021459227</v>
      </c>
      <c r="H30" s="55"/>
      <c r="I30" s="55">
        <v>0.16500000000000001</v>
      </c>
      <c r="J30" s="55">
        <v>0</v>
      </c>
      <c r="K30" s="55">
        <f t="shared" si="0"/>
        <v>0.50860515021459229</v>
      </c>
      <c r="L30" s="55">
        <f t="shared" si="1"/>
        <v>0.37397437515778842</v>
      </c>
    </row>
    <row r="33" spans="3:17">
      <c r="C33" s="64" t="s">
        <v>390</v>
      </c>
      <c r="D33" s="93"/>
      <c r="E33" t="s">
        <v>212</v>
      </c>
      <c r="F33" t="s">
        <v>263</v>
      </c>
      <c r="H33" s="98"/>
      <c r="I33" s="111"/>
      <c r="J33" s="201" t="s">
        <v>228</v>
      </c>
      <c r="K33" s="201"/>
      <c r="L33" s="201"/>
      <c r="M33" s="201"/>
      <c r="N33" s="201"/>
      <c r="O33" s="201"/>
    </row>
    <row r="34" spans="3:17" ht="43.2">
      <c r="C34" t="s">
        <v>142</v>
      </c>
      <c r="E34">
        <v>15</v>
      </c>
      <c r="F34">
        <f t="shared" ref="F34:F39" si="2">$E34*55/100</f>
        <v>8.25</v>
      </c>
      <c r="H34" s="242" t="s">
        <v>216</v>
      </c>
      <c r="I34" s="243" t="s">
        <v>225</v>
      </c>
      <c r="J34" s="112" t="s">
        <v>217</v>
      </c>
      <c r="K34" s="112" t="s">
        <v>226</v>
      </c>
      <c r="L34" s="112" t="s">
        <v>118</v>
      </c>
      <c r="M34" s="112" t="s">
        <v>143</v>
      </c>
      <c r="N34" s="112" t="s">
        <v>227</v>
      </c>
      <c r="O34" s="112" t="s">
        <v>120</v>
      </c>
    </row>
    <row r="35" spans="3:17">
      <c r="C35" t="s">
        <v>119</v>
      </c>
      <c r="E35">
        <v>0.3</v>
      </c>
      <c r="F35">
        <f t="shared" si="2"/>
        <v>0.16500000000000001</v>
      </c>
      <c r="H35" s="242"/>
      <c r="I35" s="243"/>
      <c r="J35" s="106" t="s">
        <v>218</v>
      </c>
      <c r="K35" s="106" t="s">
        <v>219</v>
      </c>
      <c r="L35" s="106" t="s">
        <v>220</v>
      </c>
      <c r="M35" s="106" t="s">
        <v>221</v>
      </c>
      <c r="N35" s="106" t="s">
        <v>222</v>
      </c>
      <c r="O35" s="106" t="s">
        <v>223</v>
      </c>
    </row>
    <row r="36" spans="3:17">
      <c r="C36" t="s">
        <v>118</v>
      </c>
      <c r="E36">
        <v>40</v>
      </c>
      <c r="F36">
        <f t="shared" si="2"/>
        <v>22</v>
      </c>
      <c r="H36" s="242"/>
      <c r="I36" s="113" t="s">
        <v>224</v>
      </c>
      <c r="J36" s="106" t="s">
        <v>224</v>
      </c>
      <c r="K36" s="106" t="s">
        <v>224</v>
      </c>
      <c r="L36" s="106" t="s">
        <v>224</v>
      </c>
      <c r="M36" s="106" t="s">
        <v>224</v>
      </c>
      <c r="N36" s="106" t="s">
        <v>224</v>
      </c>
      <c r="O36" s="106" t="s">
        <v>224</v>
      </c>
    </row>
    <row r="37" spans="3:17" ht="17.399999999999999">
      <c r="C37" t="s">
        <v>143</v>
      </c>
      <c r="E37">
        <v>6.1</v>
      </c>
      <c r="F37">
        <f t="shared" si="2"/>
        <v>3.355</v>
      </c>
      <c r="H37" s="105" t="s">
        <v>45</v>
      </c>
      <c r="I37" s="3">
        <v>55</v>
      </c>
      <c r="J37" s="24">
        <v>15</v>
      </c>
      <c r="K37" s="24">
        <v>0.3</v>
      </c>
      <c r="L37" s="24">
        <v>40</v>
      </c>
      <c r="M37" s="24">
        <v>6.1</v>
      </c>
      <c r="N37" s="24">
        <v>8.6</v>
      </c>
      <c r="O37" s="24">
        <v>0.4</v>
      </c>
    </row>
    <row r="38" spans="3:17" ht="16.05" customHeight="1">
      <c r="C38" t="s">
        <v>133</v>
      </c>
      <c r="E38">
        <v>8.6</v>
      </c>
      <c r="F38">
        <f t="shared" si="2"/>
        <v>4.7300000000000004</v>
      </c>
      <c r="H38" s="105" t="s">
        <v>47</v>
      </c>
      <c r="I38" s="3">
        <v>10</v>
      </c>
      <c r="J38" s="24">
        <v>0.25</v>
      </c>
      <c r="K38" s="24">
        <v>0</v>
      </c>
      <c r="L38" s="24">
        <v>1.4</v>
      </c>
      <c r="M38" s="24">
        <v>0</v>
      </c>
      <c r="N38" s="24">
        <v>1.3</v>
      </c>
      <c r="O38" s="24">
        <v>0</v>
      </c>
    </row>
    <row r="39" spans="3:17" ht="16.05" customHeight="1">
      <c r="C39" t="s">
        <v>120</v>
      </c>
      <c r="E39">
        <v>0.4</v>
      </c>
      <c r="F39">
        <f t="shared" si="2"/>
        <v>0.22</v>
      </c>
      <c r="H39" s="105" t="s">
        <v>48</v>
      </c>
      <c r="I39" s="3">
        <v>33</v>
      </c>
      <c r="J39" s="3">
        <v>18.5</v>
      </c>
      <c r="K39" s="3">
        <v>13</v>
      </c>
      <c r="L39" s="3">
        <v>1.5</v>
      </c>
      <c r="M39" s="3">
        <v>1.5</v>
      </c>
      <c r="N39" s="3">
        <v>18</v>
      </c>
      <c r="O39" s="3">
        <v>0.5</v>
      </c>
    </row>
    <row r="40" spans="3:17" ht="16.05" customHeight="1">
      <c r="H40" s="105" t="s">
        <v>13</v>
      </c>
      <c r="I40" s="18">
        <v>30</v>
      </c>
      <c r="J40" s="24">
        <v>0.2</v>
      </c>
      <c r="K40" s="3"/>
      <c r="L40" s="24">
        <v>3.1</v>
      </c>
      <c r="M40" s="3"/>
      <c r="N40" s="24">
        <v>0.9</v>
      </c>
      <c r="O40" s="3"/>
    </row>
    <row r="41" spans="3:17" ht="16.05" customHeight="1">
      <c r="C41" s="102" t="s">
        <v>47</v>
      </c>
      <c r="E41" t="s">
        <v>212</v>
      </c>
      <c r="F41" t="s">
        <v>265</v>
      </c>
      <c r="H41" s="105" t="s">
        <v>46</v>
      </c>
      <c r="I41" s="24">
        <v>8</v>
      </c>
      <c r="J41" s="3">
        <v>46.2</v>
      </c>
      <c r="K41" s="3">
        <v>5.18</v>
      </c>
      <c r="L41" s="3">
        <v>3.97</v>
      </c>
      <c r="M41" s="3">
        <v>0.54</v>
      </c>
      <c r="N41" s="3">
        <v>4.4400000000000004</v>
      </c>
      <c r="O41" s="3">
        <v>1.55</v>
      </c>
    </row>
    <row r="42" spans="3:17">
      <c r="C42" t="s">
        <v>142</v>
      </c>
      <c r="E42">
        <v>0.25</v>
      </c>
      <c r="F42">
        <f>$E42*10/100</f>
        <v>2.5000000000000001E-2</v>
      </c>
    </row>
    <row r="43" spans="3:17" ht="43.2">
      <c r="C43" t="s">
        <v>119</v>
      </c>
      <c r="F43">
        <f>$E43*10/100</f>
        <v>0</v>
      </c>
      <c r="H43" s="202" t="s">
        <v>0</v>
      </c>
      <c r="I43" s="204" t="s">
        <v>229</v>
      </c>
      <c r="J43" s="70" t="s">
        <v>217</v>
      </c>
      <c r="K43" s="70" t="s">
        <v>226</v>
      </c>
      <c r="L43" s="70" t="s">
        <v>118</v>
      </c>
      <c r="M43" s="70" t="s">
        <v>143</v>
      </c>
      <c r="N43" s="70" t="s">
        <v>227</v>
      </c>
      <c r="O43" s="70" t="s">
        <v>120</v>
      </c>
      <c r="P43" s="191" t="s">
        <v>230</v>
      </c>
      <c r="Q43" s="192"/>
    </row>
    <row r="44" spans="3:17">
      <c r="C44" t="s">
        <v>118</v>
      </c>
      <c r="E44">
        <v>1.4</v>
      </c>
      <c r="F44">
        <f>$E44*10/100</f>
        <v>0.14000000000000001</v>
      </c>
      <c r="H44" s="203"/>
      <c r="I44" s="205"/>
      <c r="J44" s="71" t="s">
        <v>218</v>
      </c>
      <c r="K44" s="71" t="s">
        <v>219</v>
      </c>
      <c r="L44" s="71" t="s">
        <v>220</v>
      </c>
      <c r="M44" s="71" t="s">
        <v>221</v>
      </c>
      <c r="N44" s="71" t="s">
        <v>222</v>
      </c>
      <c r="O44" s="71" t="s">
        <v>223</v>
      </c>
      <c r="P44" s="71" t="s">
        <v>231</v>
      </c>
      <c r="Q44" s="71" t="s">
        <v>231</v>
      </c>
    </row>
    <row r="45" spans="3:17">
      <c r="C45" t="s">
        <v>143</v>
      </c>
      <c r="F45">
        <f>$E45*10/100</f>
        <v>0</v>
      </c>
      <c r="H45" s="203"/>
      <c r="I45" s="205"/>
      <c r="J45" s="77" t="s">
        <v>224</v>
      </c>
      <c r="K45" s="77" t="s">
        <v>224</v>
      </c>
      <c r="L45" s="77" t="s">
        <v>224</v>
      </c>
      <c r="M45" s="77" t="s">
        <v>224</v>
      </c>
      <c r="N45" s="77" t="s">
        <v>224</v>
      </c>
      <c r="O45" s="77" t="s">
        <v>224</v>
      </c>
      <c r="P45" s="77" t="s">
        <v>232</v>
      </c>
      <c r="Q45" s="77" t="s">
        <v>233</v>
      </c>
    </row>
    <row r="46" spans="3:17" ht="17.399999999999999">
      <c r="C46" t="s">
        <v>133</v>
      </c>
      <c r="E46">
        <v>1.3</v>
      </c>
      <c r="F46">
        <f>$E46*10/100</f>
        <v>0.13</v>
      </c>
      <c r="H46" s="188" t="s">
        <v>45</v>
      </c>
      <c r="I46" s="188"/>
      <c r="J46" s="55">
        <f>$J37*$I37/136</f>
        <v>6.0661764705882355</v>
      </c>
      <c r="K46" s="55">
        <f>$K37*$I37/136</f>
        <v>0.12132352941176471</v>
      </c>
      <c r="L46" s="55">
        <f>$L37*$I37/136</f>
        <v>16.176470588235293</v>
      </c>
      <c r="M46" s="55">
        <f>$M37*$I37/136</f>
        <v>2.4669117647058822</v>
      </c>
      <c r="N46" s="55">
        <f>$N37*$I37/136</f>
        <v>3.4779411764705883</v>
      </c>
      <c r="O46" s="55">
        <f>$O37*$I37/136</f>
        <v>0.16176470588235295</v>
      </c>
    </row>
    <row r="47" spans="3:17" ht="17.399999999999999">
      <c r="C47" t="s">
        <v>120</v>
      </c>
      <c r="H47" s="188" t="s">
        <v>47</v>
      </c>
      <c r="I47" s="188"/>
      <c r="J47" s="55">
        <f>$J38*$I38/136</f>
        <v>1.8382352941176471E-2</v>
      </c>
      <c r="K47" s="55">
        <f>$K38*$I38/136</f>
        <v>0</v>
      </c>
      <c r="L47" s="55">
        <f>$L38*$I38/136</f>
        <v>0.10294117647058823</v>
      </c>
      <c r="M47" s="55">
        <f>$M38*$I38/136</f>
        <v>0</v>
      </c>
      <c r="N47" s="55">
        <f>$N38*$I38/136</f>
        <v>9.5588235294117641E-2</v>
      </c>
      <c r="O47" s="55">
        <f>$O38*$I38/136</f>
        <v>0</v>
      </c>
    </row>
    <row r="48" spans="3:17" ht="17.399999999999999">
      <c r="H48" s="188" t="s">
        <v>48</v>
      </c>
      <c r="I48" s="188"/>
      <c r="J48" s="55">
        <f>$J39*$I39/136</f>
        <v>4.4889705882352944</v>
      </c>
      <c r="K48" s="55">
        <f>$K39*$I39/136</f>
        <v>3.1544117647058822</v>
      </c>
      <c r="L48" s="55">
        <f>$L39*$I39/136</f>
        <v>0.3639705882352941</v>
      </c>
      <c r="M48" s="55">
        <f>$M39*$I39/136</f>
        <v>0.3639705882352941</v>
      </c>
      <c r="N48" s="55">
        <f>$N39*$I39/136</f>
        <v>4.367647058823529</v>
      </c>
      <c r="O48" s="55">
        <f>$O39*$I39/136</f>
        <v>0.12132352941176471</v>
      </c>
    </row>
    <row r="49" spans="2:17" ht="17.399999999999999">
      <c r="C49" s="67" t="s">
        <v>290</v>
      </c>
      <c r="E49" t="s">
        <v>212</v>
      </c>
      <c r="F49" t="s">
        <v>311</v>
      </c>
      <c r="H49" s="188" t="s">
        <v>13</v>
      </c>
      <c r="I49" s="188"/>
      <c r="J49" s="55">
        <f>$J40*$I40/136</f>
        <v>4.4117647058823532E-2</v>
      </c>
      <c r="K49" s="55">
        <f>$K40*$I40/136</f>
        <v>0</v>
      </c>
      <c r="L49" s="55">
        <f>$L40*$I40/136</f>
        <v>0.68382352941176472</v>
      </c>
      <c r="M49" s="55">
        <f>$M40*$I40/136</f>
        <v>0</v>
      </c>
      <c r="N49" s="55">
        <f>$N40*$I40/136</f>
        <v>0.19852941176470587</v>
      </c>
      <c r="O49" s="55">
        <f>$O40*$I40/136</f>
        <v>0</v>
      </c>
    </row>
    <row r="50" spans="2:17" ht="17.399999999999999">
      <c r="C50" t="s">
        <v>142</v>
      </c>
      <c r="E50">
        <v>18.5</v>
      </c>
      <c r="F50" s="55">
        <f t="shared" ref="F50:F55" si="3">$E50*33/100</f>
        <v>6.1050000000000004</v>
      </c>
      <c r="H50" s="188" t="s">
        <v>46</v>
      </c>
      <c r="I50" s="188"/>
      <c r="J50" s="55">
        <f>$J41*$I41/136</f>
        <v>2.7176470588235295</v>
      </c>
      <c r="K50" s="55">
        <f>$K41*$I41/136</f>
        <v>0.30470588235294116</v>
      </c>
      <c r="L50" s="55">
        <f>$L41*$I41/136</f>
        <v>0.2335294117647059</v>
      </c>
      <c r="M50" s="55">
        <f>$M41*$I41/136</f>
        <v>3.1764705882352945E-2</v>
      </c>
      <c r="N50" s="55">
        <f>$N41*$I41/136</f>
        <v>0.26117647058823534</v>
      </c>
      <c r="O50" s="55">
        <f>$O41*$I41/136</f>
        <v>9.1176470588235303E-2</v>
      </c>
    </row>
    <row r="51" spans="2:17" ht="31.95" customHeight="1">
      <c r="C51" t="s">
        <v>119</v>
      </c>
      <c r="E51">
        <v>13</v>
      </c>
      <c r="F51" s="55">
        <f t="shared" si="3"/>
        <v>4.29</v>
      </c>
      <c r="H51" s="189" t="s">
        <v>234</v>
      </c>
      <c r="I51" s="190"/>
      <c r="J51" s="75">
        <f t="shared" ref="J51:O51" si="4">SUM(J46:J50)</f>
        <v>13.335294117647059</v>
      </c>
      <c r="K51" s="74">
        <f t="shared" si="4"/>
        <v>3.5804411764705879</v>
      </c>
      <c r="L51" s="75">
        <f t="shared" si="4"/>
        <v>17.560735294117645</v>
      </c>
      <c r="M51" s="74">
        <f t="shared" si="4"/>
        <v>2.8626470588235291</v>
      </c>
      <c r="N51" s="74">
        <f t="shared" si="4"/>
        <v>8.4008823529411778</v>
      </c>
      <c r="O51" s="74">
        <f t="shared" si="4"/>
        <v>0.37426470588235294</v>
      </c>
      <c r="P51" s="75">
        <f>17*N51+37*J51+17*L51</f>
        <v>934.75338235294112</v>
      </c>
      <c r="Q51" s="75">
        <f>4*N51+9*J51+4*L51</f>
        <v>223.86411764705883</v>
      </c>
    </row>
    <row r="52" spans="2:17">
      <c r="C52" t="s">
        <v>118</v>
      </c>
      <c r="E52">
        <v>1.5</v>
      </c>
      <c r="F52" s="55">
        <f t="shared" si="3"/>
        <v>0.495</v>
      </c>
    </row>
    <row r="53" spans="2:17">
      <c r="C53" t="s">
        <v>143</v>
      </c>
      <c r="E53">
        <v>1.5</v>
      </c>
      <c r="F53" s="55">
        <f t="shared" si="3"/>
        <v>0.495</v>
      </c>
    </row>
    <row r="54" spans="2:17">
      <c r="C54" t="s">
        <v>133</v>
      </c>
      <c r="E54">
        <v>18</v>
      </c>
      <c r="F54" s="55">
        <f t="shared" si="3"/>
        <v>5.94</v>
      </c>
    </row>
    <row r="55" spans="2:17">
      <c r="C55" t="s">
        <v>120</v>
      </c>
      <c r="E55">
        <v>0.5</v>
      </c>
      <c r="F55" s="55">
        <f t="shared" si="3"/>
        <v>0.16500000000000001</v>
      </c>
    </row>
    <row r="57" spans="2:17">
      <c r="B57" t="s">
        <v>271</v>
      </c>
      <c r="C57" s="67" t="s">
        <v>53</v>
      </c>
      <c r="E57" t="s">
        <v>212</v>
      </c>
      <c r="F57" t="s">
        <v>312</v>
      </c>
    </row>
    <row r="58" spans="2:17">
      <c r="C58" t="s">
        <v>142</v>
      </c>
      <c r="E58">
        <v>0.2</v>
      </c>
      <c r="F58">
        <f t="shared" ref="F58:F63" si="5">$E58*30/100</f>
        <v>0.06</v>
      </c>
    </row>
    <row r="59" spans="2:17">
      <c r="C59" t="s">
        <v>119</v>
      </c>
      <c r="F59">
        <f t="shared" si="5"/>
        <v>0</v>
      </c>
    </row>
    <row r="60" spans="2:17">
      <c r="C60" t="s">
        <v>118</v>
      </c>
      <c r="E60">
        <v>3.1</v>
      </c>
      <c r="F60">
        <f t="shared" si="5"/>
        <v>0.93</v>
      </c>
    </row>
    <row r="61" spans="2:17">
      <c r="C61" t="s">
        <v>143</v>
      </c>
      <c r="F61">
        <f t="shared" si="5"/>
        <v>0</v>
      </c>
    </row>
    <row r="62" spans="2:17">
      <c r="C62" t="s">
        <v>133</v>
      </c>
      <c r="E62">
        <v>0.9</v>
      </c>
      <c r="F62">
        <f t="shared" si="5"/>
        <v>0.27</v>
      </c>
    </row>
    <row r="63" spans="2:17">
      <c r="C63" t="s">
        <v>120</v>
      </c>
      <c r="F63">
        <f t="shared" si="5"/>
        <v>0</v>
      </c>
    </row>
    <row r="65" spans="2:15">
      <c r="C65" s="102" t="s">
        <v>214</v>
      </c>
      <c r="E65" t="s">
        <v>212</v>
      </c>
      <c r="F65" t="s">
        <v>326</v>
      </c>
    </row>
    <row r="66" spans="2:15">
      <c r="C66" t="s">
        <v>142</v>
      </c>
      <c r="E66">
        <v>92</v>
      </c>
      <c r="F66">
        <f t="shared" ref="F66:F71" si="6">$E66*10000/100</f>
        <v>9200</v>
      </c>
    </row>
    <row r="67" spans="2:15">
      <c r="C67" t="s">
        <v>119</v>
      </c>
      <c r="E67">
        <v>10</v>
      </c>
      <c r="F67">
        <f t="shared" si="6"/>
        <v>1000</v>
      </c>
    </row>
    <row r="68" spans="2:15">
      <c r="C68" t="s">
        <v>118</v>
      </c>
      <c r="E68">
        <v>0</v>
      </c>
      <c r="F68">
        <f t="shared" si="6"/>
        <v>0</v>
      </c>
    </row>
    <row r="69" spans="2:15">
      <c r="C69" t="s">
        <v>143</v>
      </c>
      <c r="E69">
        <v>0</v>
      </c>
      <c r="F69">
        <f t="shared" si="6"/>
        <v>0</v>
      </c>
    </row>
    <row r="70" spans="2:15">
      <c r="C70" t="s">
        <v>133</v>
      </c>
      <c r="E70">
        <v>0</v>
      </c>
      <c r="F70">
        <f t="shared" si="6"/>
        <v>0</v>
      </c>
    </row>
    <row r="71" spans="2:15">
      <c r="C71" t="s">
        <v>120</v>
      </c>
      <c r="E71">
        <v>0</v>
      </c>
      <c r="F71">
        <f t="shared" si="6"/>
        <v>0</v>
      </c>
    </row>
    <row r="73" spans="2:15">
      <c r="B73" t="s">
        <v>321</v>
      </c>
      <c r="C73" s="102" t="s">
        <v>124</v>
      </c>
      <c r="E73" t="s">
        <v>212</v>
      </c>
      <c r="F73" t="s">
        <v>327</v>
      </c>
    </row>
    <row r="74" spans="2:15">
      <c r="C74" t="s">
        <v>142</v>
      </c>
      <c r="E74">
        <v>0.64</v>
      </c>
      <c r="F74">
        <f t="shared" ref="F74:F79" si="7">$E74*10000/100</f>
        <v>64</v>
      </c>
    </row>
    <row r="75" spans="2:15">
      <c r="C75" t="s">
        <v>119</v>
      </c>
      <c r="F75">
        <f t="shared" si="7"/>
        <v>0</v>
      </c>
    </row>
    <row r="76" spans="2:15">
      <c r="C76" t="s">
        <v>118</v>
      </c>
      <c r="E76">
        <v>2.65</v>
      </c>
      <c r="F76">
        <f t="shared" si="7"/>
        <v>265</v>
      </c>
    </row>
    <row r="77" spans="2:15">
      <c r="C77" t="s">
        <v>143</v>
      </c>
      <c r="F77">
        <f t="shared" si="7"/>
        <v>0</v>
      </c>
    </row>
    <row r="78" spans="2:15">
      <c r="C78" t="s">
        <v>133</v>
      </c>
      <c r="E78">
        <v>3.15</v>
      </c>
      <c r="F78">
        <f t="shared" si="7"/>
        <v>315</v>
      </c>
      <c r="H78" s="102" t="s">
        <v>46</v>
      </c>
      <c r="I78" t="s">
        <v>329</v>
      </c>
      <c r="J78" t="s">
        <v>327</v>
      </c>
      <c r="K78" t="s">
        <v>328</v>
      </c>
      <c r="L78" t="s">
        <v>323</v>
      </c>
      <c r="M78" t="s">
        <v>324</v>
      </c>
      <c r="N78" t="s">
        <v>237</v>
      </c>
      <c r="O78" t="s">
        <v>325</v>
      </c>
    </row>
    <row r="79" spans="2:15">
      <c r="C79" t="s">
        <v>120</v>
      </c>
      <c r="F79">
        <f t="shared" si="7"/>
        <v>0</v>
      </c>
      <c r="H79" t="s">
        <v>134</v>
      </c>
    </row>
    <row r="80" spans="2:15">
      <c r="H80" t="s">
        <v>135</v>
      </c>
    </row>
    <row r="81" spans="3:15">
      <c r="C81" s="102" t="s">
        <v>125</v>
      </c>
      <c r="E81" t="s">
        <v>212</v>
      </c>
      <c r="F81" t="s">
        <v>328</v>
      </c>
      <c r="H81" t="s">
        <v>142</v>
      </c>
      <c r="I81" s="55">
        <v>9200</v>
      </c>
      <c r="J81" s="55">
        <v>64</v>
      </c>
      <c r="K81" s="55">
        <v>1500</v>
      </c>
      <c r="L81" s="55"/>
      <c r="M81" s="55">
        <f t="shared" ref="M81:M86" si="8">SUM(I81:L81)</f>
        <v>10764</v>
      </c>
      <c r="N81" s="55">
        <f t="shared" ref="N81:N86" si="9">$M81*100/23300</f>
        <v>46.197424892703864</v>
      </c>
      <c r="O81" s="55">
        <f t="shared" ref="O81:O86" si="10">$N81*8/100</f>
        <v>3.6957939914163092</v>
      </c>
    </row>
    <row r="82" spans="3:15">
      <c r="C82" t="s">
        <v>142</v>
      </c>
      <c r="E82">
        <v>50</v>
      </c>
      <c r="F82">
        <f t="shared" ref="F82:F87" si="11">$E82*3000/100</f>
        <v>1500</v>
      </c>
      <c r="H82" t="s">
        <v>119</v>
      </c>
      <c r="I82" s="55">
        <v>1000</v>
      </c>
      <c r="J82" s="55">
        <v>0</v>
      </c>
      <c r="K82" s="55">
        <v>207</v>
      </c>
      <c r="L82" s="55"/>
      <c r="M82" s="55">
        <f t="shared" si="8"/>
        <v>1207</v>
      </c>
      <c r="N82" s="55">
        <f t="shared" si="9"/>
        <v>5.1802575107296134</v>
      </c>
      <c r="O82" s="55">
        <f t="shared" si="10"/>
        <v>0.41442060085836907</v>
      </c>
    </row>
    <row r="83" spans="3:15">
      <c r="C83" t="s">
        <v>119</v>
      </c>
      <c r="E83">
        <v>6.9</v>
      </c>
      <c r="F83">
        <f t="shared" si="11"/>
        <v>207</v>
      </c>
      <c r="H83" t="s">
        <v>118</v>
      </c>
      <c r="I83" s="55">
        <v>0</v>
      </c>
      <c r="J83" s="55">
        <v>265</v>
      </c>
      <c r="K83" s="55">
        <v>660</v>
      </c>
      <c r="L83" s="55"/>
      <c r="M83" s="55">
        <f t="shared" si="8"/>
        <v>925</v>
      </c>
      <c r="N83" s="55">
        <f t="shared" si="9"/>
        <v>3.9699570815450644</v>
      </c>
      <c r="O83" s="55">
        <f t="shared" si="10"/>
        <v>0.31759656652360513</v>
      </c>
    </row>
    <row r="84" spans="3:15">
      <c r="C84" t="s">
        <v>118</v>
      </c>
      <c r="E84">
        <v>22</v>
      </c>
      <c r="F84">
        <f t="shared" si="11"/>
        <v>660</v>
      </c>
      <c r="H84" t="s">
        <v>143</v>
      </c>
      <c r="I84" s="55">
        <v>0</v>
      </c>
      <c r="J84" s="55">
        <v>0</v>
      </c>
      <c r="K84" s="55">
        <v>126</v>
      </c>
      <c r="L84" s="55"/>
      <c r="M84" s="55">
        <f t="shared" si="8"/>
        <v>126</v>
      </c>
      <c r="N84" s="55">
        <f t="shared" si="9"/>
        <v>0.54077253218884125</v>
      </c>
      <c r="O84" s="55">
        <f t="shared" si="10"/>
        <v>4.3261802575107297E-2</v>
      </c>
    </row>
    <row r="85" spans="3:15">
      <c r="C85" t="s">
        <v>143</v>
      </c>
      <c r="E85">
        <v>4.2</v>
      </c>
      <c r="F85">
        <f t="shared" si="11"/>
        <v>126</v>
      </c>
      <c r="H85" t="s">
        <v>133</v>
      </c>
      <c r="I85" s="55">
        <v>0</v>
      </c>
      <c r="J85" s="55">
        <v>315</v>
      </c>
      <c r="K85" s="55">
        <v>720</v>
      </c>
      <c r="L85" s="55"/>
      <c r="M85" s="55">
        <f t="shared" si="8"/>
        <v>1035</v>
      </c>
      <c r="N85" s="55">
        <f t="shared" si="9"/>
        <v>4.4420600858369097</v>
      </c>
      <c r="O85" s="55">
        <f t="shared" si="10"/>
        <v>0.35536480686695276</v>
      </c>
    </row>
    <row r="86" spans="3:15">
      <c r="C86" t="s">
        <v>133</v>
      </c>
      <c r="E86">
        <v>24</v>
      </c>
      <c r="F86">
        <f t="shared" si="11"/>
        <v>720</v>
      </c>
      <c r="H86" t="s">
        <v>120</v>
      </c>
      <c r="I86" s="55">
        <v>0</v>
      </c>
      <c r="J86" s="55">
        <v>0</v>
      </c>
      <c r="K86" s="55">
        <v>60</v>
      </c>
      <c r="L86" s="55">
        <v>300</v>
      </c>
      <c r="M86" s="55">
        <f t="shared" si="8"/>
        <v>360</v>
      </c>
      <c r="N86" s="55">
        <f t="shared" si="9"/>
        <v>1.5450643776824033</v>
      </c>
      <c r="O86" s="55">
        <f t="shared" si="10"/>
        <v>0.12360515021459227</v>
      </c>
    </row>
    <row r="87" spans="3:15">
      <c r="C87" t="s">
        <v>120</v>
      </c>
      <c r="E87">
        <v>2</v>
      </c>
      <c r="F87">
        <f t="shared" si="11"/>
        <v>60</v>
      </c>
    </row>
    <row r="89" spans="3:15">
      <c r="C89" t="s">
        <v>120</v>
      </c>
    </row>
    <row r="90" spans="3:15">
      <c r="C90" t="s">
        <v>120</v>
      </c>
      <c r="F90" t="s">
        <v>322</v>
      </c>
    </row>
  </sheetData>
  <mergeCells count="16">
    <mergeCell ref="H51:I51"/>
    <mergeCell ref="P43:Q43"/>
    <mergeCell ref="H46:I46"/>
    <mergeCell ref="H47:I47"/>
    <mergeCell ref="H48:I48"/>
    <mergeCell ref="H49:I49"/>
    <mergeCell ref="A1:H1"/>
    <mergeCell ref="A4:A7"/>
    <mergeCell ref="D4:D7"/>
    <mergeCell ref="E4:E7"/>
    <mergeCell ref="H50:I50"/>
    <mergeCell ref="J33:O33"/>
    <mergeCell ref="H34:H36"/>
    <mergeCell ref="I34:I35"/>
    <mergeCell ref="H43:H45"/>
    <mergeCell ref="I43:I4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8" workbookViewId="0">
      <selection activeCell="J34" sqref="J34:O34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13.296875" bestFit="1" customWidth="1"/>
    <col min="5" max="5" width="38.296875" customWidth="1"/>
    <col min="6" max="6" width="16" bestFit="1" customWidth="1"/>
    <col min="7" max="7" width="28.796875" bestFit="1" customWidth="1"/>
    <col min="8" max="8" width="29.5" bestFit="1" customWidth="1"/>
  </cols>
  <sheetData>
    <row r="1" spans="1:7" ht="31.05" customHeight="1">
      <c r="A1" s="193" t="s">
        <v>163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125.4">
      <c r="A3" s="2" t="s">
        <v>45</v>
      </c>
      <c r="B3" s="37" t="s">
        <v>3</v>
      </c>
      <c r="C3" s="3">
        <v>55</v>
      </c>
      <c r="D3" s="3">
        <v>45</v>
      </c>
      <c r="E3" s="5" t="s">
        <v>90</v>
      </c>
      <c r="F3" s="6" t="s">
        <v>88</v>
      </c>
      <c r="G3" s="3" t="s">
        <v>87</v>
      </c>
    </row>
    <row r="4" spans="1:7" ht="63">
      <c r="A4" s="2" t="s">
        <v>49</v>
      </c>
      <c r="B4" s="37" t="s">
        <v>50</v>
      </c>
      <c r="C4" s="3">
        <v>13</v>
      </c>
      <c r="D4" s="3">
        <v>11</v>
      </c>
      <c r="E4" s="30" t="s">
        <v>89</v>
      </c>
      <c r="F4" s="19" t="s">
        <v>17</v>
      </c>
      <c r="G4" s="3"/>
    </row>
    <row r="5" spans="1:7" ht="16.05" customHeight="1">
      <c r="A5" s="2" t="s">
        <v>47</v>
      </c>
      <c r="B5" s="37"/>
      <c r="C5" s="3">
        <v>10</v>
      </c>
      <c r="D5" s="3">
        <v>8</v>
      </c>
      <c r="E5" s="31"/>
      <c r="F5" s="3"/>
      <c r="G5" s="3"/>
    </row>
    <row r="6" spans="1:7" ht="78.599999999999994">
      <c r="A6" s="2" t="s">
        <v>26</v>
      </c>
      <c r="B6" s="9" t="s">
        <v>28</v>
      </c>
      <c r="C6" s="3">
        <v>44</v>
      </c>
      <c r="D6" s="3">
        <v>36</v>
      </c>
      <c r="E6" s="6" t="s">
        <v>77</v>
      </c>
      <c r="F6" s="3" t="s">
        <v>17</v>
      </c>
      <c r="G6" s="3"/>
    </row>
    <row r="7" spans="1:7" ht="43.95" customHeight="1">
      <c r="C7">
        <f>SUM(C3:C6)</f>
        <v>122</v>
      </c>
      <c r="D7">
        <f>SUM(D3:D6)</f>
        <v>100</v>
      </c>
      <c r="E7" s="46" t="s">
        <v>260</v>
      </c>
    </row>
    <row r="20" spans="3:15">
      <c r="D20" s="7"/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K20" s="65" t="s">
        <v>155</v>
      </c>
    </row>
    <row r="21" spans="3:15">
      <c r="C21" t="s">
        <v>142</v>
      </c>
      <c r="F21" s="55">
        <v>8.25</v>
      </c>
      <c r="G21" s="55">
        <v>4.03</v>
      </c>
      <c r="H21">
        <v>2.5000000000000001E-2</v>
      </c>
      <c r="I21">
        <v>11.88</v>
      </c>
      <c r="J21" s="55">
        <f t="shared" ref="J21:J26" si="0">SUM(F21:I21)</f>
        <v>24.185000000000002</v>
      </c>
      <c r="K21" s="55">
        <f t="shared" ref="K21:K26" si="1">$J21*100/122</f>
        <v>19.82377049180328</v>
      </c>
    </row>
    <row r="22" spans="3:15">
      <c r="C22" t="s">
        <v>119</v>
      </c>
      <c r="F22" s="55">
        <v>0.16500000000000001</v>
      </c>
      <c r="G22" s="55">
        <v>3.12</v>
      </c>
      <c r="H22">
        <v>0</v>
      </c>
      <c r="I22">
        <v>5.72</v>
      </c>
      <c r="J22" s="55">
        <f t="shared" si="0"/>
        <v>9.004999999999999</v>
      </c>
      <c r="K22" s="55">
        <f t="shared" si="1"/>
        <v>7.3811475409836058</v>
      </c>
    </row>
    <row r="23" spans="3:15">
      <c r="C23" t="s">
        <v>118</v>
      </c>
      <c r="F23" s="55">
        <v>22</v>
      </c>
      <c r="G23" s="55">
        <v>0.83200000000000007</v>
      </c>
      <c r="H23">
        <v>0.14000000000000001</v>
      </c>
      <c r="I23">
        <v>0.22</v>
      </c>
      <c r="J23" s="55">
        <f t="shared" si="0"/>
        <v>23.192</v>
      </c>
      <c r="K23" s="55">
        <f t="shared" si="1"/>
        <v>19.009836065573769</v>
      </c>
    </row>
    <row r="24" spans="3:15">
      <c r="C24" t="s">
        <v>143</v>
      </c>
      <c r="F24" s="55">
        <v>3.355</v>
      </c>
      <c r="G24" s="55">
        <v>0.61099999999999999</v>
      </c>
      <c r="H24">
        <v>0</v>
      </c>
      <c r="I24">
        <v>0</v>
      </c>
      <c r="J24" s="55">
        <f t="shared" si="0"/>
        <v>3.9660000000000002</v>
      </c>
      <c r="K24" s="55">
        <f t="shared" si="1"/>
        <v>3.2508196721311475</v>
      </c>
    </row>
    <row r="25" spans="3:15">
      <c r="C25" t="s">
        <v>133</v>
      </c>
      <c r="F25" s="55">
        <v>4.7300000000000004</v>
      </c>
      <c r="G25" s="55">
        <v>0.35100000000000003</v>
      </c>
      <c r="H25">
        <v>0.13</v>
      </c>
      <c r="I25">
        <v>10.56</v>
      </c>
      <c r="J25" s="55">
        <f t="shared" si="0"/>
        <v>15.771000000000001</v>
      </c>
      <c r="K25" s="55">
        <f t="shared" si="1"/>
        <v>12.92704918032787</v>
      </c>
    </row>
    <row r="26" spans="3:15">
      <c r="C26" t="s">
        <v>120</v>
      </c>
      <c r="F26" s="55">
        <v>0.22</v>
      </c>
      <c r="G26" s="55">
        <v>6.5000000000000002E-2</v>
      </c>
      <c r="I26">
        <v>0.88</v>
      </c>
      <c r="J26" s="55">
        <f t="shared" si="0"/>
        <v>1.165</v>
      </c>
      <c r="K26" s="55">
        <f t="shared" si="1"/>
        <v>0.95491803278688525</v>
      </c>
    </row>
    <row r="29" spans="3:15">
      <c r="C29" s="67" t="s">
        <v>259</v>
      </c>
      <c r="E29" t="s">
        <v>212</v>
      </c>
      <c r="F29" t="s">
        <v>263</v>
      </c>
      <c r="H29" s="111"/>
      <c r="I29" s="111"/>
      <c r="J29" s="201" t="s">
        <v>228</v>
      </c>
      <c r="K29" s="201"/>
      <c r="L29" s="201"/>
      <c r="M29" s="201"/>
      <c r="N29" s="201"/>
      <c r="O29" s="201"/>
    </row>
    <row r="30" spans="3:15" ht="43.2">
      <c r="C30" t="s">
        <v>142</v>
      </c>
      <c r="E30">
        <v>15</v>
      </c>
      <c r="F30">
        <v>8.25</v>
      </c>
      <c r="H30" s="244" t="s">
        <v>216</v>
      </c>
      <c r="I30" s="243" t="s">
        <v>225</v>
      </c>
      <c r="J30" s="112" t="s">
        <v>217</v>
      </c>
      <c r="K30" s="112" t="s">
        <v>226</v>
      </c>
      <c r="L30" s="112" t="s">
        <v>118</v>
      </c>
      <c r="M30" s="112" t="s">
        <v>143</v>
      </c>
      <c r="N30" s="112" t="s">
        <v>227</v>
      </c>
      <c r="O30" s="112" t="s">
        <v>120</v>
      </c>
    </row>
    <row r="31" spans="3:15">
      <c r="C31" t="s">
        <v>119</v>
      </c>
      <c r="E31">
        <v>0.3</v>
      </c>
      <c r="F31">
        <v>0.16500000000000001</v>
      </c>
      <c r="H31" s="244"/>
      <c r="I31" s="243"/>
      <c r="J31" s="106" t="s">
        <v>218</v>
      </c>
      <c r="K31" s="106" t="s">
        <v>219</v>
      </c>
      <c r="L31" s="106" t="s">
        <v>220</v>
      </c>
      <c r="M31" s="106" t="s">
        <v>221</v>
      </c>
      <c r="N31" s="106" t="s">
        <v>222</v>
      </c>
      <c r="O31" s="106" t="s">
        <v>223</v>
      </c>
    </row>
    <row r="32" spans="3:15">
      <c r="C32" t="s">
        <v>118</v>
      </c>
      <c r="E32">
        <v>40</v>
      </c>
      <c r="F32">
        <v>22</v>
      </c>
      <c r="H32" s="244"/>
      <c r="I32" s="113" t="s">
        <v>224</v>
      </c>
      <c r="J32" s="106" t="s">
        <v>224</v>
      </c>
      <c r="K32" s="106" t="s">
        <v>224</v>
      </c>
      <c r="L32" s="106" t="s">
        <v>224</v>
      </c>
      <c r="M32" s="106" t="s">
        <v>224</v>
      </c>
      <c r="N32" s="106" t="s">
        <v>224</v>
      </c>
      <c r="O32" s="106" t="s">
        <v>224</v>
      </c>
    </row>
    <row r="33" spans="3:17" ht="17.399999999999999">
      <c r="C33" t="s">
        <v>143</v>
      </c>
      <c r="E33">
        <v>6.1</v>
      </c>
      <c r="F33">
        <v>3.355</v>
      </c>
      <c r="H33" s="83" t="s">
        <v>45</v>
      </c>
      <c r="I33" s="97">
        <v>55</v>
      </c>
      <c r="J33" s="24">
        <v>15</v>
      </c>
      <c r="K33" s="24">
        <v>0.3</v>
      </c>
      <c r="L33" s="24">
        <v>40</v>
      </c>
      <c r="M33" s="24">
        <v>6.1</v>
      </c>
      <c r="N33" s="24">
        <v>8.6</v>
      </c>
      <c r="O33" s="24">
        <v>0.4</v>
      </c>
    </row>
    <row r="34" spans="3:17" ht="17.399999999999999">
      <c r="C34" t="s">
        <v>133</v>
      </c>
      <c r="E34">
        <v>8.6</v>
      </c>
      <c r="F34">
        <v>4.7300000000000004</v>
      </c>
      <c r="H34" s="82" t="s">
        <v>49</v>
      </c>
      <c r="I34" s="3">
        <v>13</v>
      </c>
      <c r="J34" s="24">
        <v>31</v>
      </c>
      <c r="K34" s="24">
        <v>24</v>
      </c>
      <c r="L34" s="24">
        <v>6.4</v>
      </c>
      <c r="M34" s="24">
        <v>4.7</v>
      </c>
      <c r="N34" s="24">
        <v>2.7</v>
      </c>
      <c r="O34" s="24">
        <v>0.5</v>
      </c>
    </row>
    <row r="35" spans="3:17" ht="17.399999999999999">
      <c r="C35" t="s">
        <v>120</v>
      </c>
      <c r="E35">
        <v>0.4</v>
      </c>
      <c r="F35">
        <v>0.22</v>
      </c>
      <c r="H35" s="82" t="s">
        <v>47</v>
      </c>
      <c r="I35" s="3">
        <v>10</v>
      </c>
      <c r="J35" s="24">
        <v>0.25</v>
      </c>
      <c r="K35" s="24">
        <v>0</v>
      </c>
      <c r="L35" s="24">
        <v>1.4</v>
      </c>
      <c r="M35" s="24">
        <v>0</v>
      </c>
      <c r="N35" s="24">
        <v>1.3</v>
      </c>
      <c r="O35" s="24">
        <v>0</v>
      </c>
    </row>
    <row r="36" spans="3:17" ht="17.399999999999999">
      <c r="H36" s="82" t="s">
        <v>26</v>
      </c>
      <c r="I36" s="3">
        <v>44</v>
      </c>
      <c r="J36" s="3">
        <v>27</v>
      </c>
      <c r="K36" s="78">
        <v>13</v>
      </c>
      <c r="L36" s="3">
        <v>0.5</v>
      </c>
      <c r="M36" s="3">
        <v>0</v>
      </c>
      <c r="N36" s="3">
        <v>24</v>
      </c>
      <c r="O36" s="3">
        <v>2</v>
      </c>
    </row>
    <row r="37" spans="3:17">
      <c r="C37" s="67" t="s">
        <v>261</v>
      </c>
      <c r="E37" t="s">
        <v>212</v>
      </c>
      <c r="F37" t="s">
        <v>264</v>
      </c>
    </row>
    <row r="38" spans="3:17">
      <c r="C38" t="s">
        <v>142</v>
      </c>
      <c r="E38">
        <v>31</v>
      </c>
      <c r="F38">
        <f t="shared" ref="F38:F43" si="2">$E38*13/100</f>
        <v>4.03</v>
      </c>
    </row>
    <row r="39" spans="3:17" ht="43.2">
      <c r="C39" t="s">
        <v>119</v>
      </c>
      <c r="E39">
        <v>24</v>
      </c>
      <c r="F39">
        <f t="shared" si="2"/>
        <v>3.12</v>
      </c>
      <c r="H39" s="202" t="s">
        <v>0</v>
      </c>
      <c r="I39" s="204" t="s">
        <v>229</v>
      </c>
      <c r="J39" s="70" t="s">
        <v>217</v>
      </c>
      <c r="K39" s="70" t="s">
        <v>226</v>
      </c>
      <c r="L39" s="70" t="s">
        <v>118</v>
      </c>
      <c r="M39" s="70" t="s">
        <v>143</v>
      </c>
      <c r="N39" s="70" t="s">
        <v>227</v>
      </c>
      <c r="O39" s="70" t="s">
        <v>120</v>
      </c>
      <c r="P39" s="191" t="s">
        <v>230</v>
      </c>
      <c r="Q39" s="192"/>
    </row>
    <row r="40" spans="3:17">
      <c r="C40" t="s">
        <v>118</v>
      </c>
      <c r="E40">
        <v>6.4</v>
      </c>
      <c r="F40">
        <f t="shared" si="2"/>
        <v>0.83200000000000007</v>
      </c>
      <c r="H40" s="203"/>
      <c r="I40" s="205"/>
      <c r="J40" s="71" t="s">
        <v>218</v>
      </c>
      <c r="K40" s="71" t="s">
        <v>219</v>
      </c>
      <c r="L40" s="71" t="s">
        <v>220</v>
      </c>
      <c r="M40" s="71" t="s">
        <v>221</v>
      </c>
      <c r="N40" s="71" t="s">
        <v>222</v>
      </c>
      <c r="O40" s="71" t="s">
        <v>223</v>
      </c>
      <c r="P40" s="71" t="s">
        <v>231</v>
      </c>
      <c r="Q40" s="71" t="s">
        <v>231</v>
      </c>
    </row>
    <row r="41" spans="3:17">
      <c r="C41" t="s">
        <v>143</v>
      </c>
      <c r="E41">
        <v>4.7</v>
      </c>
      <c r="F41">
        <f t="shared" si="2"/>
        <v>0.61099999999999999</v>
      </c>
      <c r="H41" s="203"/>
      <c r="I41" s="205"/>
      <c r="J41" s="77" t="s">
        <v>224</v>
      </c>
      <c r="K41" s="77" t="s">
        <v>224</v>
      </c>
      <c r="L41" s="77" t="s">
        <v>224</v>
      </c>
      <c r="M41" s="77" t="s">
        <v>224</v>
      </c>
      <c r="N41" s="77" t="s">
        <v>224</v>
      </c>
      <c r="O41" s="77" t="s">
        <v>224</v>
      </c>
      <c r="P41" s="77" t="s">
        <v>232</v>
      </c>
      <c r="Q41" s="77" t="s">
        <v>233</v>
      </c>
    </row>
    <row r="42" spans="3:17" ht="17.399999999999999">
      <c r="C42" t="s">
        <v>133</v>
      </c>
      <c r="E42">
        <v>2.7</v>
      </c>
      <c r="F42">
        <f t="shared" si="2"/>
        <v>0.35100000000000003</v>
      </c>
      <c r="H42" s="188" t="s">
        <v>45</v>
      </c>
      <c r="I42" s="188"/>
      <c r="J42" s="78">
        <f>$J33*$I33/122</f>
        <v>6.7622950819672134</v>
      </c>
      <c r="K42" s="78">
        <f>$K33*$I33/122</f>
        <v>0.13524590163934427</v>
      </c>
      <c r="L42" s="78">
        <f>$L33*$I33/122</f>
        <v>18.032786885245901</v>
      </c>
      <c r="M42" s="78">
        <f>$M33*$I33/122</f>
        <v>2.75</v>
      </c>
      <c r="N42" s="78">
        <f>$N33*$I33/122</f>
        <v>3.877049180327869</v>
      </c>
      <c r="O42" s="78">
        <f>$O33*$I33/122</f>
        <v>0.18032786885245902</v>
      </c>
      <c r="P42" s="3"/>
      <c r="Q42" s="3"/>
    </row>
    <row r="43" spans="3:17" ht="17.399999999999999">
      <c r="C43" t="s">
        <v>120</v>
      </c>
      <c r="E43">
        <v>0.5</v>
      </c>
      <c r="F43">
        <f t="shared" si="2"/>
        <v>6.5000000000000002E-2</v>
      </c>
      <c r="H43" s="188" t="s">
        <v>49</v>
      </c>
      <c r="I43" s="188"/>
      <c r="J43" s="78">
        <f>$J34*$I34/122</f>
        <v>3.3032786885245899</v>
      </c>
      <c r="K43" s="78">
        <f>$K34*$I34/122</f>
        <v>2.557377049180328</v>
      </c>
      <c r="L43" s="78">
        <f>$L34*$I34/122</f>
        <v>0.68196721311475417</v>
      </c>
      <c r="M43" s="78">
        <f>$M34*$I34/122</f>
        <v>0.50081967213114753</v>
      </c>
      <c r="N43" s="78">
        <f>$N34*$I34/122</f>
        <v>0.28770491803278692</v>
      </c>
      <c r="O43" s="78">
        <f>$O34*$I34/122</f>
        <v>5.3278688524590161E-2</v>
      </c>
      <c r="P43" s="3"/>
      <c r="Q43" s="3"/>
    </row>
    <row r="44" spans="3:17" ht="17.399999999999999">
      <c r="H44" s="188" t="s">
        <v>47</v>
      </c>
      <c r="I44" s="188"/>
      <c r="J44" s="78">
        <f>$J35*$I35/122</f>
        <v>2.0491803278688523E-2</v>
      </c>
      <c r="K44" s="78">
        <f>$K35*$I35/122</f>
        <v>0</v>
      </c>
      <c r="L44" s="78">
        <f>$L35*$I35/122</f>
        <v>0.11475409836065574</v>
      </c>
      <c r="M44" s="78">
        <f>$M35*$I35/122</f>
        <v>0</v>
      </c>
      <c r="N44" s="78">
        <f>$N35*$I35/122</f>
        <v>0.10655737704918032</v>
      </c>
      <c r="O44" s="78">
        <f>$O35*$I35/122</f>
        <v>0</v>
      </c>
      <c r="P44" s="3"/>
      <c r="Q44" s="3"/>
    </row>
    <row r="45" spans="3:17" ht="17.399999999999999">
      <c r="C45" s="67" t="s">
        <v>262</v>
      </c>
      <c r="E45" t="s">
        <v>212</v>
      </c>
      <c r="F45" t="s">
        <v>265</v>
      </c>
      <c r="H45" s="188" t="s">
        <v>26</v>
      </c>
      <c r="I45" s="188"/>
      <c r="J45" s="78">
        <f>$J36*$I36/122</f>
        <v>9.7377049180327866</v>
      </c>
      <c r="K45" s="78">
        <f>$K36*$I36/122</f>
        <v>4.6885245901639347</v>
      </c>
      <c r="L45" s="78">
        <f>$L36*$I36/122</f>
        <v>0.18032786885245902</v>
      </c>
      <c r="M45" s="78">
        <f>$M36*$I36/122</f>
        <v>0</v>
      </c>
      <c r="N45" s="78">
        <f>$N36*$I36/122</f>
        <v>8.6557377049180335</v>
      </c>
      <c r="O45" s="78">
        <f>$O36*$I36/122</f>
        <v>0.72131147540983609</v>
      </c>
      <c r="P45" s="3"/>
      <c r="Q45" s="3"/>
    </row>
    <row r="46" spans="3:17" ht="31.5" customHeight="1">
      <c r="C46" t="s">
        <v>142</v>
      </c>
      <c r="E46">
        <v>0.25</v>
      </c>
      <c r="F46">
        <f>$E46*10/100</f>
        <v>2.5000000000000001E-2</v>
      </c>
      <c r="H46" s="189" t="s">
        <v>234</v>
      </c>
      <c r="I46" s="190"/>
      <c r="J46" s="85">
        <f t="shared" ref="J46:O46" si="3">SUM(J42:J45)</f>
        <v>19.823770491803277</v>
      </c>
      <c r="K46" s="84">
        <f t="shared" si="3"/>
        <v>7.3811475409836067</v>
      </c>
      <c r="L46" s="85">
        <f t="shared" si="3"/>
        <v>19.009836065573769</v>
      </c>
      <c r="M46" s="84">
        <f t="shared" si="3"/>
        <v>3.2508196721311475</v>
      </c>
      <c r="N46" s="84">
        <f t="shared" si="3"/>
        <v>12.92704918032787</v>
      </c>
      <c r="O46" s="84">
        <f t="shared" si="3"/>
        <v>0.95491803278688525</v>
      </c>
      <c r="P46" s="85">
        <f>17*N46+37*J46+17*L46</f>
        <v>1276.406557377049</v>
      </c>
      <c r="Q46" s="85">
        <f>4*N46+9*J46+4*L46</f>
        <v>306.16147540983604</v>
      </c>
    </row>
    <row r="47" spans="3:17">
      <c r="C47" t="s">
        <v>119</v>
      </c>
      <c r="F47">
        <f>$E47*10/100</f>
        <v>0</v>
      </c>
    </row>
    <row r="48" spans="3:17">
      <c r="C48" t="s">
        <v>118</v>
      </c>
      <c r="E48">
        <v>1.4</v>
      </c>
      <c r="F48">
        <f>$E48*10/100</f>
        <v>0.14000000000000001</v>
      </c>
    </row>
    <row r="49" spans="3:6">
      <c r="C49" t="s">
        <v>143</v>
      </c>
      <c r="F49">
        <f>$E49*10/100</f>
        <v>0</v>
      </c>
    </row>
    <row r="50" spans="3:6">
      <c r="C50" t="s">
        <v>133</v>
      </c>
      <c r="E50">
        <v>1.3</v>
      </c>
      <c r="F50">
        <f>$E50*10/100</f>
        <v>0.13</v>
      </c>
    </row>
    <row r="51" spans="3:6">
      <c r="C51" t="s">
        <v>120</v>
      </c>
    </row>
    <row r="53" spans="3:6">
      <c r="C53" s="67" t="s">
        <v>26</v>
      </c>
      <c r="E53" s="56" t="s">
        <v>212</v>
      </c>
      <c r="F53" t="s">
        <v>266</v>
      </c>
    </row>
    <row r="54" spans="3:6">
      <c r="C54" t="s">
        <v>142</v>
      </c>
      <c r="E54">
        <v>27</v>
      </c>
      <c r="F54">
        <f t="shared" ref="F54:F59" si="4">$E54*44/100</f>
        <v>11.88</v>
      </c>
    </row>
    <row r="55" spans="3:6">
      <c r="C55" t="s">
        <v>119</v>
      </c>
      <c r="E55">
        <v>13</v>
      </c>
      <c r="F55">
        <f t="shared" si="4"/>
        <v>5.72</v>
      </c>
    </row>
    <row r="56" spans="3:6">
      <c r="C56" t="s">
        <v>118</v>
      </c>
      <c r="E56">
        <v>0.5</v>
      </c>
      <c r="F56">
        <f t="shared" si="4"/>
        <v>0.22</v>
      </c>
    </row>
    <row r="57" spans="3:6">
      <c r="C57" t="s">
        <v>143</v>
      </c>
      <c r="E57">
        <v>0</v>
      </c>
      <c r="F57">
        <f t="shared" si="4"/>
        <v>0</v>
      </c>
    </row>
    <row r="58" spans="3:6">
      <c r="C58" t="s">
        <v>133</v>
      </c>
      <c r="E58">
        <v>24</v>
      </c>
      <c r="F58">
        <f t="shared" si="4"/>
        <v>10.56</v>
      </c>
    </row>
    <row r="59" spans="3:6">
      <c r="C59" t="s">
        <v>120</v>
      </c>
      <c r="E59">
        <v>2</v>
      </c>
      <c r="F59">
        <f t="shared" si="4"/>
        <v>0.88</v>
      </c>
    </row>
  </sheetData>
  <mergeCells count="12">
    <mergeCell ref="A1:G1"/>
    <mergeCell ref="J29:O29"/>
    <mergeCell ref="H30:H32"/>
    <mergeCell ref="I30:I31"/>
    <mergeCell ref="H39:H41"/>
    <mergeCell ref="I39:I41"/>
    <mergeCell ref="H46:I46"/>
    <mergeCell ref="P39:Q39"/>
    <mergeCell ref="H42:I42"/>
    <mergeCell ref="H43:I43"/>
    <mergeCell ref="H44:I44"/>
    <mergeCell ref="H45:I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zoomScale="108" zoomScaleNormal="70" zoomScalePageLayoutView="70" workbookViewId="0">
      <selection activeCell="B11" sqref="B11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69921875" bestFit="1" customWidth="1"/>
    <col min="4" max="4" width="16.796875" customWidth="1"/>
    <col min="5" max="5" width="15.5" bestFit="1" customWidth="1"/>
    <col min="6" max="6" width="51.69921875" customWidth="1"/>
    <col min="7" max="7" width="25.296875" bestFit="1" customWidth="1"/>
    <col min="8" max="8" width="30.796875" bestFit="1" customWidth="1"/>
    <col min="9" max="9" width="20" bestFit="1" customWidth="1"/>
    <col min="10" max="10" width="20.5" bestFit="1" customWidth="1"/>
    <col min="11" max="11" width="18" bestFit="1" customWidth="1"/>
    <col min="12" max="12" width="15.796875" bestFit="1" customWidth="1"/>
    <col min="13" max="13" width="16.296875" bestFit="1" customWidth="1"/>
    <col min="14" max="14" width="14.19921875" bestFit="1" customWidth="1"/>
  </cols>
  <sheetData>
    <row r="1" spans="1:8" ht="31.05" customHeight="1">
      <c r="A1" s="193" t="s">
        <v>104</v>
      </c>
      <c r="B1" s="194"/>
      <c r="C1" s="194"/>
      <c r="D1" s="194"/>
      <c r="E1" s="194"/>
      <c r="F1" s="194"/>
      <c r="G1" s="194"/>
      <c r="H1" s="194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157</v>
      </c>
      <c r="E2" s="8" t="s">
        <v>18</v>
      </c>
      <c r="F2" s="1" t="s">
        <v>5</v>
      </c>
      <c r="G2" s="1" t="s">
        <v>6</v>
      </c>
      <c r="H2" s="1" t="s">
        <v>7</v>
      </c>
    </row>
    <row r="3" spans="1:8" ht="47.4">
      <c r="A3" s="2" t="s">
        <v>2</v>
      </c>
      <c r="B3" s="37" t="s">
        <v>3</v>
      </c>
      <c r="C3" s="3">
        <v>120</v>
      </c>
      <c r="D3" s="3">
        <v>120</v>
      </c>
      <c r="E3" s="24">
        <v>47</v>
      </c>
      <c r="F3" s="4" t="s">
        <v>168</v>
      </c>
      <c r="G3" s="3" t="s">
        <v>84</v>
      </c>
      <c r="H3" s="3" t="s">
        <v>75</v>
      </c>
    </row>
    <row r="4" spans="1:8" ht="109.8">
      <c r="A4" s="2" t="s">
        <v>10</v>
      </c>
      <c r="B4" s="37" t="s">
        <v>11</v>
      </c>
      <c r="C4" s="3">
        <v>35</v>
      </c>
      <c r="D4" s="3">
        <v>32</v>
      </c>
      <c r="E4" s="24">
        <v>12</v>
      </c>
      <c r="F4" s="5" t="s">
        <v>197</v>
      </c>
      <c r="G4" s="6" t="s">
        <v>82</v>
      </c>
      <c r="H4" s="3"/>
    </row>
    <row r="5" spans="1:8" ht="16.05" customHeight="1">
      <c r="A5" s="2" t="s">
        <v>12</v>
      </c>
      <c r="B5" s="37"/>
      <c r="C5" s="3">
        <v>20</v>
      </c>
      <c r="D5" s="3">
        <v>17</v>
      </c>
      <c r="E5" s="24">
        <v>7</v>
      </c>
      <c r="F5" s="31"/>
      <c r="G5" s="3"/>
      <c r="H5" s="3"/>
    </row>
    <row r="6" spans="1:8" ht="22.05" customHeight="1">
      <c r="A6" s="2" t="s">
        <v>13</v>
      </c>
      <c r="B6" s="37"/>
      <c r="C6" s="3">
        <v>25</v>
      </c>
      <c r="D6" s="3">
        <v>22</v>
      </c>
      <c r="E6" s="24">
        <v>9</v>
      </c>
      <c r="F6" s="31"/>
      <c r="G6" s="3"/>
      <c r="H6" s="3"/>
    </row>
    <row r="7" spans="1:8" ht="16.05" customHeight="1">
      <c r="A7" s="2" t="s">
        <v>112</v>
      </c>
      <c r="B7" s="37"/>
      <c r="C7" s="3">
        <v>30</v>
      </c>
      <c r="D7" s="3">
        <v>27</v>
      </c>
      <c r="E7" s="24">
        <v>10</v>
      </c>
      <c r="F7" s="3"/>
      <c r="G7" s="3" t="s">
        <v>42</v>
      </c>
      <c r="H7" s="3"/>
    </row>
    <row r="8" spans="1:8" ht="31.8">
      <c r="A8" s="2" t="s">
        <v>15</v>
      </c>
      <c r="B8" s="37" t="s">
        <v>16</v>
      </c>
      <c r="C8" s="3">
        <v>40</v>
      </c>
      <c r="D8" s="3">
        <v>37</v>
      </c>
      <c r="E8" s="24">
        <v>15</v>
      </c>
      <c r="F8" s="5" t="s">
        <v>76</v>
      </c>
      <c r="G8" s="3" t="s">
        <v>17</v>
      </c>
      <c r="H8" s="3"/>
    </row>
    <row r="9" spans="1:8" ht="43.95" customHeight="1">
      <c r="C9" s="7">
        <f>SUM(C3:C8)</f>
        <v>270</v>
      </c>
      <c r="D9" s="7">
        <f>SUM(D3:D8)</f>
        <v>255</v>
      </c>
      <c r="E9" s="7">
        <f>SUM(E3:E8)</f>
        <v>100</v>
      </c>
      <c r="F9" s="46" t="s">
        <v>254</v>
      </c>
    </row>
    <row r="25" spans="3:13">
      <c r="F25" s="57" t="s">
        <v>205</v>
      </c>
      <c r="G25" t="s">
        <v>249</v>
      </c>
      <c r="H25" t="s">
        <v>250</v>
      </c>
      <c r="I25" t="s">
        <v>251</v>
      </c>
      <c r="J25" t="s">
        <v>252</v>
      </c>
      <c r="K25" t="s">
        <v>253</v>
      </c>
      <c r="L25" t="s">
        <v>154</v>
      </c>
      <c r="M25" s="65" t="s">
        <v>155</v>
      </c>
    </row>
    <row r="26" spans="3:13">
      <c r="C26" t="s">
        <v>134</v>
      </c>
      <c r="F26">
        <v>1344</v>
      </c>
      <c r="G26" s="57">
        <v>640.64</v>
      </c>
      <c r="H26" s="57">
        <v>11.05</v>
      </c>
      <c r="I26" s="57">
        <v>19.36</v>
      </c>
      <c r="J26" s="55">
        <v>143.91</v>
      </c>
      <c r="K26" s="57">
        <v>456.95</v>
      </c>
      <c r="L26" s="55">
        <f t="shared" ref="L26:L33" si="0">SUM(F26:K26)</f>
        <v>2615.9099999999994</v>
      </c>
      <c r="M26" s="55"/>
    </row>
    <row r="27" spans="3:13">
      <c r="C27" t="s">
        <v>135</v>
      </c>
      <c r="F27">
        <v>322.8</v>
      </c>
      <c r="G27" s="57">
        <v>155.52000000000001</v>
      </c>
      <c r="H27" s="57">
        <v>2.5499999999999998</v>
      </c>
      <c r="I27" s="57">
        <v>4.62</v>
      </c>
      <c r="J27" s="55">
        <v>34.56</v>
      </c>
      <c r="K27" s="57">
        <v>109.89</v>
      </c>
      <c r="L27" s="55">
        <f t="shared" si="0"/>
        <v>629.94000000000005</v>
      </c>
      <c r="M27" s="55"/>
    </row>
    <row r="28" spans="3:13">
      <c r="C28" t="s">
        <v>142</v>
      </c>
      <c r="F28">
        <v>2.2799999999999998</v>
      </c>
      <c r="G28" s="57">
        <v>16.416</v>
      </c>
      <c r="H28" s="57">
        <v>3.4000000000000002E-2</v>
      </c>
      <c r="I28" s="57">
        <v>4.4000000000000004E-2</v>
      </c>
      <c r="J28" s="55">
        <v>1.9169999999999998</v>
      </c>
      <c r="K28" s="57">
        <v>8.51</v>
      </c>
      <c r="L28" s="55">
        <f t="shared" si="0"/>
        <v>29.201000000000001</v>
      </c>
      <c r="M28" s="76">
        <f t="shared" ref="M28:M33" si="1">L28*100/270</f>
        <v>10.815185185185184</v>
      </c>
    </row>
    <row r="29" spans="3:13">
      <c r="C29" t="s">
        <v>119</v>
      </c>
      <c r="F29">
        <v>0.24</v>
      </c>
      <c r="G29" s="57">
        <v>1.3119999999999998</v>
      </c>
      <c r="H29" s="57">
        <v>0</v>
      </c>
      <c r="I29" s="57">
        <v>0</v>
      </c>
      <c r="J29" s="55">
        <v>0.40770000000000001</v>
      </c>
      <c r="K29" s="57">
        <v>8.8800000000000008</v>
      </c>
      <c r="L29" s="55">
        <f t="shared" si="0"/>
        <v>10.839700000000001</v>
      </c>
      <c r="M29" s="55">
        <f t="shared" si="1"/>
        <v>4.0147037037037041</v>
      </c>
    </row>
    <row r="30" spans="3:13">
      <c r="C30" t="s">
        <v>118</v>
      </c>
      <c r="F30">
        <v>61.2</v>
      </c>
      <c r="G30" s="57">
        <v>1.6</v>
      </c>
      <c r="H30" s="57">
        <v>0.23799999999999996</v>
      </c>
      <c r="I30" s="57">
        <v>0.68200000000000005</v>
      </c>
      <c r="J30" s="55">
        <v>0.91799999999999993</v>
      </c>
      <c r="K30" s="57">
        <v>0.59200000000000008</v>
      </c>
      <c r="L30" s="55">
        <f t="shared" si="0"/>
        <v>65.23</v>
      </c>
      <c r="M30" s="55">
        <f t="shared" si="1"/>
        <v>24.159259259259258</v>
      </c>
    </row>
    <row r="31" spans="3:13">
      <c r="C31" t="s">
        <v>143</v>
      </c>
      <c r="F31">
        <v>3.36</v>
      </c>
      <c r="G31" s="57">
        <v>0.96</v>
      </c>
      <c r="H31" s="57">
        <v>0</v>
      </c>
      <c r="I31" s="57">
        <v>0</v>
      </c>
      <c r="J31" s="55">
        <v>0.10800000000000001</v>
      </c>
      <c r="K31" s="57">
        <v>0</v>
      </c>
      <c r="L31" s="55">
        <f t="shared" si="0"/>
        <v>4.4279999999999999</v>
      </c>
      <c r="M31" s="55">
        <f t="shared" si="1"/>
        <v>1.6400000000000001</v>
      </c>
    </row>
    <row r="32" spans="3:13">
      <c r="C32" t="s">
        <v>133</v>
      </c>
      <c r="F32">
        <v>11.3</v>
      </c>
      <c r="G32" s="57">
        <v>0.25600000000000001</v>
      </c>
      <c r="H32" s="57">
        <v>0.221</v>
      </c>
      <c r="I32" s="57">
        <v>0.19800000000000001</v>
      </c>
      <c r="J32" s="55">
        <v>3.375</v>
      </c>
      <c r="K32" s="57">
        <v>7.77</v>
      </c>
      <c r="L32" s="55">
        <f t="shared" si="0"/>
        <v>23.12</v>
      </c>
      <c r="M32" s="55">
        <f t="shared" si="1"/>
        <v>8.5629629629629633</v>
      </c>
    </row>
    <row r="33" spans="3:15">
      <c r="C33" t="s">
        <v>120</v>
      </c>
      <c r="F33">
        <v>0.73</v>
      </c>
      <c r="G33" s="57">
        <v>0.44799999999999995</v>
      </c>
      <c r="H33" s="57">
        <v>0</v>
      </c>
      <c r="I33" s="57">
        <v>0</v>
      </c>
      <c r="J33" s="55">
        <v>0.12959999999999999</v>
      </c>
      <c r="K33" s="57">
        <v>9.25</v>
      </c>
      <c r="L33" s="55">
        <f t="shared" si="0"/>
        <v>10.557600000000001</v>
      </c>
      <c r="M33" s="55">
        <f t="shared" si="1"/>
        <v>3.910222222222222</v>
      </c>
    </row>
    <row r="34" spans="3:15">
      <c r="G34" s="57"/>
      <c r="H34" s="56"/>
      <c r="I34" s="56"/>
      <c r="J34" s="55"/>
      <c r="K34" s="56"/>
      <c r="L34" s="55"/>
      <c r="M34" s="55"/>
    </row>
    <row r="35" spans="3:15">
      <c r="F35" s="57"/>
      <c r="G35" s="56"/>
      <c r="H35" s="56"/>
      <c r="I35" s="55"/>
      <c r="J35" s="56"/>
      <c r="K35" s="55"/>
      <c r="L35" s="55"/>
    </row>
    <row r="36" spans="3:15">
      <c r="C36" s="67" t="s">
        <v>204</v>
      </c>
      <c r="F36" s="57" t="s">
        <v>205</v>
      </c>
      <c r="G36" s="56"/>
      <c r="H36" s="56"/>
      <c r="I36" s="55"/>
      <c r="J36" s="56"/>
      <c r="K36" s="55"/>
      <c r="L36" s="55"/>
    </row>
    <row r="37" spans="3:15">
      <c r="C37" t="s">
        <v>134</v>
      </c>
      <c r="E37">
        <v>1120</v>
      </c>
      <c r="F37" s="57">
        <f>$E37*120/100</f>
        <v>1344</v>
      </c>
      <c r="G37" s="56"/>
      <c r="H37" s="69"/>
      <c r="I37" s="69"/>
      <c r="J37" s="199" t="s">
        <v>228</v>
      </c>
      <c r="K37" s="200"/>
      <c r="L37" s="200"/>
      <c r="M37" s="200"/>
      <c r="N37" s="200"/>
      <c r="O37" s="201"/>
    </row>
    <row r="38" spans="3:15" ht="28.8">
      <c r="C38" t="s">
        <v>135</v>
      </c>
      <c r="E38">
        <v>269</v>
      </c>
      <c r="F38" s="57">
        <f t="shared" ref="F38:F44" si="2">$E38*120/100</f>
        <v>322.8</v>
      </c>
      <c r="G38" s="56"/>
      <c r="H38" s="195" t="s">
        <v>216</v>
      </c>
      <c r="I38" s="197" t="s">
        <v>225</v>
      </c>
      <c r="J38" s="70" t="s">
        <v>217</v>
      </c>
      <c r="K38" s="70" t="s">
        <v>226</v>
      </c>
      <c r="L38" s="70" t="s">
        <v>118</v>
      </c>
      <c r="M38" s="70" t="s">
        <v>143</v>
      </c>
      <c r="N38" s="70" t="s">
        <v>227</v>
      </c>
      <c r="O38" s="70" t="s">
        <v>120</v>
      </c>
    </row>
    <row r="39" spans="3:15">
      <c r="C39" t="s">
        <v>142</v>
      </c>
      <c r="E39">
        <v>1.9</v>
      </c>
      <c r="F39" s="57">
        <f t="shared" si="2"/>
        <v>2.2799999999999998</v>
      </c>
      <c r="G39" s="56"/>
      <c r="H39" s="195"/>
      <c r="I39" s="198"/>
      <c r="J39" s="71" t="s">
        <v>218</v>
      </c>
      <c r="K39" s="71" t="s">
        <v>219</v>
      </c>
      <c r="L39" s="71" t="s">
        <v>220</v>
      </c>
      <c r="M39" s="71" t="s">
        <v>221</v>
      </c>
      <c r="N39" s="71" t="s">
        <v>222</v>
      </c>
      <c r="O39" s="71" t="s">
        <v>223</v>
      </c>
    </row>
    <row r="40" spans="3:15" ht="16.2" thickBot="1">
      <c r="C40" t="s">
        <v>119</v>
      </c>
      <c r="E40">
        <v>0.2</v>
      </c>
      <c r="F40" s="57">
        <f t="shared" si="2"/>
        <v>0.24</v>
      </c>
      <c r="G40" s="56"/>
      <c r="H40" s="196"/>
      <c r="I40" s="72" t="s">
        <v>224</v>
      </c>
      <c r="J40" s="77" t="s">
        <v>224</v>
      </c>
      <c r="K40" s="77" t="s">
        <v>224</v>
      </c>
      <c r="L40" s="77" t="s">
        <v>224</v>
      </c>
      <c r="M40" s="77" t="s">
        <v>224</v>
      </c>
      <c r="N40" s="77" t="s">
        <v>224</v>
      </c>
      <c r="O40" s="77" t="s">
        <v>224</v>
      </c>
    </row>
    <row r="41" spans="3:15" ht="17.399999999999999">
      <c r="C41" t="s">
        <v>118</v>
      </c>
      <c r="E41">
        <v>51</v>
      </c>
      <c r="F41" s="57">
        <f t="shared" si="2"/>
        <v>61.2</v>
      </c>
      <c r="G41" s="56"/>
      <c r="H41" s="2" t="s">
        <v>2</v>
      </c>
      <c r="I41" s="3">
        <v>120</v>
      </c>
      <c r="J41" s="3">
        <v>1.9</v>
      </c>
      <c r="K41" s="3">
        <v>0.2</v>
      </c>
      <c r="L41" s="3">
        <v>51</v>
      </c>
      <c r="M41" s="3">
        <v>2.8</v>
      </c>
      <c r="N41" s="3">
        <v>9.42</v>
      </c>
      <c r="O41" s="3">
        <v>0.61</v>
      </c>
    </row>
    <row r="42" spans="3:15" ht="17.399999999999999">
      <c r="C42" t="s">
        <v>143</v>
      </c>
      <c r="E42">
        <v>2.8</v>
      </c>
      <c r="F42" s="57">
        <f t="shared" si="2"/>
        <v>3.36</v>
      </c>
      <c r="G42" s="56"/>
      <c r="H42" s="2" t="s">
        <v>10</v>
      </c>
      <c r="I42" s="3">
        <v>32</v>
      </c>
      <c r="J42" s="18">
        <v>51.3</v>
      </c>
      <c r="K42" s="18">
        <v>4.0999999999999996</v>
      </c>
      <c r="L42" s="18">
        <v>5</v>
      </c>
      <c r="M42" s="18">
        <v>3</v>
      </c>
      <c r="N42" s="18">
        <v>0.8</v>
      </c>
      <c r="O42" s="18">
        <v>1.4</v>
      </c>
    </row>
    <row r="43" spans="3:15" ht="17.399999999999999">
      <c r="C43" t="s">
        <v>133</v>
      </c>
      <c r="E43">
        <v>9.42</v>
      </c>
      <c r="F43" s="57">
        <f t="shared" si="2"/>
        <v>11.304</v>
      </c>
      <c r="H43" s="2" t="s">
        <v>12</v>
      </c>
      <c r="I43" s="3">
        <v>17</v>
      </c>
      <c r="J43" s="18">
        <v>0.2</v>
      </c>
      <c r="K43" s="3">
        <v>0</v>
      </c>
      <c r="L43" s="3">
        <v>1.4</v>
      </c>
      <c r="M43" s="3">
        <v>0</v>
      </c>
      <c r="N43" s="3">
        <v>1.3</v>
      </c>
      <c r="O43" s="3">
        <v>0</v>
      </c>
    </row>
    <row r="44" spans="3:15" ht="17.399999999999999">
      <c r="C44" t="s">
        <v>120</v>
      </c>
      <c r="E44">
        <v>0.61</v>
      </c>
      <c r="F44" s="57">
        <f t="shared" si="2"/>
        <v>0.73199999999999998</v>
      </c>
      <c r="H44" s="2" t="s">
        <v>13</v>
      </c>
      <c r="I44" s="3">
        <v>22</v>
      </c>
      <c r="J44" s="3">
        <v>0.2</v>
      </c>
      <c r="K44" s="3">
        <v>0</v>
      </c>
      <c r="L44" s="3">
        <v>3.1</v>
      </c>
      <c r="M44" s="3">
        <v>0</v>
      </c>
      <c r="N44" s="3">
        <v>0.9</v>
      </c>
      <c r="O44" s="3">
        <v>0</v>
      </c>
    </row>
    <row r="45" spans="3:15" ht="17.399999999999999">
      <c r="H45" s="2" t="s">
        <v>112</v>
      </c>
      <c r="I45" s="3">
        <v>27</v>
      </c>
      <c r="J45" s="3">
        <v>7.1</v>
      </c>
      <c r="K45" s="78">
        <v>1.51</v>
      </c>
      <c r="L45" s="3">
        <v>3.4</v>
      </c>
      <c r="M45" s="3">
        <v>0.4</v>
      </c>
      <c r="N45" s="3">
        <v>12.5</v>
      </c>
      <c r="O45" s="3">
        <v>0.48</v>
      </c>
    </row>
    <row r="46" spans="3:15" ht="17.399999999999999">
      <c r="H46" s="2" t="s">
        <v>15</v>
      </c>
      <c r="I46" s="3">
        <v>37</v>
      </c>
      <c r="J46" s="3">
        <v>23</v>
      </c>
      <c r="K46" s="3">
        <v>24</v>
      </c>
      <c r="L46" s="3">
        <v>1.6</v>
      </c>
      <c r="M46" s="3">
        <v>0</v>
      </c>
      <c r="N46" s="3">
        <v>21</v>
      </c>
      <c r="O46" s="3">
        <v>25</v>
      </c>
    </row>
    <row r="47" spans="3:15">
      <c r="C47" s="64" t="s">
        <v>151</v>
      </c>
      <c r="D47" s="54"/>
      <c r="F47" t="s">
        <v>249</v>
      </c>
      <c r="J47" s="56"/>
    </row>
    <row r="48" spans="3:15">
      <c r="C48" t="s">
        <v>134</v>
      </c>
      <c r="E48" s="56">
        <v>2002</v>
      </c>
      <c r="F48" s="57">
        <f>$E48*32/100</f>
        <v>640.64</v>
      </c>
      <c r="J48" s="56"/>
    </row>
    <row r="49" spans="3:17" ht="28.8">
      <c r="C49" t="s">
        <v>135</v>
      </c>
      <c r="E49" s="56">
        <v>486</v>
      </c>
      <c r="F49" s="57">
        <f t="shared" ref="F49:F55" si="3">$E49*32/100</f>
        <v>155.52000000000001</v>
      </c>
      <c r="H49" s="202" t="s">
        <v>0</v>
      </c>
      <c r="I49" s="204" t="s">
        <v>229</v>
      </c>
      <c r="J49" s="70" t="s">
        <v>217</v>
      </c>
      <c r="K49" s="70" t="s">
        <v>226</v>
      </c>
      <c r="L49" s="70" t="s">
        <v>118</v>
      </c>
      <c r="M49" s="70" t="s">
        <v>143</v>
      </c>
      <c r="N49" s="70" t="s">
        <v>227</v>
      </c>
      <c r="O49" s="70" t="s">
        <v>120</v>
      </c>
      <c r="P49" s="191" t="s">
        <v>230</v>
      </c>
      <c r="Q49" s="192"/>
    </row>
    <row r="50" spans="3:17">
      <c r="C50" t="s">
        <v>142</v>
      </c>
      <c r="E50" s="56">
        <v>51.3</v>
      </c>
      <c r="F50" s="57">
        <f t="shared" si="3"/>
        <v>16.416</v>
      </c>
      <c r="H50" s="203"/>
      <c r="I50" s="205"/>
      <c r="J50" s="71" t="s">
        <v>218</v>
      </c>
      <c r="K50" s="71" t="s">
        <v>219</v>
      </c>
      <c r="L50" s="71" t="s">
        <v>220</v>
      </c>
      <c r="M50" s="71" t="s">
        <v>221</v>
      </c>
      <c r="N50" s="71" t="s">
        <v>222</v>
      </c>
      <c r="O50" s="71" t="s">
        <v>223</v>
      </c>
      <c r="P50" s="71" t="s">
        <v>231</v>
      </c>
      <c r="Q50" s="71" t="s">
        <v>231</v>
      </c>
    </row>
    <row r="51" spans="3:17">
      <c r="C51" t="s">
        <v>119</v>
      </c>
      <c r="E51" s="56">
        <v>4.0999999999999996</v>
      </c>
      <c r="F51" s="57">
        <f t="shared" si="3"/>
        <v>1.3119999999999998</v>
      </c>
      <c r="H51" s="203"/>
      <c r="I51" s="205"/>
      <c r="J51" s="77" t="s">
        <v>224</v>
      </c>
      <c r="K51" s="77" t="s">
        <v>224</v>
      </c>
      <c r="L51" s="77" t="s">
        <v>224</v>
      </c>
      <c r="M51" s="77" t="s">
        <v>224</v>
      </c>
      <c r="N51" s="77" t="s">
        <v>224</v>
      </c>
      <c r="O51" s="77" t="s">
        <v>224</v>
      </c>
      <c r="P51" s="77" t="s">
        <v>232</v>
      </c>
      <c r="Q51" s="77" t="s">
        <v>233</v>
      </c>
    </row>
    <row r="52" spans="3:17" ht="17.399999999999999">
      <c r="C52" t="s">
        <v>118</v>
      </c>
      <c r="E52" s="56">
        <v>5</v>
      </c>
      <c r="F52" s="57">
        <f t="shared" si="3"/>
        <v>1.6</v>
      </c>
      <c r="H52" s="188" t="s">
        <v>2</v>
      </c>
      <c r="I52" s="188"/>
      <c r="J52" s="84">
        <f t="shared" ref="J52:J57" si="4">$I41*$J41/270</f>
        <v>0.84444444444444444</v>
      </c>
      <c r="K52" s="78">
        <f t="shared" ref="K52:K57" si="5">$I41*$K41/270</f>
        <v>8.8888888888888892E-2</v>
      </c>
      <c r="L52" s="84">
        <f t="shared" ref="L52:L57" si="6">$L41*$I41/270</f>
        <v>22.666666666666668</v>
      </c>
      <c r="M52" s="84">
        <f t="shared" ref="M52:M57" si="7">$M41*$I41/270</f>
        <v>1.2444444444444445</v>
      </c>
      <c r="N52" s="84">
        <f t="shared" ref="N52:N57" si="8">$N41*$I41/270</f>
        <v>4.1866666666666674</v>
      </c>
      <c r="O52" s="78">
        <f t="shared" ref="O52:O57" si="9">$O41*$I41/270</f>
        <v>0.27111111111111114</v>
      </c>
      <c r="P52" s="3"/>
      <c r="Q52" s="3"/>
    </row>
    <row r="53" spans="3:17" ht="17.399999999999999">
      <c r="C53" t="s">
        <v>143</v>
      </c>
      <c r="E53" s="56">
        <v>3</v>
      </c>
      <c r="F53" s="57">
        <f t="shared" si="3"/>
        <v>0.96</v>
      </c>
      <c r="H53" s="188" t="s">
        <v>10</v>
      </c>
      <c r="I53" s="188"/>
      <c r="J53" s="84">
        <f t="shared" si="4"/>
        <v>6.08</v>
      </c>
      <c r="K53" s="78">
        <f t="shared" si="5"/>
        <v>0.48592592592592587</v>
      </c>
      <c r="L53" s="84">
        <f t="shared" si="6"/>
        <v>0.59259259259259256</v>
      </c>
      <c r="M53" s="84">
        <f t="shared" si="7"/>
        <v>0.35555555555555557</v>
      </c>
      <c r="N53" s="84">
        <f t="shared" si="8"/>
        <v>9.4814814814814824E-2</v>
      </c>
      <c r="O53" s="78">
        <f t="shared" si="9"/>
        <v>0.16592592592592592</v>
      </c>
      <c r="P53" s="3"/>
      <c r="Q53" s="3"/>
    </row>
    <row r="54" spans="3:17" ht="17.399999999999999">
      <c r="C54" t="s">
        <v>133</v>
      </c>
      <c r="E54" s="56">
        <v>0.8</v>
      </c>
      <c r="F54" s="57">
        <f t="shared" si="3"/>
        <v>0.25600000000000001</v>
      </c>
      <c r="H54" s="188" t="s">
        <v>12</v>
      </c>
      <c r="I54" s="188"/>
      <c r="J54" s="84">
        <f t="shared" si="4"/>
        <v>1.2592592592592594E-2</v>
      </c>
      <c r="K54" s="78">
        <f t="shared" si="5"/>
        <v>0</v>
      </c>
      <c r="L54" s="84">
        <f t="shared" si="6"/>
        <v>8.8148148148148142E-2</v>
      </c>
      <c r="M54" s="84">
        <f t="shared" si="7"/>
        <v>0</v>
      </c>
      <c r="N54" s="84">
        <f t="shared" si="8"/>
        <v>8.1851851851851856E-2</v>
      </c>
      <c r="O54" s="78">
        <f t="shared" si="9"/>
        <v>0</v>
      </c>
      <c r="P54" s="3"/>
      <c r="Q54" s="3"/>
    </row>
    <row r="55" spans="3:17" ht="17.399999999999999">
      <c r="C55" t="s">
        <v>120</v>
      </c>
      <c r="E55" s="56">
        <v>1.4</v>
      </c>
      <c r="F55" s="57">
        <f t="shared" si="3"/>
        <v>0.44799999999999995</v>
      </c>
      <c r="H55" s="188" t="s">
        <v>13</v>
      </c>
      <c r="I55" s="188"/>
      <c r="J55" s="84">
        <f t="shared" si="4"/>
        <v>1.6296296296296298E-2</v>
      </c>
      <c r="K55" s="78">
        <f t="shared" si="5"/>
        <v>0</v>
      </c>
      <c r="L55" s="84">
        <f t="shared" si="6"/>
        <v>0.25259259259259259</v>
      </c>
      <c r="M55" s="84">
        <f t="shared" si="7"/>
        <v>0</v>
      </c>
      <c r="N55" s="84">
        <f t="shared" si="8"/>
        <v>7.3333333333333334E-2</v>
      </c>
      <c r="O55" s="78">
        <f t="shared" si="9"/>
        <v>0</v>
      </c>
      <c r="P55" s="3"/>
      <c r="Q55" s="3"/>
    </row>
    <row r="56" spans="3:17" ht="17.399999999999999">
      <c r="H56" s="188" t="s">
        <v>112</v>
      </c>
      <c r="I56" s="188"/>
      <c r="J56" s="84">
        <f t="shared" si="4"/>
        <v>0.71</v>
      </c>
      <c r="K56" s="78">
        <f t="shared" si="5"/>
        <v>0.15100000000000002</v>
      </c>
      <c r="L56" s="84">
        <f t="shared" si="6"/>
        <v>0.33999999999999997</v>
      </c>
      <c r="M56" s="84">
        <f t="shared" si="7"/>
        <v>0.04</v>
      </c>
      <c r="N56" s="84">
        <f t="shared" si="8"/>
        <v>1.25</v>
      </c>
      <c r="O56" s="78">
        <f t="shared" si="9"/>
        <v>4.7999999999999994E-2</v>
      </c>
      <c r="P56" s="3"/>
      <c r="Q56" s="3"/>
    </row>
    <row r="57" spans="3:17" ht="17.399999999999999">
      <c r="H57" s="188" t="s">
        <v>15</v>
      </c>
      <c r="I57" s="188"/>
      <c r="J57" s="84">
        <f t="shared" si="4"/>
        <v>3.1518518518518519</v>
      </c>
      <c r="K57" s="78">
        <f t="shared" si="5"/>
        <v>3.2888888888888888</v>
      </c>
      <c r="L57" s="84">
        <f t="shared" si="6"/>
        <v>0.21925925925925926</v>
      </c>
      <c r="M57" s="84">
        <f t="shared" si="7"/>
        <v>0</v>
      </c>
      <c r="N57" s="84">
        <f t="shared" si="8"/>
        <v>2.8777777777777778</v>
      </c>
      <c r="O57" s="78">
        <f t="shared" si="9"/>
        <v>3.425925925925926</v>
      </c>
      <c r="P57" s="3"/>
      <c r="Q57" s="3"/>
    </row>
    <row r="58" spans="3:17" ht="31.5" customHeight="1">
      <c r="C58" s="64" t="s">
        <v>149</v>
      </c>
      <c r="D58" s="54"/>
      <c r="E58" s="54"/>
      <c r="F58" t="s">
        <v>250</v>
      </c>
      <c r="H58" s="189" t="s">
        <v>234</v>
      </c>
      <c r="I58" s="190"/>
      <c r="J58" s="85">
        <f t="shared" ref="J58:O58" si="10">SUM(J52:J57)</f>
        <v>10.815185185185186</v>
      </c>
      <c r="K58" s="84">
        <f t="shared" si="10"/>
        <v>4.0147037037037032</v>
      </c>
      <c r="L58" s="85">
        <f t="shared" si="10"/>
        <v>24.159259259259258</v>
      </c>
      <c r="M58" s="84">
        <f t="shared" si="10"/>
        <v>1.6400000000000001</v>
      </c>
      <c r="N58" s="84">
        <f t="shared" si="10"/>
        <v>8.5644444444444456</v>
      </c>
      <c r="O58" s="84">
        <f t="shared" si="10"/>
        <v>3.9109629629629632</v>
      </c>
      <c r="P58" s="85">
        <f>17*N58+37*J58+17*L58</f>
        <v>956.46481481481487</v>
      </c>
      <c r="Q58" s="85">
        <f>4*N58+9*J58+4*L58</f>
        <v>228.2314814814815</v>
      </c>
    </row>
    <row r="59" spans="3:17" ht="46.5" customHeight="1">
      <c r="C59" t="s">
        <v>134</v>
      </c>
      <c r="E59" s="56">
        <v>65</v>
      </c>
      <c r="F59" s="57">
        <f>E59*17/100</f>
        <v>11.05</v>
      </c>
      <c r="J59" s="75"/>
      <c r="K59" s="74"/>
      <c r="L59" s="75"/>
      <c r="M59" s="74"/>
      <c r="N59" s="74"/>
      <c r="O59" s="74"/>
      <c r="P59" s="75"/>
      <c r="Q59" s="75"/>
    </row>
    <row r="60" spans="3:17">
      <c r="C60" t="s">
        <v>135</v>
      </c>
      <c r="E60" s="56">
        <v>15</v>
      </c>
      <c r="F60" s="57">
        <f t="shared" ref="F60:F66" si="11">E60*17/100</f>
        <v>2.5499999999999998</v>
      </c>
    </row>
    <row r="61" spans="3:17">
      <c r="C61" t="s">
        <v>142</v>
      </c>
      <c r="E61" s="56">
        <v>0.2</v>
      </c>
      <c r="F61" s="57">
        <f t="shared" si="11"/>
        <v>3.4000000000000002E-2</v>
      </c>
    </row>
    <row r="62" spans="3:17">
      <c r="C62" t="s">
        <v>119</v>
      </c>
      <c r="E62" s="56">
        <v>0</v>
      </c>
      <c r="F62" s="57">
        <f t="shared" si="11"/>
        <v>0</v>
      </c>
    </row>
    <row r="63" spans="3:17">
      <c r="C63" t="s">
        <v>118</v>
      </c>
      <c r="E63" s="56">
        <v>1.4</v>
      </c>
      <c r="F63" s="57">
        <f t="shared" si="11"/>
        <v>0.23799999999999996</v>
      </c>
    </row>
    <row r="64" spans="3:17">
      <c r="C64" t="s">
        <v>143</v>
      </c>
      <c r="E64" s="56">
        <v>0</v>
      </c>
      <c r="F64" s="57">
        <f t="shared" si="11"/>
        <v>0</v>
      </c>
    </row>
    <row r="65" spans="3:6">
      <c r="C65" t="s">
        <v>133</v>
      </c>
      <c r="E65" s="56">
        <v>1.3</v>
      </c>
      <c r="F65" s="57">
        <f t="shared" si="11"/>
        <v>0.221</v>
      </c>
    </row>
    <row r="66" spans="3:6">
      <c r="C66" t="s">
        <v>120</v>
      </c>
      <c r="E66" s="56">
        <v>0</v>
      </c>
      <c r="F66" s="57">
        <f t="shared" si="11"/>
        <v>0</v>
      </c>
    </row>
    <row r="69" spans="3:6">
      <c r="C69" s="64" t="s">
        <v>144</v>
      </c>
      <c r="D69" s="54"/>
      <c r="E69" s="54"/>
      <c r="F69" t="s">
        <v>251</v>
      </c>
    </row>
    <row r="70" spans="3:6">
      <c r="C70" t="s">
        <v>134</v>
      </c>
      <c r="E70" s="56">
        <v>88</v>
      </c>
      <c r="F70" s="57">
        <f>$E70*22/100</f>
        <v>19.36</v>
      </c>
    </row>
    <row r="71" spans="3:6">
      <c r="C71" t="s">
        <v>135</v>
      </c>
      <c r="E71" s="56">
        <v>21</v>
      </c>
      <c r="F71" s="57">
        <f t="shared" ref="F71:F77" si="12">$E71*22/100</f>
        <v>4.62</v>
      </c>
    </row>
    <row r="72" spans="3:6">
      <c r="C72" t="s">
        <v>142</v>
      </c>
      <c r="E72" s="56" t="s">
        <v>145</v>
      </c>
      <c r="F72" s="57" t="e">
        <f t="shared" si="12"/>
        <v>#VALUE!</v>
      </c>
    </row>
    <row r="73" spans="3:6">
      <c r="C73" t="s">
        <v>119</v>
      </c>
      <c r="E73" s="56"/>
      <c r="F73" s="57">
        <f t="shared" si="12"/>
        <v>0</v>
      </c>
    </row>
    <row r="74" spans="3:6">
      <c r="C74" t="s">
        <v>118</v>
      </c>
      <c r="E74" s="56" t="s">
        <v>147</v>
      </c>
      <c r="F74" s="57" t="e">
        <f t="shared" si="12"/>
        <v>#VALUE!</v>
      </c>
    </row>
    <row r="75" spans="3:6">
      <c r="C75" t="s">
        <v>143</v>
      </c>
      <c r="E75" s="56"/>
      <c r="F75" s="57">
        <f t="shared" si="12"/>
        <v>0</v>
      </c>
    </row>
    <row r="76" spans="3:6">
      <c r="C76" t="s">
        <v>133</v>
      </c>
      <c r="E76" s="56" t="s">
        <v>146</v>
      </c>
      <c r="F76" s="57" t="e">
        <f t="shared" si="12"/>
        <v>#VALUE!</v>
      </c>
    </row>
    <row r="77" spans="3:6">
      <c r="C77" t="s">
        <v>120</v>
      </c>
      <c r="E77" s="49"/>
      <c r="F77" s="57">
        <f t="shared" si="12"/>
        <v>0</v>
      </c>
    </row>
    <row r="80" spans="3:6">
      <c r="C80" s="64" t="s">
        <v>152</v>
      </c>
      <c r="D80" s="54"/>
      <c r="F80" t="s">
        <v>252</v>
      </c>
    </row>
    <row r="81" spans="3:6">
      <c r="C81" t="s">
        <v>134</v>
      </c>
      <c r="E81">
        <v>533</v>
      </c>
      <c r="F81" s="55">
        <f>$E81*27/100</f>
        <v>143.91</v>
      </c>
    </row>
    <row r="82" spans="3:6">
      <c r="C82" t="s">
        <v>135</v>
      </c>
      <c r="E82">
        <v>128</v>
      </c>
      <c r="F82" s="55">
        <f t="shared" ref="F82:F88" si="13">$E82*27/100</f>
        <v>34.56</v>
      </c>
    </row>
    <row r="83" spans="3:6">
      <c r="C83" t="s">
        <v>136</v>
      </c>
      <c r="E83">
        <v>7.1</v>
      </c>
      <c r="F83" s="55">
        <f t="shared" si="13"/>
        <v>1.9169999999999998</v>
      </c>
    </row>
    <row r="84" spans="3:6">
      <c r="C84" t="s">
        <v>137</v>
      </c>
      <c r="E84">
        <v>1.51</v>
      </c>
      <c r="F84" s="55">
        <f t="shared" si="13"/>
        <v>0.40770000000000001</v>
      </c>
    </row>
    <row r="85" spans="3:6">
      <c r="C85" t="s">
        <v>138</v>
      </c>
      <c r="E85">
        <v>3.4</v>
      </c>
      <c r="F85" s="55">
        <f t="shared" si="13"/>
        <v>0.91799999999999993</v>
      </c>
    </row>
    <row r="86" spans="3:6">
      <c r="C86" t="s">
        <v>139</v>
      </c>
      <c r="E86">
        <v>0.4</v>
      </c>
      <c r="F86" s="55">
        <f t="shared" si="13"/>
        <v>0.10800000000000001</v>
      </c>
    </row>
    <row r="87" spans="3:6">
      <c r="C87" t="s">
        <v>140</v>
      </c>
      <c r="E87">
        <v>12.5</v>
      </c>
      <c r="F87" s="55">
        <f t="shared" si="13"/>
        <v>3.375</v>
      </c>
    </row>
    <row r="88" spans="3:6">
      <c r="C88" t="s">
        <v>141</v>
      </c>
      <c r="E88">
        <v>0.48</v>
      </c>
      <c r="F88" s="55">
        <f t="shared" si="13"/>
        <v>0.12959999999999999</v>
      </c>
    </row>
    <row r="91" spans="3:6">
      <c r="C91" s="64" t="s">
        <v>148</v>
      </c>
      <c r="D91" s="54"/>
      <c r="E91" s="53"/>
      <c r="F91" t="s">
        <v>253</v>
      </c>
    </row>
    <row r="92" spans="3:6">
      <c r="C92" t="s">
        <v>134</v>
      </c>
      <c r="E92" s="56">
        <v>1235</v>
      </c>
      <c r="F92" s="57">
        <f>$E92*37/100</f>
        <v>456.95</v>
      </c>
    </row>
    <row r="93" spans="3:6">
      <c r="C93" t="s">
        <v>135</v>
      </c>
      <c r="E93" s="56">
        <v>297</v>
      </c>
      <c r="F93" s="57">
        <f t="shared" ref="F93:F99" si="14">$E93*37/100</f>
        <v>109.89</v>
      </c>
    </row>
    <row r="94" spans="3:6">
      <c r="C94" t="s">
        <v>142</v>
      </c>
      <c r="E94" s="56">
        <v>23</v>
      </c>
      <c r="F94" s="57">
        <f t="shared" si="14"/>
        <v>8.51</v>
      </c>
    </row>
    <row r="95" spans="3:6">
      <c r="C95" t="s">
        <v>119</v>
      </c>
      <c r="E95" s="56">
        <v>24</v>
      </c>
      <c r="F95" s="57">
        <f t="shared" si="14"/>
        <v>8.8800000000000008</v>
      </c>
    </row>
    <row r="96" spans="3:6">
      <c r="C96" t="s">
        <v>118</v>
      </c>
      <c r="E96" s="56">
        <v>1.6</v>
      </c>
      <c r="F96" s="57">
        <f t="shared" si="14"/>
        <v>0.59200000000000008</v>
      </c>
    </row>
    <row r="97" spans="3:6">
      <c r="C97" t="s">
        <v>153</v>
      </c>
      <c r="E97" s="56">
        <v>0</v>
      </c>
      <c r="F97" s="57">
        <f t="shared" si="14"/>
        <v>0</v>
      </c>
    </row>
    <row r="98" spans="3:6">
      <c r="C98" t="s">
        <v>133</v>
      </c>
      <c r="E98" s="56">
        <v>21</v>
      </c>
      <c r="F98" s="57">
        <f t="shared" si="14"/>
        <v>7.77</v>
      </c>
    </row>
    <row r="99" spans="3:6">
      <c r="C99" t="s">
        <v>120</v>
      </c>
      <c r="E99" s="56">
        <v>25</v>
      </c>
      <c r="F99" s="57">
        <f t="shared" si="14"/>
        <v>9.25</v>
      </c>
    </row>
  </sheetData>
  <mergeCells count="14">
    <mergeCell ref="A1:H1"/>
    <mergeCell ref="H38:H40"/>
    <mergeCell ref="I38:I39"/>
    <mergeCell ref="J37:O37"/>
    <mergeCell ref="H49:H51"/>
    <mergeCell ref="I49:I51"/>
    <mergeCell ref="H56:I56"/>
    <mergeCell ref="H57:I57"/>
    <mergeCell ref="H58:I58"/>
    <mergeCell ref="P49:Q49"/>
    <mergeCell ref="H52:I52"/>
    <mergeCell ref="H53:I53"/>
    <mergeCell ref="H54:I54"/>
    <mergeCell ref="H55:I55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125" zoomScaleNormal="70" zoomScalePageLayoutView="70" workbookViewId="0">
      <selection activeCell="H36" sqref="H36:O36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69921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9.5" bestFit="1" customWidth="1"/>
    <col min="9" max="9" width="15.69921875" customWidth="1"/>
  </cols>
  <sheetData>
    <row r="1" spans="1:7" ht="31.05" customHeight="1">
      <c r="A1" s="193" t="s">
        <v>114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94.2">
      <c r="A3" s="2" t="s">
        <v>45</v>
      </c>
      <c r="B3" s="37" t="s">
        <v>3</v>
      </c>
      <c r="C3" s="3">
        <v>55</v>
      </c>
      <c r="D3" s="3">
        <v>43</v>
      </c>
      <c r="E3" s="5" t="s">
        <v>90</v>
      </c>
      <c r="F3" s="6" t="s">
        <v>88</v>
      </c>
      <c r="G3" s="3" t="s">
        <v>87</v>
      </c>
    </row>
    <row r="4" spans="1:7" ht="47.4">
      <c r="A4" s="2" t="s">
        <v>92</v>
      </c>
      <c r="B4" s="37" t="s">
        <v>50</v>
      </c>
      <c r="C4" s="3">
        <v>13</v>
      </c>
      <c r="D4" s="3">
        <v>10</v>
      </c>
      <c r="E4" s="30" t="s">
        <v>89</v>
      </c>
      <c r="F4" s="19" t="s">
        <v>17</v>
      </c>
      <c r="G4" s="3"/>
    </row>
    <row r="5" spans="1:7" ht="16.05" customHeight="1">
      <c r="A5" s="2" t="s">
        <v>47</v>
      </c>
      <c r="B5" s="37"/>
      <c r="C5" s="3">
        <v>10</v>
      </c>
      <c r="D5" s="3">
        <v>8</v>
      </c>
      <c r="E5" s="31"/>
      <c r="F5" s="3"/>
      <c r="G5" s="3"/>
    </row>
    <row r="6" spans="1:7" ht="47.4">
      <c r="A6" s="2" t="s">
        <v>26</v>
      </c>
      <c r="B6" s="20" t="s">
        <v>28</v>
      </c>
      <c r="C6" s="3">
        <v>22</v>
      </c>
      <c r="D6" s="3">
        <v>17</v>
      </c>
      <c r="E6" s="6" t="s">
        <v>77</v>
      </c>
      <c r="F6" s="3" t="s">
        <v>17</v>
      </c>
      <c r="G6" s="3"/>
    </row>
    <row r="7" spans="1:7" ht="47.4">
      <c r="A7" s="2" t="s">
        <v>39</v>
      </c>
      <c r="B7" s="12" t="s">
        <v>40</v>
      </c>
      <c r="C7" s="3">
        <v>28</v>
      </c>
      <c r="D7" s="3">
        <v>22</v>
      </c>
      <c r="E7" s="6" t="s">
        <v>41</v>
      </c>
      <c r="F7" s="3"/>
      <c r="G7" s="3"/>
    </row>
    <row r="8" spans="1:7" ht="43.95" customHeight="1">
      <c r="C8">
        <f>SUM(C3:C7)</f>
        <v>128</v>
      </c>
      <c r="D8">
        <f>SUM(D3:D7)</f>
        <v>100</v>
      </c>
      <c r="E8" s="46" t="s">
        <v>108</v>
      </c>
    </row>
    <row r="21" spans="3:15">
      <c r="D21" s="7"/>
    </row>
    <row r="22" spans="3:15">
      <c r="D22" s="7"/>
      <c r="F22" t="s">
        <v>263</v>
      </c>
      <c r="G22" t="s">
        <v>264</v>
      </c>
      <c r="H22" t="s">
        <v>265</v>
      </c>
      <c r="I22" t="s">
        <v>242</v>
      </c>
      <c r="J22" t="s">
        <v>269</v>
      </c>
      <c r="K22" t="s">
        <v>267</v>
      </c>
      <c r="L22" s="65" t="s">
        <v>155</v>
      </c>
    </row>
    <row r="23" spans="3:15">
      <c r="C23" t="s">
        <v>142</v>
      </c>
      <c r="F23" s="55">
        <v>8.25</v>
      </c>
      <c r="G23" s="55">
        <v>4.03</v>
      </c>
      <c r="H23">
        <v>2.5000000000000001E-2</v>
      </c>
      <c r="I23">
        <v>5.94</v>
      </c>
      <c r="J23">
        <v>1.036</v>
      </c>
      <c r="K23" s="55">
        <f t="shared" ref="K23:K28" si="0">SUM(F23:J23)</f>
        <v>19.281000000000002</v>
      </c>
      <c r="L23" s="55">
        <f t="shared" ref="L23:L28" si="1">$K23*100/128</f>
        <v>15.063281250000001</v>
      </c>
    </row>
    <row r="24" spans="3:15">
      <c r="C24" t="s">
        <v>119</v>
      </c>
      <c r="F24" s="55">
        <v>0.16500000000000001</v>
      </c>
      <c r="G24" s="55">
        <v>3.12</v>
      </c>
      <c r="H24">
        <v>0</v>
      </c>
      <c r="I24">
        <v>2.86</v>
      </c>
      <c r="J24">
        <v>0.33600000000000002</v>
      </c>
      <c r="K24" s="55">
        <f t="shared" si="0"/>
        <v>6.4809999999999999</v>
      </c>
      <c r="L24" s="55">
        <f t="shared" si="1"/>
        <v>5.0632812500000002</v>
      </c>
    </row>
    <row r="25" spans="3:15">
      <c r="C25" t="s">
        <v>118</v>
      </c>
      <c r="F25" s="55">
        <v>22</v>
      </c>
      <c r="G25" s="55">
        <v>0.83200000000000007</v>
      </c>
      <c r="H25">
        <v>0.14000000000000001</v>
      </c>
      <c r="I25">
        <v>0.11</v>
      </c>
      <c r="J25">
        <v>0.56000000000000005</v>
      </c>
      <c r="K25" s="55">
        <f t="shared" si="0"/>
        <v>23.641999999999999</v>
      </c>
      <c r="L25" s="55">
        <f t="shared" si="1"/>
        <v>18.470312499999999</v>
      </c>
    </row>
    <row r="26" spans="3:15">
      <c r="C26" t="s">
        <v>143</v>
      </c>
      <c r="F26" s="55">
        <v>3.355</v>
      </c>
      <c r="G26" s="55">
        <v>0.61099999999999999</v>
      </c>
      <c r="H26">
        <v>0</v>
      </c>
      <c r="I26">
        <v>0</v>
      </c>
      <c r="J26">
        <v>0.252</v>
      </c>
      <c r="K26" s="55">
        <f t="shared" si="0"/>
        <v>4.218</v>
      </c>
      <c r="L26" s="55">
        <f t="shared" si="1"/>
        <v>3.2953125000000001</v>
      </c>
    </row>
    <row r="27" spans="3:15">
      <c r="C27" t="s">
        <v>133</v>
      </c>
      <c r="F27" s="55">
        <v>4.7300000000000004</v>
      </c>
      <c r="G27" s="55">
        <v>0.35100000000000003</v>
      </c>
      <c r="H27">
        <v>0.13</v>
      </c>
      <c r="I27">
        <v>5.28</v>
      </c>
      <c r="J27">
        <v>3.8640000000000003</v>
      </c>
      <c r="K27" s="55">
        <f t="shared" si="0"/>
        <v>14.355</v>
      </c>
      <c r="L27" s="55">
        <f t="shared" si="1"/>
        <v>11.21484375</v>
      </c>
    </row>
    <row r="28" spans="3:15">
      <c r="C28" t="s">
        <v>120</v>
      </c>
      <c r="F28" s="55">
        <v>0.22</v>
      </c>
      <c r="G28" s="55">
        <v>6.5000000000000002E-2</v>
      </c>
      <c r="I28">
        <v>0.44</v>
      </c>
      <c r="J28">
        <v>0.58800000000000008</v>
      </c>
      <c r="K28" s="55">
        <f t="shared" si="0"/>
        <v>1.3130000000000002</v>
      </c>
      <c r="L28" s="55">
        <f t="shared" si="1"/>
        <v>1.0257812500000001</v>
      </c>
    </row>
    <row r="31" spans="3:15">
      <c r="C31" s="67" t="s">
        <v>259</v>
      </c>
      <c r="E31" t="s">
        <v>212</v>
      </c>
      <c r="F31" t="s">
        <v>263</v>
      </c>
      <c r="H31" s="98"/>
      <c r="I31" s="98"/>
      <c r="J31" s="245" t="s">
        <v>228</v>
      </c>
      <c r="K31" s="245"/>
      <c r="L31" s="245"/>
      <c r="M31" s="245"/>
      <c r="N31" s="245"/>
      <c r="O31" s="245"/>
    </row>
    <row r="32" spans="3:15" ht="43.2">
      <c r="C32" t="s">
        <v>142</v>
      </c>
      <c r="E32">
        <v>15</v>
      </c>
      <c r="F32">
        <v>8.25</v>
      </c>
      <c r="H32" s="242" t="s">
        <v>216</v>
      </c>
      <c r="I32" s="246" t="s">
        <v>225</v>
      </c>
      <c r="J32" s="70" t="s">
        <v>217</v>
      </c>
      <c r="K32" s="70" t="s">
        <v>226</v>
      </c>
      <c r="L32" s="70" t="s">
        <v>118</v>
      </c>
      <c r="M32" s="70" t="s">
        <v>143</v>
      </c>
      <c r="N32" s="70" t="s">
        <v>227</v>
      </c>
      <c r="O32" s="70" t="s">
        <v>120</v>
      </c>
    </row>
    <row r="33" spans="3:17">
      <c r="C33" t="s">
        <v>119</v>
      </c>
      <c r="E33">
        <v>0.3</v>
      </c>
      <c r="F33">
        <v>0.16500000000000001</v>
      </c>
      <c r="H33" s="242"/>
      <c r="I33" s="246"/>
      <c r="J33" s="71" t="s">
        <v>218</v>
      </c>
      <c r="K33" s="71" t="s">
        <v>219</v>
      </c>
      <c r="L33" s="71" t="s">
        <v>220</v>
      </c>
      <c r="M33" s="71" t="s">
        <v>221</v>
      </c>
      <c r="N33" s="71" t="s">
        <v>222</v>
      </c>
      <c r="O33" s="71" t="s">
        <v>223</v>
      </c>
    </row>
    <row r="34" spans="3:17">
      <c r="C34" t="s">
        <v>118</v>
      </c>
      <c r="E34">
        <v>40</v>
      </c>
      <c r="F34">
        <v>22</v>
      </c>
      <c r="H34" s="242"/>
      <c r="I34" s="99" t="s">
        <v>224</v>
      </c>
      <c r="J34" s="71" t="s">
        <v>224</v>
      </c>
      <c r="K34" s="71" t="s">
        <v>224</v>
      </c>
      <c r="L34" s="71" t="s">
        <v>224</v>
      </c>
      <c r="M34" s="71" t="s">
        <v>224</v>
      </c>
      <c r="N34" s="71" t="s">
        <v>224</v>
      </c>
      <c r="O34" s="71" t="s">
        <v>224</v>
      </c>
    </row>
    <row r="35" spans="3:17" ht="17.399999999999999">
      <c r="C35" t="s">
        <v>143</v>
      </c>
      <c r="E35">
        <v>6.1</v>
      </c>
      <c r="F35">
        <v>3.355</v>
      </c>
      <c r="H35" s="82" t="s">
        <v>45</v>
      </c>
      <c r="I35" s="3">
        <v>55</v>
      </c>
      <c r="J35" s="24">
        <v>15</v>
      </c>
      <c r="K35" s="24">
        <v>0.3</v>
      </c>
      <c r="L35" s="24">
        <v>40</v>
      </c>
      <c r="M35" s="24">
        <v>6.1</v>
      </c>
      <c r="N35" s="24">
        <v>8.6</v>
      </c>
      <c r="O35" s="24">
        <v>0.4</v>
      </c>
    </row>
    <row r="36" spans="3:17" ht="17.399999999999999">
      <c r="C36" t="s">
        <v>133</v>
      </c>
      <c r="E36">
        <v>8.6</v>
      </c>
      <c r="F36">
        <v>4.7300000000000004</v>
      </c>
      <c r="H36" s="82" t="s">
        <v>92</v>
      </c>
      <c r="I36" s="3">
        <v>13</v>
      </c>
      <c r="J36" s="24">
        <v>31</v>
      </c>
      <c r="K36" s="24">
        <v>24</v>
      </c>
      <c r="L36" s="24">
        <v>6.4</v>
      </c>
      <c r="M36" s="24">
        <v>4.7</v>
      </c>
      <c r="N36" s="24">
        <v>2.7</v>
      </c>
      <c r="O36" s="24">
        <v>0.5</v>
      </c>
    </row>
    <row r="37" spans="3:17" ht="17.399999999999999">
      <c r="C37" t="s">
        <v>120</v>
      </c>
      <c r="E37">
        <v>0.4</v>
      </c>
      <c r="F37">
        <v>0.22</v>
      </c>
      <c r="H37" s="82" t="s">
        <v>47</v>
      </c>
      <c r="I37" s="3">
        <v>10</v>
      </c>
      <c r="J37" s="24">
        <v>0.25</v>
      </c>
      <c r="K37" s="24">
        <v>0</v>
      </c>
      <c r="L37" s="24">
        <v>1.4</v>
      </c>
      <c r="M37" s="24">
        <v>0</v>
      </c>
      <c r="N37" s="24">
        <v>1.3</v>
      </c>
      <c r="O37" s="24">
        <v>0</v>
      </c>
    </row>
    <row r="38" spans="3:17" ht="17.399999999999999">
      <c r="H38" s="82" t="s">
        <v>26</v>
      </c>
      <c r="I38" s="3">
        <v>22</v>
      </c>
      <c r="J38" s="3">
        <v>27</v>
      </c>
      <c r="K38" s="78">
        <v>13</v>
      </c>
      <c r="L38" s="3">
        <v>0.5</v>
      </c>
      <c r="M38" s="3">
        <v>0</v>
      </c>
      <c r="N38" s="3">
        <v>24</v>
      </c>
      <c r="O38" s="3">
        <v>2</v>
      </c>
    </row>
    <row r="39" spans="3:17" ht="17.399999999999999">
      <c r="C39" s="67" t="s">
        <v>261</v>
      </c>
      <c r="E39" t="s">
        <v>212</v>
      </c>
      <c r="F39" t="s">
        <v>264</v>
      </c>
      <c r="H39" s="82" t="s">
        <v>39</v>
      </c>
      <c r="I39" s="3">
        <v>28</v>
      </c>
      <c r="J39" s="3">
        <v>3.7</v>
      </c>
      <c r="K39" s="3">
        <v>1.2</v>
      </c>
      <c r="L39" s="3">
        <v>2</v>
      </c>
      <c r="M39" s="3">
        <v>0.9</v>
      </c>
      <c r="N39" s="3">
        <v>13.8</v>
      </c>
      <c r="O39" s="3">
        <v>2.1</v>
      </c>
    </row>
    <row r="40" spans="3:17">
      <c r="C40" t="s">
        <v>142</v>
      </c>
      <c r="E40">
        <v>31</v>
      </c>
      <c r="F40">
        <f t="shared" ref="F40:F45" si="2">$E40*13/100</f>
        <v>4.03</v>
      </c>
    </row>
    <row r="41" spans="3:17">
      <c r="C41" t="s">
        <v>119</v>
      </c>
      <c r="E41">
        <v>24</v>
      </c>
      <c r="F41">
        <f t="shared" si="2"/>
        <v>3.12</v>
      </c>
    </row>
    <row r="42" spans="3:17" ht="43.2">
      <c r="C42" t="s">
        <v>118</v>
      </c>
      <c r="E42">
        <v>6.4</v>
      </c>
      <c r="F42">
        <f t="shared" si="2"/>
        <v>0.83200000000000007</v>
      </c>
      <c r="H42" s="202" t="s">
        <v>0</v>
      </c>
      <c r="I42" s="204" t="s">
        <v>229</v>
      </c>
      <c r="J42" s="70" t="s">
        <v>217</v>
      </c>
      <c r="K42" s="70" t="s">
        <v>226</v>
      </c>
      <c r="L42" s="70" t="s">
        <v>118</v>
      </c>
      <c r="M42" s="70" t="s">
        <v>143</v>
      </c>
      <c r="N42" s="70" t="s">
        <v>227</v>
      </c>
      <c r="O42" s="70" t="s">
        <v>120</v>
      </c>
      <c r="P42" s="191" t="s">
        <v>230</v>
      </c>
      <c r="Q42" s="192"/>
    </row>
    <row r="43" spans="3:17">
      <c r="C43" t="s">
        <v>143</v>
      </c>
      <c r="E43">
        <v>4.7</v>
      </c>
      <c r="F43">
        <f t="shared" si="2"/>
        <v>0.61099999999999999</v>
      </c>
      <c r="H43" s="203"/>
      <c r="I43" s="205"/>
      <c r="J43" s="71" t="s">
        <v>218</v>
      </c>
      <c r="K43" s="71" t="s">
        <v>219</v>
      </c>
      <c r="L43" s="71" t="s">
        <v>220</v>
      </c>
      <c r="M43" s="71" t="s">
        <v>221</v>
      </c>
      <c r="N43" s="71" t="s">
        <v>222</v>
      </c>
      <c r="O43" s="71" t="s">
        <v>223</v>
      </c>
      <c r="P43" s="71" t="s">
        <v>231</v>
      </c>
      <c r="Q43" s="71" t="s">
        <v>231</v>
      </c>
    </row>
    <row r="44" spans="3:17">
      <c r="C44" t="s">
        <v>133</v>
      </c>
      <c r="E44">
        <v>2.7</v>
      </c>
      <c r="F44">
        <f t="shared" si="2"/>
        <v>0.35100000000000003</v>
      </c>
      <c r="H44" s="203"/>
      <c r="I44" s="205"/>
      <c r="J44" s="77" t="s">
        <v>224</v>
      </c>
      <c r="K44" s="77" t="s">
        <v>224</v>
      </c>
      <c r="L44" s="77" t="s">
        <v>224</v>
      </c>
      <c r="M44" s="77" t="s">
        <v>224</v>
      </c>
      <c r="N44" s="77" t="s">
        <v>224</v>
      </c>
      <c r="O44" s="77" t="s">
        <v>224</v>
      </c>
      <c r="P44" s="77" t="s">
        <v>232</v>
      </c>
      <c r="Q44" s="77" t="s">
        <v>233</v>
      </c>
    </row>
    <row r="45" spans="3:17" ht="17.399999999999999">
      <c r="C45" t="s">
        <v>120</v>
      </c>
      <c r="E45">
        <v>0.5</v>
      </c>
      <c r="F45">
        <f t="shared" si="2"/>
        <v>6.5000000000000002E-2</v>
      </c>
      <c r="H45" s="188" t="s">
        <v>45</v>
      </c>
      <c r="I45" s="188"/>
      <c r="J45" s="78">
        <f>$J35*I35/128</f>
        <v>6.4453125</v>
      </c>
      <c r="K45" s="78">
        <f>$K35*I35/128</f>
        <v>0.12890625</v>
      </c>
      <c r="L45" s="78">
        <f>$L35*I35/128</f>
        <v>17.1875</v>
      </c>
      <c r="M45" s="78">
        <f>$M35*I35/128</f>
        <v>2.62109375</v>
      </c>
      <c r="N45" s="78">
        <f>$N35*I35/128</f>
        <v>3.6953125</v>
      </c>
      <c r="O45" s="78">
        <f>$O35*I35/128</f>
        <v>0.171875</v>
      </c>
      <c r="P45" s="3"/>
      <c r="Q45" s="3"/>
    </row>
    <row r="46" spans="3:17" ht="17.399999999999999">
      <c r="H46" s="188" t="s">
        <v>92</v>
      </c>
      <c r="I46" s="188"/>
      <c r="J46" s="78">
        <f>$J36*I36/128</f>
        <v>3.1484375</v>
      </c>
      <c r="K46" s="78">
        <f>$K36*I36/128</f>
        <v>2.4375</v>
      </c>
      <c r="L46" s="78">
        <f>$L36*I36/128</f>
        <v>0.65</v>
      </c>
      <c r="M46" s="78">
        <f>$M36*I36/128</f>
        <v>0.47734375000000001</v>
      </c>
      <c r="N46" s="78">
        <f>$N36*I36/128</f>
        <v>0.27421875000000001</v>
      </c>
      <c r="O46" s="78">
        <f>$O36*I36/128</f>
        <v>5.078125E-2</v>
      </c>
      <c r="P46" s="3"/>
      <c r="Q46" s="3"/>
    </row>
    <row r="47" spans="3:17" ht="17.399999999999999">
      <c r="C47" s="67" t="s">
        <v>262</v>
      </c>
      <c r="E47" t="s">
        <v>212</v>
      </c>
      <c r="F47" t="s">
        <v>265</v>
      </c>
      <c r="H47" s="188" t="s">
        <v>47</v>
      </c>
      <c r="I47" s="188"/>
      <c r="J47" s="78">
        <f>$J37*I37/128</f>
        <v>1.953125E-2</v>
      </c>
      <c r="K47" s="78">
        <f>$K37*I37/128</f>
        <v>0</v>
      </c>
      <c r="L47" s="78">
        <f>$L37*I37/128</f>
        <v>0.109375</v>
      </c>
      <c r="M47" s="78">
        <f>$M37*I37/128</f>
        <v>0</v>
      </c>
      <c r="N47" s="78">
        <f>$N37*I37/128</f>
        <v>0.1015625</v>
      </c>
      <c r="O47" s="78">
        <f>$O37*I37/128</f>
        <v>0</v>
      </c>
      <c r="P47" s="3"/>
      <c r="Q47" s="3"/>
    </row>
    <row r="48" spans="3:17" ht="17.399999999999999">
      <c r="C48" t="s">
        <v>142</v>
      </c>
      <c r="E48">
        <v>0.25</v>
      </c>
      <c r="F48">
        <f>$E48*10/100</f>
        <v>2.5000000000000001E-2</v>
      </c>
      <c r="H48" s="188" t="s">
        <v>26</v>
      </c>
      <c r="I48" s="188"/>
      <c r="J48" s="78">
        <f>$J38*I38/128</f>
        <v>4.640625</v>
      </c>
      <c r="K48" s="78">
        <f>$K38*I38/128</f>
        <v>2.234375</v>
      </c>
      <c r="L48" s="78">
        <f>$L38*I38/128</f>
        <v>8.59375E-2</v>
      </c>
      <c r="M48" s="78">
        <f>$M38*I38/128</f>
        <v>0</v>
      </c>
      <c r="N48" s="78">
        <f>$N38*I38/128</f>
        <v>4.125</v>
      </c>
      <c r="O48" s="78">
        <f>$O38*I38/128</f>
        <v>0.34375</v>
      </c>
      <c r="P48" s="3"/>
      <c r="Q48" s="3"/>
    </row>
    <row r="49" spans="3:17" ht="17.399999999999999">
      <c r="C49" t="s">
        <v>119</v>
      </c>
      <c r="F49">
        <f>$E49*10/100</f>
        <v>0</v>
      </c>
      <c r="H49" s="188" t="s">
        <v>39</v>
      </c>
      <c r="I49" s="188"/>
      <c r="J49" s="78">
        <f>$J39*I39/128</f>
        <v>0.80937500000000007</v>
      </c>
      <c r="K49" s="78">
        <f>$K39*I39/128</f>
        <v>0.26250000000000001</v>
      </c>
      <c r="L49" s="78">
        <f>$L39*I39/128</f>
        <v>0.4375</v>
      </c>
      <c r="M49" s="78">
        <f>$M39*I39/128</f>
        <v>0.19687499999999999</v>
      </c>
      <c r="N49" s="78">
        <f>$N39*I39/128</f>
        <v>3.0187500000000003</v>
      </c>
      <c r="O49" s="78">
        <f>$O39*I39/128</f>
        <v>0.45937500000000003</v>
      </c>
      <c r="P49" s="3"/>
      <c r="Q49" s="3"/>
    </row>
    <row r="50" spans="3:17" ht="32.25" customHeight="1">
      <c r="C50" t="s">
        <v>118</v>
      </c>
      <c r="E50">
        <v>1.4</v>
      </c>
      <c r="F50">
        <f>$E50*10/100</f>
        <v>0.14000000000000001</v>
      </c>
      <c r="H50" s="189" t="s">
        <v>234</v>
      </c>
      <c r="I50" s="190"/>
      <c r="J50" s="85">
        <f t="shared" ref="J50:O50" si="3">SUM(J45:J49)</f>
        <v>15.063281249999999</v>
      </c>
      <c r="K50" s="84">
        <f t="shared" si="3"/>
        <v>5.0632812500000002</v>
      </c>
      <c r="L50" s="85">
        <f t="shared" si="3"/>
        <v>18.470312499999999</v>
      </c>
      <c r="M50" s="84">
        <f t="shared" si="3"/>
        <v>3.2953125000000001</v>
      </c>
      <c r="N50" s="84">
        <f t="shared" si="3"/>
        <v>11.21484375</v>
      </c>
      <c r="O50" s="84">
        <f t="shared" si="3"/>
        <v>1.0257812500000001</v>
      </c>
      <c r="P50" s="85">
        <f>17*N50+37*J50+17*L50</f>
        <v>1061.9890624999998</v>
      </c>
      <c r="Q50" s="85">
        <f>4*N50+9*J50+4*L50</f>
        <v>254.31015624999998</v>
      </c>
    </row>
    <row r="51" spans="3:17">
      <c r="C51" t="s">
        <v>143</v>
      </c>
      <c r="F51">
        <f>$E51*10/100</f>
        <v>0</v>
      </c>
    </row>
    <row r="52" spans="3:17">
      <c r="C52" t="s">
        <v>133</v>
      </c>
      <c r="E52">
        <v>1.3</v>
      </c>
      <c r="F52">
        <f>$E52*10/100</f>
        <v>0.13</v>
      </c>
    </row>
    <row r="53" spans="3:17">
      <c r="C53" t="s">
        <v>120</v>
      </c>
    </row>
    <row r="55" spans="3:17">
      <c r="C55" s="67" t="s">
        <v>26</v>
      </c>
      <c r="E55" s="56" t="s">
        <v>212</v>
      </c>
      <c r="F55" t="s">
        <v>242</v>
      </c>
    </row>
    <row r="56" spans="3:17">
      <c r="C56" t="s">
        <v>142</v>
      </c>
      <c r="E56">
        <v>27</v>
      </c>
      <c r="F56">
        <f t="shared" ref="F56:F61" si="4">$E56*22/100</f>
        <v>5.94</v>
      </c>
    </row>
    <row r="57" spans="3:17">
      <c r="C57" t="s">
        <v>119</v>
      </c>
      <c r="E57">
        <v>13</v>
      </c>
      <c r="F57">
        <f t="shared" si="4"/>
        <v>2.86</v>
      </c>
    </row>
    <row r="58" spans="3:17">
      <c r="C58" t="s">
        <v>118</v>
      </c>
      <c r="E58">
        <v>0.5</v>
      </c>
      <c r="F58">
        <f t="shared" si="4"/>
        <v>0.11</v>
      </c>
    </row>
    <row r="59" spans="3:17">
      <c r="C59" t="s">
        <v>143</v>
      </c>
      <c r="E59">
        <v>0</v>
      </c>
      <c r="F59">
        <f t="shared" si="4"/>
        <v>0</v>
      </c>
    </row>
    <row r="60" spans="3:17">
      <c r="C60" t="s">
        <v>133</v>
      </c>
      <c r="E60">
        <v>24</v>
      </c>
      <c r="F60">
        <f t="shared" si="4"/>
        <v>5.28</v>
      </c>
    </row>
    <row r="61" spans="3:17">
      <c r="C61" t="s">
        <v>120</v>
      </c>
      <c r="E61">
        <v>2</v>
      </c>
      <c r="F61">
        <f t="shared" si="4"/>
        <v>0.44</v>
      </c>
    </row>
    <row r="63" spans="3:17">
      <c r="C63" s="67" t="s">
        <v>268</v>
      </c>
      <c r="E63" t="s">
        <v>212</v>
      </c>
      <c r="F63" t="s">
        <v>269</v>
      </c>
    </row>
    <row r="64" spans="3:17">
      <c r="C64" t="s">
        <v>142</v>
      </c>
      <c r="E64">
        <v>3.7</v>
      </c>
      <c r="F64" s="55">
        <f t="shared" ref="F64:F69" si="5">$E64*28/100</f>
        <v>1.036</v>
      </c>
    </row>
    <row r="65" spans="3:6">
      <c r="C65" t="s">
        <v>119</v>
      </c>
      <c r="E65">
        <v>1.2</v>
      </c>
      <c r="F65" s="55">
        <f t="shared" si="5"/>
        <v>0.33600000000000002</v>
      </c>
    </row>
    <row r="66" spans="3:6">
      <c r="C66" t="s">
        <v>118</v>
      </c>
      <c r="E66">
        <v>2</v>
      </c>
      <c r="F66" s="55">
        <f t="shared" si="5"/>
        <v>0.56000000000000005</v>
      </c>
    </row>
    <row r="67" spans="3:6">
      <c r="C67" t="s">
        <v>143</v>
      </c>
      <c r="E67">
        <v>0.9</v>
      </c>
      <c r="F67" s="55">
        <f t="shared" si="5"/>
        <v>0.252</v>
      </c>
    </row>
    <row r="68" spans="3:6">
      <c r="C68" t="s">
        <v>133</v>
      </c>
      <c r="E68">
        <v>13.8</v>
      </c>
      <c r="F68" s="55">
        <f t="shared" si="5"/>
        <v>3.8640000000000003</v>
      </c>
    </row>
    <row r="69" spans="3:6">
      <c r="C69" t="s">
        <v>120</v>
      </c>
      <c r="E69">
        <v>2.1</v>
      </c>
      <c r="F69" s="55">
        <f t="shared" si="5"/>
        <v>0.58800000000000008</v>
      </c>
    </row>
  </sheetData>
  <mergeCells count="13">
    <mergeCell ref="A1:G1"/>
    <mergeCell ref="J31:O31"/>
    <mergeCell ref="H32:H34"/>
    <mergeCell ref="I32:I33"/>
    <mergeCell ref="H42:H44"/>
    <mergeCell ref="I42:I44"/>
    <mergeCell ref="H49:I49"/>
    <mergeCell ref="H50:I50"/>
    <mergeCell ref="P42:Q42"/>
    <mergeCell ref="H45:I45"/>
    <mergeCell ref="H46:I46"/>
    <mergeCell ref="H47:I47"/>
    <mergeCell ref="H48:I48"/>
  </mergeCell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Normal="70" zoomScalePageLayoutView="70" workbookViewId="0">
      <selection activeCell="B3" sqref="B3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31.796875" bestFit="1" customWidth="1"/>
  </cols>
  <sheetData>
    <row r="1" spans="1:7" ht="31.05" customHeight="1">
      <c r="A1" s="193" t="s">
        <v>170</v>
      </c>
      <c r="B1" s="247"/>
      <c r="C1" s="247"/>
      <c r="D1" s="247"/>
      <c r="E1" s="247"/>
      <c r="F1" s="247"/>
      <c r="G1" s="247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109.8">
      <c r="A3" s="2" t="s">
        <v>51</v>
      </c>
      <c r="B3" s="37" t="s">
        <v>3</v>
      </c>
      <c r="C3" s="3">
        <v>120</v>
      </c>
      <c r="D3" s="3">
        <v>50</v>
      </c>
      <c r="E3" s="4" t="s">
        <v>180</v>
      </c>
      <c r="F3" s="5" t="s">
        <v>165</v>
      </c>
      <c r="G3" s="21" t="s">
        <v>164</v>
      </c>
    </row>
    <row r="4" spans="1:7" ht="17.399999999999999">
      <c r="A4" s="2" t="s">
        <v>47</v>
      </c>
      <c r="B4" s="37"/>
      <c r="C4" s="3">
        <v>6</v>
      </c>
      <c r="D4" s="18">
        <v>2.5</v>
      </c>
      <c r="E4" s="35"/>
      <c r="F4" s="6"/>
      <c r="G4" s="3"/>
    </row>
    <row r="5" spans="1:7" ht="47.4">
      <c r="A5" s="2" t="s">
        <v>92</v>
      </c>
      <c r="B5" s="37" t="s">
        <v>50</v>
      </c>
      <c r="C5" s="3">
        <v>40</v>
      </c>
      <c r="D5" s="3">
        <v>16.7</v>
      </c>
      <c r="E5" s="30" t="s">
        <v>89</v>
      </c>
      <c r="F5" s="19" t="s">
        <v>17</v>
      </c>
      <c r="G5" s="3"/>
    </row>
    <row r="6" spans="1:7" ht="47.4">
      <c r="A6" s="2" t="s">
        <v>26</v>
      </c>
      <c r="B6" s="20" t="s">
        <v>28</v>
      </c>
      <c r="C6" s="3">
        <v>60</v>
      </c>
      <c r="D6" s="3">
        <v>25</v>
      </c>
      <c r="E6" s="6" t="s">
        <v>77</v>
      </c>
      <c r="F6" s="3" t="s">
        <v>17</v>
      </c>
      <c r="G6" s="3"/>
    </row>
    <row r="7" spans="1:7" ht="17.399999999999999">
      <c r="A7" s="2" t="s">
        <v>52</v>
      </c>
      <c r="B7" s="9"/>
      <c r="C7" s="3">
        <v>2</v>
      </c>
      <c r="D7" s="3">
        <v>0.8</v>
      </c>
      <c r="E7" s="33"/>
      <c r="F7" s="3"/>
      <c r="G7" s="3"/>
    </row>
    <row r="8" spans="1:7" ht="17.399999999999999">
      <c r="A8" s="2" t="s">
        <v>53</v>
      </c>
      <c r="B8" s="3"/>
      <c r="C8" s="3">
        <v>12</v>
      </c>
      <c r="D8" s="3">
        <v>5</v>
      </c>
      <c r="E8" s="34"/>
      <c r="F8" s="3"/>
      <c r="G8" s="3"/>
    </row>
    <row r="9" spans="1:7" ht="43.95" customHeight="1">
      <c r="C9" s="60">
        <f>SUM(C3:C8)</f>
        <v>240</v>
      </c>
      <c r="D9">
        <f>SUM(D3:D8)</f>
        <v>100</v>
      </c>
      <c r="E9" t="s">
        <v>270</v>
      </c>
    </row>
    <row r="22" spans="3:13">
      <c r="D22" s="7"/>
    </row>
    <row r="27" spans="3:13">
      <c r="D27" s="7"/>
      <c r="F27" t="s">
        <v>272</v>
      </c>
      <c r="G27" t="s">
        <v>273</v>
      </c>
      <c r="H27" t="s">
        <v>274</v>
      </c>
      <c r="I27" t="s">
        <v>275</v>
      </c>
      <c r="J27" t="s">
        <v>276</v>
      </c>
      <c r="K27" t="s">
        <v>277</v>
      </c>
      <c r="L27" t="s">
        <v>278</v>
      </c>
      <c r="M27" s="65" t="s">
        <v>155</v>
      </c>
    </row>
    <row r="28" spans="3:13">
      <c r="C28" t="s">
        <v>142</v>
      </c>
      <c r="F28">
        <v>3.6</v>
      </c>
      <c r="G28">
        <v>12.4</v>
      </c>
      <c r="H28">
        <v>1.4999999999999999E-2</v>
      </c>
      <c r="I28">
        <v>16.2</v>
      </c>
      <c r="J28">
        <v>6.0000000000000001E-3</v>
      </c>
      <c r="K28">
        <v>2.4000000000000004E-2</v>
      </c>
      <c r="L28">
        <f t="shared" ref="L28:L33" si="0">SUM(F28:K28)</f>
        <v>32.245000000000005</v>
      </c>
      <c r="M28" s="55">
        <f t="shared" ref="M28:M33" si="1">$L28*100/240</f>
        <v>13.435416666666669</v>
      </c>
    </row>
    <row r="29" spans="3:13">
      <c r="C29" t="s">
        <v>119</v>
      </c>
      <c r="F29">
        <v>0.6</v>
      </c>
      <c r="G29">
        <v>9.6</v>
      </c>
      <c r="H29">
        <v>0</v>
      </c>
      <c r="I29">
        <v>7.8</v>
      </c>
      <c r="J29">
        <v>0</v>
      </c>
      <c r="K29">
        <v>0</v>
      </c>
      <c r="L29">
        <f t="shared" si="0"/>
        <v>18</v>
      </c>
      <c r="M29" s="55">
        <f t="shared" si="1"/>
        <v>7.5</v>
      </c>
    </row>
    <row r="30" spans="3:13">
      <c r="C30" t="s">
        <v>118</v>
      </c>
      <c r="F30">
        <v>60</v>
      </c>
      <c r="G30">
        <v>2.56</v>
      </c>
      <c r="H30">
        <v>8.3999999999999991E-2</v>
      </c>
      <c r="I30">
        <v>0.3</v>
      </c>
      <c r="J30">
        <v>5.2000000000000005E-2</v>
      </c>
      <c r="K30">
        <v>0.37200000000000005</v>
      </c>
      <c r="L30">
        <f t="shared" si="0"/>
        <v>63.368000000000002</v>
      </c>
      <c r="M30" s="55">
        <f t="shared" si="1"/>
        <v>26.403333333333332</v>
      </c>
    </row>
    <row r="31" spans="3:13">
      <c r="C31" t="s">
        <v>143</v>
      </c>
      <c r="F31">
        <v>3.48</v>
      </c>
      <c r="G31">
        <v>1.88</v>
      </c>
      <c r="H31">
        <v>0</v>
      </c>
      <c r="I31">
        <v>0</v>
      </c>
      <c r="J31">
        <v>0</v>
      </c>
      <c r="K31">
        <v>0</v>
      </c>
      <c r="L31">
        <f t="shared" si="0"/>
        <v>5.3599999999999994</v>
      </c>
      <c r="M31" s="55">
        <f t="shared" si="1"/>
        <v>2.2333333333333334</v>
      </c>
    </row>
    <row r="32" spans="3:13">
      <c r="C32" t="s">
        <v>133</v>
      </c>
      <c r="F32">
        <v>11.964</v>
      </c>
      <c r="G32">
        <v>1.08</v>
      </c>
      <c r="H32">
        <v>7.8000000000000014E-2</v>
      </c>
      <c r="I32">
        <v>14.4</v>
      </c>
      <c r="J32">
        <v>1.8000000000000002E-2</v>
      </c>
      <c r="K32">
        <v>0.10800000000000001</v>
      </c>
      <c r="L32">
        <f t="shared" si="0"/>
        <v>27.648</v>
      </c>
      <c r="M32" s="55">
        <f t="shared" si="1"/>
        <v>11.520000000000001</v>
      </c>
    </row>
    <row r="33" spans="3:17">
      <c r="C33" t="s">
        <v>120</v>
      </c>
      <c r="F33">
        <v>0.84</v>
      </c>
      <c r="G33">
        <v>0.2</v>
      </c>
      <c r="H33">
        <v>0</v>
      </c>
      <c r="I33">
        <v>1.2</v>
      </c>
      <c r="J33">
        <v>0</v>
      </c>
      <c r="K33">
        <v>0</v>
      </c>
      <c r="L33">
        <f t="shared" si="0"/>
        <v>2.2400000000000002</v>
      </c>
      <c r="M33" s="55">
        <f t="shared" si="1"/>
        <v>0.93333333333333346</v>
      </c>
    </row>
    <row r="36" spans="3:17">
      <c r="C36" s="67" t="s">
        <v>51</v>
      </c>
      <c r="E36" t="s">
        <v>212</v>
      </c>
      <c r="F36" t="s">
        <v>272</v>
      </c>
      <c r="H36" s="98"/>
      <c r="I36" s="98"/>
      <c r="J36" s="245" t="s">
        <v>228</v>
      </c>
      <c r="K36" s="245"/>
      <c r="L36" s="245"/>
      <c r="M36" s="245"/>
      <c r="N36" s="245"/>
      <c r="O36" s="245"/>
    </row>
    <row r="37" spans="3:17" ht="43.2">
      <c r="C37" t="s">
        <v>142</v>
      </c>
      <c r="E37">
        <v>3</v>
      </c>
      <c r="F37">
        <f t="shared" ref="F37:F42" si="2">$E37*120/100</f>
        <v>3.6</v>
      </c>
      <c r="H37" s="242" t="s">
        <v>216</v>
      </c>
      <c r="I37" s="246" t="s">
        <v>225</v>
      </c>
      <c r="J37" s="70" t="s">
        <v>217</v>
      </c>
      <c r="K37" s="70" t="s">
        <v>226</v>
      </c>
      <c r="L37" s="70" t="s">
        <v>118</v>
      </c>
      <c r="M37" s="70" t="s">
        <v>143</v>
      </c>
      <c r="N37" s="70" t="s">
        <v>227</v>
      </c>
      <c r="O37" s="70" t="s">
        <v>120</v>
      </c>
    </row>
    <row r="38" spans="3:17">
      <c r="C38" t="s">
        <v>119</v>
      </c>
      <c r="E38">
        <v>0.5</v>
      </c>
      <c r="F38">
        <f t="shared" si="2"/>
        <v>0.6</v>
      </c>
      <c r="H38" s="242"/>
      <c r="I38" s="246"/>
      <c r="J38" s="71" t="s">
        <v>218</v>
      </c>
      <c r="K38" s="71" t="s">
        <v>219</v>
      </c>
      <c r="L38" s="71" t="s">
        <v>220</v>
      </c>
      <c r="M38" s="71" t="s">
        <v>221</v>
      </c>
      <c r="N38" s="71" t="s">
        <v>222</v>
      </c>
      <c r="O38" s="71" t="s">
        <v>223</v>
      </c>
    </row>
    <row r="39" spans="3:17">
      <c r="C39" t="s">
        <v>118</v>
      </c>
      <c r="E39">
        <v>50</v>
      </c>
      <c r="F39">
        <f t="shared" si="2"/>
        <v>60</v>
      </c>
      <c r="H39" s="242"/>
      <c r="I39" s="99" t="s">
        <v>224</v>
      </c>
      <c r="J39" s="71" t="s">
        <v>224</v>
      </c>
      <c r="K39" s="71" t="s">
        <v>224</v>
      </c>
      <c r="L39" s="71" t="s">
        <v>224</v>
      </c>
      <c r="M39" s="71" t="s">
        <v>224</v>
      </c>
      <c r="N39" s="71" t="s">
        <v>224</v>
      </c>
      <c r="O39" s="71" t="s">
        <v>224</v>
      </c>
    </row>
    <row r="40" spans="3:17" ht="17.399999999999999">
      <c r="C40" t="s">
        <v>143</v>
      </c>
      <c r="E40">
        <v>2.9</v>
      </c>
      <c r="F40">
        <f t="shared" si="2"/>
        <v>3.48</v>
      </c>
      <c r="H40" s="82" t="s">
        <v>51</v>
      </c>
      <c r="I40" s="3">
        <v>120</v>
      </c>
      <c r="J40" s="3">
        <v>3</v>
      </c>
      <c r="K40" s="3">
        <v>0.5</v>
      </c>
      <c r="L40" s="3">
        <v>50</v>
      </c>
      <c r="M40" s="3">
        <v>2.9</v>
      </c>
      <c r="N40" s="3">
        <v>9.9700000000000006</v>
      </c>
      <c r="O40" s="3">
        <v>0.7</v>
      </c>
    </row>
    <row r="41" spans="3:17" ht="17.399999999999999">
      <c r="C41" t="s">
        <v>133</v>
      </c>
      <c r="E41">
        <v>9.9700000000000006</v>
      </c>
      <c r="F41">
        <f t="shared" si="2"/>
        <v>11.964</v>
      </c>
      <c r="H41" s="82" t="s">
        <v>47</v>
      </c>
      <c r="I41" s="3">
        <v>6</v>
      </c>
      <c r="J41" s="24">
        <v>0.25</v>
      </c>
      <c r="K41" s="24">
        <v>0</v>
      </c>
      <c r="L41" s="24">
        <v>1.4</v>
      </c>
      <c r="M41" s="24">
        <v>0</v>
      </c>
      <c r="N41" s="24">
        <v>1.3</v>
      </c>
      <c r="O41" s="24">
        <v>0</v>
      </c>
    </row>
    <row r="42" spans="3:17" ht="17.399999999999999">
      <c r="C42" t="s">
        <v>120</v>
      </c>
      <c r="E42">
        <v>0.7</v>
      </c>
      <c r="F42">
        <f t="shared" si="2"/>
        <v>0.84</v>
      </c>
      <c r="H42" s="82" t="s">
        <v>92</v>
      </c>
      <c r="I42" s="3">
        <v>40</v>
      </c>
      <c r="J42" s="24">
        <v>31</v>
      </c>
      <c r="K42" s="24">
        <v>24</v>
      </c>
      <c r="L42" s="24">
        <v>6.4</v>
      </c>
      <c r="M42" s="24">
        <v>4.7</v>
      </c>
      <c r="N42" s="24">
        <v>2.7</v>
      </c>
      <c r="O42" s="24">
        <v>0.5</v>
      </c>
    </row>
    <row r="43" spans="3:17" ht="17.399999999999999">
      <c r="H43" s="82" t="s">
        <v>26</v>
      </c>
      <c r="I43" s="3">
        <v>60</v>
      </c>
      <c r="J43" s="3">
        <v>27</v>
      </c>
      <c r="K43" s="78">
        <v>13</v>
      </c>
      <c r="L43" s="3">
        <v>0.5</v>
      </c>
      <c r="M43" s="3">
        <v>0</v>
      </c>
      <c r="N43" s="3">
        <v>24</v>
      </c>
      <c r="O43" s="3">
        <v>2</v>
      </c>
    </row>
    <row r="44" spans="3:17" ht="17.399999999999999">
      <c r="C44" s="67" t="s">
        <v>261</v>
      </c>
      <c r="E44" t="s">
        <v>212</v>
      </c>
      <c r="F44" t="s">
        <v>273</v>
      </c>
      <c r="H44" s="82" t="s">
        <v>52</v>
      </c>
      <c r="I44" s="3">
        <v>2</v>
      </c>
      <c r="J44" s="24">
        <v>0.3</v>
      </c>
      <c r="K44" s="3"/>
      <c r="L44" s="24">
        <v>2.6</v>
      </c>
      <c r="M44" s="3"/>
      <c r="N44" s="24">
        <v>0.9</v>
      </c>
      <c r="O44" s="3"/>
    </row>
    <row r="45" spans="3:17" ht="17.399999999999999">
      <c r="C45" t="s">
        <v>142</v>
      </c>
      <c r="E45">
        <v>31</v>
      </c>
      <c r="F45">
        <f t="shared" ref="F45:F50" si="3">$E45*40/100</f>
        <v>12.4</v>
      </c>
      <c r="H45" s="82" t="s">
        <v>53</v>
      </c>
      <c r="I45" s="3">
        <v>12</v>
      </c>
      <c r="J45" s="24">
        <v>0.2</v>
      </c>
      <c r="K45" s="3"/>
      <c r="L45" s="24">
        <v>3.1</v>
      </c>
      <c r="M45" s="3"/>
      <c r="N45" s="24">
        <v>0.9</v>
      </c>
      <c r="O45" s="3"/>
    </row>
    <row r="46" spans="3:17">
      <c r="C46" t="s">
        <v>119</v>
      </c>
      <c r="E46">
        <v>24</v>
      </c>
      <c r="F46">
        <f t="shared" si="3"/>
        <v>9.6</v>
      </c>
    </row>
    <row r="47" spans="3:17">
      <c r="C47" t="s">
        <v>118</v>
      </c>
      <c r="E47">
        <v>6.4</v>
      </c>
      <c r="F47">
        <f t="shared" si="3"/>
        <v>2.56</v>
      </c>
    </row>
    <row r="48" spans="3:17" ht="43.2">
      <c r="C48" t="s">
        <v>143</v>
      </c>
      <c r="E48">
        <v>4.7</v>
      </c>
      <c r="F48">
        <f t="shared" si="3"/>
        <v>1.88</v>
      </c>
      <c r="H48" s="202" t="s">
        <v>0</v>
      </c>
      <c r="I48" s="204" t="s">
        <v>229</v>
      </c>
      <c r="J48" s="70" t="s">
        <v>217</v>
      </c>
      <c r="K48" s="70" t="s">
        <v>226</v>
      </c>
      <c r="L48" s="70" t="s">
        <v>118</v>
      </c>
      <c r="M48" s="70" t="s">
        <v>143</v>
      </c>
      <c r="N48" s="70" t="s">
        <v>227</v>
      </c>
      <c r="O48" s="70" t="s">
        <v>120</v>
      </c>
      <c r="P48" s="191" t="s">
        <v>230</v>
      </c>
      <c r="Q48" s="192"/>
    </row>
    <row r="49" spans="3:17">
      <c r="C49" t="s">
        <v>133</v>
      </c>
      <c r="E49">
        <v>2.7</v>
      </c>
      <c r="F49">
        <f t="shared" si="3"/>
        <v>1.08</v>
      </c>
      <c r="H49" s="203"/>
      <c r="I49" s="205"/>
      <c r="J49" s="71" t="s">
        <v>218</v>
      </c>
      <c r="K49" s="71" t="s">
        <v>219</v>
      </c>
      <c r="L49" s="71" t="s">
        <v>220</v>
      </c>
      <c r="M49" s="71" t="s">
        <v>221</v>
      </c>
      <c r="N49" s="71" t="s">
        <v>222</v>
      </c>
      <c r="O49" s="71" t="s">
        <v>223</v>
      </c>
      <c r="P49" s="71" t="s">
        <v>231</v>
      </c>
      <c r="Q49" s="71" t="s">
        <v>231</v>
      </c>
    </row>
    <row r="50" spans="3:17">
      <c r="C50" t="s">
        <v>120</v>
      </c>
      <c r="E50">
        <v>0.5</v>
      </c>
      <c r="F50">
        <f t="shared" si="3"/>
        <v>0.2</v>
      </c>
      <c r="H50" s="203"/>
      <c r="I50" s="205"/>
      <c r="J50" s="77" t="s">
        <v>224</v>
      </c>
      <c r="K50" s="77" t="s">
        <v>224</v>
      </c>
      <c r="L50" s="77" t="s">
        <v>224</v>
      </c>
      <c r="M50" s="77" t="s">
        <v>224</v>
      </c>
      <c r="N50" s="77" t="s">
        <v>224</v>
      </c>
      <c r="O50" s="77" t="s">
        <v>224</v>
      </c>
      <c r="P50" s="77" t="s">
        <v>232</v>
      </c>
      <c r="Q50" s="77" t="s">
        <v>233</v>
      </c>
    </row>
    <row r="51" spans="3:17" ht="17.399999999999999">
      <c r="H51" s="188" t="s">
        <v>51</v>
      </c>
      <c r="I51" s="188"/>
      <c r="J51" s="78">
        <f t="shared" ref="J51:J56" si="4">$J40*$I40/240</f>
        <v>1.5</v>
      </c>
      <c r="K51" s="78">
        <f t="shared" ref="K51:K56" si="5">$K40*$I40/240</f>
        <v>0.25</v>
      </c>
      <c r="L51" s="78">
        <f t="shared" ref="L51:L56" si="6">$L40*$I40/240</f>
        <v>25</v>
      </c>
      <c r="M51" s="78">
        <f t="shared" ref="M51:M56" si="7">$M40*$I40/240</f>
        <v>1.45</v>
      </c>
      <c r="N51" s="78">
        <f t="shared" ref="N51:N56" si="8">$N40*$I40/240</f>
        <v>4.9850000000000003</v>
      </c>
      <c r="O51" s="78">
        <f t="shared" ref="O51:O56" si="9">$O40*$I40/240</f>
        <v>0.35</v>
      </c>
      <c r="P51" s="3"/>
      <c r="Q51" s="3"/>
    </row>
    <row r="52" spans="3:17" ht="17.399999999999999">
      <c r="C52" s="67" t="s">
        <v>262</v>
      </c>
      <c r="E52" t="s">
        <v>212</v>
      </c>
      <c r="F52" t="s">
        <v>274</v>
      </c>
      <c r="H52" s="188" t="s">
        <v>47</v>
      </c>
      <c r="I52" s="188"/>
      <c r="J52" s="78">
        <f t="shared" si="4"/>
        <v>6.2500000000000003E-3</v>
      </c>
      <c r="K52" s="78">
        <f t="shared" si="5"/>
        <v>0</v>
      </c>
      <c r="L52" s="78">
        <f t="shared" si="6"/>
        <v>3.4999999999999996E-2</v>
      </c>
      <c r="M52" s="78">
        <f t="shared" si="7"/>
        <v>0</v>
      </c>
      <c r="N52" s="78">
        <f t="shared" si="8"/>
        <v>3.2500000000000001E-2</v>
      </c>
      <c r="O52" s="78">
        <f t="shared" si="9"/>
        <v>0</v>
      </c>
      <c r="P52" s="3"/>
      <c r="Q52" s="3"/>
    </row>
    <row r="53" spans="3:17" ht="17.399999999999999">
      <c r="C53" t="s">
        <v>142</v>
      </c>
      <c r="E53">
        <v>0.25</v>
      </c>
      <c r="F53">
        <f t="shared" ref="F53:F58" si="10">$E53*6/100</f>
        <v>1.4999999999999999E-2</v>
      </c>
      <c r="H53" s="188" t="s">
        <v>92</v>
      </c>
      <c r="I53" s="188"/>
      <c r="J53" s="78">
        <f t="shared" si="4"/>
        <v>5.166666666666667</v>
      </c>
      <c r="K53" s="78">
        <f t="shared" si="5"/>
        <v>4</v>
      </c>
      <c r="L53" s="78">
        <f t="shared" si="6"/>
        <v>1.0666666666666667</v>
      </c>
      <c r="M53" s="78">
        <f t="shared" si="7"/>
        <v>0.78333333333333333</v>
      </c>
      <c r="N53" s="78">
        <f t="shared" si="8"/>
        <v>0.45</v>
      </c>
      <c r="O53" s="78">
        <f t="shared" si="9"/>
        <v>8.3333333333333329E-2</v>
      </c>
      <c r="P53" s="3"/>
      <c r="Q53" s="3"/>
    </row>
    <row r="54" spans="3:17" ht="17.399999999999999">
      <c r="C54" t="s">
        <v>119</v>
      </c>
      <c r="F54">
        <f t="shared" si="10"/>
        <v>0</v>
      </c>
      <c r="H54" s="188" t="s">
        <v>26</v>
      </c>
      <c r="I54" s="188"/>
      <c r="J54" s="78">
        <f t="shared" si="4"/>
        <v>6.75</v>
      </c>
      <c r="K54" s="78">
        <f t="shared" si="5"/>
        <v>3.25</v>
      </c>
      <c r="L54" s="78">
        <f t="shared" si="6"/>
        <v>0.125</v>
      </c>
      <c r="M54" s="78">
        <f t="shared" si="7"/>
        <v>0</v>
      </c>
      <c r="N54" s="78">
        <f t="shared" si="8"/>
        <v>6</v>
      </c>
      <c r="O54" s="78">
        <f t="shared" si="9"/>
        <v>0.5</v>
      </c>
      <c r="P54" s="3"/>
      <c r="Q54" s="3"/>
    </row>
    <row r="55" spans="3:17" ht="17.399999999999999">
      <c r="C55" t="s">
        <v>118</v>
      </c>
      <c r="E55">
        <v>1.4</v>
      </c>
      <c r="F55">
        <f t="shared" si="10"/>
        <v>8.3999999999999991E-2</v>
      </c>
      <c r="H55" s="188" t="s">
        <v>52</v>
      </c>
      <c r="I55" s="188"/>
      <c r="J55" s="78">
        <f t="shared" si="4"/>
        <v>2.5000000000000001E-3</v>
      </c>
      <c r="K55" s="78">
        <f t="shared" si="5"/>
        <v>0</v>
      </c>
      <c r="L55" s="78">
        <f t="shared" si="6"/>
        <v>2.1666666666666667E-2</v>
      </c>
      <c r="M55" s="78">
        <f t="shared" si="7"/>
        <v>0</v>
      </c>
      <c r="N55" s="78">
        <f t="shared" si="8"/>
        <v>7.5000000000000006E-3</v>
      </c>
      <c r="O55" s="78">
        <f t="shared" si="9"/>
        <v>0</v>
      </c>
      <c r="P55" s="3"/>
      <c r="Q55" s="3"/>
    </row>
    <row r="56" spans="3:17" ht="17.399999999999999">
      <c r="C56" t="s">
        <v>143</v>
      </c>
      <c r="F56">
        <f t="shared" si="10"/>
        <v>0</v>
      </c>
      <c r="H56" s="188" t="s">
        <v>53</v>
      </c>
      <c r="I56" s="188"/>
      <c r="J56" s="78">
        <f t="shared" si="4"/>
        <v>1.0000000000000002E-2</v>
      </c>
      <c r="K56" s="78">
        <f t="shared" si="5"/>
        <v>0</v>
      </c>
      <c r="L56" s="78">
        <f t="shared" si="6"/>
        <v>0.155</v>
      </c>
      <c r="M56" s="78">
        <f t="shared" si="7"/>
        <v>0</v>
      </c>
      <c r="N56" s="78">
        <f t="shared" si="8"/>
        <v>4.5000000000000005E-2</v>
      </c>
      <c r="O56" s="78">
        <f t="shared" si="9"/>
        <v>0</v>
      </c>
      <c r="P56" s="3"/>
      <c r="Q56" s="3"/>
    </row>
    <row r="57" spans="3:17" ht="32.25" customHeight="1">
      <c r="C57" t="s">
        <v>133</v>
      </c>
      <c r="E57">
        <v>1.3</v>
      </c>
      <c r="F57">
        <f t="shared" si="10"/>
        <v>7.8000000000000014E-2</v>
      </c>
      <c r="H57" s="189" t="s">
        <v>234</v>
      </c>
      <c r="I57" s="190"/>
      <c r="J57" s="85">
        <f t="shared" ref="J57:O57" si="11">SUM(J51:J56)</f>
        <v>13.435416666666667</v>
      </c>
      <c r="K57" s="84">
        <f t="shared" si="11"/>
        <v>7.5</v>
      </c>
      <c r="L57" s="85">
        <f t="shared" si="11"/>
        <v>26.403333333333336</v>
      </c>
      <c r="M57" s="84">
        <f t="shared" si="11"/>
        <v>2.2333333333333334</v>
      </c>
      <c r="N57" s="84">
        <f t="shared" si="11"/>
        <v>11.520000000000001</v>
      </c>
      <c r="O57" s="84">
        <f t="shared" si="11"/>
        <v>0.93333333333333335</v>
      </c>
      <c r="P57" s="85">
        <f>17*N57+37*J57+17*L57</f>
        <v>1141.8070833333334</v>
      </c>
      <c r="Q57" s="85">
        <f>4*N57+9*J57+4*L57</f>
        <v>272.61208333333332</v>
      </c>
    </row>
    <row r="58" spans="3:17">
      <c r="C58" t="s">
        <v>120</v>
      </c>
      <c r="F58">
        <f t="shared" si="10"/>
        <v>0</v>
      </c>
    </row>
    <row r="60" spans="3:17">
      <c r="C60" s="67" t="s">
        <v>26</v>
      </c>
      <c r="E60" s="56" t="s">
        <v>212</v>
      </c>
      <c r="F60" t="s">
        <v>275</v>
      </c>
    </row>
    <row r="61" spans="3:17">
      <c r="C61" t="s">
        <v>142</v>
      </c>
      <c r="E61">
        <v>27</v>
      </c>
      <c r="F61">
        <f t="shared" ref="F61:F66" si="12">$E61*60/100</f>
        <v>16.2</v>
      </c>
    </row>
    <row r="62" spans="3:17">
      <c r="C62" t="s">
        <v>119</v>
      </c>
      <c r="E62">
        <v>13</v>
      </c>
      <c r="F62">
        <f t="shared" si="12"/>
        <v>7.8</v>
      </c>
    </row>
    <row r="63" spans="3:17">
      <c r="C63" t="s">
        <v>118</v>
      </c>
      <c r="E63">
        <v>0.5</v>
      </c>
      <c r="F63">
        <f t="shared" si="12"/>
        <v>0.3</v>
      </c>
    </row>
    <row r="64" spans="3:17">
      <c r="C64" t="s">
        <v>143</v>
      </c>
      <c r="E64">
        <v>0</v>
      </c>
      <c r="F64">
        <f t="shared" si="12"/>
        <v>0</v>
      </c>
    </row>
    <row r="65" spans="2:6">
      <c r="C65" t="s">
        <v>133</v>
      </c>
      <c r="E65">
        <v>24</v>
      </c>
      <c r="F65">
        <f t="shared" si="12"/>
        <v>14.4</v>
      </c>
    </row>
    <row r="66" spans="2:6">
      <c r="C66" t="s">
        <v>120</v>
      </c>
      <c r="E66">
        <v>2</v>
      </c>
      <c r="F66">
        <f t="shared" si="12"/>
        <v>1.2</v>
      </c>
    </row>
    <row r="68" spans="2:6">
      <c r="C68" s="67" t="s">
        <v>52</v>
      </c>
      <c r="E68" t="s">
        <v>212</v>
      </c>
      <c r="F68" t="s">
        <v>276</v>
      </c>
    </row>
    <row r="69" spans="2:6">
      <c r="C69" t="s">
        <v>142</v>
      </c>
      <c r="E69" s="68">
        <v>0.3</v>
      </c>
      <c r="F69">
        <f t="shared" ref="F69:F74" si="13">$E69*2/100</f>
        <v>6.0000000000000001E-3</v>
      </c>
    </row>
    <row r="70" spans="2:6">
      <c r="C70" t="s">
        <v>119</v>
      </c>
      <c r="E70" s="68"/>
      <c r="F70">
        <f t="shared" si="13"/>
        <v>0</v>
      </c>
    </row>
    <row r="71" spans="2:6">
      <c r="C71" t="s">
        <v>118</v>
      </c>
      <c r="E71" s="87">
        <v>2.6</v>
      </c>
      <c r="F71">
        <f t="shared" si="13"/>
        <v>5.2000000000000005E-2</v>
      </c>
    </row>
    <row r="72" spans="2:6">
      <c r="C72" t="s">
        <v>143</v>
      </c>
      <c r="E72" s="68"/>
      <c r="F72">
        <f t="shared" si="13"/>
        <v>0</v>
      </c>
    </row>
    <row r="73" spans="2:6">
      <c r="C73" t="s">
        <v>133</v>
      </c>
      <c r="E73" s="68">
        <v>0.9</v>
      </c>
      <c r="F73">
        <f t="shared" si="13"/>
        <v>1.8000000000000002E-2</v>
      </c>
    </row>
    <row r="74" spans="2:6">
      <c r="C74" t="s">
        <v>120</v>
      </c>
      <c r="E74" s="68">
        <v>0</v>
      </c>
      <c r="F74">
        <f t="shared" si="13"/>
        <v>0</v>
      </c>
    </row>
    <row r="76" spans="2:6">
      <c r="B76" t="s">
        <v>271</v>
      </c>
      <c r="C76" s="67" t="s">
        <v>53</v>
      </c>
      <c r="E76" t="s">
        <v>212</v>
      </c>
      <c r="F76" t="s">
        <v>277</v>
      </c>
    </row>
    <row r="77" spans="2:6">
      <c r="C77" t="s">
        <v>142</v>
      </c>
      <c r="E77">
        <v>0.2</v>
      </c>
      <c r="F77">
        <f t="shared" ref="F77:F82" si="14">$E77*12/100</f>
        <v>2.4000000000000004E-2</v>
      </c>
    </row>
    <row r="78" spans="2:6">
      <c r="C78" t="s">
        <v>119</v>
      </c>
      <c r="F78">
        <f t="shared" si="14"/>
        <v>0</v>
      </c>
    </row>
    <row r="79" spans="2:6">
      <c r="C79" t="s">
        <v>118</v>
      </c>
      <c r="E79">
        <v>3.1</v>
      </c>
      <c r="F79">
        <f t="shared" si="14"/>
        <v>0.37200000000000005</v>
      </c>
    </row>
    <row r="80" spans="2:6">
      <c r="C80" t="s">
        <v>143</v>
      </c>
      <c r="F80">
        <f t="shared" si="14"/>
        <v>0</v>
      </c>
    </row>
    <row r="81" spans="3:6">
      <c r="C81" t="s">
        <v>133</v>
      </c>
      <c r="E81">
        <v>0.9</v>
      </c>
      <c r="F81">
        <f t="shared" si="14"/>
        <v>0.10800000000000001</v>
      </c>
    </row>
    <row r="82" spans="3:6">
      <c r="C82" t="s">
        <v>120</v>
      </c>
      <c r="F82">
        <f t="shared" si="14"/>
        <v>0</v>
      </c>
    </row>
  </sheetData>
  <mergeCells count="14">
    <mergeCell ref="A1:G1"/>
    <mergeCell ref="J36:O36"/>
    <mergeCell ref="H37:H39"/>
    <mergeCell ref="I37:I38"/>
    <mergeCell ref="H48:H50"/>
    <mergeCell ref="I48:I50"/>
    <mergeCell ref="P48:Q48"/>
    <mergeCell ref="H57:I57"/>
    <mergeCell ref="H51:I51"/>
    <mergeCell ref="H52:I52"/>
    <mergeCell ref="H53:I53"/>
    <mergeCell ref="H54:I54"/>
    <mergeCell ref="H55:I55"/>
    <mergeCell ref="H56:I5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zoomScaleNormal="70" zoomScalePageLayoutView="70" workbookViewId="0">
      <selection activeCell="D9" sqref="D9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2.796875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  <col min="9" max="9" width="31.796875" bestFit="1" customWidth="1"/>
  </cols>
  <sheetData>
    <row r="1" spans="1:8" ht="31.05" customHeight="1">
      <c r="A1" s="193" t="s">
        <v>412</v>
      </c>
      <c r="B1" s="247"/>
      <c r="C1" s="247"/>
      <c r="D1" s="247"/>
      <c r="E1" s="247"/>
      <c r="F1" s="247"/>
      <c r="G1" s="247"/>
      <c r="H1" s="247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158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109.8">
      <c r="A3" s="159" t="s">
        <v>51</v>
      </c>
      <c r="B3" s="162" t="s">
        <v>3</v>
      </c>
      <c r="C3" s="3">
        <v>125</v>
      </c>
      <c r="D3" s="3">
        <v>125</v>
      </c>
      <c r="E3" s="3">
        <v>50</v>
      </c>
      <c r="F3" s="4" t="s">
        <v>180</v>
      </c>
      <c r="G3" s="5" t="s">
        <v>165</v>
      </c>
      <c r="H3" s="21" t="s">
        <v>164</v>
      </c>
    </row>
    <row r="4" spans="1:8" ht="17.399999999999999">
      <c r="A4" s="159" t="s">
        <v>47</v>
      </c>
      <c r="B4" s="162"/>
      <c r="C4" s="3">
        <v>10</v>
      </c>
      <c r="D4" s="3">
        <v>9</v>
      </c>
      <c r="E4" s="18">
        <v>2.5</v>
      </c>
      <c r="F4" s="35"/>
      <c r="G4" s="6"/>
      <c r="H4" s="3"/>
    </row>
    <row r="5" spans="1:8" ht="47.4">
      <c r="A5" s="159" t="s">
        <v>92</v>
      </c>
      <c r="B5" s="162" t="s">
        <v>50</v>
      </c>
      <c r="C5" s="3">
        <v>40</v>
      </c>
      <c r="D5" s="3">
        <v>37</v>
      </c>
      <c r="E5" s="3">
        <v>16.7</v>
      </c>
      <c r="F5" s="30" t="s">
        <v>89</v>
      </c>
      <c r="G5" s="19" t="s">
        <v>17</v>
      </c>
      <c r="H5" s="3"/>
    </row>
    <row r="6" spans="1:8" ht="47.4">
      <c r="A6" s="159" t="s">
        <v>26</v>
      </c>
      <c r="B6" s="20" t="s">
        <v>28</v>
      </c>
      <c r="C6" s="3">
        <v>60</v>
      </c>
      <c r="D6" s="3">
        <v>58</v>
      </c>
      <c r="E6" s="3">
        <v>25</v>
      </c>
      <c r="F6" s="6" t="s">
        <v>77</v>
      </c>
      <c r="G6" s="3" t="s">
        <v>17</v>
      </c>
      <c r="H6" s="3"/>
    </row>
    <row r="7" spans="1:8" ht="17.399999999999999">
      <c r="A7" s="159" t="s">
        <v>52</v>
      </c>
      <c r="B7" s="9"/>
      <c r="C7" s="3">
        <v>6</v>
      </c>
      <c r="D7" s="3">
        <v>5</v>
      </c>
      <c r="E7" s="3">
        <v>0.8</v>
      </c>
      <c r="F7" s="33"/>
      <c r="G7" s="3"/>
      <c r="H7" s="3"/>
    </row>
    <row r="8" spans="1:8" ht="17.399999999999999">
      <c r="A8" s="159" t="s">
        <v>53</v>
      </c>
      <c r="B8" s="3"/>
      <c r="C8" s="3">
        <v>12</v>
      </c>
      <c r="D8" s="3">
        <v>11</v>
      </c>
      <c r="E8" s="3">
        <v>5</v>
      </c>
      <c r="F8" s="34"/>
      <c r="G8" s="3"/>
      <c r="H8" s="3"/>
    </row>
    <row r="9" spans="1:8" ht="43.95" customHeight="1">
      <c r="C9" s="60">
        <f>SUM(C3:C8)</f>
        <v>253</v>
      </c>
      <c r="D9" s="60">
        <f>SUM(SUM(D3:D8))</f>
        <v>245</v>
      </c>
      <c r="E9">
        <f>SUM(E3:E8)</f>
        <v>100</v>
      </c>
      <c r="F9" t="s">
        <v>413</v>
      </c>
    </row>
    <row r="22" spans="3:14">
      <c r="E22" s="7"/>
    </row>
    <row r="27" spans="3:14">
      <c r="E27" s="7"/>
      <c r="G27" t="s">
        <v>272</v>
      </c>
      <c r="H27" t="s">
        <v>273</v>
      </c>
      <c r="I27" t="s">
        <v>274</v>
      </c>
      <c r="J27" t="s">
        <v>275</v>
      </c>
      <c r="K27" t="s">
        <v>276</v>
      </c>
      <c r="L27" t="s">
        <v>277</v>
      </c>
      <c r="M27" t="s">
        <v>278</v>
      </c>
      <c r="N27" s="65" t="s">
        <v>155</v>
      </c>
    </row>
    <row r="28" spans="3:14">
      <c r="C28" t="s">
        <v>142</v>
      </c>
      <c r="G28">
        <v>3.6</v>
      </c>
      <c r="H28">
        <v>12.4</v>
      </c>
      <c r="I28">
        <v>1.4999999999999999E-2</v>
      </c>
      <c r="J28">
        <v>16.2</v>
      </c>
      <c r="K28">
        <v>6.0000000000000001E-3</v>
      </c>
      <c r="L28">
        <v>2.4000000000000004E-2</v>
      </c>
      <c r="M28">
        <f t="shared" ref="M28:M33" si="0">SUM(G28:L28)</f>
        <v>32.245000000000005</v>
      </c>
      <c r="N28" s="55">
        <f t="shared" ref="N28:N33" si="1">$M28*100/240</f>
        <v>13.435416666666669</v>
      </c>
    </row>
    <row r="29" spans="3:14">
      <c r="C29" t="s">
        <v>119</v>
      </c>
      <c r="G29">
        <v>0.6</v>
      </c>
      <c r="H29">
        <v>9.6</v>
      </c>
      <c r="I29">
        <v>0</v>
      </c>
      <c r="J29">
        <v>7.8</v>
      </c>
      <c r="K29">
        <v>0</v>
      </c>
      <c r="L29">
        <v>0</v>
      </c>
      <c r="M29">
        <f t="shared" si="0"/>
        <v>18</v>
      </c>
      <c r="N29" s="55">
        <f t="shared" si="1"/>
        <v>7.5</v>
      </c>
    </row>
    <row r="30" spans="3:14">
      <c r="C30" t="s">
        <v>118</v>
      </c>
      <c r="G30">
        <v>60</v>
      </c>
      <c r="H30">
        <v>2.56</v>
      </c>
      <c r="I30">
        <v>8.3999999999999991E-2</v>
      </c>
      <c r="J30">
        <v>0.3</v>
      </c>
      <c r="K30">
        <v>5.2000000000000005E-2</v>
      </c>
      <c r="L30">
        <v>0.37200000000000005</v>
      </c>
      <c r="M30">
        <f t="shared" si="0"/>
        <v>63.368000000000002</v>
      </c>
      <c r="N30" s="55">
        <f t="shared" si="1"/>
        <v>26.403333333333332</v>
      </c>
    </row>
    <row r="31" spans="3:14">
      <c r="C31" t="s">
        <v>143</v>
      </c>
      <c r="G31">
        <v>3.48</v>
      </c>
      <c r="H31">
        <v>1.88</v>
      </c>
      <c r="I31">
        <v>0</v>
      </c>
      <c r="J31">
        <v>0</v>
      </c>
      <c r="K31">
        <v>0</v>
      </c>
      <c r="L31">
        <v>0</v>
      </c>
      <c r="M31">
        <f t="shared" si="0"/>
        <v>5.3599999999999994</v>
      </c>
      <c r="N31" s="55">
        <f t="shared" si="1"/>
        <v>2.2333333333333334</v>
      </c>
    </row>
    <row r="32" spans="3:14">
      <c r="C32" t="s">
        <v>133</v>
      </c>
      <c r="G32">
        <v>11.964</v>
      </c>
      <c r="H32">
        <v>1.08</v>
      </c>
      <c r="I32">
        <v>7.8000000000000014E-2</v>
      </c>
      <c r="J32">
        <v>14.4</v>
      </c>
      <c r="K32">
        <v>1.8000000000000002E-2</v>
      </c>
      <c r="L32">
        <v>0.10800000000000001</v>
      </c>
      <c r="M32">
        <f t="shared" si="0"/>
        <v>27.648</v>
      </c>
      <c r="N32" s="55">
        <f t="shared" si="1"/>
        <v>11.520000000000001</v>
      </c>
    </row>
    <row r="33" spans="3:18">
      <c r="C33" t="s">
        <v>120</v>
      </c>
      <c r="G33">
        <v>0.84</v>
      </c>
      <c r="H33">
        <v>0.2</v>
      </c>
      <c r="I33">
        <v>0</v>
      </c>
      <c r="J33">
        <v>1.2</v>
      </c>
      <c r="K33">
        <v>0</v>
      </c>
      <c r="L33">
        <v>0</v>
      </c>
      <c r="M33">
        <f t="shared" si="0"/>
        <v>2.2400000000000002</v>
      </c>
      <c r="N33" s="55">
        <f t="shared" si="1"/>
        <v>0.93333333333333346</v>
      </c>
    </row>
    <row r="36" spans="3:18">
      <c r="C36" s="67" t="s">
        <v>51</v>
      </c>
      <c r="D36" s="67"/>
      <c r="F36" t="s">
        <v>212</v>
      </c>
      <c r="G36" t="s">
        <v>272</v>
      </c>
      <c r="I36" s="98"/>
      <c r="J36" s="98"/>
      <c r="K36" s="245" t="s">
        <v>228</v>
      </c>
      <c r="L36" s="245"/>
      <c r="M36" s="245"/>
      <c r="N36" s="245"/>
      <c r="O36" s="245"/>
      <c r="P36" s="245"/>
    </row>
    <row r="37" spans="3:18" ht="43.2">
      <c r="C37" t="s">
        <v>142</v>
      </c>
      <c r="F37">
        <v>3</v>
      </c>
      <c r="G37">
        <f t="shared" ref="G37:G42" si="2">$F37*120/100</f>
        <v>3.6</v>
      </c>
      <c r="I37" s="242" t="s">
        <v>216</v>
      </c>
      <c r="J37" s="246" t="s">
        <v>225</v>
      </c>
      <c r="K37" s="70" t="s">
        <v>217</v>
      </c>
      <c r="L37" s="70" t="s">
        <v>226</v>
      </c>
      <c r="M37" s="70" t="s">
        <v>118</v>
      </c>
      <c r="N37" s="70" t="s">
        <v>143</v>
      </c>
      <c r="O37" s="70" t="s">
        <v>227</v>
      </c>
      <c r="P37" s="70" t="s">
        <v>120</v>
      </c>
    </row>
    <row r="38" spans="3:18">
      <c r="C38" t="s">
        <v>119</v>
      </c>
      <c r="F38">
        <v>0.5</v>
      </c>
      <c r="G38">
        <f t="shared" si="2"/>
        <v>0.6</v>
      </c>
      <c r="I38" s="242"/>
      <c r="J38" s="246"/>
      <c r="K38" s="160" t="s">
        <v>218</v>
      </c>
      <c r="L38" s="160" t="s">
        <v>219</v>
      </c>
      <c r="M38" s="160" t="s">
        <v>220</v>
      </c>
      <c r="N38" s="160" t="s">
        <v>221</v>
      </c>
      <c r="O38" s="160" t="s">
        <v>222</v>
      </c>
      <c r="P38" s="160" t="s">
        <v>223</v>
      </c>
    </row>
    <row r="39" spans="3:18">
      <c r="C39" t="s">
        <v>118</v>
      </c>
      <c r="F39">
        <v>50</v>
      </c>
      <c r="G39">
        <f t="shared" si="2"/>
        <v>60</v>
      </c>
      <c r="I39" s="242"/>
      <c r="J39" s="161" t="s">
        <v>224</v>
      </c>
      <c r="K39" s="160" t="s">
        <v>224</v>
      </c>
      <c r="L39" s="160" t="s">
        <v>224</v>
      </c>
      <c r="M39" s="160" t="s">
        <v>224</v>
      </c>
      <c r="N39" s="160" t="s">
        <v>224</v>
      </c>
      <c r="O39" s="160" t="s">
        <v>224</v>
      </c>
      <c r="P39" s="160" t="s">
        <v>224</v>
      </c>
    </row>
    <row r="40" spans="3:18" ht="17.399999999999999">
      <c r="C40" t="s">
        <v>143</v>
      </c>
      <c r="F40">
        <v>2.9</v>
      </c>
      <c r="G40">
        <f t="shared" si="2"/>
        <v>3.48</v>
      </c>
      <c r="I40" s="159" t="s">
        <v>51</v>
      </c>
      <c r="J40" s="3">
        <v>120</v>
      </c>
      <c r="K40" s="3">
        <v>3</v>
      </c>
      <c r="L40" s="3">
        <v>0.5</v>
      </c>
      <c r="M40" s="3">
        <v>50</v>
      </c>
      <c r="N40" s="3">
        <v>2.9</v>
      </c>
      <c r="O40" s="3">
        <v>9.9700000000000006</v>
      </c>
      <c r="P40" s="3">
        <v>0.7</v>
      </c>
    </row>
    <row r="41" spans="3:18" ht="17.399999999999999">
      <c r="C41" t="s">
        <v>133</v>
      </c>
      <c r="F41">
        <v>9.9700000000000006</v>
      </c>
      <c r="G41">
        <f t="shared" si="2"/>
        <v>11.964</v>
      </c>
      <c r="I41" s="159" t="s">
        <v>47</v>
      </c>
      <c r="J41" s="3">
        <v>6</v>
      </c>
      <c r="K41" s="24">
        <v>0.25</v>
      </c>
      <c r="L41" s="24">
        <v>0</v>
      </c>
      <c r="M41" s="24">
        <v>1.4</v>
      </c>
      <c r="N41" s="24">
        <v>0</v>
      </c>
      <c r="O41" s="24">
        <v>1.3</v>
      </c>
      <c r="P41" s="24">
        <v>0</v>
      </c>
    </row>
    <row r="42" spans="3:18" ht="17.399999999999999">
      <c r="C42" t="s">
        <v>120</v>
      </c>
      <c r="F42">
        <v>0.7</v>
      </c>
      <c r="G42">
        <f t="shared" si="2"/>
        <v>0.84</v>
      </c>
      <c r="I42" s="159" t="s">
        <v>92</v>
      </c>
      <c r="J42" s="3">
        <v>40</v>
      </c>
      <c r="K42" s="24">
        <v>31</v>
      </c>
      <c r="L42" s="24">
        <v>24</v>
      </c>
      <c r="M42" s="24">
        <v>6.4</v>
      </c>
      <c r="N42" s="24">
        <v>4.7</v>
      </c>
      <c r="O42" s="24">
        <v>2.7</v>
      </c>
      <c r="P42" s="24">
        <v>0.5</v>
      </c>
    </row>
    <row r="43" spans="3:18" ht="17.399999999999999">
      <c r="I43" s="159" t="s">
        <v>26</v>
      </c>
      <c r="J43" s="3">
        <v>60</v>
      </c>
      <c r="K43" s="3">
        <v>27</v>
      </c>
      <c r="L43" s="78">
        <v>13</v>
      </c>
      <c r="M43" s="3">
        <v>0.5</v>
      </c>
      <c r="N43" s="3">
        <v>0</v>
      </c>
      <c r="O43" s="3">
        <v>24</v>
      </c>
      <c r="P43" s="3">
        <v>2</v>
      </c>
    </row>
    <row r="44" spans="3:18" ht="17.399999999999999">
      <c r="C44" s="67" t="s">
        <v>261</v>
      </c>
      <c r="D44" s="67"/>
      <c r="F44" t="s">
        <v>212</v>
      </c>
      <c r="G44" t="s">
        <v>273</v>
      </c>
      <c r="I44" s="159" t="s">
        <v>52</v>
      </c>
      <c r="J44" s="3">
        <v>2</v>
      </c>
      <c r="K44" s="24">
        <v>0.3</v>
      </c>
      <c r="L44" s="3"/>
      <c r="M44" s="24">
        <v>2.6</v>
      </c>
      <c r="N44" s="3"/>
      <c r="O44" s="24">
        <v>0.9</v>
      </c>
      <c r="P44" s="3"/>
    </row>
    <row r="45" spans="3:18" ht="17.399999999999999">
      <c r="C45" t="s">
        <v>142</v>
      </c>
      <c r="F45">
        <v>31</v>
      </c>
      <c r="G45">
        <f t="shared" ref="G45:G50" si="3">$F45*40/100</f>
        <v>12.4</v>
      </c>
      <c r="I45" s="159" t="s">
        <v>53</v>
      </c>
      <c r="J45" s="3">
        <v>12</v>
      </c>
      <c r="K45" s="24">
        <v>0.2</v>
      </c>
      <c r="L45" s="3"/>
      <c r="M45" s="24">
        <v>3.1</v>
      </c>
      <c r="N45" s="3"/>
      <c r="O45" s="24">
        <v>0.9</v>
      </c>
      <c r="P45" s="3"/>
    </row>
    <row r="46" spans="3:18">
      <c r="C46" t="s">
        <v>119</v>
      </c>
      <c r="F46">
        <v>24</v>
      </c>
      <c r="G46">
        <f t="shared" si="3"/>
        <v>9.6</v>
      </c>
    </row>
    <row r="47" spans="3:18">
      <c r="C47" t="s">
        <v>118</v>
      </c>
      <c r="F47">
        <v>6.4</v>
      </c>
      <c r="G47">
        <f t="shared" si="3"/>
        <v>2.56</v>
      </c>
    </row>
    <row r="48" spans="3:18" ht="43.2">
      <c r="C48" t="s">
        <v>143</v>
      </c>
      <c r="F48">
        <v>4.7</v>
      </c>
      <c r="G48">
        <f t="shared" si="3"/>
        <v>1.88</v>
      </c>
      <c r="I48" s="202" t="s">
        <v>0</v>
      </c>
      <c r="J48" s="204" t="s">
        <v>229</v>
      </c>
      <c r="K48" s="70" t="s">
        <v>217</v>
      </c>
      <c r="L48" s="70" t="s">
        <v>226</v>
      </c>
      <c r="M48" s="70" t="s">
        <v>118</v>
      </c>
      <c r="N48" s="70" t="s">
        <v>143</v>
      </c>
      <c r="O48" s="70" t="s">
        <v>227</v>
      </c>
      <c r="P48" s="70" t="s">
        <v>120</v>
      </c>
      <c r="Q48" s="191" t="s">
        <v>230</v>
      </c>
      <c r="R48" s="192"/>
    </row>
    <row r="49" spans="3:18">
      <c r="C49" t="s">
        <v>133</v>
      </c>
      <c r="F49">
        <v>2.7</v>
      </c>
      <c r="G49">
        <f t="shared" si="3"/>
        <v>1.08</v>
      </c>
      <c r="I49" s="203"/>
      <c r="J49" s="205"/>
      <c r="K49" s="160" t="s">
        <v>218</v>
      </c>
      <c r="L49" s="160" t="s">
        <v>219</v>
      </c>
      <c r="M49" s="160" t="s">
        <v>220</v>
      </c>
      <c r="N49" s="160" t="s">
        <v>221</v>
      </c>
      <c r="O49" s="160" t="s">
        <v>222</v>
      </c>
      <c r="P49" s="160" t="s">
        <v>223</v>
      </c>
      <c r="Q49" s="160" t="s">
        <v>231</v>
      </c>
      <c r="R49" s="160" t="s">
        <v>231</v>
      </c>
    </row>
    <row r="50" spans="3:18">
      <c r="C50" t="s">
        <v>120</v>
      </c>
      <c r="F50">
        <v>0.5</v>
      </c>
      <c r="G50">
        <f t="shared" si="3"/>
        <v>0.2</v>
      </c>
      <c r="I50" s="203"/>
      <c r="J50" s="205"/>
      <c r="K50" s="77" t="s">
        <v>224</v>
      </c>
      <c r="L50" s="77" t="s">
        <v>224</v>
      </c>
      <c r="M50" s="77" t="s">
        <v>224</v>
      </c>
      <c r="N50" s="77" t="s">
        <v>224</v>
      </c>
      <c r="O50" s="77" t="s">
        <v>224</v>
      </c>
      <c r="P50" s="77" t="s">
        <v>224</v>
      </c>
      <c r="Q50" s="77" t="s">
        <v>232</v>
      </c>
      <c r="R50" s="77" t="s">
        <v>233</v>
      </c>
    </row>
    <row r="51" spans="3:18" ht="17.399999999999999">
      <c r="I51" s="188" t="s">
        <v>51</v>
      </c>
      <c r="J51" s="188"/>
      <c r="K51" s="78">
        <f t="shared" ref="K51:K56" si="4">$K40*$J40/240</f>
        <v>1.5</v>
      </c>
      <c r="L51" s="78">
        <f t="shared" ref="L51:L56" si="5">$L40*$J40/240</f>
        <v>0.25</v>
      </c>
      <c r="M51" s="78">
        <f t="shared" ref="M51:M56" si="6">$M40*$J40/240</f>
        <v>25</v>
      </c>
      <c r="N51" s="78">
        <f t="shared" ref="N51:N56" si="7">$N40*$J40/240</f>
        <v>1.45</v>
      </c>
      <c r="O51" s="78">
        <f t="shared" ref="O51:O56" si="8">$O40*$J40/240</f>
        <v>4.9850000000000003</v>
      </c>
      <c r="P51" s="78">
        <f t="shared" ref="P51:P56" si="9">$P40*$J40/240</f>
        <v>0.35</v>
      </c>
      <c r="Q51" s="3"/>
      <c r="R51" s="3"/>
    </row>
    <row r="52" spans="3:18" ht="17.399999999999999">
      <c r="C52" s="67" t="s">
        <v>262</v>
      </c>
      <c r="D52" s="67"/>
      <c r="F52" t="s">
        <v>212</v>
      </c>
      <c r="G52" t="s">
        <v>274</v>
      </c>
      <c r="I52" s="188" t="s">
        <v>47</v>
      </c>
      <c r="J52" s="188"/>
      <c r="K52" s="78">
        <f t="shared" si="4"/>
        <v>6.2500000000000003E-3</v>
      </c>
      <c r="L52" s="78">
        <f t="shared" si="5"/>
        <v>0</v>
      </c>
      <c r="M52" s="78">
        <f t="shared" si="6"/>
        <v>3.4999999999999996E-2</v>
      </c>
      <c r="N52" s="78">
        <f t="shared" si="7"/>
        <v>0</v>
      </c>
      <c r="O52" s="78">
        <f t="shared" si="8"/>
        <v>3.2500000000000001E-2</v>
      </c>
      <c r="P52" s="78">
        <f t="shared" si="9"/>
        <v>0</v>
      </c>
      <c r="Q52" s="3"/>
      <c r="R52" s="3"/>
    </row>
    <row r="53" spans="3:18" ht="17.399999999999999">
      <c r="C53" t="s">
        <v>142</v>
      </c>
      <c r="F53">
        <v>0.25</v>
      </c>
      <c r="G53">
        <f t="shared" ref="G53:G58" si="10">$F53*6/100</f>
        <v>1.4999999999999999E-2</v>
      </c>
      <c r="I53" s="188" t="s">
        <v>92</v>
      </c>
      <c r="J53" s="188"/>
      <c r="K53" s="78">
        <f t="shared" si="4"/>
        <v>5.166666666666667</v>
      </c>
      <c r="L53" s="78">
        <f t="shared" si="5"/>
        <v>4</v>
      </c>
      <c r="M53" s="78">
        <f t="shared" si="6"/>
        <v>1.0666666666666667</v>
      </c>
      <c r="N53" s="78">
        <f t="shared" si="7"/>
        <v>0.78333333333333333</v>
      </c>
      <c r="O53" s="78">
        <f t="shared" si="8"/>
        <v>0.45</v>
      </c>
      <c r="P53" s="78">
        <f t="shared" si="9"/>
        <v>8.3333333333333329E-2</v>
      </c>
      <c r="Q53" s="3"/>
      <c r="R53" s="3"/>
    </row>
    <row r="54" spans="3:18" ht="17.399999999999999">
      <c r="C54" t="s">
        <v>119</v>
      </c>
      <c r="G54">
        <f t="shared" si="10"/>
        <v>0</v>
      </c>
      <c r="I54" s="188" t="s">
        <v>26</v>
      </c>
      <c r="J54" s="188"/>
      <c r="K54" s="78">
        <f t="shared" si="4"/>
        <v>6.75</v>
      </c>
      <c r="L54" s="78">
        <f t="shared" si="5"/>
        <v>3.25</v>
      </c>
      <c r="M54" s="78">
        <f t="shared" si="6"/>
        <v>0.125</v>
      </c>
      <c r="N54" s="78">
        <f t="shared" si="7"/>
        <v>0</v>
      </c>
      <c r="O54" s="78">
        <f t="shared" si="8"/>
        <v>6</v>
      </c>
      <c r="P54" s="78">
        <f t="shared" si="9"/>
        <v>0.5</v>
      </c>
      <c r="Q54" s="3"/>
      <c r="R54" s="3"/>
    </row>
    <row r="55" spans="3:18" ht="17.399999999999999">
      <c r="C55" t="s">
        <v>118</v>
      </c>
      <c r="F55">
        <v>1.4</v>
      </c>
      <c r="G55">
        <f t="shared" si="10"/>
        <v>8.3999999999999991E-2</v>
      </c>
      <c r="I55" s="188" t="s">
        <v>52</v>
      </c>
      <c r="J55" s="188"/>
      <c r="K55" s="78">
        <f t="shared" si="4"/>
        <v>2.5000000000000001E-3</v>
      </c>
      <c r="L55" s="78">
        <f t="shared" si="5"/>
        <v>0</v>
      </c>
      <c r="M55" s="78">
        <f t="shared" si="6"/>
        <v>2.1666666666666667E-2</v>
      </c>
      <c r="N55" s="78">
        <f t="shared" si="7"/>
        <v>0</v>
      </c>
      <c r="O55" s="78">
        <f t="shared" si="8"/>
        <v>7.5000000000000006E-3</v>
      </c>
      <c r="P55" s="78">
        <f t="shared" si="9"/>
        <v>0</v>
      </c>
      <c r="Q55" s="3"/>
      <c r="R55" s="3"/>
    </row>
    <row r="56" spans="3:18" ht="17.399999999999999">
      <c r="C56" t="s">
        <v>143</v>
      </c>
      <c r="G56">
        <f t="shared" si="10"/>
        <v>0</v>
      </c>
      <c r="I56" s="188" t="s">
        <v>53</v>
      </c>
      <c r="J56" s="188"/>
      <c r="K56" s="78">
        <f t="shared" si="4"/>
        <v>1.0000000000000002E-2</v>
      </c>
      <c r="L56" s="78">
        <f t="shared" si="5"/>
        <v>0</v>
      </c>
      <c r="M56" s="78">
        <f t="shared" si="6"/>
        <v>0.155</v>
      </c>
      <c r="N56" s="78">
        <f t="shared" si="7"/>
        <v>0</v>
      </c>
      <c r="O56" s="78">
        <f t="shared" si="8"/>
        <v>4.5000000000000005E-2</v>
      </c>
      <c r="P56" s="78">
        <f t="shared" si="9"/>
        <v>0</v>
      </c>
      <c r="Q56" s="3"/>
      <c r="R56" s="3"/>
    </row>
    <row r="57" spans="3:18" ht="32.25" customHeight="1">
      <c r="C57" t="s">
        <v>133</v>
      </c>
      <c r="F57">
        <v>1.3</v>
      </c>
      <c r="G57">
        <f t="shared" si="10"/>
        <v>7.8000000000000014E-2</v>
      </c>
      <c r="I57" s="189" t="s">
        <v>234</v>
      </c>
      <c r="J57" s="190"/>
      <c r="K57" s="85">
        <f t="shared" ref="K57:P57" si="11">SUM(K51:K56)</f>
        <v>13.435416666666667</v>
      </c>
      <c r="L57" s="84">
        <f t="shared" si="11"/>
        <v>7.5</v>
      </c>
      <c r="M57" s="85">
        <f t="shared" si="11"/>
        <v>26.403333333333336</v>
      </c>
      <c r="N57" s="84">
        <f t="shared" si="11"/>
        <v>2.2333333333333334</v>
      </c>
      <c r="O57" s="84">
        <f t="shared" si="11"/>
        <v>11.520000000000001</v>
      </c>
      <c r="P57" s="84">
        <f t="shared" si="11"/>
        <v>0.93333333333333335</v>
      </c>
      <c r="Q57" s="85">
        <f>17*O57+37*K57+17*M57</f>
        <v>1141.8070833333334</v>
      </c>
      <c r="R57" s="85">
        <f>4*O57+9*K57+4*M57</f>
        <v>272.61208333333332</v>
      </c>
    </row>
    <row r="58" spans="3:18">
      <c r="C58" t="s">
        <v>120</v>
      </c>
      <c r="G58">
        <f t="shared" si="10"/>
        <v>0</v>
      </c>
    </row>
    <row r="60" spans="3:18">
      <c r="C60" s="67" t="s">
        <v>26</v>
      </c>
      <c r="D60" s="67"/>
      <c r="F60" s="56" t="s">
        <v>212</v>
      </c>
      <c r="G60" t="s">
        <v>275</v>
      </c>
    </row>
    <row r="61" spans="3:18">
      <c r="C61" t="s">
        <v>142</v>
      </c>
      <c r="F61">
        <v>27</v>
      </c>
      <c r="G61">
        <f t="shared" ref="G61:G66" si="12">$F61*60/100</f>
        <v>16.2</v>
      </c>
    </row>
    <row r="62" spans="3:18">
      <c r="C62" t="s">
        <v>119</v>
      </c>
      <c r="F62">
        <v>13</v>
      </c>
      <c r="G62">
        <f t="shared" si="12"/>
        <v>7.8</v>
      </c>
    </row>
    <row r="63" spans="3:18">
      <c r="C63" t="s">
        <v>118</v>
      </c>
      <c r="F63">
        <v>0.5</v>
      </c>
      <c r="G63">
        <f t="shared" si="12"/>
        <v>0.3</v>
      </c>
    </row>
    <row r="64" spans="3:18">
      <c r="C64" t="s">
        <v>143</v>
      </c>
      <c r="F64">
        <v>0</v>
      </c>
      <c r="G64">
        <f t="shared" si="12"/>
        <v>0</v>
      </c>
    </row>
    <row r="65" spans="2:7">
      <c r="C65" t="s">
        <v>133</v>
      </c>
      <c r="F65">
        <v>24</v>
      </c>
      <c r="G65">
        <f t="shared" si="12"/>
        <v>14.4</v>
      </c>
    </row>
    <row r="66" spans="2:7">
      <c r="C66" t="s">
        <v>120</v>
      </c>
      <c r="F66">
        <v>2</v>
      </c>
      <c r="G66">
        <f t="shared" si="12"/>
        <v>1.2</v>
      </c>
    </row>
    <row r="68" spans="2:7">
      <c r="C68" s="67" t="s">
        <v>52</v>
      </c>
      <c r="D68" s="67"/>
      <c r="F68" t="s">
        <v>212</v>
      </c>
      <c r="G68" t="s">
        <v>276</v>
      </c>
    </row>
    <row r="69" spans="2:7">
      <c r="C69" t="s">
        <v>142</v>
      </c>
      <c r="F69" s="68">
        <v>0.3</v>
      </c>
      <c r="G69">
        <f t="shared" ref="G69:G74" si="13">$F69*2/100</f>
        <v>6.0000000000000001E-3</v>
      </c>
    </row>
    <row r="70" spans="2:7">
      <c r="C70" t="s">
        <v>119</v>
      </c>
      <c r="F70" s="68"/>
      <c r="G70">
        <f t="shared" si="13"/>
        <v>0</v>
      </c>
    </row>
    <row r="71" spans="2:7">
      <c r="C71" t="s">
        <v>118</v>
      </c>
      <c r="F71" s="87">
        <v>2.6</v>
      </c>
      <c r="G71">
        <f t="shared" si="13"/>
        <v>5.2000000000000005E-2</v>
      </c>
    </row>
    <row r="72" spans="2:7">
      <c r="C72" t="s">
        <v>143</v>
      </c>
      <c r="F72" s="68"/>
      <c r="G72">
        <f t="shared" si="13"/>
        <v>0</v>
      </c>
    </row>
    <row r="73" spans="2:7">
      <c r="C73" t="s">
        <v>133</v>
      </c>
      <c r="F73" s="68">
        <v>0.9</v>
      </c>
      <c r="G73">
        <f t="shared" si="13"/>
        <v>1.8000000000000002E-2</v>
      </c>
    </row>
    <row r="74" spans="2:7">
      <c r="C74" t="s">
        <v>120</v>
      </c>
      <c r="F74" s="68">
        <v>0</v>
      </c>
      <c r="G74">
        <f t="shared" si="13"/>
        <v>0</v>
      </c>
    </row>
    <row r="76" spans="2:7">
      <c r="B76" t="s">
        <v>271</v>
      </c>
      <c r="C76" s="67" t="s">
        <v>53</v>
      </c>
      <c r="D76" s="67"/>
      <c r="F76" t="s">
        <v>212</v>
      </c>
      <c r="G76" t="s">
        <v>277</v>
      </c>
    </row>
    <row r="77" spans="2:7">
      <c r="C77" t="s">
        <v>142</v>
      </c>
      <c r="F77">
        <v>0.2</v>
      </c>
      <c r="G77">
        <f t="shared" ref="G77:G82" si="14">$F77*12/100</f>
        <v>2.4000000000000004E-2</v>
      </c>
    </row>
    <row r="78" spans="2:7">
      <c r="C78" t="s">
        <v>119</v>
      </c>
      <c r="G78">
        <f t="shared" si="14"/>
        <v>0</v>
      </c>
    </row>
    <row r="79" spans="2:7">
      <c r="C79" t="s">
        <v>118</v>
      </c>
      <c r="F79">
        <v>3.1</v>
      </c>
      <c r="G79">
        <f t="shared" si="14"/>
        <v>0.37200000000000005</v>
      </c>
    </row>
    <row r="80" spans="2:7">
      <c r="C80" t="s">
        <v>143</v>
      </c>
      <c r="G80">
        <f t="shared" si="14"/>
        <v>0</v>
      </c>
    </row>
    <row r="81" spans="3:7">
      <c r="C81" t="s">
        <v>133</v>
      </c>
      <c r="F81">
        <v>0.9</v>
      </c>
      <c r="G81">
        <f t="shared" si="14"/>
        <v>0.10800000000000001</v>
      </c>
    </row>
    <row r="82" spans="3:7">
      <c r="C82" t="s">
        <v>120</v>
      </c>
      <c r="G82">
        <f t="shared" si="14"/>
        <v>0</v>
      </c>
    </row>
  </sheetData>
  <mergeCells count="14">
    <mergeCell ref="I56:J56"/>
    <mergeCell ref="I57:J57"/>
    <mergeCell ref="Q48:R48"/>
    <mergeCell ref="I51:J51"/>
    <mergeCell ref="I52:J52"/>
    <mergeCell ref="I53:J53"/>
    <mergeCell ref="I54:J54"/>
    <mergeCell ref="I55:J55"/>
    <mergeCell ref="A1:H1"/>
    <mergeCell ref="K36:P36"/>
    <mergeCell ref="I37:I39"/>
    <mergeCell ref="J37:J38"/>
    <mergeCell ref="I48:I50"/>
    <mergeCell ref="J48:J5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75" zoomScaleNormal="70" zoomScalePageLayoutView="70" workbookViewId="0">
      <selection activeCell="B5" sqref="B5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9.5" bestFit="1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  <col min="9" max="9" width="18.796875" bestFit="1" customWidth="1"/>
  </cols>
  <sheetData>
    <row r="1" spans="1:8" ht="31.05" customHeight="1">
      <c r="A1" s="193" t="s">
        <v>174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172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78.599999999999994">
      <c r="A3" s="2" t="s">
        <v>175</v>
      </c>
      <c r="B3" s="37" t="s">
        <v>95</v>
      </c>
      <c r="C3" s="3">
        <v>75</v>
      </c>
      <c r="D3" s="3">
        <v>75</v>
      </c>
      <c r="E3" s="3">
        <v>50</v>
      </c>
      <c r="F3" s="4" t="s">
        <v>93</v>
      </c>
      <c r="G3" s="3" t="s">
        <v>84</v>
      </c>
      <c r="H3" s="6" t="s">
        <v>94</v>
      </c>
    </row>
    <row r="4" spans="1:8" ht="17.399999999999999">
      <c r="A4" s="2" t="s">
        <v>59</v>
      </c>
      <c r="B4" s="37" t="s">
        <v>128</v>
      </c>
      <c r="C4" s="3">
        <v>12</v>
      </c>
      <c r="D4" s="3">
        <v>8</v>
      </c>
      <c r="E4" s="3">
        <v>5</v>
      </c>
      <c r="F4" s="5"/>
      <c r="G4" s="6"/>
      <c r="H4" s="3"/>
    </row>
    <row r="5" spans="1:8" ht="94.2">
      <c r="A5" s="2" t="s">
        <v>60</v>
      </c>
      <c r="B5" s="22" t="s">
        <v>25</v>
      </c>
      <c r="C5" s="3">
        <v>70</v>
      </c>
      <c r="D5" s="3">
        <v>60</v>
      </c>
      <c r="E5" s="3">
        <v>40</v>
      </c>
      <c r="F5" s="6" t="s">
        <v>96</v>
      </c>
      <c r="G5" s="3"/>
      <c r="H5" s="36"/>
    </row>
    <row r="6" spans="1:8" ht="17.399999999999999">
      <c r="A6" s="2" t="s">
        <v>61</v>
      </c>
      <c r="B6" s="12"/>
      <c r="C6" s="3">
        <v>5</v>
      </c>
      <c r="D6" s="3">
        <v>3</v>
      </c>
      <c r="E6" s="3">
        <v>2</v>
      </c>
      <c r="F6" s="33"/>
      <c r="G6" s="3"/>
      <c r="H6" s="3"/>
    </row>
    <row r="7" spans="1:8" ht="47.4">
      <c r="A7" s="2" t="s">
        <v>62</v>
      </c>
      <c r="B7" s="9"/>
      <c r="C7" s="3">
        <v>7</v>
      </c>
      <c r="D7" s="3">
        <v>4</v>
      </c>
      <c r="E7" s="3">
        <v>3</v>
      </c>
      <c r="F7" s="62" t="s">
        <v>97</v>
      </c>
      <c r="G7" s="3"/>
      <c r="H7" s="3"/>
    </row>
    <row r="8" spans="1:8" ht="43.95" customHeight="1">
      <c r="C8">
        <f>SUM(C3:C7)</f>
        <v>169</v>
      </c>
      <c r="D8">
        <f>SUM(D3:D7)</f>
        <v>150</v>
      </c>
      <c r="E8">
        <f>SUM(E3:E7)</f>
        <v>100</v>
      </c>
      <c r="F8" t="s">
        <v>289</v>
      </c>
    </row>
    <row r="21" spans="3:15">
      <c r="E21" s="7"/>
    </row>
    <row r="23" spans="3:15">
      <c r="D23" s="7"/>
      <c r="F23" s="55" t="s">
        <v>282</v>
      </c>
      <c r="G23" s="55" t="s">
        <v>283</v>
      </c>
      <c r="H23" s="55" t="s">
        <v>284</v>
      </c>
      <c r="I23" s="55" t="s">
        <v>285</v>
      </c>
      <c r="J23" s="55" t="s">
        <v>286</v>
      </c>
      <c r="K23" t="s">
        <v>287</v>
      </c>
      <c r="L23" s="65" t="s">
        <v>155</v>
      </c>
    </row>
    <row r="24" spans="3:15">
      <c r="C24" t="s">
        <v>142</v>
      </c>
      <c r="F24" s="55">
        <v>2.5499999999999998</v>
      </c>
      <c r="G24" s="55">
        <v>7.28</v>
      </c>
      <c r="H24" s="55">
        <v>12.6</v>
      </c>
      <c r="I24" s="55">
        <v>8.9999999999999993E-3</v>
      </c>
      <c r="J24" s="55">
        <v>0</v>
      </c>
      <c r="K24" s="55">
        <f t="shared" ref="K24:K29" si="0">SUM(F24:J24)</f>
        <v>22.439</v>
      </c>
      <c r="L24" s="55">
        <f t="shared" ref="L24:L29" si="1">$K24*100/150</f>
        <v>14.959333333333333</v>
      </c>
    </row>
    <row r="25" spans="3:15">
      <c r="C25" t="s">
        <v>119</v>
      </c>
      <c r="F25" s="55">
        <v>0.82499999999999996</v>
      </c>
      <c r="G25" s="55">
        <v>1.1200000000000001</v>
      </c>
      <c r="H25" s="55">
        <v>4.919999999999999</v>
      </c>
      <c r="I25" s="55">
        <v>0</v>
      </c>
      <c r="J25" s="55">
        <v>0</v>
      </c>
      <c r="K25" s="55">
        <f t="shared" si="0"/>
        <v>6.8649999999999993</v>
      </c>
      <c r="L25" s="55">
        <f t="shared" si="1"/>
        <v>4.5766666666666662</v>
      </c>
    </row>
    <row r="26" spans="3:15">
      <c r="C26" t="s">
        <v>118</v>
      </c>
      <c r="F26" s="55">
        <v>36</v>
      </c>
      <c r="G26" s="55">
        <v>0</v>
      </c>
      <c r="H26" s="55">
        <v>1.92</v>
      </c>
      <c r="I26" s="55">
        <v>0.11399999999999999</v>
      </c>
      <c r="J26" s="55">
        <v>2.1080000000000001</v>
      </c>
      <c r="K26" s="55">
        <f t="shared" si="0"/>
        <v>40.141999999999996</v>
      </c>
      <c r="L26" s="55">
        <f t="shared" si="1"/>
        <v>26.761333333333333</v>
      </c>
    </row>
    <row r="27" spans="3:15">
      <c r="C27" t="s">
        <v>143</v>
      </c>
      <c r="F27" s="55">
        <v>2.25</v>
      </c>
      <c r="G27" s="55">
        <v>0</v>
      </c>
      <c r="H27" s="55">
        <v>0.3</v>
      </c>
      <c r="I27" s="55">
        <v>0</v>
      </c>
      <c r="J27" s="55">
        <v>0</v>
      </c>
      <c r="K27" s="55">
        <f t="shared" si="0"/>
        <v>2.5499999999999998</v>
      </c>
      <c r="L27" s="55">
        <f t="shared" si="1"/>
        <v>1.6999999999999997</v>
      </c>
    </row>
    <row r="28" spans="3:15">
      <c r="C28" t="s">
        <v>133</v>
      </c>
      <c r="F28" s="55">
        <v>6.5250000000000004</v>
      </c>
      <c r="G28" s="55">
        <v>0</v>
      </c>
      <c r="H28" s="55">
        <v>7.2</v>
      </c>
      <c r="I28" s="55">
        <v>6.6000000000000003E-2</v>
      </c>
      <c r="J28" s="55">
        <v>5.5999999999999994E-2</v>
      </c>
      <c r="K28" s="55">
        <f t="shared" si="0"/>
        <v>13.847000000000001</v>
      </c>
      <c r="L28" s="55">
        <f t="shared" si="1"/>
        <v>9.2313333333333336</v>
      </c>
    </row>
    <row r="29" spans="3:15">
      <c r="C29" t="s">
        <v>120</v>
      </c>
      <c r="F29" s="55">
        <v>1.05</v>
      </c>
      <c r="G29" s="55">
        <v>0</v>
      </c>
      <c r="H29" s="55">
        <v>1.5</v>
      </c>
      <c r="I29" s="55">
        <v>0</v>
      </c>
      <c r="J29" s="55"/>
      <c r="K29" s="55">
        <f t="shared" si="0"/>
        <v>2.5499999999999998</v>
      </c>
      <c r="L29" s="55">
        <f t="shared" si="1"/>
        <v>1.6999999999999997</v>
      </c>
    </row>
    <row r="32" spans="3:15">
      <c r="C32" s="67" t="s">
        <v>279</v>
      </c>
      <c r="E32" t="s">
        <v>212</v>
      </c>
      <c r="F32" t="s">
        <v>282</v>
      </c>
      <c r="H32" s="98"/>
      <c r="I32" s="98"/>
      <c r="J32" s="245" t="s">
        <v>228</v>
      </c>
      <c r="K32" s="245"/>
      <c r="L32" s="245"/>
      <c r="M32" s="245"/>
      <c r="N32" s="245"/>
      <c r="O32" s="245"/>
    </row>
    <row r="33" spans="3:17" ht="43.2">
      <c r="C33" t="s">
        <v>142</v>
      </c>
      <c r="E33">
        <v>3.4</v>
      </c>
      <c r="F33" s="55">
        <f t="shared" ref="F33:F38" si="2">$E33*75/100</f>
        <v>2.5499999999999998</v>
      </c>
      <c r="H33" s="242" t="s">
        <v>216</v>
      </c>
      <c r="I33" s="246" t="s">
        <v>225</v>
      </c>
      <c r="J33" s="70" t="s">
        <v>217</v>
      </c>
      <c r="K33" s="70" t="s">
        <v>226</v>
      </c>
      <c r="L33" s="70" t="s">
        <v>118</v>
      </c>
      <c r="M33" s="70" t="s">
        <v>143</v>
      </c>
      <c r="N33" s="70" t="s">
        <v>227</v>
      </c>
      <c r="O33" s="70" t="s">
        <v>120</v>
      </c>
    </row>
    <row r="34" spans="3:17">
      <c r="C34" t="s">
        <v>119</v>
      </c>
      <c r="E34">
        <v>1.1000000000000001</v>
      </c>
      <c r="F34" s="55">
        <f t="shared" si="2"/>
        <v>0.82499999999999996</v>
      </c>
      <c r="H34" s="242"/>
      <c r="I34" s="246"/>
      <c r="J34" s="71" t="s">
        <v>218</v>
      </c>
      <c r="K34" s="71" t="s">
        <v>219</v>
      </c>
      <c r="L34" s="71" t="s">
        <v>220</v>
      </c>
      <c r="M34" s="71" t="s">
        <v>221</v>
      </c>
      <c r="N34" s="71" t="s">
        <v>222</v>
      </c>
      <c r="O34" s="71" t="s">
        <v>223</v>
      </c>
    </row>
    <row r="35" spans="3:17">
      <c r="C35" t="s">
        <v>118</v>
      </c>
      <c r="E35">
        <v>48</v>
      </c>
      <c r="F35" s="55">
        <f t="shared" si="2"/>
        <v>36</v>
      </c>
      <c r="H35" s="242"/>
      <c r="I35" s="99" t="s">
        <v>224</v>
      </c>
      <c r="J35" s="71" t="s">
        <v>224</v>
      </c>
      <c r="K35" s="71" t="s">
        <v>224</v>
      </c>
      <c r="L35" s="71" t="s">
        <v>224</v>
      </c>
      <c r="M35" s="71" t="s">
        <v>224</v>
      </c>
      <c r="N35" s="71" t="s">
        <v>224</v>
      </c>
      <c r="O35" s="71" t="s">
        <v>224</v>
      </c>
    </row>
    <row r="36" spans="3:17" ht="17.399999999999999">
      <c r="C36" t="s">
        <v>143</v>
      </c>
      <c r="E36">
        <v>3</v>
      </c>
      <c r="F36" s="55">
        <f t="shared" si="2"/>
        <v>2.25</v>
      </c>
      <c r="H36" s="82" t="s">
        <v>175</v>
      </c>
      <c r="I36" s="3">
        <v>75</v>
      </c>
      <c r="J36" s="3">
        <v>3.4</v>
      </c>
      <c r="K36" s="3">
        <v>1.1000000000000001</v>
      </c>
      <c r="L36" s="3">
        <v>48</v>
      </c>
      <c r="M36" s="3">
        <v>3</v>
      </c>
      <c r="N36" s="3">
        <v>8.6999999999999993</v>
      </c>
      <c r="O36" s="3">
        <v>1.4</v>
      </c>
    </row>
    <row r="37" spans="3:17" ht="17.399999999999999">
      <c r="C37" t="s">
        <v>133</v>
      </c>
      <c r="E37">
        <v>8.6999999999999993</v>
      </c>
      <c r="F37" s="55">
        <f t="shared" si="2"/>
        <v>6.5250000000000004</v>
      </c>
      <c r="H37" s="82" t="s">
        <v>59</v>
      </c>
      <c r="I37" s="3">
        <v>8</v>
      </c>
      <c r="J37" s="3">
        <v>91</v>
      </c>
      <c r="K37" s="3">
        <v>14</v>
      </c>
      <c r="L37" s="3">
        <v>0</v>
      </c>
      <c r="M37" s="3">
        <v>0</v>
      </c>
      <c r="N37" s="3">
        <v>0</v>
      </c>
      <c r="O37" s="3">
        <v>0</v>
      </c>
    </row>
    <row r="38" spans="3:17" ht="17.399999999999999">
      <c r="C38" t="s">
        <v>120</v>
      </c>
      <c r="E38">
        <v>1.4</v>
      </c>
      <c r="F38" s="55">
        <f t="shared" si="2"/>
        <v>1.05</v>
      </c>
      <c r="H38" s="82" t="s">
        <v>60</v>
      </c>
      <c r="I38" s="3">
        <v>60</v>
      </c>
      <c r="J38" s="3">
        <v>21</v>
      </c>
      <c r="K38" s="3">
        <v>8.1999999999999993</v>
      </c>
      <c r="L38" s="3">
        <v>3.2</v>
      </c>
      <c r="M38" s="3">
        <v>0.5</v>
      </c>
      <c r="N38" s="3">
        <v>12</v>
      </c>
      <c r="O38" s="3">
        <v>2.5</v>
      </c>
    </row>
    <row r="39" spans="3:17" ht="17.399999999999999">
      <c r="H39" s="82" t="s">
        <v>61</v>
      </c>
      <c r="I39" s="3">
        <v>3</v>
      </c>
      <c r="J39" s="3">
        <v>0.3</v>
      </c>
      <c r="K39" s="3"/>
      <c r="L39" s="3">
        <v>3.8</v>
      </c>
      <c r="M39" s="3">
        <v>0</v>
      </c>
      <c r="N39" s="3">
        <v>2.2000000000000002</v>
      </c>
      <c r="O39" s="3">
        <v>0</v>
      </c>
    </row>
    <row r="40" spans="3:17" ht="17.399999999999999">
      <c r="C40" s="67" t="s">
        <v>59</v>
      </c>
      <c r="E40" t="s">
        <v>212</v>
      </c>
      <c r="F40" t="s">
        <v>283</v>
      </c>
      <c r="H40" s="82" t="s">
        <v>62</v>
      </c>
      <c r="I40" s="3">
        <v>4</v>
      </c>
      <c r="J40" s="3">
        <v>0</v>
      </c>
      <c r="K40" s="3">
        <v>0</v>
      </c>
      <c r="L40" s="3">
        <v>52.7</v>
      </c>
      <c r="M40" s="3">
        <v>0</v>
      </c>
      <c r="N40" s="3">
        <v>1.4</v>
      </c>
      <c r="O40" s="3">
        <v>0</v>
      </c>
    </row>
    <row r="41" spans="3:17">
      <c r="C41" t="s">
        <v>142</v>
      </c>
      <c r="E41">
        <v>91</v>
      </c>
      <c r="F41">
        <f t="shared" ref="F41:F46" si="3">$E41*8/100</f>
        <v>7.28</v>
      </c>
    </row>
    <row r="42" spans="3:17">
      <c r="C42" t="s">
        <v>119</v>
      </c>
      <c r="E42">
        <v>14</v>
      </c>
      <c r="F42">
        <f t="shared" si="3"/>
        <v>1.1200000000000001</v>
      </c>
    </row>
    <row r="43" spans="3:17" ht="43.2">
      <c r="C43" t="s">
        <v>118</v>
      </c>
      <c r="E43">
        <v>0</v>
      </c>
      <c r="F43">
        <f t="shared" si="3"/>
        <v>0</v>
      </c>
      <c r="H43" s="202" t="s">
        <v>0</v>
      </c>
      <c r="I43" s="204" t="s">
        <v>229</v>
      </c>
      <c r="J43" s="70" t="s">
        <v>217</v>
      </c>
      <c r="K43" s="70" t="s">
        <v>226</v>
      </c>
      <c r="L43" s="70" t="s">
        <v>118</v>
      </c>
      <c r="M43" s="70" t="s">
        <v>143</v>
      </c>
      <c r="N43" s="70" t="s">
        <v>227</v>
      </c>
      <c r="O43" s="70" t="s">
        <v>120</v>
      </c>
      <c r="P43" s="191" t="s">
        <v>230</v>
      </c>
      <c r="Q43" s="192"/>
    </row>
    <row r="44" spans="3:17">
      <c r="C44" t="s">
        <v>143</v>
      </c>
      <c r="E44">
        <v>0</v>
      </c>
      <c r="F44">
        <f t="shared" si="3"/>
        <v>0</v>
      </c>
      <c r="H44" s="203"/>
      <c r="I44" s="205"/>
      <c r="J44" s="71" t="s">
        <v>218</v>
      </c>
      <c r="K44" s="71" t="s">
        <v>219</v>
      </c>
      <c r="L44" s="71" t="s">
        <v>220</v>
      </c>
      <c r="M44" s="71" t="s">
        <v>221</v>
      </c>
      <c r="N44" s="71" t="s">
        <v>222</v>
      </c>
      <c r="O44" s="71" t="s">
        <v>223</v>
      </c>
      <c r="P44" s="71" t="s">
        <v>231</v>
      </c>
      <c r="Q44" s="71" t="s">
        <v>231</v>
      </c>
    </row>
    <row r="45" spans="3:17">
      <c r="C45" t="s">
        <v>133</v>
      </c>
      <c r="E45">
        <v>0</v>
      </c>
      <c r="F45">
        <f t="shared" si="3"/>
        <v>0</v>
      </c>
      <c r="H45" s="203"/>
      <c r="I45" s="205"/>
      <c r="J45" s="77" t="s">
        <v>224</v>
      </c>
      <c r="K45" s="77" t="s">
        <v>224</v>
      </c>
      <c r="L45" s="77" t="s">
        <v>224</v>
      </c>
      <c r="M45" s="77" t="s">
        <v>224</v>
      </c>
      <c r="N45" s="77" t="s">
        <v>224</v>
      </c>
      <c r="O45" s="77" t="s">
        <v>224</v>
      </c>
      <c r="P45" s="77" t="s">
        <v>232</v>
      </c>
      <c r="Q45" s="77" t="s">
        <v>233</v>
      </c>
    </row>
    <row r="46" spans="3:17" ht="17.399999999999999">
      <c r="C46" t="s">
        <v>120</v>
      </c>
      <c r="E46">
        <v>0</v>
      </c>
      <c r="F46">
        <f t="shared" si="3"/>
        <v>0</v>
      </c>
      <c r="H46" s="188" t="s">
        <v>175</v>
      </c>
      <c r="I46" s="188"/>
      <c r="J46" s="3">
        <f>$J36*$I36/150</f>
        <v>1.7</v>
      </c>
      <c r="K46" s="3">
        <f>$K36*$I36/150</f>
        <v>0.55000000000000004</v>
      </c>
      <c r="L46" s="3">
        <f>$L36*$I36/150</f>
        <v>24</v>
      </c>
      <c r="M46" s="3">
        <f>$M36*$I36/150</f>
        <v>1.5</v>
      </c>
      <c r="N46" s="3">
        <f>$N36*$I36/150</f>
        <v>4.3499999999999996</v>
      </c>
      <c r="O46" s="3">
        <f>$O36*$I36/150</f>
        <v>0.7</v>
      </c>
      <c r="P46" s="3"/>
      <c r="Q46" s="3"/>
    </row>
    <row r="47" spans="3:17" ht="17.399999999999999">
      <c r="H47" s="188" t="s">
        <v>59</v>
      </c>
      <c r="I47" s="188"/>
      <c r="J47" s="3">
        <f>$J37*$I37/150</f>
        <v>4.8533333333333335</v>
      </c>
      <c r="K47" s="3">
        <f>$K37*$I37/150</f>
        <v>0.7466666666666667</v>
      </c>
      <c r="L47" s="3">
        <f>$L37*$I37/150</f>
        <v>0</v>
      </c>
      <c r="M47" s="3">
        <f>$M37*$I37/150</f>
        <v>0</v>
      </c>
      <c r="N47" s="3">
        <f>$N37*$I37/150</f>
        <v>0</v>
      </c>
      <c r="O47" s="3">
        <f>$O37*$I37/150</f>
        <v>0</v>
      </c>
      <c r="P47" s="3"/>
      <c r="Q47" s="3"/>
    </row>
    <row r="48" spans="3:17" ht="17.399999999999999">
      <c r="C48" s="67" t="s">
        <v>280</v>
      </c>
      <c r="E48" t="s">
        <v>212</v>
      </c>
      <c r="F48" t="s">
        <v>284</v>
      </c>
      <c r="H48" s="188" t="s">
        <v>60</v>
      </c>
      <c r="I48" s="188"/>
      <c r="J48" s="3">
        <f>$J38*$I38/150</f>
        <v>8.4</v>
      </c>
      <c r="K48" s="3">
        <f>$K38*$I38/150</f>
        <v>3.28</v>
      </c>
      <c r="L48" s="3">
        <f>$L38*$I38/150</f>
        <v>1.28</v>
      </c>
      <c r="M48" s="3">
        <f>$M38*$I38/150</f>
        <v>0.2</v>
      </c>
      <c r="N48" s="3">
        <f>$N38*$I38/150</f>
        <v>4.8</v>
      </c>
      <c r="O48" s="3">
        <f>$O38*$I38/150</f>
        <v>1</v>
      </c>
      <c r="P48" s="3"/>
      <c r="Q48" s="3"/>
    </row>
    <row r="49" spans="2:17" ht="17.399999999999999">
      <c r="C49" t="s">
        <v>142</v>
      </c>
      <c r="E49">
        <v>21</v>
      </c>
      <c r="F49">
        <f t="shared" ref="F49:F54" si="4">$E49*60/100</f>
        <v>12.6</v>
      </c>
      <c r="H49" s="188" t="s">
        <v>61</v>
      </c>
      <c r="I49" s="188"/>
      <c r="J49" s="3">
        <f>$J39*$I39/150</f>
        <v>5.9999999999999993E-3</v>
      </c>
      <c r="K49" s="3">
        <f>$K39*$I39/150</f>
        <v>0</v>
      </c>
      <c r="L49" s="3">
        <f>$L39*$I39/150</f>
        <v>7.5999999999999984E-2</v>
      </c>
      <c r="M49" s="3">
        <f>$M39*$I39/150</f>
        <v>0</v>
      </c>
      <c r="N49" s="3">
        <f>$N39*$I39/150</f>
        <v>4.4000000000000004E-2</v>
      </c>
      <c r="O49" s="3">
        <f>$O39*$I39/150</f>
        <v>0</v>
      </c>
      <c r="P49" s="3"/>
      <c r="Q49" s="3"/>
    </row>
    <row r="50" spans="2:17" ht="17.399999999999999">
      <c r="C50" t="s">
        <v>119</v>
      </c>
      <c r="E50">
        <v>8.1999999999999993</v>
      </c>
      <c r="F50">
        <f t="shared" si="4"/>
        <v>4.919999999999999</v>
      </c>
      <c r="H50" s="188" t="s">
        <v>62</v>
      </c>
      <c r="I50" s="188"/>
      <c r="J50" s="3">
        <f>$J40*$I40/150</f>
        <v>0</v>
      </c>
      <c r="K50" s="3">
        <f>$K40*$I40/150</f>
        <v>0</v>
      </c>
      <c r="L50" s="3">
        <f>$L40*$I40/150</f>
        <v>1.4053333333333333</v>
      </c>
      <c r="M50" s="3">
        <f>$M40*$I40/150</f>
        <v>0</v>
      </c>
      <c r="N50" s="3">
        <f>$N40*$I40/150</f>
        <v>3.7333333333333329E-2</v>
      </c>
      <c r="O50" s="3">
        <f>$O40*$I40/150</f>
        <v>0</v>
      </c>
      <c r="P50" s="3"/>
      <c r="Q50" s="3"/>
    </row>
    <row r="51" spans="2:17" ht="31.5" customHeight="1">
      <c r="C51" t="s">
        <v>118</v>
      </c>
      <c r="E51">
        <v>3.2</v>
      </c>
      <c r="F51">
        <f t="shared" si="4"/>
        <v>1.92</v>
      </c>
      <c r="H51" s="189" t="s">
        <v>234</v>
      </c>
      <c r="I51" s="190"/>
      <c r="J51" s="85">
        <f t="shared" ref="J51:O51" si="5">SUM(J46:J50)</f>
        <v>14.959333333333333</v>
      </c>
      <c r="K51" s="84">
        <f t="shared" si="5"/>
        <v>4.5766666666666662</v>
      </c>
      <c r="L51" s="85">
        <f t="shared" si="5"/>
        <v>26.761333333333337</v>
      </c>
      <c r="M51" s="84">
        <f t="shared" si="5"/>
        <v>1.7</v>
      </c>
      <c r="N51" s="84">
        <f t="shared" si="5"/>
        <v>9.2313333333333318</v>
      </c>
      <c r="O51" s="84">
        <f t="shared" si="5"/>
        <v>1.7</v>
      </c>
      <c r="P51" s="85">
        <f>17*N51+37*J51+17*L51</f>
        <v>1165.3706666666667</v>
      </c>
      <c r="Q51" s="85">
        <f>4*N51+9*J51+4*L51</f>
        <v>278.60466666666667</v>
      </c>
    </row>
    <row r="52" spans="2:17">
      <c r="C52" t="s">
        <v>143</v>
      </c>
      <c r="E52">
        <v>0.5</v>
      </c>
      <c r="F52">
        <f t="shared" si="4"/>
        <v>0.3</v>
      </c>
    </row>
    <row r="53" spans="2:17">
      <c r="C53" t="s">
        <v>133</v>
      </c>
      <c r="E53">
        <v>12</v>
      </c>
      <c r="F53">
        <f t="shared" si="4"/>
        <v>7.2</v>
      </c>
    </row>
    <row r="54" spans="2:17">
      <c r="C54" t="s">
        <v>120</v>
      </c>
      <c r="E54">
        <v>2.5</v>
      </c>
      <c r="F54">
        <f t="shared" si="4"/>
        <v>1.5</v>
      </c>
    </row>
    <row r="56" spans="2:17">
      <c r="B56" t="s">
        <v>281</v>
      </c>
      <c r="C56" s="67" t="s">
        <v>61</v>
      </c>
      <c r="E56" t="s">
        <v>212</v>
      </c>
      <c r="F56" t="s">
        <v>285</v>
      </c>
    </row>
    <row r="57" spans="2:17">
      <c r="C57" t="s">
        <v>142</v>
      </c>
      <c r="E57">
        <v>0.3</v>
      </c>
      <c r="F57" s="55">
        <f t="shared" ref="F57:F62" si="6">$E57*3/100</f>
        <v>8.9999999999999993E-3</v>
      </c>
    </row>
    <row r="58" spans="2:17">
      <c r="C58" t="s">
        <v>119</v>
      </c>
      <c r="F58" s="55">
        <f t="shared" si="6"/>
        <v>0</v>
      </c>
    </row>
    <row r="59" spans="2:17">
      <c r="C59" t="s">
        <v>118</v>
      </c>
      <c r="E59">
        <v>3.8</v>
      </c>
      <c r="F59" s="55">
        <f t="shared" si="6"/>
        <v>0.11399999999999999</v>
      </c>
    </row>
    <row r="60" spans="2:17">
      <c r="C60" t="s">
        <v>143</v>
      </c>
      <c r="F60" s="55">
        <f t="shared" si="6"/>
        <v>0</v>
      </c>
    </row>
    <row r="61" spans="2:17">
      <c r="C61" t="s">
        <v>133</v>
      </c>
      <c r="E61">
        <v>2.2000000000000002</v>
      </c>
      <c r="F61" s="55">
        <f t="shared" si="6"/>
        <v>6.6000000000000003E-2</v>
      </c>
    </row>
    <row r="62" spans="2:17">
      <c r="C62" t="s">
        <v>120</v>
      </c>
      <c r="F62" s="55">
        <f t="shared" si="6"/>
        <v>0</v>
      </c>
    </row>
    <row r="64" spans="2:17">
      <c r="C64" s="67" t="s">
        <v>62</v>
      </c>
      <c r="E64" t="s">
        <v>212</v>
      </c>
      <c r="F64" t="s">
        <v>286</v>
      </c>
    </row>
    <row r="65" spans="3:6">
      <c r="C65" t="s">
        <v>142</v>
      </c>
      <c r="E65">
        <v>0</v>
      </c>
      <c r="F65" s="55">
        <f>$E65*4/100</f>
        <v>0</v>
      </c>
    </row>
    <row r="66" spans="3:6">
      <c r="C66" t="s">
        <v>119</v>
      </c>
      <c r="E66">
        <v>0</v>
      </c>
      <c r="F66" s="55">
        <f>$E66*4/100</f>
        <v>0</v>
      </c>
    </row>
    <row r="67" spans="3:6">
      <c r="C67" t="s">
        <v>118</v>
      </c>
      <c r="E67">
        <v>52.7</v>
      </c>
      <c r="F67" s="55">
        <f>$E67*4/100</f>
        <v>2.1080000000000001</v>
      </c>
    </row>
    <row r="68" spans="3:6">
      <c r="C68" t="s">
        <v>143</v>
      </c>
      <c r="F68" s="55">
        <f>$E68*4/100</f>
        <v>0</v>
      </c>
    </row>
    <row r="69" spans="3:6">
      <c r="C69" t="s">
        <v>133</v>
      </c>
      <c r="E69">
        <v>1.4</v>
      </c>
      <c r="F69" s="55">
        <f>$E69*4/100</f>
        <v>5.5999999999999994E-2</v>
      </c>
    </row>
    <row r="70" spans="3:6">
      <c r="C70" t="s">
        <v>120</v>
      </c>
    </row>
  </sheetData>
  <mergeCells count="13">
    <mergeCell ref="A1:H1"/>
    <mergeCell ref="J32:O32"/>
    <mergeCell ref="H33:H35"/>
    <mergeCell ref="I33:I34"/>
    <mergeCell ref="H43:H45"/>
    <mergeCell ref="I43:I45"/>
    <mergeCell ref="H50:I50"/>
    <mergeCell ref="H51:I51"/>
    <mergeCell ref="P43:Q43"/>
    <mergeCell ref="H46:I46"/>
    <mergeCell ref="H47:I47"/>
    <mergeCell ref="H48:I48"/>
    <mergeCell ref="H49:I4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O50" zoomScale="88" zoomScaleNormal="60" zoomScalePageLayoutView="60" workbookViewId="0">
      <selection activeCell="C32" sqref="C32:E38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9.5" bestFit="1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</cols>
  <sheetData>
    <row r="1" spans="1:8" ht="31.05" customHeight="1">
      <c r="A1" s="193" t="s">
        <v>176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172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203.4">
      <c r="A3" s="2" t="s">
        <v>179</v>
      </c>
      <c r="B3" s="37" t="s">
        <v>95</v>
      </c>
      <c r="C3" s="3">
        <v>75</v>
      </c>
      <c r="D3" s="3">
        <v>75</v>
      </c>
      <c r="E3" s="3">
        <v>50</v>
      </c>
      <c r="F3" s="4" t="s">
        <v>202</v>
      </c>
      <c r="G3" s="6" t="s">
        <v>177</v>
      </c>
      <c r="H3" s="6" t="s">
        <v>178</v>
      </c>
    </row>
    <row r="4" spans="1:8" ht="17.399999999999999">
      <c r="A4" s="2" t="s">
        <v>59</v>
      </c>
      <c r="B4" s="37" t="s">
        <v>128</v>
      </c>
      <c r="C4" s="3">
        <v>12</v>
      </c>
      <c r="D4" s="3">
        <v>8</v>
      </c>
      <c r="E4" s="3">
        <v>5</v>
      </c>
      <c r="F4" s="5"/>
      <c r="G4" s="6"/>
      <c r="H4" s="3"/>
    </row>
    <row r="5" spans="1:8" ht="94.2">
      <c r="A5" s="2" t="s">
        <v>60</v>
      </c>
      <c r="B5" s="22" t="s">
        <v>25</v>
      </c>
      <c r="C5" s="3">
        <v>70</v>
      </c>
      <c r="D5" s="3">
        <v>60</v>
      </c>
      <c r="E5" s="3">
        <v>40</v>
      </c>
      <c r="F5" s="6" t="s">
        <v>96</v>
      </c>
      <c r="G5" s="3"/>
      <c r="H5" s="36"/>
    </row>
    <row r="6" spans="1:8" ht="17.399999999999999">
      <c r="A6" s="2" t="s">
        <v>61</v>
      </c>
      <c r="B6" s="12"/>
      <c r="C6" s="3">
        <v>5</v>
      </c>
      <c r="D6" s="3">
        <v>3</v>
      </c>
      <c r="E6" s="3">
        <v>2</v>
      </c>
      <c r="F6" s="33"/>
      <c r="G6" s="3"/>
      <c r="H6" s="3"/>
    </row>
    <row r="7" spans="1:8" ht="47.4">
      <c r="A7" s="2" t="s">
        <v>62</v>
      </c>
      <c r="B7" s="9"/>
      <c r="C7" s="3">
        <v>7</v>
      </c>
      <c r="D7" s="3">
        <v>4</v>
      </c>
      <c r="E7" s="3">
        <v>3</v>
      </c>
      <c r="F7" s="62" t="s">
        <v>97</v>
      </c>
      <c r="G7" s="3"/>
      <c r="H7" s="3"/>
    </row>
    <row r="8" spans="1:8" ht="43.95" customHeight="1">
      <c r="C8">
        <f>SUM(C3:C7)</f>
        <v>169</v>
      </c>
      <c r="D8">
        <f>SUM(D3:D7)</f>
        <v>150</v>
      </c>
      <c r="E8">
        <f>SUM(E3:E7)</f>
        <v>100</v>
      </c>
    </row>
    <row r="21" spans="3:15">
      <c r="E21" s="7"/>
    </row>
    <row r="23" spans="3:15">
      <c r="D23" s="7"/>
      <c r="F23" s="55" t="s">
        <v>333</v>
      </c>
      <c r="G23" t="s">
        <v>283</v>
      </c>
      <c r="H23" t="s">
        <v>284</v>
      </c>
      <c r="I23" t="s">
        <v>285</v>
      </c>
      <c r="J23" t="s">
        <v>286</v>
      </c>
      <c r="K23" t="s">
        <v>287</v>
      </c>
      <c r="L23" t="s">
        <v>155</v>
      </c>
    </row>
    <row r="24" spans="3:15">
      <c r="C24" t="s">
        <v>142</v>
      </c>
      <c r="F24" s="55">
        <v>2.625</v>
      </c>
      <c r="G24">
        <v>7.28</v>
      </c>
      <c r="H24">
        <v>12.6</v>
      </c>
      <c r="I24">
        <v>8.9999999999999993E-3</v>
      </c>
      <c r="J24">
        <v>0</v>
      </c>
      <c r="K24" s="55">
        <f t="shared" ref="K24:K29" si="0">SUM(F24:J24)</f>
        <v>22.514000000000003</v>
      </c>
      <c r="L24" s="55">
        <f t="shared" ref="L24:L29" si="1">$K24*100/155</f>
        <v>14.525161290322581</v>
      </c>
    </row>
    <row r="25" spans="3:15">
      <c r="C25" t="s">
        <v>119</v>
      </c>
      <c r="F25" s="55">
        <v>0.9</v>
      </c>
      <c r="G25">
        <v>1.1200000000000001</v>
      </c>
      <c r="H25">
        <v>4.919999999999999</v>
      </c>
      <c r="I25">
        <v>0</v>
      </c>
      <c r="J25">
        <v>0</v>
      </c>
      <c r="K25" s="55">
        <f t="shared" si="0"/>
        <v>6.9399999999999995</v>
      </c>
      <c r="L25" s="55">
        <f t="shared" si="1"/>
        <v>4.4774193548387098</v>
      </c>
    </row>
    <row r="26" spans="3:15">
      <c r="C26" t="s">
        <v>118</v>
      </c>
      <c r="F26" s="55">
        <v>31.5</v>
      </c>
      <c r="G26">
        <v>0</v>
      </c>
      <c r="H26">
        <v>1.92</v>
      </c>
      <c r="I26">
        <v>0.11399999999999999</v>
      </c>
      <c r="J26">
        <v>2.1080000000000001</v>
      </c>
      <c r="K26" s="55">
        <f t="shared" si="0"/>
        <v>35.641999999999996</v>
      </c>
      <c r="L26" s="55">
        <f t="shared" si="1"/>
        <v>22.994838709677417</v>
      </c>
    </row>
    <row r="27" spans="3:15">
      <c r="C27" t="s">
        <v>143</v>
      </c>
      <c r="F27" s="55">
        <v>1.875</v>
      </c>
      <c r="G27">
        <v>0</v>
      </c>
      <c r="H27">
        <v>0.3</v>
      </c>
      <c r="I27">
        <v>0</v>
      </c>
      <c r="J27">
        <v>0</v>
      </c>
      <c r="K27" s="55">
        <f t="shared" si="0"/>
        <v>2.1749999999999998</v>
      </c>
      <c r="L27" s="55">
        <f t="shared" si="1"/>
        <v>1.4032258064516128</v>
      </c>
    </row>
    <row r="28" spans="3:15">
      <c r="C28" t="s">
        <v>133</v>
      </c>
      <c r="F28" s="55">
        <v>7.4249999999999998</v>
      </c>
      <c r="G28">
        <v>0</v>
      </c>
      <c r="H28">
        <v>7.2</v>
      </c>
      <c r="I28">
        <v>6.6000000000000003E-2</v>
      </c>
      <c r="J28">
        <v>5.5999999999999994E-2</v>
      </c>
      <c r="K28" s="55">
        <f t="shared" si="0"/>
        <v>14.747</v>
      </c>
      <c r="L28" s="55">
        <f t="shared" si="1"/>
        <v>9.5141935483870963</v>
      </c>
    </row>
    <row r="29" spans="3:15">
      <c r="C29" t="s">
        <v>120</v>
      </c>
      <c r="F29" s="55">
        <v>0.97499999999999998</v>
      </c>
      <c r="G29">
        <v>0</v>
      </c>
      <c r="H29">
        <v>1.5</v>
      </c>
      <c r="I29">
        <v>0</v>
      </c>
      <c r="K29" s="55">
        <f t="shared" si="0"/>
        <v>2.4750000000000001</v>
      </c>
      <c r="L29" s="55">
        <f t="shared" si="1"/>
        <v>1.596774193548387</v>
      </c>
    </row>
    <row r="32" spans="3:15">
      <c r="C32" s="67" t="s">
        <v>332</v>
      </c>
      <c r="E32" t="s">
        <v>212</v>
      </c>
      <c r="F32" t="s">
        <v>333</v>
      </c>
      <c r="H32" s="98"/>
      <c r="I32" s="98"/>
      <c r="J32" s="245" t="s">
        <v>228</v>
      </c>
      <c r="K32" s="245"/>
      <c r="L32" s="245"/>
      <c r="M32" s="245"/>
      <c r="N32" s="245"/>
      <c r="O32" s="245"/>
    </row>
    <row r="33" spans="3:17" ht="43.2">
      <c r="C33" t="s">
        <v>142</v>
      </c>
      <c r="E33">
        <v>3.5</v>
      </c>
      <c r="F33" s="55">
        <f t="shared" ref="F33:F38" si="2">$E33*75/100</f>
        <v>2.625</v>
      </c>
      <c r="H33" s="242" t="s">
        <v>216</v>
      </c>
      <c r="I33" s="246" t="s">
        <v>225</v>
      </c>
      <c r="J33" s="70" t="s">
        <v>217</v>
      </c>
      <c r="K33" s="70" t="s">
        <v>226</v>
      </c>
      <c r="L33" s="70" t="s">
        <v>118</v>
      </c>
      <c r="M33" s="70" t="s">
        <v>143</v>
      </c>
      <c r="N33" s="70" t="s">
        <v>227</v>
      </c>
      <c r="O33" s="70" t="s">
        <v>120</v>
      </c>
    </row>
    <row r="34" spans="3:17">
      <c r="C34" t="s">
        <v>119</v>
      </c>
      <c r="E34">
        <v>1.2</v>
      </c>
      <c r="F34" s="55">
        <f t="shared" si="2"/>
        <v>0.9</v>
      </c>
      <c r="H34" s="242"/>
      <c r="I34" s="246"/>
      <c r="J34" s="71" t="s">
        <v>218</v>
      </c>
      <c r="K34" s="71" t="s">
        <v>219</v>
      </c>
      <c r="L34" s="71" t="s">
        <v>220</v>
      </c>
      <c r="M34" s="71" t="s">
        <v>221</v>
      </c>
      <c r="N34" s="71" t="s">
        <v>222</v>
      </c>
      <c r="O34" s="71" t="s">
        <v>223</v>
      </c>
    </row>
    <row r="35" spans="3:17">
      <c r="C35" t="s">
        <v>118</v>
      </c>
      <c r="E35">
        <v>42</v>
      </c>
      <c r="F35" s="55">
        <f t="shared" si="2"/>
        <v>31.5</v>
      </c>
      <c r="H35" s="242"/>
      <c r="I35" s="110" t="s">
        <v>224</v>
      </c>
      <c r="J35" s="71" t="s">
        <v>224</v>
      </c>
      <c r="K35" s="71" t="s">
        <v>224</v>
      </c>
      <c r="L35" s="71" t="s">
        <v>224</v>
      </c>
      <c r="M35" s="71" t="s">
        <v>224</v>
      </c>
      <c r="N35" s="71" t="s">
        <v>224</v>
      </c>
      <c r="O35" s="71" t="s">
        <v>224</v>
      </c>
    </row>
    <row r="36" spans="3:17" ht="17.399999999999999">
      <c r="C36" t="s">
        <v>143</v>
      </c>
      <c r="E36">
        <v>2.5</v>
      </c>
      <c r="F36" s="55">
        <f t="shared" si="2"/>
        <v>1.875</v>
      </c>
      <c r="H36" s="108" t="s">
        <v>184</v>
      </c>
      <c r="I36" s="3">
        <v>75</v>
      </c>
      <c r="J36" s="3">
        <v>3.5</v>
      </c>
      <c r="K36" s="3">
        <v>1.2</v>
      </c>
      <c r="L36" s="3">
        <v>42</v>
      </c>
      <c r="M36" s="3">
        <v>2.5</v>
      </c>
      <c r="N36" s="3">
        <v>9.9</v>
      </c>
      <c r="O36" s="3">
        <v>1.3</v>
      </c>
    </row>
    <row r="37" spans="3:17" ht="17.399999999999999">
      <c r="C37" t="s">
        <v>133</v>
      </c>
      <c r="E37">
        <v>9.9</v>
      </c>
      <c r="F37" s="55">
        <f t="shared" si="2"/>
        <v>7.4249999999999998</v>
      </c>
      <c r="H37" s="108" t="s">
        <v>59</v>
      </c>
      <c r="I37" s="3">
        <v>8</v>
      </c>
      <c r="J37" s="3">
        <v>91</v>
      </c>
      <c r="K37" s="3">
        <v>14</v>
      </c>
      <c r="L37" s="3">
        <v>0</v>
      </c>
      <c r="M37" s="3">
        <v>0</v>
      </c>
      <c r="N37" s="3">
        <v>0</v>
      </c>
      <c r="O37" s="3">
        <v>0</v>
      </c>
    </row>
    <row r="38" spans="3:17" ht="17.399999999999999">
      <c r="C38" t="s">
        <v>120</v>
      </c>
      <c r="E38">
        <v>1.3</v>
      </c>
      <c r="F38" s="55">
        <f t="shared" si="2"/>
        <v>0.97499999999999998</v>
      </c>
      <c r="H38" s="108" t="s">
        <v>60</v>
      </c>
      <c r="I38" s="3">
        <v>60</v>
      </c>
      <c r="J38" s="3">
        <v>21</v>
      </c>
      <c r="K38" s="3">
        <v>8.1999999999999993</v>
      </c>
      <c r="L38" s="3">
        <v>3.2</v>
      </c>
      <c r="M38" s="3">
        <v>0.5</v>
      </c>
      <c r="N38" s="3">
        <v>12</v>
      </c>
      <c r="O38" s="3">
        <v>2.5</v>
      </c>
    </row>
    <row r="39" spans="3:17" ht="17.399999999999999">
      <c r="H39" s="108" t="s">
        <v>61</v>
      </c>
      <c r="I39" s="3">
        <v>3</v>
      </c>
      <c r="J39" s="3">
        <v>0.3</v>
      </c>
      <c r="K39" s="3"/>
      <c r="L39" s="3">
        <v>3.8</v>
      </c>
      <c r="M39" s="3">
        <v>0</v>
      </c>
      <c r="N39" s="3">
        <v>2.2000000000000002</v>
      </c>
      <c r="O39" s="3">
        <v>0</v>
      </c>
    </row>
    <row r="40" spans="3:17" ht="17.399999999999999">
      <c r="C40" s="67" t="s">
        <v>59</v>
      </c>
      <c r="E40" t="s">
        <v>212</v>
      </c>
      <c r="F40" t="s">
        <v>283</v>
      </c>
      <c r="H40" s="108" t="s">
        <v>62</v>
      </c>
      <c r="I40" s="3">
        <v>4</v>
      </c>
      <c r="J40" s="3">
        <v>0</v>
      </c>
      <c r="K40" s="3">
        <v>0</v>
      </c>
      <c r="L40" s="3">
        <v>52.7</v>
      </c>
      <c r="M40" s="3">
        <v>0</v>
      </c>
      <c r="N40" s="3">
        <v>1.4</v>
      </c>
      <c r="O40" s="3">
        <v>0</v>
      </c>
    </row>
    <row r="41" spans="3:17">
      <c r="C41" t="s">
        <v>142</v>
      </c>
      <c r="E41">
        <v>91</v>
      </c>
      <c r="F41">
        <f t="shared" ref="F41:F46" si="3">$E41*8/100</f>
        <v>7.28</v>
      </c>
    </row>
    <row r="42" spans="3:17">
      <c r="C42" t="s">
        <v>119</v>
      </c>
      <c r="E42">
        <v>14</v>
      </c>
      <c r="F42">
        <f t="shared" si="3"/>
        <v>1.1200000000000001</v>
      </c>
    </row>
    <row r="43" spans="3:17" ht="43.2">
      <c r="C43" t="s">
        <v>118</v>
      </c>
      <c r="E43">
        <v>0</v>
      </c>
      <c r="F43">
        <f t="shared" si="3"/>
        <v>0</v>
      </c>
      <c r="H43" s="202" t="s">
        <v>0</v>
      </c>
      <c r="I43" s="204" t="s">
        <v>229</v>
      </c>
      <c r="J43" s="70" t="s">
        <v>217</v>
      </c>
      <c r="K43" s="70" t="s">
        <v>226</v>
      </c>
      <c r="L43" s="70" t="s">
        <v>118</v>
      </c>
      <c r="M43" s="70" t="s">
        <v>143</v>
      </c>
      <c r="N43" s="70" t="s">
        <v>227</v>
      </c>
      <c r="O43" s="70" t="s">
        <v>120</v>
      </c>
      <c r="P43" s="191" t="s">
        <v>230</v>
      </c>
      <c r="Q43" s="192"/>
    </row>
    <row r="44" spans="3:17">
      <c r="C44" t="s">
        <v>143</v>
      </c>
      <c r="E44">
        <v>0</v>
      </c>
      <c r="F44">
        <f t="shared" si="3"/>
        <v>0</v>
      </c>
      <c r="H44" s="203"/>
      <c r="I44" s="205"/>
      <c r="J44" s="71" t="s">
        <v>218</v>
      </c>
      <c r="K44" s="71" t="s">
        <v>219</v>
      </c>
      <c r="L44" s="71" t="s">
        <v>220</v>
      </c>
      <c r="M44" s="71" t="s">
        <v>221</v>
      </c>
      <c r="N44" s="71" t="s">
        <v>222</v>
      </c>
      <c r="O44" s="71" t="s">
        <v>223</v>
      </c>
      <c r="P44" s="71" t="s">
        <v>231</v>
      </c>
      <c r="Q44" s="71" t="s">
        <v>231</v>
      </c>
    </row>
    <row r="45" spans="3:17">
      <c r="C45" t="s">
        <v>133</v>
      </c>
      <c r="E45">
        <v>0</v>
      </c>
      <c r="F45">
        <f t="shared" si="3"/>
        <v>0</v>
      </c>
      <c r="H45" s="203"/>
      <c r="I45" s="205"/>
      <c r="J45" s="77" t="s">
        <v>224</v>
      </c>
      <c r="K45" s="77" t="s">
        <v>224</v>
      </c>
      <c r="L45" s="77" t="s">
        <v>224</v>
      </c>
      <c r="M45" s="77" t="s">
        <v>224</v>
      </c>
      <c r="N45" s="77" t="s">
        <v>224</v>
      </c>
      <c r="O45" s="77" t="s">
        <v>224</v>
      </c>
      <c r="P45" s="77" t="s">
        <v>232</v>
      </c>
      <c r="Q45" s="77" t="s">
        <v>233</v>
      </c>
    </row>
    <row r="46" spans="3:17" ht="17.399999999999999">
      <c r="C46" t="s">
        <v>120</v>
      </c>
      <c r="E46">
        <v>0</v>
      </c>
      <c r="F46">
        <f t="shared" si="3"/>
        <v>0</v>
      </c>
      <c r="H46" s="188" t="s">
        <v>184</v>
      </c>
      <c r="I46" s="188"/>
      <c r="J46" s="78">
        <f>$J36*$I36/155</f>
        <v>1.6935483870967742</v>
      </c>
      <c r="K46" s="78">
        <f>$K36*$I36/155</f>
        <v>0.58064516129032262</v>
      </c>
      <c r="L46" s="78">
        <f>$L36*$I36/155</f>
        <v>20.322580645161292</v>
      </c>
      <c r="M46" s="78">
        <f>$M36*$I36/155</f>
        <v>1.2096774193548387</v>
      </c>
      <c r="N46" s="78">
        <f>$N36*$I36/155</f>
        <v>4.790322580645161</v>
      </c>
      <c r="O46" s="78">
        <f>O36*I36/155</f>
        <v>0.62903225806451613</v>
      </c>
      <c r="P46" s="3"/>
      <c r="Q46" s="3"/>
    </row>
    <row r="47" spans="3:17" ht="17.399999999999999">
      <c r="H47" s="188" t="s">
        <v>59</v>
      </c>
      <c r="I47" s="188"/>
      <c r="J47" s="78">
        <f>$J37*$I37/155</f>
        <v>4.6967741935483867</v>
      </c>
      <c r="K47" s="78">
        <f>$K37*$I37/155</f>
        <v>0.72258064516129028</v>
      </c>
      <c r="L47" s="78">
        <f>$L37*$I37/155</f>
        <v>0</v>
      </c>
      <c r="M47" s="78">
        <f>$M37*$I37/155</f>
        <v>0</v>
      </c>
      <c r="N47" s="78">
        <f>$N37*$I37/155</f>
        <v>0</v>
      </c>
      <c r="O47" s="78">
        <f>O37*I37/155</f>
        <v>0</v>
      </c>
      <c r="P47" s="3"/>
      <c r="Q47" s="3"/>
    </row>
    <row r="48" spans="3:17" ht="17.399999999999999">
      <c r="C48" s="67" t="s">
        <v>280</v>
      </c>
      <c r="E48" t="s">
        <v>212</v>
      </c>
      <c r="F48" t="s">
        <v>284</v>
      </c>
      <c r="H48" s="188" t="s">
        <v>60</v>
      </c>
      <c r="I48" s="188"/>
      <c r="J48" s="78">
        <f>$J38*$I38/155</f>
        <v>8.129032258064516</v>
      </c>
      <c r="K48" s="78">
        <f>$K38*$I38/155</f>
        <v>3.1741935483870964</v>
      </c>
      <c r="L48" s="78">
        <f>$L38*$I38/155</f>
        <v>1.2387096774193549</v>
      </c>
      <c r="M48" s="78">
        <f>$M38*$I38/155</f>
        <v>0.19354838709677419</v>
      </c>
      <c r="N48" s="78">
        <f>$N38*$I38/155</f>
        <v>4.645161290322581</v>
      </c>
      <c r="O48" s="78">
        <f>O38*I38/155</f>
        <v>0.967741935483871</v>
      </c>
      <c r="P48" s="3"/>
      <c r="Q48" s="3"/>
    </row>
    <row r="49" spans="2:17" ht="17.399999999999999">
      <c r="C49" t="s">
        <v>142</v>
      </c>
      <c r="E49">
        <v>21</v>
      </c>
      <c r="F49">
        <f t="shared" ref="F49:F54" si="4">$E49*60/100</f>
        <v>12.6</v>
      </c>
      <c r="H49" s="188" t="s">
        <v>61</v>
      </c>
      <c r="I49" s="188"/>
      <c r="J49" s="78">
        <f>$J39*$I39/155</f>
        <v>5.8064516129032254E-3</v>
      </c>
      <c r="K49" s="78">
        <f>$K39*$I39/155</f>
        <v>0</v>
      </c>
      <c r="L49" s="78">
        <f>$L39*$I39/155</f>
        <v>7.3548387096774179E-2</v>
      </c>
      <c r="M49" s="78">
        <f>$M39*$I39/155</f>
        <v>0</v>
      </c>
      <c r="N49" s="78">
        <f>$N39*$I39/155</f>
        <v>4.2580645161290329E-2</v>
      </c>
      <c r="O49" s="78">
        <f>O39*I39/155</f>
        <v>0</v>
      </c>
      <c r="P49" s="3"/>
      <c r="Q49" s="3"/>
    </row>
    <row r="50" spans="2:17" ht="17.399999999999999">
      <c r="C50" t="s">
        <v>119</v>
      </c>
      <c r="E50">
        <v>8.1999999999999993</v>
      </c>
      <c r="F50">
        <f t="shared" si="4"/>
        <v>4.919999999999999</v>
      </c>
      <c r="H50" s="188" t="s">
        <v>62</v>
      </c>
      <c r="I50" s="188"/>
      <c r="J50" s="78">
        <f>$J40*$I40/155</f>
        <v>0</v>
      </c>
      <c r="K50" s="78">
        <f>$K40*$I40/155</f>
        <v>0</v>
      </c>
      <c r="L50" s="78">
        <f>$L40*$I40/155</f>
        <v>1.36</v>
      </c>
      <c r="M50" s="78">
        <f>$M40*$I40/155</f>
        <v>0</v>
      </c>
      <c r="N50" s="78">
        <f>$N40*$I40/155</f>
        <v>3.6129032258064513E-2</v>
      </c>
      <c r="O50" s="78">
        <f>O40*I40/155</f>
        <v>0</v>
      </c>
      <c r="P50" s="3"/>
      <c r="Q50" s="3"/>
    </row>
    <row r="51" spans="2:17" ht="31.5" customHeight="1">
      <c r="C51" t="s">
        <v>118</v>
      </c>
      <c r="E51">
        <v>3.2</v>
      </c>
      <c r="F51">
        <f t="shared" si="4"/>
        <v>1.92</v>
      </c>
      <c r="H51" s="189" t="s">
        <v>234</v>
      </c>
      <c r="I51" s="190"/>
      <c r="J51" s="85">
        <f t="shared" ref="J51:O51" si="5">SUM(J46:J50)</f>
        <v>14.525161290322581</v>
      </c>
      <c r="K51" s="84">
        <f t="shared" si="5"/>
        <v>4.4774193548387089</v>
      </c>
      <c r="L51" s="85">
        <f t="shared" si="5"/>
        <v>22.99483870967742</v>
      </c>
      <c r="M51" s="84">
        <f t="shared" si="5"/>
        <v>1.403225806451613</v>
      </c>
      <c r="N51" s="84">
        <f t="shared" si="5"/>
        <v>9.5141935483870963</v>
      </c>
      <c r="O51" s="84">
        <f t="shared" si="5"/>
        <v>1.596774193548387</v>
      </c>
      <c r="P51" s="85">
        <f>17*N51+37*J51+17*L51</f>
        <v>1090.0845161290324</v>
      </c>
      <c r="Q51" s="85">
        <f>4*N51+9*J51+4*L51</f>
        <v>260.76258064516128</v>
      </c>
    </row>
    <row r="52" spans="2:17">
      <c r="C52" t="s">
        <v>143</v>
      </c>
      <c r="E52">
        <v>0.5</v>
      </c>
      <c r="F52">
        <f t="shared" si="4"/>
        <v>0.3</v>
      </c>
    </row>
    <row r="53" spans="2:17">
      <c r="C53" t="s">
        <v>133</v>
      </c>
      <c r="E53">
        <v>12</v>
      </c>
      <c r="F53">
        <f t="shared" si="4"/>
        <v>7.2</v>
      </c>
    </row>
    <row r="54" spans="2:17">
      <c r="C54" t="s">
        <v>120</v>
      </c>
      <c r="E54">
        <v>2.5</v>
      </c>
      <c r="F54">
        <f t="shared" si="4"/>
        <v>1.5</v>
      </c>
    </row>
    <row r="56" spans="2:17">
      <c r="B56" t="s">
        <v>281</v>
      </c>
      <c r="C56" s="67" t="s">
        <v>61</v>
      </c>
      <c r="E56" t="s">
        <v>212</v>
      </c>
      <c r="F56" t="s">
        <v>285</v>
      </c>
    </row>
    <row r="57" spans="2:17">
      <c r="C57" t="s">
        <v>142</v>
      </c>
      <c r="E57">
        <v>0.3</v>
      </c>
      <c r="F57" s="55">
        <f t="shared" ref="F57:F62" si="6">$E57*3/100</f>
        <v>8.9999999999999993E-3</v>
      </c>
    </row>
    <row r="58" spans="2:17">
      <c r="C58" t="s">
        <v>119</v>
      </c>
      <c r="F58" s="55">
        <f t="shared" si="6"/>
        <v>0</v>
      </c>
    </row>
    <row r="59" spans="2:17">
      <c r="C59" t="s">
        <v>118</v>
      </c>
      <c r="E59">
        <v>3.8</v>
      </c>
      <c r="F59" s="55">
        <f t="shared" si="6"/>
        <v>0.11399999999999999</v>
      </c>
    </row>
    <row r="60" spans="2:17">
      <c r="C60" t="s">
        <v>143</v>
      </c>
      <c r="F60" s="55">
        <f t="shared" si="6"/>
        <v>0</v>
      </c>
    </row>
    <row r="61" spans="2:17">
      <c r="C61" t="s">
        <v>133</v>
      </c>
      <c r="E61">
        <v>2.2000000000000002</v>
      </c>
      <c r="F61" s="55">
        <f t="shared" si="6"/>
        <v>6.6000000000000003E-2</v>
      </c>
    </row>
    <row r="62" spans="2:17">
      <c r="C62" t="s">
        <v>120</v>
      </c>
      <c r="F62" s="55">
        <f t="shared" si="6"/>
        <v>0</v>
      </c>
    </row>
    <row r="64" spans="2:17">
      <c r="C64" s="67" t="s">
        <v>62</v>
      </c>
      <c r="E64" t="s">
        <v>212</v>
      </c>
      <c r="F64" t="s">
        <v>286</v>
      </c>
    </row>
    <row r="65" spans="3:6">
      <c r="C65" t="s">
        <v>142</v>
      </c>
      <c r="E65">
        <v>0</v>
      </c>
      <c r="F65" s="55">
        <f>$E65*4/100</f>
        <v>0</v>
      </c>
    </row>
    <row r="66" spans="3:6">
      <c r="C66" t="s">
        <v>119</v>
      </c>
      <c r="E66">
        <v>0</v>
      </c>
      <c r="F66" s="55">
        <f>$E66*4/100</f>
        <v>0</v>
      </c>
    </row>
    <row r="67" spans="3:6">
      <c r="C67" t="s">
        <v>118</v>
      </c>
      <c r="E67">
        <v>52.7</v>
      </c>
      <c r="F67" s="55">
        <f>$E67*4/100</f>
        <v>2.1080000000000001</v>
      </c>
    </row>
    <row r="68" spans="3:6">
      <c r="C68" t="s">
        <v>143</v>
      </c>
      <c r="F68" s="55">
        <f>$E68*4/100</f>
        <v>0</v>
      </c>
    </row>
    <row r="69" spans="3:6">
      <c r="C69" t="s">
        <v>133</v>
      </c>
      <c r="E69">
        <v>1.4</v>
      </c>
      <c r="F69" s="55">
        <f>$E69*4/100</f>
        <v>5.5999999999999994E-2</v>
      </c>
    </row>
    <row r="70" spans="3:6">
      <c r="C70" t="s">
        <v>120</v>
      </c>
    </row>
  </sheetData>
  <mergeCells count="13">
    <mergeCell ref="A1:H1"/>
    <mergeCell ref="J32:O32"/>
    <mergeCell ref="H33:H35"/>
    <mergeCell ref="I33:I34"/>
    <mergeCell ref="H43:H45"/>
    <mergeCell ref="I43:I45"/>
    <mergeCell ref="H50:I50"/>
    <mergeCell ref="H51:I51"/>
    <mergeCell ref="P43:Q43"/>
    <mergeCell ref="H46:I46"/>
    <mergeCell ref="H47:I47"/>
    <mergeCell ref="H48:I48"/>
    <mergeCell ref="H49:I49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42" zoomScale="75" zoomScaleNormal="70" zoomScalePageLayoutView="70" workbookViewId="0">
      <selection activeCell="H31" sqref="H31:Q47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5.5" bestFit="1" customWidth="1"/>
  </cols>
  <sheetData>
    <row r="1" spans="1:7" ht="31.05" customHeight="1">
      <c r="A1" s="193" t="s">
        <v>181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78.599999999999994">
      <c r="A3" s="2" t="s">
        <v>183</v>
      </c>
      <c r="B3" s="37" t="s">
        <v>95</v>
      </c>
      <c r="C3" s="3">
        <v>75</v>
      </c>
      <c r="D3" s="3">
        <v>43</v>
      </c>
      <c r="E3" s="4" t="s">
        <v>93</v>
      </c>
      <c r="F3" s="3" t="s">
        <v>84</v>
      </c>
      <c r="G3" s="6" t="s">
        <v>63</v>
      </c>
    </row>
    <row r="4" spans="1:7" ht="17.399999999999999">
      <c r="A4" s="2" t="s">
        <v>59</v>
      </c>
      <c r="B4" s="37" t="s">
        <v>128</v>
      </c>
      <c r="C4" s="3">
        <v>12</v>
      </c>
      <c r="D4" s="3">
        <v>7</v>
      </c>
      <c r="E4" s="5"/>
      <c r="F4" s="6"/>
      <c r="G4" s="3"/>
    </row>
    <row r="5" spans="1:7" ht="31.8">
      <c r="A5" s="2" t="s">
        <v>64</v>
      </c>
      <c r="B5" s="22"/>
      <c r="C5" s="3">
        <v>67</v>
      </c>
      <c r="D5" s="3">
        <v>38</v>
      </c>
      <c r="E5" s="38" t="s">
        <v>102</v>
      </c>
      <c r="F5" s="3" t="s">
        <v>17</v>
      </c>
      <c r="G5" s="3"/>
    </row>
    <row r="6" spans="1:7" ht="17.399999999999999">
      <c r="A6" s="2" t="s">
        <v>13</v>
      </c>
      <c r="B6" s="12"/>
      <c r="C6" s="3">
        <v>20</v>
      </c>
      <c r="D6" s="3">
        <v>11</v>
      </c>
      <c r="E6" s="33"/>
      <c r="F6" s="3"/>
      <c r="G6" s="3"/>
    </row>
    <row r="7" spans="1:7" ht="17.399999999999999">
      <c r="A7" s="2" t="s">
        <v>65</v>
      </c>
      <c r="B7" s="9"/>
      <c r="C7" s="3">
        <v>1</v>
      </c>
      <c r="D7" s="3">
        <v>1</v>
      </c>
      <c r="E7" s="23"/>
      <c r="F7" s="3"/>
      <c r="G7" s="3"/>
    </row>
    <row r="8" spans="1:7" ht="43.95" customHeight="1">
      <c r="C8" s="60">
        <f>SUM(C3:C7)</f>
        <v>175</v>
      </c>
      <c r="D8">
        <f>SUM(D3:D7)</f>
        <v>100</v>
      </c>
      <c r="E8" t="s">
        <v>288</v>
      </c>
    </row>
    <row r="21" spans="3:15">
      <c r="D21" s="7"/>
    </row>
    <row r="22" spans="3:15">
      <c r="D22" s="7"/>
      <c r="F22" s="55" t="s">
        <v>282</v>
      </c>
      <c r="G22" t="s">
        <v>291</v>
      </c>
      <c r="H22" t="s">
        <v>294</v>
      </c>
      <c r="I22" t="s">
        <v>293</v>
      </c>
      <c r="J22" t="s">
        <v>287</v>
      </c>
      <c r="K22" s="65" t="s">
        <v>155</v>
      </c>
    </row>
    <row r="23" spans="3:15">
      <c r="C23" t="s">
        <v>142</v>
      </c>
      <c r="F23" s="55">
        <v>2.5499999999999998</v>
      </c>
      <c r="G23">
        <v>10.92</v>
      </c>
      <c r="H23">
        <v>12.395</v>
      </c>
      <c r="I23">
        <v>0.04</v>
      </c>
      <c r="J23" s="55">
        <f t="shared" ref="J23:J28" si="0">SUM(F23:I23)</f>
        <v>25.904999999999998</v>
      </c>
      <c r="K23" s="55">
        <f t="shared" ref="K23:K28" si="1">$J23*100/175</f>
        <v>14.802857142857141</v>
      </c>
    </row>
    <row r="24" spans="3:15">
      <c r="C24" t="s">
        <v>119</v>
      </c>
      <c r="F24" s="55">
        <v>0.82499999999999996</v>
      </c>
      <c r="G24">
        <v>1.68</v>
      </c>
      <c r="H24">
        <v>8.7100000000000009</v>
      </c>
      <c r="I24">
        <v>0</v>
      </c>
      <c r="J24" s="55">
        <f t="shared" si="0"/>
        <v>11.215</v>
      </c>
      <c r="K24" s="55">
        <f t="shared" si="1"/>
        <v>6.4085714285714284</v>
      </c>
    </row>
    <row r="25" spans="3:15">
      <c r="C25" t="s">
        <v>118</v>
      </c>
      <c r="F25" s="55">
        <v>36</v>
      </c>
      <c r="G25">
        <v>0</v>
      </c>
      <c r="H25">
        <v>1.0049999999999999</v>
      </c>
      <c r="I25">
        <v>0.62</v>
      </c>
      <c r="J25" s="55">
        <f t="shared" si="0"/>
        <v>37.625</v>
      </c>
      <c r="K25" s="55">
        <f t="shared" si="1"/>
        <v>21.5</v>
      </c>
    </row>
    <row r="26" spans="3:15">
      <c r="C26" t="s">
        <v>143</v>
      </c>
      <c r="F26" s="55">
        <v>2.25</v>
      </c>
      <c r="G26">
        <v>0</v>
      </c>
      <c r="H26">
        <v>1.0049999999999999</v>
      </c>
      <c r="I26">
        <v>0</v>
      </c>
      <c r="J26" s="55">
        <f t="shared" si="0"/>
        <v>3.2549999999999999</v>
      </c>
      <c r="K26" s="55">
        <f t="shared" si="1"/>
        <v>1.86</v>
      </c>
    </row>
    <row r="27" spans="3:15">
      <c r="C27" t="s">
        <v>133</v>
      </c>
      <c r="F27" s="55">
        <v>6.5250000000000004</v>
      </c>
      <c r="G27">
        <v>0</v>
      </c>
      <c r="H27">
        <v>12.06</v>
      </c>
      <c r="I27">
        <v>0.18</v>
      </c>
      <c r="J27" s="55">
        <f t="shared" si="0"/>
        <v>18.765000000000001</v>
      </c>
      <c r="K27" s="55">
        <f t="shared" si="1"/>
        <v>10.722857142857142</v>
      </c>
    </row>
    <row r="28" spans="3:15">
      <c r="C28" t="s">
        <v>120</v>
      </c>
      <c r="F28" s="55">
        <v>1.05</v>
      </c>
      <c r="G28">
        <v>0</v>
      </c>
      <c r="H28">
        <v>0.33500000000000002</v>
      </c>
      <c r="I28">
        <v>0</v>
      </c>
      <c r="J28" s="55">
        <f t="shared" si="0"/>
        <v>1.385</v>
      </c>
      <c r="K28" s="55">
        <f t="shared" si="1"/>
        <v>0.79142857142857148</v>
      </c>
    </row>
    <row r="31" spans="3:15">
      <c r="C31" s="67" t="s">
        <v>279</v>
      </c>
      <c r="E31" t="s">
        <v>212</v>
      </c>
      <c r="F31" t="s">
        <v>282</v>
      </c>
      <c r="H31" s="98"/>
      <c r="I31" s="98"/>
      <c r="J31" s="245" t="s">
        <v>228</v>
      </c>
      <c r="K31" s="245"/>
      <c r="L31" s="245"/>
      <c r="M31" s="245"/>
      <c r="N31" s="245"/>
      <c r="O31" s="245"/>
    </row>
    <row r="32" spans="3:15" ht="43.2">
      <c r="C32" t="s">
        <v>142</v>
      </c>
      <c r="E32">
        <v>3.4</v>
      </c>
      <c r="F32" s="55">
        <f t="shared" ref="F32:F37" si="2">$E32*75/100</f>
        <v>2.5499999999999998</v>
      </c>
      <c r="H32" s="242" t="s">
        <v>216</v>
      </c>
      <c r="I32" s="246" t="s">
        <v>225</v>
      </c>
      <c r="J32" s="70" t="s">
        <v>217</v>
      </c>
      <c r="K32" s="70" t="s">
        <v>226</v>
      </c>
      <c r="L32" s="70" t="s">
        <v>118</v>
      </c>
      <c r="M32" s="70" t="s">
        <v>143</v>
      </c>
      <c r="N32" s="70" t="s">
        <v>227</v>
      </c>
      <c r="O32" s="70" t="s">
        <v>120</v>
      </c>
    </row>
    <row r="33" spans="3:17">
      <c r="C33" t="s">
        <v>119</v>
      </c>
      <c r="E33">
        <v>1.1000000000000001</v>
      </c>
      <c r="F33" s="55">
        <f t="shared" si="2"/>
        <v>0.82499999999999996</v>
      </c>
      <c r="H33" s="242"/>
      <c r="I33" s="246"/>
      <c r="J33" s="71" t="s">
        <v>218</v>
      </c>
      <c r="K33" s="71" t="s">
        <v>219</v>
      </c>
      <c r="L33" s="71" t="s">
        <v>220</v>
      </c>
      <c r="M33" s="71" t="s">
        <v>221</v>
      </c>
      <c r="N33" s="71" t="s">
        <v>222</v>
      </c>
      <c r="O33" s="71" t="s">
        <v>223</v>
      </c>
    </row>
    <row r="34" spans="3:17">
      <c r="C34" t="s">
        <v>118</v>
      </c>
      <c r="E34">
        <v>48</v>
      </c>
      <c r="F34" s="55">
        <f t="shared" si="2"/>
        <v>36</v>
      </c>
      <c r="H34" s="242"/>
      <c r="I34" s="99" t="s">
        <v>224</v>
      </c>
      <c r="J34" s="71" t="s">
        <v>224</v>
      </c>
      <c r="K34" s="71" t="s">
        <v>224</v>
      </c>
      <c r="L34" s="71" t="s">
        <v>224</v>
      </c>
      <c r="M34" s="71" t="s">
        <v>224</v>
      </c>
      <c r="N34" s="71" t="s">
        <v>224</v>
      </c>
      <c r="O34" s="71" t="s">
        <v>224</v>
      </c>
    </row>
    <row r="35" spans="3:17" ht="17.399999999999999">
      <c r="C35" t="s">
        <v>143</v>
      </c>
      <c r="E35">
        <v>3</v>
      </c>
      <c r="F35" s="55">
        <f t="shared" si="2"/>
        <v>2.25</v>
      </c>
      <c r="H35" s="82" t="s">
        <v>183</v>
      </c>
      <c r="I35" s="3">
        <v>75</v>
      </c>
      <c r="J35" s="3">
        <v>3.4</v>
      </c>
      <c r="K35" s="3">
        <v>1.1000000000000001</v>
      </c>
      <c r="L35" s="3">
        <v>48</v>
      </c>
      <c r="M35" s="3">
        <v>3</v>
      </c>
      <c r="N35" s="3">
        <v>8.6999999999999993</v>
      </c>
      <c r="O35" s="3">
        <v>1.4</v>
      </c>
    </row>
    <row r="36" spans="3:17" ht="17.399999999999999">
      <c r="C36" t="s">
        <v>133</v>
      </c>
      <c r="E36">
        <v>8.6999999999999993</v>
      </c>
      <c r="F36" s="55">
        <f t="shared" si="2"/>
        <v>6.5250000000000004</v>
      </c>
      <c r="H36" s="82" t="s">
        <v>59</v>
      </c>
      <c r="I36" s="3">
        <v>12</v>
      </c>
      <c r="J36" s="3">
        <v>91</v>
      </c>
      <c r="K36" s="3">
        <v>14</v>
      </c>
      <c r="L36" s="3">
        <v>0</v>
      </c>
      <c r="M36" s="3">
        <v>0</v>
      </c>
      <c r="N36" s="3">
        <v>0</v>
      </c>
      <c r="O36" s="3">
        <v>0</v>
      </c>
    </row>
    <row r="37" spans="3:17" ht="17.399999999999999">
      <c r="C37" t="s">
        <v>120</v>
      </c>
      <c r="E37">
        <v>1.4</v>
      </c>
      <c r="F37" s="55">
        <f t="shared" si="2"/>
        <v>1.05</v>
      </c>
      <c r="H37" s="82" t="s">
        <v>64</v>
      </c>
      <c r="I37" s="3">
        <v>67</v>
      </c>
      <c r="J37" s="3">
        <v>18.5</v>
      </c>
      <c r="K37" s="3">
        <v>13</v>
      </c>
      <c r="L37" s="3">
        <v>1.5</v>
      </c>
      <c r="M37" s="3">
        <v>1.5</v>
      </c>
      <c r="N37" s="3">
        <v>18</v>
      </c>
      <c r="O37" s="3">
        <v>0.5</v>
      </c>
    </row>
    <row r="38" spans="3:17" ht="17.399999999999999">
      <c r="H38" s="82" t="s">
        <v>13</v>
      </c>
      <c r="I38" s="3">
        <v>20</v>
      </c>
      <c r="J38" s="3">
        <v>0.2</v>
      </c>
      <c r="K38" s="3">
        <v>0</v>
      </c>
      <c r="L38" s="3">
        <v>3.1</v>
      </c>
      <c r="M38" s="3">
        <v>0</v>
      </c>
      <c r="N38" s="3">
        <v>0.9</v>
      </c>
      <c r="O38" s="3">
        <v>0</v>
      </c>
    </row>
    <row r="39" spans="3:17" ht="15.75" customHeight="1">
      <c r="C39" s="67" t="s">
        <v>59</v>
      </c>
      <c r="E39" t="s">
        <v>212</v>
      </c>
      <c r="F39" t="s">
        <v>291</v>
      </c>
    </row>
    <row r="40" spans="3:17" ht="43.2">
      <c r="C40" t="s">
        <v>142</v>
      </c>
      <c r="E40">
        <v>91</v>
      </c>
      <c r="F40">
        <f t="shared" ref="F40:F45" si="3">$E40*12/100</f>
        <v>10.92</v>
      </c>
      <c r="H40" s="202" t="s">
        <v>0</v>
      </c>
      <c r="I40" s="204" t="s">
        <v>229</v>
      </c>
      <c r="J40" s="70" t="s">
        <v>217</v>
      </c>
      <c r="K40" s="70" t="s">
        <v>226</v>
      </c>
      <c r="L40" s="70" t="s">
        <v>118</v>
      </c>
      <c r="M40" s="70" t="s">
        <v>143</v>
      </c>
      <c r="N40" s="70" t="s">
        <v>227</v>
      </c>
      <c r="O40" s="70" t="s">
        <v>120</v>
      </c>
      <c r="P40" s="191" t="s">
        <v>230</v>
      </c>
      <c r="Q40" s="192"/>
    </row>
    <row r="41" spans="3:17">
      <c r="C41" t="s">
        <v>119</v>
      </c>
      <c r="E41">
        <v>14</v>
      </c>
      <c r="F41">
        <f t="shared" si="3"/>
        <v>1.68</v>
      </c>
      <c r="H41" s="203"/>
      <c r="I41" s="205"/>
      <c r="J41" s="71" t="s">
        <v>218</v>
      </c>
      <c r="K41" s="71" t="s">
        <v>219</v>
      </c>
      <c r="L41" s="71" t="s">
        <v>220</v>
      </c>
      <c r="M41" s="71" t="s">
        <v>221</v>
      </c>
      <c r="N41" s="71" t="s">
        <v>222</v>
      </c>
      <c r="O41" s="71" t="s">
        <v>223</v>
      </c>
      <c r="P41" s="71" t="s">
        <v>231</v>
      </c>
      <c r="Q41" s="71" t="s">
        <v>231</v>
      </c>
    </row>
    <row r="42" spans="3:17">
      <c r="C42" t="s">
        <v>118</v>
      </c>
      <c r="E42">
        <v>0</v>
      </c>
      <c r="F42">
        <f t="shared" si="3"/>
        <v>0</v>
      </c>
      <c r="H42" s="203"/>
      <c r="I42" s="205"/>
      <c r="J42" s="77" t="s">
        <v>224</v>
      </c>
      <c r="K42" s="77" t="s">
        <v>224</v>
      </c>
      <c r="L42" s="77" t="s">
        <v>224</v>
      </c>
      <c r="M42" s="77" t="s">
        <v>224</v>
      </c>
      <c r="N42" s="77" t="s">
        <v>224</v>
      </c>
      <c r="O42" s="77" t="s">
        <v>224</v>
      </c>
      <c r="P42" s="77" t="s">
        <v>232</v>
      </c>
      <c r="Q42" s="77" t="s">
        <v>233</v>
      </c>
    </row>
    <row r="43" spans="3:17" ht="17.399999999999999">
      <c r="C43" t="s">
        <v>143</v>
      </c>
      <c r="E43">
        <v>0</v>
      </c>
      <c r="F43">
        <f t="shared" si="3"/>
        <v>0</v>
      </c>
      <c r="H43" s="188" t="s">
        <v>183</v>
      </c>
      <c r="I43" s="188"/>
      <c r="J43" s="78">
        <f>$J35*$I35/175</f>
        <v>1.4571428571428571</v>
      </c>
      <c r="K43" s="78">
        <f>$K35*$I35/175</f>
        <v>0.47142857142857142</v>
      </c>
      <c r="L43" s="78">
        <f>$L35*$I35/175</f>
        <v>20.571428571428573</v>
      </c>
      <c r="M43" s="78">
        <f>$M35*$I35/175</f>
        <v>1.2857142857142858</v>
      </c>
      <c r="N43" s="78">
        <f>$N35*$I35/175</f>
        <v>3.7285714285714286</v>
      </c>
      <c r="O43" s="78">
        <f>$O35*$I35/175</f>
        <v>0.6</v>
      </c>
      <c r="P43" s="3"/>
      <c r="Q43" s="3"/>
    </row>
    <row r="44" spans="3:17" ht="17.399999999999999">
      <c r="C44" t="s">
        <v>133</v>
      </c>
      <c r="E44">
        <v>0</v>
      </c>
      <c r="F44">
        <f t="shared" si="3"/>
        <v>0</v>
      </c>
      <c r="H44" s="188" t="s">
        <v>59</v>
      </c>
      <c r="I44" s="188"/>
      <c r="J44" s="78">
        <f>$J36*$I36/175</f>
        <v>6.24</v>
      </c>
      <c r="K44" s="78">
        <f>$K36*$I36/175</f>
        <v>0.96</v>
      </c>
      <c r="L44" s="78">
        <f>$L36*$I36/175</f>
        <v>0</v>
      </c>
      <c r="M44" s="78">
        <f>$M36*$I36/175</f>
        <v>0</v>
      </c>
      <c r="N44" s="78">
        <f>$N36*$I36/175</f>
        <v>0</v>
      </c>
      <c r="O44" s="78">
        <f>$O36*$I36/175</f>
        <v>0</v>
      </c>
      <c r="P44" s="3"/>
      <c r="Q44" s="3"/>
    </row>
    <row r="45" spans="3:17" ht="17.399999999999999">
      <c r="C45" t="s">
        <v>120</v>
      </c>
      <c r="E45">
        <v>0</v>
      </c>
      <c r="F45">
        <f t="shared" si="3"/>
        <v>0</v>
      </c>
      <c r="H45" s="188" t="s">
        <v>64</v>
      </c>
      <c r="I45" s="188"/>
      <c r="J45" s="78">
        <f>$J37*$I37/175</f>
        <v>7.0828571428571427</v>
      </c>
      <c r="K45" s="78">
        <f>$K37*$I37/175</f>
        <v>4.9771428571428569</v>
      </c>
      <c r="L45" s="78">
        <f>$L37*$I37/175</f>
        <v>0.57428571428571429</v>
      </c>
      <c r="M45" s="78">
        <f>$M37*$I37/175</f>
        <v>0.57428571428571429</v>
      </c>
      <c r="N45" s="78">
        <f>$N37*$I37/175</f>
        <v>6.8914285714285715</v>
      </c>
      <c r="O45" s="78">
        <f>$O37*$I37/175</f>
        <v>0.19142857142857142</v>
      </c>
      <c r="P45" s="3"/>
      <c r="Q45" s="3"/>
    </row>
    <row r="46" spans="3:17" ht="17.399999999999999">
      <c r="H46" s="188" t="s">
        <v>13</v>
      </c>
      <c r="I46" s="188"/>
      <c r="J46" s="78">
        <f>$J38*$I38/175</f>
        <v>2.2857142857142857E-2</v>
      </c>
      <c r="K46" s="78">
        <f>$K38*$I38/175</f>
        <v>0</v>
      </c>
      <c r="L46" s="78">
        <f>$L38*$I38/175</f>
        <v>0.35428571428571426</v>
      </c>
      <c r="M46" s="78">
        <f>$M38*$I38/175</f>
        <v>0</v>
      </c>
      <c r="N46" s="78">
        <f>$N38*$I38/175</f>
        <v>0.10285714285714286</v>
      </c>
      <c r="O46" s="78">
        <f>$O38*$I38/175</f>
        <v>0</v>
      </c>
      <c r="P46" s="3"/>
      <c r="Q46" s="3"/>
    </row>
    <row r="47" spans="3:17" ht="30.75" customHeight="1">
      <c r="C47" s="67" t="s">
        <v>290</v>
      </c>
      <c r="E47" t="s">
        <v>212</v>
      </c>
      <c r="F47" t="s">
        <v>294</v>
      </c>
      <c r="H47" s="189" t="s">
        <v>234</v>
      </c>
      <c r="I47" s="190"/>
      <c r="J47" s="85">
        <f t="shared" ref="J47:O47" si="4">SUM(J43:J46)</f>
        <v>14.802857142857144</v>
      </c>
      <c r="K47" s="84">
        <f t="shared" si="4"/>
        <v>6.4085714285714284</v>
      </c>
      <c r="L47" s="85">
        <f t="shared" si="4"/>
        <v>21.500000000000004</v>
      </c>
      <c r="M47" s="84">
        <f t="shared" si="4"/>
        <v>1.86</v>
      </c>
      <c r="N47" s="84">
        <f t="shared" si="4"/>
        <v>10.722857142857144</v>
      </c>
      <c r="O47" s="84">
        <f t="shared" si="4"/>
        <v>0.79142857142857137</v>
      </c>
      <c r="P47" s="85">
        <f>17*N47+37*J47+17*L47</f>
        <v>1095.4942857142858</v>
      </c>
      <c r="Q47" s="85">
        <f>4*N47+9*J47+4*L47</f>
        <v>262.11714285714288</v>
      </c>
    </row>
    <row r="48" spans="3:17">
      <c r="C48" t="s">
        <v>142</v>
      </c>
      <c r="E48">
        <v>18.5</v>
      </c>
      <c r="F48">
        <f t="shared" ref="F48:F53" si="5">$E48*67/100</f>
        <v>12.395</v>
      </c>
    </row>
    <row r="49" spans="2:6">
      <c r="C49" t="s">
        <v>119</v>
      </c>
      <c r="E49">
        <v>13</v>
      </c>
      <c r="F49">
        <f t="shared" si="5"/>
        <v>8.7100000000000009</v>
      </c>
    </row>
    <row r="50" spans="2:6">
      <c r="C50" t="s">
        <v>118</v>
      </c>
      <c r="E50">
        <v>1.5</v>
      </c>
      <c r="F50">
        <f t="shared" si="5"/>
        <v>1.0049999999999999</v>
      </c>
    </row>
    <row r="51" spans="2:6">
      <c r="C51" t="s">
        <v>143</v>
      </c>
      <c r="E51">
        <v>1.5</v>
      </c>
      <c r="F51">
        <f t="shared" si="5"/>
        <v>1.0049999999999999</v>
      </c>
    </row>
    <row r="52" spans="2:6">
      <c r="C52" t="s">
        <v>133</v>
      </c>
      <c r="E52">
        <v>18</v>
      </c>
      <c r="F52">
        <f t="shared" si="5"/>
        <v>12.06</v>
      </c>
    </row>
    <row r="53" spans="2:6">
      <c r="C53" t="s">
        <v>120</v>
      </c>
      <c r="E53">
        <v>0.5</v>
      </c>
      <c r="F53">
        <f t="shared" si="5"/>
        <v>0.33500000000000002</v>
      </c>
    </row>
    <row r="55" spans="2:6">
      <c r="B55" t="s">
        <v>271</v>
      </c>
      <c r="C55" s="67" t="s">
        <v>292</v>
      </c>
      <c r="E55" t="s">
        <v>212</v>
      </c>
      <c r="F55" t="s">
        <v>293</v>
      </c>
    </row>
    <row r="56" spans="2:6">
      <c r="C56" t="s">
        <v>142</v>
      </c>
      <c r="E56">
        <v>0.2</v>
      </c>
      <c r="F56">
        <f t="shared" ref="F56:F61" si="6">$E56*20/100</f>
        <v>0.04</v>
      </c>
    </row>
    <row r="57" spans="2:6">
      <c r="C57" t="s">
        <v>119</v>
      </c>
      <c r="F57">
        <f t="shared" si="6"/>
        <v>0</v>
      </c>
    </row>
    <row r="58" spans="2:6">
      <c r="C58" t="s">
        <v>118</v>
      </c>
      <c r="E58">
        <v>3.1</v>
      </c>
      <c r="F58">
        <f t="shared" si="6"/>
        <v>0.62</v>
      </c>
    </row>
    <row r="59" spans="2:6">
      <c r="C59" t="s">
        <v>143</v>
      </c>
      <c r="F59">
        <f t="shared" si="6"/>
        <v>0</v>
      </c>
    </row>
    <row r="60" spans="2:6">
      <c r="C60" t="s">
        <v>133</v>
      </c>
      <c r="E60">
        <v>0.9</v>
      </c>
      <c r="F60">
        <f t="shared" si="6"/>
        <v>0.18</v>
      </c>
    </row>
    <row r="61" spans="2:6">
      <c r="C61" t="s">
        <v>120</v>
      </c>
      <c r="F61">
        <f t="shared" si="6"/>
        <v>0</v>
      </c>
    </row>
  </sheetData>
  <mergeCells count="12">
    <mergeCell ref="P40:Q40"/>
    <mergeCell ref="H43:I43"/>
    <mergeCell ref="H44:I44"/>
    <mergeCell ref="A1:G1"/>
    <mergeCell ref="J31:O31"/>
    <mergeCell ref="H32:H34"/>
    <mergeCell ref="I32:I33"/>
    <mergeCell ref="H45:I45"/>
    <mergeCell ref="H46:I46"/>
    <mergeCell ref="H47:I47"/>
    <mergeCell ref="H40:H42"/>
    <mergeCell ref="I40:I4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E1" zoomScale="80" zoomScaleNormal="80" zoomScalePageLayoutView="80" workbookViewId="0">
      <selection activeCell="H35" sqref="H35:O35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7.19921875" bestFit="1" customWidth="1"/>
  </cols>
  <sheetData>
    <row r="1" spans="1:7" ht="31.05" customHeight="1">
      <c r="A1" s="193" t="s">
        <v>182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203.4">
      <c r="A3" s="2" t="s">
        <v>184</v>
      </c>
      <c r="B3" s="37" t="s">
        <v>95</v>
      </c>
      <c r="C3" s="3">
        <v>75</v>
      </c>
      <c r="D3" s="3">
        <v>43</v>
      </c>
      <c r="E3" s="4" t="s">
        <v>190</v>
      </c>
      <c r="F3" s="6" t="s">
        <v>177</v>
      </c>
      <c r="G3" s="6" t="s">
        <v>178</v>
      </c>
    </row>
    <row r="4" spans="1:7" ht="17.399999999999999">
      <c r="A4" s="2" t="s">
        <v>59</v>
      </c>
      <c r="B4" s="37" t="s">
        <v>128</v>
      </c>
      <c r="C4" s="3">
        <v>12</v>
      </c>
      <c r="D4" s="3">
        <v>7</v>
      </c>
      <c r="E4" s="5"/>
      <c r="F4" s="6"/>
      <c r="G4" s="3"/>
    </row>
    <row r="5" spans="1:7" ht="31.8">
      <c r="A5" s="2" t="s">
        <v>64</v>
      </c>
      <c r="B5" s="22"/>
      <c r="C5" s="3">
        <v>67</v>
      </c>
      <c r="D5" s="3">
        <v>38</v>
      </c>
      <c r="E5" s="38" t="s">
        <v>102</v>
      </c>
      <c r="F5" s="3" t="s">
        <v>17</v>
      </c>
      <c r="G5" s="3"/>
    </row>
    <row r="6" spans="1:7" ht="17.399999999999999">
      <c r="A6" s="2" t="s">
        <v>13</v>
      </c>
      <c r="B6" s="12"/>
      <c r="C6" s="3">
        <v>20</v>
      </c>
      <c r="D6" s="3">
        <v>11</v>
      </c>
      <c r="E6" s="33"/>
      <c r="F6" s="3"/>
      <c r="G6" s="3"/>
    </row>
    <row r="7" spans="1:7" ht="17.399999999999999">
      <c r="A7" s="2" t="s">
        <v>65</v>
      </c>
      <c r="B7" s="9"/>
      <c r="C7" s="3">
        <v>1</v>
      </c>
      <c r="D7" s="3">
        <v>1</v>
      </c>
      <c r="E7" s="23"/>
      <c r="F7" s="3"/>
      <c r="G7" s="3"/>
    </row>
    <row r="8" spans="1:7" ht="43.95" customHeight="1">
      <c r="C8" s="60">
        <f>SUM(C3:C7)</f>
        <v>175</v>
      </c>
      <c r="D8">
        <f>SUM(D3:D7)</f>
        <v>100</v>
      </c>
    </row>
    <row r="21" spans="3:15">
      <c r="D21" s="7"/>
    </row>
    <row r="22" spans="3:15">
      <c r="D22" s="7"/>
      <c r="F22" s="55" t="s">
        <v>282</v>
      </c>
      <c r="G22" t="s">
        <v>291</v>
      </c>
      <c r="H22" t="s">
        <v>294</v>
      </c>
      <c r="I22" t="s">
        <v>293</v>
      </c>
      <c r="J22" t="s">
        <v>287</v>
      </c>
      <c r="K22" s="65" t="s">
        <v>155</v>
      </c>
    </row>
    <row r="23" spans="3:15">
      <c r="C23" t="s">
        <v>142</v>
      </c>
      <c r="F23" s="55">
        <v>2.625</v>
      </c>
      <c r="G23">
        <v>10.92</v>
      </c>
      <c r="H23">
        <v>12.395</v>
      </c>
      <c r="I23">
        <v>0.04</v>
      </c>
      <c r="J23" s="55">
        <f t="shared" ref="J23:J28" si="0">SUM(F23:I23)</f>
        <v>25.979999999999997</v>
      </c>
      <c r="K23" s="55">
        <f t="shared" ref="K23:K28" si="1">$J23*100/175</f>
        <v>14.845714285714283</v>
      </c>
    </row>
    <row r="24" spans="3:15">
      <c r="C24" t="s">
        <v>119</v>
      </c>
      <c r="F24" s="55">
        <v>0.9</v>
      </c>
      <c r="G24">
        <v>1.68</v>
      </c>
      <c r="H24">
        <v>8.7100000000000009</v>
      </c>
      <c r="I24">
        <v>0</v>
      </c>
      <c r="J24" s="55">
        <f t="shared" si="0"/>
        <v>11.290000000000001</v>
      </c>
      <c r="K24" s="55">
        <f t="shared" si="1"/>
        <v>6.4514285714285711</v>
      </c>
    </row>
    <row r="25" spans="3:15">
      <c r="C25" t="s">
        <v>118</v>
      </c>
      <c r="F25" s="55">
        <v>31.5</v>
      </c>
      <c r="G25">
        <v>0</v>
      </c>
      <c r="H25">
        <v>1.0049999999999999</v>
      </c>
      <c r="I25">
        <v>0.62</v>
      </c>
      <c r="J25" s="55">
        <f t="shared" si="0"/>
        <v>33.125</v>
      </c>
      <c r="K25" s="55">
        <f t="shared" si="1"/>
        <v>18.928571428571427</v>
      </c>
    </row>
    <row r="26" spans="3:15">
      <c r="C26" t="s">
        <v>143</v>
      </c>
      <c r="F26" s="55">
        <v>1.875</v>
      </c>
      <c r="G26">
        <v>0</v>
      </c>
      <c r="H26">
        <v>1.0049999999999999</v>
      </c>
      <c r="I26">
        <v>0</v>
      </c>
      <c r="J26" s="55">
        <f t="shared" si="0"/>
        <v>2.88</v>
      </c>
      <c r="K26" s="55">
        <f t="shared" si="1"/>
        <v>1.6457142857142857</v>
      </c>
    </row>
    <row r="27" spans="3:15">
      <c r="C27" t="s">
        <v>133</v>
      </c>
      <c r="F27" s="55">
        <v>7.4249999999999998</v>
      </c>
      <c r="G27">
        <v>0</v>
      </c>
      <c r="H27">
        <v>12.06</v>
      </c>
      <c r="I27">
        <v>0.18</v>
      </c>
      <c r="J27" s="55">
        <f t="shared" si="0"/>
        <v>19.664999999999999</v>
      </c>
      <c r="K27" s="55">
        <f t="shared" si="1"/>
        <v>11.237142857142857</v>
      </c>
    </row>
    <row r="28" spans="3:15">
      <c r="C28" t="s">
        <v>120</v>
      </c>
      <c r="F28" s="55">
        <v>0.97499999999999998</v>
      </c>
      <c r="G28">
        <v>0</v>
      </c>
      <c r="H28">
        <v>0.33500000000000002</v>
      </c>
      <c r="I28">
        <v>0</v>
      </c>
      <c r="J28" s="55">
        <f t="shared" si="0"/>
        <v>1.31</v>
      </c>
      <c r="K28" s="55">
        <f t="shared" si="1"/>
        <v>0.74857142857142855</v>
      </c>
    </row>
    <row r="31" spans="3:15">
      <c r="C31" s="67" t="s">
        <v>332</v>
      </c>
      <c r="E31" t="s">
        <v>212</v>
      </c>
      <c r="F31" t="s">
        <v>333</v>
      </c>
      <c r="H31" s="98"/>
      <c r="I31" s="98"/>
      <c r="J31" s="245" t="s">
        <v>228</v>
      </c>
      <c r="K31" s="245"/>
      <c r="L31" s="245"/>
      <c r="M31" s="245"/>
      <c r="N31" s="245"/>
      <c r="O31" s="245"/>
    </row>
    <row r="32" spans="3:15" ht="43.2">
      <c r="C32" t="s">
        <v>142</v>
      </c>
      <c r="E32">
        <v>3.5</v>
      </c>
      <c r="F32" s="55">
        <f t="shared" ref="F32:F37" si="2">$E32*75/100</f>
        <v>2.625</v>
      </c>
      <c r="H32" s="242" t="s">
        <v>216</v>
      </c>
      <c r="I32" s="246" t="s">
        <v>225</v>
      </c>
      <c r="J32" s="70" t="s">
        <v>217</v>
      </c>
      <c r="K32" s="70" t="s">
        <v>226</v>
      </c>
      <c r="L32" s="70" t="s">
        <v>118</v>
      </c>
      <c r="M32" s="70" t="s">
        <v>143</v>
      </c>
      <c r="N32" s="70" t="s">
        <v>227</v>
      </c>
      <c r="O32" s="70" t="s">
        <v>120</v>
      </c>
    </row>
    <row r="33" spans="3:17">
      <c r="C33" t="s">
        <v>119</v>
      </c>
      <c r="E33">
        <v>1.2</v>
      </c>
      <c r="F33" s="55">
        <f t="shared" si="2"/>
        <v>0.9</v>
      </c>
      <c r="H33" s="242"/>
      <c r="I33" s="246"/>
      <c r="J33" s="71" t="s">
        <v>218</v>
      </c>
      <c r="K33" s="71" t="s">
        <v>219</v>
      </c>
      <c r="L33" s="71" t="s">
        <v>220</v>
      </c>
      <c r="M33" s="71" t="s">
        <v>221</v>
      </c>
      <c r="N33" s="71" t="s">
        <v>222</v>
      </c>
      <c r="O33" s="71" t="s">
        <v>223</v>
      </c>
    </row>
    <row r="34" spans="3:17">
      <c r="C34" t="s">
        <v>118</v>
      </c>
      <c r="E34">
        <v>42</v>
      </c>
      <c r="F34" s="55">
        <f t="shared" si="2"/>
        <v>31.5</v>
      </c>
      <c r="H34" s="242"/>
      <c r="I34" s="110" t="s">
        <v>224</v>
      </c>
      <c r="J34" s="71" t="s">
        <v>224</v>
      </c>
      <c r="K34" s="71" t="s">
        <v>224</v>
      </c>
      <c r="L34" s="71" t="s">
        <v>224</v>
      </c>
      <c r="M34" s="71" t="s">
        <v>224</v>
      </c>
      <c r="N34" s="71" t="s">
        <v>224</v>
      </c>
      <c r="O34" s="71" t="s">
        <v>224</v>
      </c>
    </row>
    <row r="35" spans="3:17" ht="17.399999999999999">
      <c r="C35" t="s">
        <v>143</v>
      </c>
      <c r="E35">
        <v>2.5</v>
      </c>
      <c r="F35" s="55">
        <f t="shared" si="2"/>
        <v>1.875</v>
      </c>
      <c r="H35" s="108" t="s">
        <v>184</v>
      </c>
      <c r="I35" s="3">
        <v>75</v>
      </c>
      <c r="J35" s="3">
        <v>3.5</v>
      </c>
      <c r="K35" s="3">
        <v>1.2</v>
      </c>
      <c r="L35" s="3">
        <v>42</v>
      </c>
      <c r="M35" s="3">
        <v>2.5</v>
      </c>
      <c r="N35" s="3">
        <v>9.9</v>
      </c>
      <c r="O35" s="3">
        <v>1.3</v>
      </c>
    </row>
    <row r="36" spans="3:17" ht="17.399999999999999">
      <c r="C36" t="s">
        <v>133</v>
      </c>
      <c r="E36">
        <v>9.9</v>
      </c>
      <c r="F36" s="55">
        <f t="shared" si="2"/>
        <v>7.4249999999999998</v>
      </c>
      <c r="H36" s="108" t="s">
        <v>59</v>
      </c>
      <c r="I36" s="3">
        <v>12</v>
      </c>
      <c r="J36" s="3">
        <v>91</v>
      </c>
      <c r="K36" s="3">
        <v>14</v>
      </c>
      <c r="L36" s="3">
        <v>0</v>
      </c>
      <c r="M36" s="3">
        <v>0</v>
      </c>
      <c r="N36" s="3">
        <v>0</v>
      </c>
      <c r="O36" s="3">
        <v>0</v>
      </c>
    </row>
    <row r="37" spans="3:17" ht="17.399999999999999">
      <c r="C37" t="s">
        <v>120</v>
      </c>
      <c r="E37">
        <v>1.3</v>
      </c>
      <c r="F37" s="55">
        <f t="shared" si="2"/>
        <v>0.97499999999999998</v>
      </c>
      <c r="H37" s="108" t="s">
        <v>64</v>
      </c>
      <c r="I37" s="3">
        <v>67</v>
      </c>
      <c r="J37" s="3">
        <v>18.5</v>
      </c>
      <c r="K37" s="3">
        <v>13</v>
      </c>
      <c r="L37" s="3">
        <v>1.5</v>
      </c>
      <c r="M37" s="3">
        <v>1.5</v>
      </c>
      <c r="N37" s="3">
        <v>18</v>
      </c>
      <c r="O37" s="3">
        <v>0.5</v>
      </c>
    </row>
    <row r="38" spans="3:17" ht="17.399999999999999">
      <c r="H38" s="108" t="s">
        <v>13</v>
      </c>
      <c r="I38" s="3">
        <v>20</v>
      </c>
      <c r="J38" s="3">
        <v>0.2</v>
      </c>
      <c r="K38" s="3">
        <v>0</v>
      </c>
      <c r="L38" s="3">
        <v>3.1</v>
      </c>
      <c r="M38" s="3">
        <v>0</v>
      </c>
      <c r="N38" s="3">
        <v>0.9</v>
      </c>
      <c r="O38" s="3">
        <v>0</v>
      </c>
    </row>
    <row r="39" spans="3:17">
      <c r="C39" s="67" t="s">
        <v>59</v>
      </c>
      <c r="E39" t="s">
        <v>212</v>
      </c>
      <c r="F39" t="s">
        <v>291</v>
      </c>
    </row>
    <row r="40" spans="3:17" ht="43.2">
      <c r="C40" t="s">
        <v>142</v>
      </c>
      <c r="E40">
        <v>91</v>
      </c>
      <c r="F40">
        <f t="shared" ref="F40:F45" si="3">$E40*12/100</f>
        <v>10.92</v>
      </c>
      <c r="H40" s="202" t="s">
        <v>0</v>
      </c>
      <c r="I40" s="204" t="s">
        <v>229</v>
      </c>
      <c r="J40" s="70" t="s">
        <v>217</v>
      </c>
      <c r="K40" s="70" t="s">
        <v>226</v>
      </c>
      <c r="L40" s="70" t="s">
        <v>118</v>
      </c>
      <c r="M40" s="70" t="s">
        <v>143</v>
      </c>
      <c r="N40" s="70" t="s">
        <v>227</v>
      </c>
      <c r="O40" s="70" t="s">
        <v>120</v>
      </c>
      <c r="P40" s="191" t="s">
        <v>230</v>
      </c>
      <c r="Q40" s="192"/>
    </row>
    <row r="41" spans="3:17">
      <c r="C41" t="s">
        <v>119</v>
      </c>
      <c r="E41">
        <v>14</v>
      </c>
      <c r="F41">
        <f t="shared" si="3"/>
        <v>1.68</v>
      </c>
      <c r="H41" s="203"/>
      <c r="I41" s="205"/>
      <c r="J41" s="71" t="s">
        <v>218</v>
      </c>
      <c r="K41" s="71" t="s">
        <v>219</v>
      </c>
      <c r="L41" s="71" t="s">
        <v>220</v>
      </c>
      <c r="M41" s="71" t="s">
        <v>221</v>
      </c>
      <c r="N41" s="71" t="s">
        <v>222</v>
      </c>
      <c r="O41" s="71" t="s">
        <v>223</v>
      </c>
      <c r="P41" s="71" t="s">
        <v>231</v>
      </c>
      <c r="Q41" s="71" t="s">
        <v>231</v>
      </c>
    </row>
    <row r="42" spans="3:17">
      <c r="C42" t="s">
        <v>118</v>
      </c>
      <c r="E42">
        <v>0</v>
      </c>
      <c r="F42">
        <f t="shared" si="3"/>
        <v>0</v>
      </c>
      <c r="H42" s="203"/>
      <c r="I42" s="205"/>
      <c r="J42" s="77" t="s">
        <v>224</v>
      </c>
      <c r="K42" s="77" t="s">
        <v>224</v>
      </c>
      <c r="L42" s="77" t="s">
        <v>224</v>
      </c>
      <c r="M42" s="77" t="s">
        <v>224</v>
      </c>
      <c r="N42" s="77" t="s">
        <v>224</v>
      </c>
      <c r="O42" s="77" t="s">
        <v>224</v>
      </c>
      <c r="P42" s="77" t="s">
        <v>232</v>
      </c>
      <c r="Q42" s="77" t="s">
        <v>233</v>
      </c>
    </row>
    <row r="43" spans="3:17" ht="17.399999999999999">
      <c r="C43" t="s">
        <v>143</v>
      </c>
      <c r="E43">
        <v>0</v>
      </c>
      <c r="F43">
        <f t="shared" si="3"/>
        <v>0</v>
      </c>
      <c r="H43" s="188" t="s">
        <v>184</v>
      </c>
      <c r="I43" s="188"/>
      <c r="J43" s="78">
        <f>$J35*$I35/175</f>
        <v>1.5</v>
      </c>
      <c r="K43" s="78">
        <f>$K35*$I35/175</f>
        <v>0.51428571428571423</v>
      </c>
      <c r="L43" s="78">
        <f>$L35*$I35/175</f>
        <v>18</v>
      </c>
      <c r="M43" s="78">
        <f>$M35*$I35/175</f>
        <v>1.0714285714285714</v>
      </c>
      <c r="N43" s="78">
        <f>$N35*$I35/175</f>
        <v>4.2428571428571429</v>
      </c>
      <c r="O43" s="78">
        <f>$O35*$I35/175</f>
        <v>0.55714285714285716</v>
      </c>
      <c r="P43" s="3"/>
      <c r="Q43" s="3"/>
    </row>
    <row r="44" spans="3:17" ht="17.399999999999999">
      <c r="C44" t="s">
        <v>133</v>
      </c>
      <c r="E44">
        <v>0</v>
      </c>
      <c r="F44">
        <f t="shared" si="3"/>
        <v>0</v>
      </c>
      <c r="H44" s="188" t="s">
        <v>59</v>
      </c>
      <c r="I44" s="188"/>
      <c r="J44" s="78">
        <f>$J36*$I36/175</f>
        <v>6.24</v>
      </c>
      <c r="K44" s="78">
        <f>$K36*$I36/175</f>
        <v>0.96</v>
      </c>
      <c r="L44" s="78">
        <f>$L36*$I36/175</f>
        <v>0</v>
      </c>
      <c r="M44" s="78">
        <f>$M36*$I36/175</f>
        <v>0</v>
      </c>
      <c r="N44" s="78">
        <f>$N36*$I36/175</f>
        <v>0</v>
      </c>
      <c r="O44" s="78">
        <f>$O36*$I36/175</f>
        <v>0</v>
      </c>
      <c r="P44" s="3"/>
      <c r="Q44" s="3"/>
    </row>
    <row r="45" spans="3:17" ht="17.399999999999999">
      <c r="C45" t="s">
        <v>120</v>
      </c>
      <c r="E45">
        <v>0</v>
      </c>
      <c r="F45">
        <f t="shared" si="3"/>
        <v>0</v>
      </c>
      <c r="H45" s="188" t="s">
        <v>64</v>
      </c>
      <c r="I45" s="188"/>
      <c r="J45" s="78">
        <f>$J37*$I37/175</f>
        <v>7.0828571428571427</v>
      </c>
      <c r="K45" s="78">
        <f>$K37*$I37/175</f>
        <v>4.9771428571428569</v>
      </c>
      <c r="L45" s="78">
        <f>$L37*$I37/175</f>
        <v>0.57428571428571429</v>
      </c>
      <c r="M45" s="78">
        <f>$M37*$I37/175</f>
        <v>0.57428571428571429</v>
      </c>
      <c r="N45" s="78">
        <f>$N37*$I37/175</f>
        <v>6.8914285714285715</v>
      </c>
      <c r="O45" s="78">
        <f>$O37*$I37/175</f>
        <v>0.19142857142857142</v>
      </c>
      <c r="P45" s="3"/>
      <c r="Q45" s="3"/>
    </row>
    <row r="46" spans="3:17" ht="17.399999999999999">
      <c r="H46" s="188" t="s">
        <v>13</v>
      </c>
      <c r="I46" s="188"/>
      <c r="J46" s="78">
        <f>$J38*$I38/175</f>
        <v>2.2857142857142857E-2</v>
      </c>
      <c r="K46" s="78">
        <f>$K38*$I38/175</f>
        <v>0</v>
      </c>
      <c r="L46" s="78">
        <f>$L38*$I38/175</f>
        <v>0.35428571428571426</v>
      </c>
      <c r="M46" s="78">
        <f>$M38*$I38/175</f>
        <v>0</v>
      </c>
      <c r="N46" s="78">
        <f>$N38*$I38/175</f>
        <v>0.10285714285714286</v>
      </c>
      <c r="O46" s="78">
        <f>$O38*$I38/175</f>
        <v>0</v>
      </c>
      <c r="P46" s="3"/>
      <c r="Q46" s="3"/>
    </row>
    <row r="47" spans="3:17" ht="33.75" customHeight="1">
      <c r="C47" s="67" t="s">
        <v>290</v>
      </c>
      <c r="E47" t="s">
        <v>212</v>
      </c>
      <c r="F47" t="s">
        <v>294</v>
      </c>
      <c r="H47" s="189" t="s">
        <v>234</v>
      </c>
      <c r="I47" s="190"/>
      <c r="J47" s="85">
        <f t="shared" ref="J47:O47" si="4">SUM(J43:J46)</f>
        <v>14.845714285714285</v>
      </c>
      <c r="K47" s="84">
        <f t="shared" si="4"/>
        <v>6.4514285714285711</v>
      </c>
      <c r="L47" s="85">
        <f t="shared" si="4"/>
        <v>18.928571428571431</v>
      </c>
      <c r="M47" s="84">
        <f t="shared" si="4"/>
        <v>1.6457142857142857</v>
      </c>
      <c r="N47" s="84">
        <f t="shared" si="4"/>
        <v>11.237142857142857</v>
      </c>
      <c r="O47" s="84">
        <f t="shared" si="4"/>
        <v>0.74857142857142855</v>
      </c>
      <c r="P47" s="85">
        <f>17*N47+37*J47+17*L47</f>
        <v>1062.1085714285714</v>
      </c>
      <c r="Q47" s="85">
        <f>4*N47+9*J47+4*L47</f>
        <v>254.27428571428572</v>
      </c>
    </row>
    <row r="48" spans="3:17">
      <c r="C48" t="s">
        <v>142</v>
      </c>
      <c r="E48">
        <v>18.5</v>
      </c>
      <c r="F48">
        <f t="shared" ref="F48:F53" si="5">$E48*67/100</f>
        <v>12.395</v>
      </c>
    </row>
    <row r="49" spans="2:6">
      <c r="C49" t="s">
        <v>119</v>
      </c>
      <c r="E49">
        <v>13</v>
      </c>
      <c r="F49">
        <f t="shared" si="5"/>
        <v>8.7100000000000009</v>
      </c>
    </row>
    <row r="50" spans="2:6">
      <c r="C50" t="s">
        <v>118</v>
      </c>
      <c r="E50">
        <v>1.5</v>
      </c>
      <c r="F50">
        <f t="shared" si="5"/>
        <v>1.0049999999999999</v>
      </c>
    </row>
    <row r="51" spans="2:6">
      <c r="C51" t="s">
        <v>143</v>
      </c>
      <c r="E51">
        <v>1.5</v>
      </c>
      <c r="F51">
        <f t="shared" si="5"/>
        <v>1.0049999999999999</v>
      </c>
    </row>
    <row r="52" spans="2:6">
      <c r="C52" t="s">
        <v>133</v>
      </c>
      <c r="E52">
        <v>18</v>
      </c>
      <c r="F52">
        <f t="shared" si="5"/>
        <v>12.06</v>
      </c>
    </row>
    <row r="53" spans="2:6">
      <c r="C53" t="s">
        <v>120</v>
      </c>
      <c r="E53">
        <v>0.5</v>
      </c>
      <c r="F53">
        <f t="shared" si="5"/>
        <v>0.33500000000000002</v>
      </c>
    </row>
    <row r="55" spans="2:6">
      <c r="B55" t="s">
        <v>271</v>
      </c>
      <c r="C55" s="67" t="s">
        <v>292</v>
      </c>
      <c r="E55" t="s">
        <v>212</v>
      </c>
      <c r="F55" t="s">
        <v>293</v>
      </c>
    </row>
    <row r="56" spans="2:6">
      <c r="C56" t="s">
        <v>142</v>
      </c>
      <c r="E56">
        <v>0.2</v>
      </c>
      <c r="F56">
        <f t="shared" ref="F56:F61" si="6">$E56*20/100</f>
        <v>0.04</v>
      </c>
    </row>
    <row r="57" spans="2:6">
      <c r="C57" t="s">
        <v>119</v>
      </c>
      <c r="F57">
        <f t="shared" si="6"/>
        <v>0</v>
      </c>
    </row>
    <row r="58" spans="2:6">
      <c r="C58" t="s">
        <v>118</v>
      </c>
      <c r="E58">
        <v>3.1</v>
      </c>
      <c r="F58">
        <f t="shared" si="6"/>
        <v>0.62</v>
      </c>
    </row>
    <row r="59" spans="2:6">
      <c r="C59" t="s">
        <v>143</v>
      </c>
      <c r="F59">
        <f t="shared" si="6"/>
        <v>0</v>
      </c>
    </row>
    <row r="60" spans="2:6">
      <c r="C60" t="s">
        <v>133</v>
      </c>
      <c r="E60">
        <v>0.9</v>
      </c>
      <c r="F60">
        <f t="shared" si="6"/>
        <v>0.18</v>
      </c>
    </row>
    <row r="61" spans="2:6">
      <c r="C61" t="s">
        <v>120</v>
      </c>
      <c r="F61">
        <f t="shared" si="6"/>
        <v>0</v>
      </c>
    </row>
  </sheetData>
  <mergeCells count="12">
    <mergeCell ref="A1:G1"/>
    <mergeCell ref="J31:O31"/>
    <mergeCell ref="H32:H34"/>
    <mergeCell ref="I32:I33"/>
    <mergeCell ref="H40:H42"/>
    <mergeCell ref="I40:I42"/>
    <mergeCell ref="H47:I47"/>
    <mergeCell ref="P40:Q40"/>
    <mergeCell ref="H43:I43"/>
    <mergeCell ref="H44:I44"/>
    <mergeCell ref="H45:I45"/>
    <mergeCell ref="H46:I4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15" zoomScale="80" zoomScaleNormal="80" zoomScalePageLayoutView="80" workbookViewId="0">
      <selection activeCell="I71" sqref="I71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7.69921875" bestFit="1" customWidth="1"/>
  </cols>
  <sheetData>
    <row r="1" spans="1:7" ht="31.05" customHeight="1">
      <c r="A1" s="193" t="s">
        <v>185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78.599999999999994">
      <c r="A3" s="2" t="s">
        <v>183</v>
      </c>
      <c r="B3" s="37" t="s">
        <v>95</v>
      </c>
      <c r="C3" s="3">
        <v>75</v>
      </c>
      <c r="D3" s="3">
        <v>44</v>
      </c>
      <c r="E3" s="4" t="s">
        <v>93</v>
      </c>
      <c r="F3" s="3" t="s">
        <v>84</v>
      </c>
      <c r="G3" s="6" t="s">
        <v>63</v>
      </c>
    </row>
    <row r="4" spans="1:7" ht="17.399999999999999">
      <c r="A4" s="2" t="s">
        <v>59</v>
      </c>
      <c r="B4" s="37" t="s">
        <v>128</v>
      </c>
      <c r="C4" s="3">
        <v>12</v>
      </c>
      <c r="D4" s="3">
        <v>7</v>
      </c>
      <c r="E4" s="5"/>
      <c r="F4" s="6"/>
      <c r="G4" s="3"/>
    </row>
    <row r="5" spans="1:7" ht="47.4">
      <c r="A5" s="2" t="s">
        <v>39</v>
      </c>
      <c r="B5" s="12" t="s">
        <v>40</v>
      </c>
      <c r="C5" s="3">
        <v>40</v>
      </c>
      <c r="D5" s="3">
        <v>23.5</v>
      </c>
      <c r="E5" s="6" t="s">
        <v>85</v>
      </c>
      <c r="F5" s="3"/>
      <c r="G5" s="3"/>
    </row>
    <row r="6" spans="1:7" ht="47.4">
      <c r="A6" s="2" t="s">
        <v>26</v>
      </c>
      <c r="B6" s="20" t="s">
        <v>28</v>
      </c>
      <c r="C6" s="3">
        <v>20</v>
      </c>
      <c r="D6" s="3">
        <v>12</v>
      </c>
      <c r="E6" s="6" t="s">
        <v>77</v>
      </c>
      <c r="F6" s="3" t="s">
        <v>17</v>
      </c>
      <c r="G6" s="3"/>
    </row>
    <row r="7" spans="1:7" ht="63">
      <c r="A7" s="2" t="s">
        <v>30</v>
      </c>
      <c r="B7" s="3" t="s">
        <v>11</v>
      </c>
      <c r="C7" s="3">
        <v>8</v>
      </c>
      <c r="D7" s="3">
        <v>4.5</v>
      </c>
      <c r="E7" s="6" t="s">
        <v>187</v>
      </c>
      <c r="F7" s="3"/>
      <c r="G7" s="3"/>
    </row>
    <row r="8" spans="1:7" ht="17.399999999999999">
      <c r="A8" s="2" t="s">
        <v>13</v>
      </c>
      <c r="B8" s="9"/>
      <c r="C8" s="24">
        <v>15</v>
      </c>
      <c r="D8" s="3">
        <v>9</v>
      </c>
      <c r="E8" s="61"/>
      <c r="F8" s="3"/>
      <c r="G8" s="3"/>
    </row>
    <row r="9" spans="1:7" ht="43.95" customHeight="1">
      <c r="C9">
        <f>SUM(C3:C8)</f>
        <v>170</v>
      </c>
      <c r="D9">
        <f>SUM(D3:D8)</f>
        <v>100</v>
      </c>
      <c r="E9" s="100" t="s">
        <v>295</v>
      </c>
    </row>
    <row r="22" spans="3:13">
      <c r="D22" s="7"/>
    </row>
    <row r="27" spans="3:13">
      <c r="D27" s="7"/>
      <c r="F27" s="55" t="s">
        <v>282</v>
      </c>
      <c r="G27" t="s">
        <v>291</v>
      </c>
      <c r="H27" t="s">
        <v>296</v>
      </c>
      <c r="I27" t="s">
        <v>297</v>
      </c>
      <c r="J27" t="s">
        <v>298</v>
      </c>
      <c r="K27" t="s">
        <v>299</v>
      </c>
      <c r="L27" t="s">
        <v>287</v>
      </c>
      <c r="M27" s="65" t="s">
        <v>155</v>
      </c>
    </row>
    <row r="28" spans="3:13">
      <c r="C28" t="s">
        <v>142</v>
      </c>
      <c r="F28" s="55">
        <v>2.5499999999999998</v>
      </c>
      <c r="G28" s="55">
        <v>10.92</v>
      </c>
      <c r="H28" s="55">
        <v>1.48</v>
      </c>
      <c r="I28" s="55">
        <v>5.4</v>
      </c>
      <c r="J28" s="55">
        <v>8.0000000000000002E-3</v>
      </c>
      <c r="K28" s="55">
        <v>0.03</v>
      </c>
      <c r="L28" s="55">
        <f t="shared" ref="L28:L33" si="0">SUM(F28:K28)</f>
        <v>20.388000000000002</v>
      </c>
      <c r="M28" s="55">
        <f t="shared" ref="M28:M33" si="1">$L28*100/170</f>
        <v>11.992941176470589</v>
      </c>
    </row>
    <row r="29" spans="3:13">
      <c r="C29" t="s">
        <v>119</v>
      </c>
      <c r="F29" s="55">
        <v>0.82499999999999996</v>
      </c>
      <c r="G29" s="55">
        <v>1.68</v>
      </c>
      <c r="H29" s="55">
        <v>0.48</v>
      </c>
      <c r="I29" s="55">
        <v>2.6</v>
      </c>
      <c r="J29" s="55">
        <v>0</v>
      </c>
      <c r="K29" s="55">
        <v>0</v>
      </c>
      <c r="L29" s="55">
        <f t="shared" si="0"/>
        <v>5.585</v>
      </c>
      <c r="M29" s="55">
        <f t="shared" si="1"/>
        <v>3.2852941176470587</v>
      </c>
    </row>
    <row r="30" spans="3:13">
      <c r="C30" t="s">
        <v>118</v>
      </c>
      <c r="F30" s="55">
        <v>36</v>
      </c>
      <c r="G30" s="55">
        <v>0</v>
      </c>
      <c r="H30" s="55">
        <v>0.8</v>
      </c>
      <c r="I30" s="55">
        <v>0.1</v>
      </c>
      <c r="J30" s="55">
        <v>1.6</v>
      </c>
      <c r="K30" s="55">
        <v>0.46500000000000002</v>
      </c>
      <c r="L30" s="55">
        <f t="shared" si="0"/>
        <v>38.965000000000003</v>
      </c>
      <c r="M30" s="55">
        <f t="shared" si="1"/>
        <v>22.920588235294119</v>
      </c>
    </row>
    <row r="31" spans="3:13">
      <c r="C31" t="s">
        <v>143</v>
      </c>
      <c r="F31" s="55">
        <v>2.25</v>
      </c>
      <c r="G31" s="55">
        <v>0</v>
      </c>
      <c r="H31" s="55">
        <v>0.36</v>
      </c>
      <c r="I31" s="55">
        <v>0</v>
      </c>
      <c r="J31" s="55">
        <v>1.296</v>
      </c>
      <c r="K31" s="55">
        <v>0</v>
      </c>
      <c r="L31" s="55">
        <f t="shared" si="0"/>
        <v>3.9059999999999997</v>
      </c>
      <c r="M31" s="55">
        <f t="shared" si="1"/>
        <v>2.2976470588235292</v>
      </c>
    </row>
    <row r="32" spans="3:13">
      <c r="C32" t="s">
        <v>133</v>
      </c>
      <c r="F32" s="55">
        <v>6.5250000000000004</v>
      </c>
      <c r="G32" s="55">
        <v>0</v>
      </c>
      <c r="H32" s="55">
        <v>5.52</v>
      </c>
      <c r="I32" s="55">
        <v>4.8</v>
      </c>
      <c r="J32" s="55">
        <v>5.5999999999999994E-2</v>
      </c>
      <c r="K32" s="55">
        <v>0.13500000000000001</v>
      </c>
      <c r="L32" s="55">
        <f t="shared" si="0"/>
        <v>17.036000000000001</v>
      </c>
      <c r="M32" s="55">
        <f t="shared" si="1"/>
        <v>10.021176470588236</v>
      </c>
    </row>
    <row r="33" spans="3:17">
      <c r="C33" t="s">
        <v>120</v>
      </c>
      <c r="F33" s="55">
        <v>1.05</v>
      </c>
      <c r="G33" s="55">
        <v>0</v>
      </c>
      <c r="H33" s="55">
        <v>0.84</v>
      </c>
      <c r="I33" s="55">
        <v>0.4</v>
      </c>
      <c r="J33" s="55">
        <v>0.16800000000000001</v>
      </c>
      <c r="K33" s="55">
        <v>0</v>
      </c>
      <c r="L33" s="55">
        <f t="shared" si="0"/>
        <v>2.4580000000000002</v>
      </c>
      <c r="M33" s="55">
        <f t="shared" si="1"/>
        <v>1.4458823529411766</v>
      </c>
    </row>
    <row r="36" spans="3:17">
      <c r="C36" s="67" t="s">
        <v>279</v>
      </c>
      <c r="E36" t="s">
        <v>212</v>
      </c>
      <c r="F36" t="s">
        <v>282</v>
      </c>
      <c r="H36" s="98"/>
      <c r="I36" s="98"/>
      <c r="J36" s="245" t="s">
        <v>228</v>
      </c>
      <c r="K36" s="245"/>
      <c r="L36" s="245"/>
      <c r="M36" s="245"/>
      <c r="N36" s="245"/>
      <c r="O36" s="245"/>
    </row>
    <row r="37" spans="3:17" ht="43.2">
      <c r="C37" t="s">
        <v>142</v>
      </c>
      <c r="E37">
        <v>3.4</v>
      </c>
      <c r="F37" s="55">
        <f t="shared" ref="F37:F42" si="2">$E37*75/100</f>
        <v>2.5499999999999998</v>
      </c>
      <c r="H37" s="242" t="s">
        <v>216</v>
      </c>
      <c r="I37" s="246" t="s">
        <v>225</v>
      </c>
      <c r="J37" s="70" t="s">
        <v>217</v>
      </c>
      <c r="K37" s="70" t="s">
        <v>226</v>
      </c>
      <c r="L37" s="70" t="s">
        <v>118</v>
      </c>
      <c r="M37" s="70" t="s">
        <v>143</v>
      </c>
      <c r="N37" s="70" t="s">
        <v>227</v>
      </c>
      <c r="O37" s="70" t="s">
        <v>120</v>
      </c>
    </row>
    <row r="38" spans="3:17">
      <c r="C38" t="s">
        <v>119</v>
      </c>
      <c r="E38">
        <v>1.1000000000000001</v>
      </c>
      <c r="F38" s="55">
        <f t="shared" si="2"/>
        <v>0.82499999999999996</v>
      </c>
      <c r="H38" s="242"/>
      <c r="I38" s="246"/>
      <c r="J38" s="71" t="s">
        <v>218</v>
      </c>
      <c r="K38" s="71" t="s">
        <v>219</v>
      </c>
      <c r="L38" s="71" t="s">
        <v>220</v>
      </c>
      <c r="M38" s="71" t="s">
        <v>221</v>
      </c>
      <c r="N38" s="71" t="s">
        <v>222</v>
      </c>
      <c r="O38" s="71" t="s">
        <v>223</v>
      </c>
    </row>
    <row r="39" spans="3:17">
      <c r="C39" t="s">
        <v>118</v>
      </c>
      <c r="E39">
        <v>48</v>
      </c>
      <c r="F39" s="55">
        <f t="shared" si="2"/>
        <v>36</v>
      </c>
      <c r="H39" s="242"/>
      <c r="I39" s="99" t="s">
        <v>224</v>
      </c>
      <c r="J39" s="71" t="s">
        <v>224</v>
      </c>
      <c r="K39" s="71" t="s">
        <v>224</v>
      </c>
      <c r="L39" s="71" t="s">
        <v>224</v>
      </c>
      <c r="M39" s="71" t="s">
        <v>224</v>
      </c>
      <c r="N39" s="71" t="s">
        <v>224</v>
      </c>
      <c r="O39" s="71" t="s">
        <v>224</v>
      </c>
    </row>
    <row r="40" spans="3:17" ht="17.399999999999999">
      <c r="C40" t="s">
        <v>143</v>
      </c>
      <c r="E40">
        <v>3</v>
      </c>
      <c r="F40" s="55">
        <f t="shared" si="2"/>
        <v>2.25</v>
      </c>
      <c r="H40" s="82" t="s">
        <v>183</v>
      </c>
      <c r="I40" s="3">
        <v>75</v>
      </c>
      <c r="J40" s="3">
        <v>3.4</v>
      </c>
      <c r="K40" s="3">
        <v>1.1000000000000001</v>
      </c>
      <c r="L40" s="3">
        <v>48</v>
      </c>
      <c r="M40" s="3">
        <v>3</v>
      </c>
      <c r="N40" s="3">
        <v>8.6999999999999993</v>
      </c>
      <c r="O40" s="3">
        <v>1.4</v>
      </c>
    </row>
    <row r="41" spans="3:17" ht="17.399999999999999">
      <c r="C41" t="s">
        <v>133</v>
      </c>
      <c r="E41">
        <v>8.6999999999999993</v>
      </c>
      <c r="F41" s="55">
        <f t="shared" si="2"/>
        <v>6.5250000000000004</v>
      </c>
      <c r="H41" s="82" t="s">
        <v>59</v>
      </c>
      <c r="I41" s="3">
        <v>12</v>
      </c>
      <c r="J41" s="3">
        <v>91</v>
      </c>
      <c r="K41" s="3">
        <v>14</v>
      </c>
      <c r="L41" s="3">
        <v>0</v>
      </c>
      <c r="M41" s="3">
        <v>0</v>
      </c>
      <c r="N41" s="3">
        <v>0</v>
      </c>
      <c r="O41" s="3">
        <v>0</v>
      </c>
    </row>
    <row r="42" spans="3:17" ht="17.399999999999999">
      <c r="C42" t="s">
        <v>120</v>
      </c>
      <c r="E42">
        <v>1.4</v>
      </c>
      <c r="F42" s="55">
        <f t="shared" si="2"/>
        <v>1.05</v>
      </c>
      <c r="H42" s="82" t="s">
        <v>39</v>
      </c>
      <c r="I42" s="3">
        <v>40</v>
      </c>
      <c r="J42" s="3">
        <v>3.7</v>
      </c>
      <c r="K42" s="3">
        <v>1.2</v>
      </c>
      <c r="L42" s="3">
        <v>2</v>
      </c>
      <c r="M42" s="3">
        <v>0.9</v>
      </c>
      <c r="N42" s="3">
        <v>13.8</v>
      </c>
      <c r="O42" s="3">
        <v>2.1</v>
      </c>
    </row>
    <row r="43" spans="3:17" ht="17.399999999999999">
      <c r="H43" s="82" t="s">
        <v>26</v>
      </c>
      <c r="I43" s="3">
        <v>20</v>
      </c>
      <c r="J43" s="3">
        <v>27</v>
      </c>
      <c r="K43" s="78">
        <v>13</v>
      </c>
      <c r="L43" s="3">
        <v>0.5</v>
      </c>
      <c r="M43" s="3">
        <v>0</v>
      </c>
      <c r="N43" s="3">
        <v>24</v>
      </c>
      <c r="O43" s="3">
        <v>2</v>
      </c>
    </row>
    <row r="44" spans="3:17" ht="17.399999999999999">
      <c r="C44" s="67" t="s">
        <v>59</v>
      </c>
      <c r="E44" t="s">
        <v>212</v>
      </c>
      <c r="F44" t="s">
        <v>291</v>
      </c>
      <c r="H44" s="82" t="s">
        <v>30</v>
      </c>
      <c r="I44" s="3">
        <v>8</v>
      </c>
      <c r="J44" s="101">
        <v>0.1</v>
      </c>
      <c r="K44" s="101">
        <v>0</v>
      </c>
      <c r="L44" s="101">
        <v>20</v>
      </c>
      <c r="M44" s="101">
        <v>16.2</v>
      </c>
      <c r="N44" s="101">
        <v>0.7</v>
      </c>
      <c r="O44" s="101">
        <v>2.1</v>
      </c>
    </row>
    <row r="45" spans="3:17" ht="17.399999999999999">
      <c r="C45" t="s">
        <v>142</v>
      </c>
      <c r="E45">
        <v>91</v>
      </c>
      <c r="F45">
        <f t="shared" ref="F45:F50" si="3">$E45*12/100</f>
        <v>10.92</v>
      </c>
      <c r="H45" s="82" t="s">
        <v>13</v>
      </c>
      <c r="I45" s="24">
        <v>15</v>
      </c>
      <c r="J45" s="3">
        <v>0.2</v>
      </c>
      <c r="K45" s="3">
        <v>0</v>
      </c>
      <c r="L45" s="3">
        <v>3.1</v>
      </c>
      <c r="M45" s="3">
        <v>0</v>
      </c>
      <c r="N45" s="3">
        <v>0.9</v>
      </c>
      <c r="O45" s="3">
        <v>0</v>
      </c>
    </row>
    <row r="46" spans="3:17">
      <c r="C46" t="s">
        <v>119</v>
      </c>
      <c r="E46">
        <v>14</v>
      </c>
      <c r="F46">
        <f t="shared" si="3"/>
        <v>1.68</v>
      </c>
    </row>
    <row r="47" spans="3:17" ht="43.2">
      <c r="C47" t="s">
        <v>118</v>
      </c>
      <c r="E47">
        <v>0</v>
      </c>
      <c r="F47">
        <f t="shared" si="3"/>
        <v>0</v>
      </c>
      <c r="H47" s="202" t="s">
        <v>0</v>
      </c>
      <c r="I47" s="249" t="s">
        <v>229</v>
      </c>
      <c r="J47" s="103" t="s">
        <v>217</v>
      </c>
      <c r="K47" s="103" t="s">
        <v>226</v>
      </c>
      <c r="L47" s="103" t="s">
        <v>118</v>
      </c>
      <c r="M47" s="103" t="s">
        <v>143</v>
      </c>
      <c r="N47" s="103" t="s">
        <v>227</v>
      </c>
      <c r="O47" s="103" t="s">
        <v>120</v>
      </c>
      <c r="P47" s="191" t="s">
        <v>230</v>
      </c>
      <c r="Q47" s="248"/>
    </row>
    <row r="48" spans="3:17">
      <c r="C48" t="s">
        <v>143</v>
      </c>
      <c r="E48">
        <v>0</v>
      </c>
      <c r="F48">
        <f t="shared" si="3"/>
        <v>0</v>
      </c>
      <c r="H48" s="203"/>
      <c r="I48" s="250"/>
      <c r="J48" s="95" t="s">
        <v>218</v>
      </c>
      <c r="K48" s="95" t="s">
        <v>219</v>
      </c>
      <c r="L48" s="95" t="s">
        <v>220</v>
      </c>
      <c r="M48" s="95" t="s">
        <v>221</v>
      </c>
      <c r="N48" s="95" t="s">
        <v>222</v>
      </c>
      <c r="O48" s="95" t="s">
        <v>223</v>
      </c>
      <c r="P48" s="95" t="s">
        <v>231</v>
      </c>
      <c r="Q48" s="95" t="s">
        <v>231</v>
      </c>
    </row>
    <row r="49" spans="3:17">
      <c r="C49" t="s">
        <v>133</v>
      </c>
      <c r="E49">
        <v>0</v>
      </c>
      <c r="F49">
        <f t="shared" si="3"/>
        <v>0</v>
      </c>
      <c r="H49" s="203"/>
      <c r="I49" s="250"/>
      <c r="J49" s="104" t="s">
        <v>224</v>
      </c>
      <c r="K49" s="104" t="s">
        <v>224</v>
      </c>
      <c r="L49" s="104" t="s">
        <v>224</v>
      </c>
      <c r="M49" s="104" t="s">
        <v>224</v>
      </c>
      <c r="N49" s="104" t="s">
        <v>224</v>
      </c>
      <c r="O49" s="104" t="s">
        <v>224</v>
      </c>
      <c r="P49" s="104" t="s">
        <v>232</v>
      </c>
      <c r="Q49" s="104" t="s">
        <v>233</v>
      </c>
    </row>
    <row r="50" spans="3:17" ht="17.399999999999999">
      <c r="C50" t="s">
        <v>120</v>
      </c>
      <c r="E50">
        <v>0</v>
      </c>
      <c r="F50">
        <f t="shared" si="3"/>
        <v>0</v>
      </c>
      <c r="H50" s="188" t="s">
        <v>183</v>
      </c>
      <c r="I50" s="188"/>
      <c r="J50" s="78">
        <f t="shared" ref="J50:J55" si="4">$J40*$I40/170</f>
        <v>1.5</v>
      </c>
      <c r="K50" s="78">
        <f t="shared" ref="K50:K55" si="5">$K40*$I40/170</f>
        <v>0.48529411764705882</v>
      </c>
      <c r="L50" s="78">
        <f t="shared" ref="L50:L55" si="6">$L40*$I40/170</f>
        <v>21.176470588235293</v>
      </c>
      <c r="M50" s="78">
        <f t="shared" ref="M50:M55" si="7">$M40*$I40/170</f>
        <v>1.3235294117647058</v>
      </c>
      <c r="N50" s="78">
        <f t="shared" ref="N50:N55" si="8">$N40*$I40/170</f>
        <v>3.8382352941176472</v>
      </c>
      <c r="O50" s="78">
        <f t="shared" ref="O50:O55" si="9">$O40*$I40/170</f>
        <v>0.61764705882352944</v>
      </c>
      <c r="P50" s="3"/>
      <c r="Q50" s="3"/>
    </row>
    <row r="51" spans="3:17" ht="17.399999999999999">
      <c r="H51" s="188" t="s">
        <v>59</v>
      </c>
      <c r="I51" s="188"/>
      <c r="J51" s="78">
        <f t="shared" si="4"/>
        <v>6.4235294117647062</v>
      </c>
      <c r="K51" s="78">
        <f t="shared" si="5"/>
        <v>0.9882352941176471</v>
      </c>
      <c r="L51" s="78">
        <f t="shared" si="6"/>
        <v>0</v>
      </c>
      <c r="M51" s="78">
        <f t="shared" si="7"/>
        <v>0</v>
      </c>
      <c r="N51" s="78">
        <f t="shared" si="8"/>
        <v>0</v>
      </c>
      <c r="O51" s="78">
        <f t="shared" si="9"/>
        <v>0</v>
      </c>
      <c r="P51" s="3"/>
      <c r="Q51" s="3"/>
    </row>
    <row r="52" spans="3:17" ht="17.399999999999999">
      <c r="C52" s="67" t="s">
        <v>39</v>
      </c>
      <c r="E52" t="s">
        <v>212</v>
      </c>
      <c r="F52" t="s">
        <v>296</v>
      </c>
      <c r="H52" s="188" t="s">
        <v>39</v>
      </c>
      <c r="I52" s="188"/>
      <c r="J52" s="78">
        <f t="shared" si="4"/>
        <v>0.87058823529411766</v>
      </c>
      <c r="K52" s="78">
        <f t="shared" si="5"/>
        <v>0.28235294117647058</v>
      </c>
      <c r="L52" s="78">
        <f t="shared" si="6"/>
        <v>0.47058823529411764</v>
      </c>
      <c r="M52" s="78">
        <f t="shared" si="7"/>
        <v>0.21176470588235294</v>
      </c>
      <c r="N52" s="78">
        <f t="shared" si="8"/>
        <v>3.2470588235294118</v>
      </c>
      <c r="O52" s="78">
        <f t="shared" si="9"/>
        <v>0.49411764705882355</v>
      </c>
      <c r="P52" s="3"/>
      <c r="Q52" s="3"/>
    </row>
    <row r="53" spans="3:17" ht="17.399999999999999">
      <c r="C53" t="s">
        <v>142</v>
      </c>
      <c r="E53">
        <v>3.7</v>
      </c>
      <c r="F53" s="55">
        <f t="shared" ref="F53:F58" si="10">$E53*40/100</f>
        <v>1.48</v>
      </c>
      <c r="H53" s="188" t="s">
        <v>26</v>
      </c>
      <c r="I53" s="188"/>
      <c r="J53" s="78">
        <f t="shared" si="4"/>
        <v>3.1764705882352939</v>
      </c>
      <c r="K53" s="78">
        <f t="shared" si="5"/>
        <v>1.5294117647058822</v>
      </c>
      <c r="L53" s="78">
        <f t="shared" si="6"/>
        <v>5.8823529411764705E-2</v>
      </c>
      <c r="M53" s="78">
        <f t="shared" si="7"/>
        <v>0</v>
      </c>
      <c r="N53" s="78">
        <f t="shared" si="8"/>
        <v>2.8235294117647061</v>
      </c>
      <c r="O53" s="78">
        <f t="shared" si="9"/>
        <v>0.23529411764705882</v>
      </c>
      <c r="P53" s="3"/>
      <c r="Q53" s="3"/>
    </row>
    <row r="54" spans="3:17" ht="17.399999999999999">
      <c r="C54" t="s">
        <v>119</v>
      </c>
      <c r="E54">
        <v>1.2</v>
      </c>
      <c r="F54" s="55">
        <f t="shared" si="10"/>
        <v>0.48</v>
      </c>
      <c r="H54" s="188" t="s">
        <v>30</v>
      </c>
      <c r="I54" s="188"/>
      <c r="J54" s="78">
        <f t="shared" si="4"/>
        <v>4.7058823529411769E-3</v>
      </c>
      <c r="K54" s="78">
        <f t="shared" si="5"/>
        <v>0</v>
      </c>
      <c r="L54" s="78">
        <f t="shared" si="6"/>
        <v>0.94117647058823528</v>
      </c>
      <c r="M54" s="78">
        <f t="shared" si="7"/>
        <v>0.76235294117647057</v>
      </c>
      <c r="N54" s="78">
        <f t="shared" si="8"/>
        <v>3.2941176470588231E-2</v>
      </c>
      <c r="O54" s="78">
        <f t="shared" si="9"/>
        <v>9.8823529411764713E-2</v>
      </c>
      <c r="P54" s="3"/>
      <c r="Q54" s="3"/>
    </row>
    <row r="55" spans="3:17" ht="17.399999999999999">
      <c r="C55" t="s">
        <v>118</v>
      </c>
      <c r="E55">
        <v>2</v>
      </c>
      <c r="F55" s="55">
        <f t="shared" si="10"/>
        <v>0.8</v>
      </c>
      <c r="H55" s="188" t="s">
        <v>13</v>
      </c>
      <c r="I55" s="188"/>
      <c r="J55" s="78">
        <f t="shared" si="4"/>
        <v>1.7647058823529412E-2</v>
      </c>
      <c r="K55" s="78">
        <f t="shared" si="5"/>
        <v>0</v>
      </c>
      <c r="L55" s="78">
        <f t="shared" si="6"/>
        <v>0.27352941176470591</v>
      </c>
      <c r="M55" s="78">
        <f t="shared" si="7"/>
        <v>0</v>
      </c>
      <c r="N55" s="78">
        <f t="shared" si="8"/>
        <v>7.9411764705882348E-2</v>
      </c>
      <c r="O55" s="78">
        <f t="shared" si="9"/>
        <v>0</v>
      </c>
      <c r="P55" s="3"/>
      <c r="Q55" s="3"/>
    </row>
    <row r="56" spans="3:17" ht="33" customHeight="1">
      <c r="C56" t="s">
        <v>143</v>
      </c>
      <c r="E56">
        <v>0.9</v>
      </c>
      <c r="F56" s="55">
        <f t="shared" si="10"/>
        <v>0.36</v>
      </c>
      <c r="H56" s="189" t="s">
        <v>234</v>
      </c>
      <c r="I56" s="190"/>
      <c r="J56" s="85">
        <f t="shared" ref="J56:O56" si="11">SUM(J50:J55)</f>
        <v>11.992941176470588</v>
      </c>
      <c r="K56" s="84">
        <f t="shared" si="11"/>
        <v>3.2852941176470587</v>
      </c>
      <c r="L56" s="85">
        <f t="shared" si="11"/>
        <v>22.920588235294115</v>
      </c>
      <c r="M56" s="84">
        <f t="shared" si="11"/>
        <v>2.2976470588235292</v>
      </c>
      <c r="N56" s="84">
        <f t="shared" si="11"/>
        <v>10.021176470588237</v>
      </c>
      <c r="O56" s="84">
        <f t="shared" si="11"/>
        <v>1.4458823529411766</v>
      </c>
      <c r="P56" s="85">
        <f>17*N56+37*J56+17*L56</f>
        <v>1003.7488235294118</v>
      </c>
      <c r="Q56" s="85">
        <f>4*N56+9*J56+4*L56</f>
        <v>239.70352941176469</v>
      </c>
    </row>
    <row r="57" spans="3:17">
      <c r="C57" t="s">
        <v>133</v>
      </c>
      <c r="E57">
        <v>13.8</v>
      </c>
      <c r="F57" s="55">
        <f t="shared" si="10"/>
        <v>5.52</v>
      </c>
    </row>
    <row r="58" spans="3:17">
      <c r="C58" t="s">
        <v>120</v>
      </c>
      <c r="E58">
        <v>2.1</v>
      </c>
      <c r="F58" s="55">
        <f t="shared" si="10"/>
        <v>0.84</v>
      </c>
    </row>
    <row r="60" spans="3:17">
      <c r="C60" s="67" t="s">
        <v>26</v>
      </c>
      <c r="E60" s="56" t="s">
        <v>212</v>
      </c>
      <c r="F60" t="s">
        <v>297</v>
      </c>
    </row>
    <row r="61" spans="3:17">
      <c r="C61" t="s">
        <v>142</v>
      </c>
      <c r="E61">
        <v>27</v>
      </c>
      <c r="F61">
        <f t="shared" ref="F61:F66" si="12">$E61*20/100</f>
        <v>5.4</v>
      </c>
    </row>
    <row r="62" spans="3:17">
      <c r="C62" t="s">
        <v>119</v>
      </c>
      <c r="E62">
        <v>13</v>
      </c>
      <c r="F62">
        <f t="shared" si="12"/>
        <v>2.6</v>
      </c>
    </row>
    <row r="63" spans="3:17">
      <c r="C63" t="s">
        <v>118</v>
      </c>
      <c r="E63">
        <v>0.5</v>
      </c>
      <c r="F63">
        <f t="shared" si="12"/>
        <v>0.1</v>
      </c>
    </row>
    <row r="64" spans="3:17">
      <c r="C64" t="s">
        <v>143</v>
      </c>
      <c r="E64">
        <v>0</v>
      </c>
      <c r="F64">
        <f t="shared" si="12"/>
        <v>0</v>
      </c>
    </row>
    <row r="65" spans="2:6">
      <c r="C65" t="s">
        <v>133</v>
      </c>
      <c r="E65">
        <v>24</v>
      </c>
      <c r="F65">
        <f t="shared" si="12"/>
        <v>4.8</v>
      </c>
    </row>
    <row r="66" spans="2:6">
      <c r="C66" t="s">
        <v>120</v>
      </c>
      <c r="E66">
        <v>2</v>
      </c>
      <c r="F66">
        <f t="shared" si="12"/>
        <v>0.4</v>
      </c>
    </row>
    <row r="68" spans="2:6">
      <c r="C68" s="67" t="s">
        <v>30</v>
      </c>
      <c r="E68" t="s">
        <v>212</v>
      </c>
      <c r="F68" t="s">
        <v>298</v>
      </c>
    </row>
    <row r="69" spans="2:6">
      <c r="C69" t="s">
        <v>142</v>
      </c>
      <c r="E69">
        <v>0.1</v>
      </c>
      <c r="F69">
        <f t="shared" ref="F69:F74" si="13">$E69*8/100</f>
        <v>8.0000000000000002E-3</v>
      </c>
    </row>
    <row r="70" spans="2:6">
      <c r="C70" t="s">
        <v>119</v>
      </c>
      <c r="E70">
        <v>0</v>
      </c>
      <c r="F70">
        <f t="shared" si="13"/>
        <v>0</v>
      </c>
    </row>
    <row r="71" spans="2:6">
      <c r="C71" t="s">
        <v>118</v>
      </c>
      <c r="E71">
        <v>20</v>
      </c>
      <c r="F71">
        <f t="shared" si="13"/>
        <v>1.6</v>
      </c>
    </row>
    <row r="72" spans="2:6">
      <c r="C72" t="s">
        <v>143</v>
      </c>
      <c r="E72">
        <v>16.2</v>
      </c>
      <c r="F72">
        <f t="shared" si="13"/>
        <v>1.296</v>
      </c>
    </row>
    <row r="73" spans="2:6">
      <c r="C73" t="s">
        <v>133</v>
      </c>
      <c r="E73">
        <v>0.7</v>
      </c>
      <c r="F73">
        <f t="shared" si="13"/>
        <v>5.5999999999999994E-2</v>
      </c>
    </row>
    <row r="74" spans="2:6">
      <c r="C74" t="s">
        <v>120</v>
      </c>
      <c r="E74">
        <v>2.1</v>
      </c>
      <c r="F74">
        <f t="shared" si="13"/>
        <v>0.16800000000000001</v>
      </c>
    </row>
    <row r="76" spans="2:6">
      <c r="B76" t="s">
        <v>271</v>
      </c>
      <c r="C76" s="67" t="s">
        <v>292</v>
      </c>
      <c r="E76" t="s">
        <v>212</v>
      </c>
      <c r="F76" t="s">
        <v>299</v>
      </c>
    </row>
    <row r="77" spans="2:6">
      <c r="C77" t="s">
        <v>142</v>
      </c>
      <c r="E77">
        <v>0.2</v>
      </c>
      <c r="F77">
        <f t="shared" ref="F77:F82" si="14">$E77*15/100</f>
        <v>0.03</v>
      </c>
    </row>
    <row r="78" spans="2:6">
      <c r="C78" t="s">
        <v>119</v>
      </c>
      <c r="F78">
        <f t="shared" si="14"/>
        <v>0</v>
      </c>
    </row>
    <row r="79" spans="2:6">
      <c r="C79" t="s">
        <v>118</v>
      </c>
      <c r="E79">
        <v>3.1</v>
      </c>
      <c r="F79">
        <f t="shared" si="14"/>
        <v>0.46500000000000002</v>
      </c>
    </row>
    <row r="80" spans="2:6">
      <c r="C80" t="s">
        <v>143</v>
      </c>
      <c r="F80">
        <f t="shared" si="14"/>
        <v>0</v>
      </c>
    </row>
    <row r="81" spans="3:6">
      <c r="C81" t="s">
        <v>133</v>
      </c>
      <c r="E81">
        <v>0.9</v>
      </c>
      <c r="F81">
        <f t="shared" si="14"/>
        <v>0.13500000000000001</v>
      </c>
    </row>
    <row r="82" spans="3:6">
      <c r="C82" t="s">
        <v>120</v>
      </c>
      <c r="F82">
        <f t="shared" si="14"/>
        <v>0</v>
      </c>
    </row>
  </sheetData>
  <mergeCells count="14">
    <mergeCell ref="A1:G1"/>
    <mergeCell ref="J36:O36"/>
    <mergeCell ref="H37:H39"/>
    <mergeCell ref="I37:I38"/>
    <mergeCell ref="H47:H49"/>
    <mergeCell ref="I47:I49"/>
    <mergeCell ref="H54:I54"/>
    <mergeCell ref="H55:I55"/>
    <mergeCell ref="H56:I56"/>
    <mergeCell ref="P47:Q47"/>
    <mergeCell ref="H50:I50"/>
    <mergeCell ref="H51:I51"/>
    <mergeCell ref="H52:I52"/>
    <mergeCell ref="H53:I5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44" zoomScale="80" zoomScaleNormal="80" zoomScalePageLayoutView="80" workbookViewId="0">
      <selection activeCell="J40" sqref="J40:O40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9.19921875" bestFit="1" customWidth="1"/>
  </cols>
  <sheetData>
    <row r="1" spans="1:7" ht="31.05" customHeight="1">
      <c r="A1" s="193" t="s">
        <v>186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203.4">
      <c r="A3" s="2" t="s">
        <v>184</v>
      </c>
      <c r="B3" s="37" t="s">
        <v>95</v>
      </c>
      <c r="C3" s="3">
        <v>75</v>
      </c>
      <c r="D3" s="3">
        <v>44</v>
      </c>
      <c r="E3" s="4" t="s">
        <v>190</v>
      </c>
      <c r="F3" s="6" t="s">
        <v>177</v>
      </c>
      <c r="G3" s="6" t="s">
        <v>178</v>
      </c>
    </row>
    <row r="4" spans="1:7" ht="17.399999999999999">
      <c r="A4" s="2" t="s">
        <v>59</v>
      </c>
      <c r="B4" s="37" t="s">
        <v>128</v>
      </c>
      <c r="C4" s="3">
        <v>12</v>
      </c>
      <c r="D4" s="3">
        <v>7</v>
      </c>
      <c r="E4" s="5"/>
      <c r="F4" s="6"/>
      <c r="G4" s="3"/>
    </row>
    <row r="5" spans="1:7" ht="47.4">
      <c r="A5" s="2" t="s">
        <v>39</v>
      </c>
      <c r="B5" s="12" t="s">
        <v>40</v>
      </c>
      <c r="C5" s="3">
        <v>40</v>
      </c>
      <c r="D5" s="3">
        <v>23.5</v>
      </c>
      <c r="E5" s="6" t="s">
        <v>41</v>
      </c>
      <c r="F5" s="3"/>
      <c r="G5" s="3"/>
    </row>
    <row r="6" spans="1:7" ht="47.4">
      <c r="A6" s="2" t="s">
        <v>26</v>
      </c>
      <c r="B6" s="20" t="s">
        <v>28</v>
      </c>
      <c r="C6" s="3">
        <v>20</v>
      </c>
      <c r="D6" s="3">
        <v>12</v>
      </c>
      <c r="E6" s="6" t="s">
        <v>77</v>
      </c>
      <c r="F6" s="3" t="s">
        <v>17</v>
      </c>
      <c r="G6" s="3"/>
    </row>
    <row r="7" spans="1:7" ht="63">
      <c r="A7" s="2" t="s">
        <v>30</v>
      </c>
      <c r="B7" s="3" t="s">
        <v>11</v>
      </c>
      <c r="C7" s="3">
        <v>8</v>
      </c>
      <c r="D7" s="3">
        <v>4.5</v>
      </c>
      <c r="E7" s="6" t="s">
        <v>187</v>
      </c>
      <c r="F7" s="3"/>
      <c r="G7" s="3"/>
    </row>
    <row r="8" spans="1:7" ht="17.399999999999999">
      <c r="A8" s="2" t="s">
        <v>13</v>
      </c>
      <c r="B8" s="9"/>
      <c r="C8" s="24">
        <v>15</v>
      </c>
      <c r="D8" s="3">
        <v>9</v>
      </c>
      <c r="E8" s="61"/>
      <c r="F8" s="3"/>
      <c r="G8" s="3"/>
    </row>
    <row r="9" spans="1:7" ht="43.95" customHeight="1">
      <c r="C9">
        <f>SUM(C3:C8)</f>
        <v>170</v>
      </c>
      <c r="D9">
        <f>SUM(D3:D8)</f>
        <v>100</v>
      </c>
    </row>
    <row r="22" spans="3:13">
      <c r="D22" s="7"/>
    </row>
    <row r="27" spans="3:13">
      <c r="D27" s="7"/>
      <c r="F27" s="55" t="s">
        <v>282</v>
      </c>
      <c r="G27" t="s">
        <v>291</v>
      </c>
      <c r="H27" t="s">
        <v>296</v>
      </c>
      <c r="I27" t="s">
        <v>297</v>
      </c>
      <c r="J27" t="s">
        <v>298</v>
      </c>
      <c r="K27" t="s">
        <v>299</v>
      </c>
      <c r="L27" t="s">
        <v>287</v>
      </c>
      <c r="M27" s="65" t="s">
        <v>155</v>
      </c>
    </row>
    <row r="28" spans="3:13">
      <c r="C28" t="s">
        <v>142</v>
      </c>
      <c r="F28" s="55">
        <v>2.625</v>
      </c>
      <c r="G28" s="55">
        <v>10.92</v>
      </c>
      <c r="H28" s="55">
        <v>1.48</v>
      </c>
      <c r="I28" s="55">
        <v>5.4</v>
      </c>
      <c r="J28" s="55">
        <v>8.0000000000000002E-3</v>
      </c>
      <c r="K28" s="55">
        <v>0.03</v>
      </c>
      <c r="L28" s="55">
        <f t="shared" ref="L28:L33" si="0">SUM(F28:K28)</f>
        <v>20.463000000000001</v>
      </c>
      <c r="M28" s="55">
        <f t="shared" ref="M28:M33" si="1">$L28*100/170</f>
        <v>12.037058823529414</v>
      </c>
    </row>
    <row r="29" spans="3:13">
      <c r="C29" t="s">
        <v>119</v>
      </c>
      <c r="F29" s="55">
        <v>0.9</v>
      </c>
      <c r="G29" s="55">
        <v>1.68</v>
      </c>
      <c r="H29" s="55">
        <v>0.48</v>
      </c>
      <c r="I29" s="55">
        <v>2.6</v>
      </c>
      <c r="J29" s="55">
        <v>0</v>
      </c>
      <c r="K29" s="55">
        <v>0</v>
      </c>
      <c r="L29" s="55">
        <f t="shared" si="0"/>
        <v>5.66</v>
      </c>
      <c r="M29" s="55">
        <f t="shared" si="1"/>
        <v>3.3294117647058825</v>
      </c>
    </row>
    <row r="30" spans="3:13">
      <c r="C30" t="s">
        <v>118</v>
      </c>
      <c r="F30" s="55">
        <v>31.5</v>
      </c>
      <c r="G30" s="55">
        <v>0</v>
      </c>
      <c r="H30" s="55">
        <v>0.8</v>
      </c>
      <c r="I30" s="55">
        <v>0.1</v>
      </c>
      <c r="J30" s="55">
        <v>1.6</v>
      </c>
      <c r="K30" s="55">
        <v>0.46500000000000002</v>
      </c>
      <c r="L30" s="55">
        <f t="shared" si="0"/>
        <v>34.465000000000003</v>
      </c>
      <c r="M30" s="55">
        <f t="shared" si="1"/>
        <v>20.273529411764709</v>
      </c>
    </row>
    <row r="31" spans="3:13">
      <c r="C31" t="s">
        <v>143</v>
      </c>
      <c r="F31" s="55">
        <v>1.875</v>
      </c>
      <c r="G31" s="55">
        <v>0</v>
      </c>
      <c r="H31" s="55">
        <v>0.36</v>
      </c>
      <c r="I31" s="55">
        <v>0</v>
      </c>
      <c r="J31" s="55">
        <v>1.296</v>
      </c>
      <c r="K31" s="55">
        <v>0</v>
      </c>
      <c r="L31" s="55">
        <f t="shared" si="0"/>
        <v>3.5309999999999997</v>
      </c>
      <c r="M31" s="55">
        <f t="shared" si="1"/>
        <v>2.0770588235294114</v>
      </c>
    </row>
    <row r="32" spans="3:13">
      <c r="C32" t="s">
        <v>133</v>
      </c>
      <c r="F32" s="55">
        <v>7.4249999999999998</v>
      </c>
      <c r="G32" s="55">
        <v>0</v>
      </c>
      <c r="H32" s="55">
        <v>5.52</v>
      </c>
      <c r="I32" s="55">
        <v>4.8</v>
      </c>
      <c r="J32" s="55">
        <v>5.5999999999999994E-2</v>
      </c>
      <c r="K32" s="55">
        <v>0.13500000000000001</v>
      </c>
      <c r="L32" s="55">
        <f t="shared" si="0"/>
        <v>17.936000000000003</v>
      </c>
      <c r="M32" s="55">
        <f t="shared" si="1"/>
        <v>10.55058823529412</v>
      </c>
    </row>
    <row r="33" spans="3:17">
      <c r="C33" t="s">
        <v>120</v>
      </c>
      <c r="F33" s="55">
        <v>0.97499999999999998</v>
      </c>
      <c r="G33" s="55">
        <v>0</v>
      </c>
      <c r="H33" s="55">
        <v>0.84</v>
      </c>
      <c r="I33" s="55">
        <v>0.4</v>
      </c>
      <c r="J33" s="55">
        <v>0.16800000000000001</v>
      </c>
      <c r="K33" s="55">
        <v>0</v>
      </c>
      <c r="L33" s="55">
        <f t="shared" si="0"/>
        <v>2.383</v>
      </c>
      <c r="M33" s="55">
        <f t="shared" si="1"/>
        <v>1.401764705882353</v>
      </c>
    </row>
    <row r="36" spans="3:17">
      <c r="C36" s="67" t="s">
        <v>332</v>
      </c>
      <c r="E36" t="s">
        <v>212</v>
      </c>
      <c r="F36" t="s">
        <v>333</v>
      </c>
      <c r="H36" s="98"/>
      <c r="I36" s="98"/>
      <c r="J36" s="245" t="s">
        <v>228</v>
      </c>
      <c r="K36" s="245"/>
      <c r="L36" s="245"/>
      <c r="M36" s="245"/>
      <c r="N36" s="245"/>
      <c r="O36" s="245"/>
    </row>
    <row r="37" spans="3:17" ht="43.2">
      <c r="C37" t="s">
        <v>142</v>
      </c>
      <c r="E37">
        <v>3.5</v>
      </c>
      <c r="F37" s="55">
        <f t="shared" ref="F37:F42" si="2">$E37*75/100</f>
        <v>2.625</v>
      </c>
      <c r="H37" s="242" t="s">
        <v>216</v>
      </c>
      <c r="I37" s="246" t="s">
        <v>225</v>
      </c>
      <c r="J37" s="70" t="s">
        <v>217</v>
      </c>
      <c r="K37" s="70" t="s">
        <v>226</v>
      </c>
      <c r="L37" s="70" t="s">
        <v>118</v>
      </c>
      <c r="M37" s="70" t="s">
        <v>143</v>
      </c>
      <c r="N37" s="70" t="s">
        <v>227</v>
      </c>
      <c r="O37" s="70" t="s">
        <v>120</v>
      </c>
    </row>
    <row r="38" spans="3:17">
      <c r="C38" t="s">
        <v>119</v>
      </c>
      <c r="E38">
        <v>1.2</v>
      </c>
      <c r="F38" s="55">
        <f t="shared" si="2"/>
        <v>0.9</v>
      </c>
      <c r="H38" s="242"/>
      <c r="I38" s="246"/>
      <c r="J38" s="71" t="s">
        <v>218</v>
      </c>
      <c r="K38" s="71" t="s">
        <v>219</v>
      </c>
      <c r="L38" s="71" t="s">
        <v>220</v>
      </c>
      <c r="M38" s="71" t="s">
        <v>221</v>
      </c>
      <c r="N38" s="71" t="s">
        <v>222</v>
      </c>
      <c r="O38" s="71" t="s">
        <v>223</v>
      </c>
    </row>
    <row r="39" spans="3:17">
      <c r="C39" t="s">
        <v>118</v>
      </c>
      <c r="E39">
        <v>42</v>
      </c>
      <c r="F39" s="55">
        <f t="shared" si="2"/>
        <v>31.5</v>
      </c>
      <c r="H39" s="242"/>
      <c r="I39" s="110" t="s">
        <v>224</v>
      </c>
      <c r="J39" s="71" t="s">
        <v>224</v>
      </c>
      <c r="K39" s="71" t="s">
        <v>224</v>
      </c>
      <c r="L39" s="71" t="s">
        <v>224</v>
      </c>
      <c r="M39" s="71" t="s">
        <v>224</v>
      </c>
      <c r="N39" s="71" t="s">
        <v>224</v>
      </c>
      <c r="O39" s="71" t="s">
        <v>224</v>
      </c>
    </row>
    <row r="40" spans="3:17" ht="17.399999999999999">
      <c r="C40" t="s">
        <v>143</v>
      </c>
      <c r="E40">
        <v>2.5</v>
      </c>
      <c r="F40" s="55">
        <f t="shared" si="2"/>
        <v>1.875</v>
      </c>
      <c r="H40" s="108" t="s">
        <v>184</v>
      </c>
      <c r="I40" s="3">
        <v>75</v>
      </c>
      <c r="J40" s="3">
        <v>3.5</v>
      </c>
      <c r="K40" s="3">
        <v>1.2</v>
      </c>
      <c r="L40" s="3">
        <v>42</v>
      </c>
      <c r="M40" s="3">
        <v>2.5</v>
      </c>
      <c r="N40" s="3">
        <v>9.9</v>
      </c>
      <c r="O40" s="3">
        <v>1.3</v>
      </c>
    </row>
    <row r="41" spans="3:17" ht="17.399999999999999">
      <c r="C41" t="s">
        <v>133</v>
      </c>
      <c r="E41">
        <v>9.9</v>
      </c>
      <c r="F41" s="55">
        <f t="shared" si="2"/>
        <v>7.4249999999999998</v>
      </c>
      <c r="H41" s="108" t="s">
        <v>59</v>
      </c>
      <c r="I41" s="3">
        <v>12</v>
      </c>
      <c r="J41" s="3">
        <v>91</v>
      </c>
      <c r="K41" s="3">
        <v>14</v>
      </c>
      <c r="L41" s="3">
        <v>0</v>
      </c>
      <c r="M41" s="3">
        <v>0</v>
      </c>
      <c r="N41" s="3">
        <v>0</v>
      </c>
      <c r="O41" s="3">
        <v>0</v>
      </c>
    </row>
    <row r="42" spans="3:17" ht="17.399999999999999">
      <c r="C42" t="s">
        <v>120</v>
      </c>
      <c r="E42">
        <v>1.3</v>
      </c>
      <c r="F42" s="55">
        <f t="shared" si="2"/>
        <v>0.97499999999999998</v>
      </c>
      <c r="H42" s="108" t="s">
        <v>39</v>
      </c>
      <c r="I42" s="3">
        <v>40</v>
      </c>
      <c r="J42" s="3">
        <v>3.7</v>
      </c>
      <c r="K42" s="3">
        <v>1.2</v>
      </c>
      <c r="L42" s="3">
        <v>2</v>
      </c>
      <c r="M42" s="3">
        <v>0.9</v>
      </c>
      <c r="N42" s="3">
        <v>13.8</v>
      </c>
      <c r="O42" s="3">
        <v>2.1</v>
      </c>
    </row>
    <row r="43" spans="3:17" ht="17.399999999999999">
      <c r="H43" s="108" t="s">
        <v>26</v>
      </c>
      <c r="I43" s="3">
        <v>20</v>
      </c>
      <c r="J43" s="3">
        <v>27</v>
      </c>
      <c r="K43" s="78">
        <v>13</v>
      </c>
      <c r="L43" s="3">
        <v>0.5</v>
      </c>
      <c r="M43" s="3">
        <v>0</v>
      </c>
      <c r="N43" s="3">
        <v>24</v>
      </c>
      <c r="O43" s="3">
        <v>2</v>
      </c>
    </row>
    <row r="44" spans="3:17" ht="17.399999999999999">
      <c r="C44" s="67" t="s">
        <v>59</v>
      </c>
      <c r="E44" t="s">
        <v>212</v>
      </c>
      <c r="F44" t="s">
        <v>291</v>
      </c>
      <c r="H44" s="108" t="s">
        <v>30</v>
      </c>
      <c r="I44" s="3">
        <v>8</v>
      </c>
      <c r="J44" s="101">
        <v>0.1</v>
      </c>
      <c r="K44" s="101">
        <v>0</v>
      </c>
      <c r="L44" s="101">
        <v>20</v>
      </c>
      <c r="M44" s="101">
        <v>16.2</v>
      </c>
      <c r="N44" s="101">
        <v>0.7</v>
      </c>
      <c r="O44" s="101">
        <v>2.1</v>
      </c>
    </row>
    <row r="45" spans="3:17" ht="17.399999999999999">
      <c r="C45" t="s">
        <v>142</v>
      </c>
      <c r="E45">
        <v>91</v>
      </c>
      <c r="F45">
        <f t="shared" ref="F45:F50" si="3">$E45*12/100</f>
        <v>10.92</v>
      </c>
      <c r="H45" s="108" t="s">
        <v>13</v>
      </c>
      <c r="I45" s="24">
        <v>15</v>
      </c>
      <c r="J45" s="3">
        <v>0.2</v>
      </c>
      <c r="K45" s="3">
        <v>0</v>
      </c>
      <c r="L45" s="3">
        <v>3.1</v>
      </c>
      <c r="M45" s="3">
        <v>0</v>
      </c>
      <c r="N45" s="3">
        <v>0.9</v>
      </c>
      <c r="O45" s="3">
        <v>0</v>
      </c>
    </row>
    <row r="46" spans="3:17">
      <c r="C46" t="s">
        <v>119</v>
      </c>
      <c r="E46">
        <v>14</v>
      </c>
      <c r="F46">
        <f t="shared" si="3"/>
        <v>1.68</v>
      </c>
    </row>
    <row r="47" spans="3:17" ht="43.2">
      <c r="C47" t="s">
        <v>118</v>
      </c>
      <c r="E47">
        <v>0</v>
      </c>
      <c r="F47">
        <f t="shared" si="3"/>
        <v>0</v>
      </c>
      <c r="H47" s="202" t="s">
        <v>0</v>
      </c>
      <c r="I47" s="249" t="s">
        <v>229</v>
      </c>
      <c r="J47" s="103" t="s">
        <v>217</v>
      </c>
      <c r="K47" s="103" t="s">
        <v>226</v>
      </c>
      <c r="L47" s="103" t="s">
        <v>118</v>
      </c>
      <c r="M47" s="103" t="s">
        <v>143</v>
      </c>
      <c r="N47" s="103" t="s">
        <v>227</v>
      </c>
      <c r="O47" s="103" t="s">
        <v>120</v>
      </c>
      <c r="P47" s="191" t="s">
        <v>230</v>
      </c>
      <c r="Q47" s="248"/>
    </row>
    <row r="48" spans="3:17">
      <c r="C48" t="s">
        <v>143</v>
      </c>
      <c r="E48">
        <v>0</v>
      </c>
      <c r="F48">
        <f t="shared" si="3"/>
        <v>0</v>
      </c>
      <c r="H48" s="203"/>
      <c r="I48" s="250"/>
      <c r="J48" s="109" t="s">
        <v>218</v>
      </c>
      <c r="K48" s="109" t="s">
        <v>219</v>
      </c>
      <c r="L48" s="109" t="s">
        <v>220</v>
      </c>
      <c r="M48" s="109" t="s">
        <v>221</v>
      </c>
      <c r="N48" s="109" t="s">
        <v>222</v>
      </c>
      <c r="O48" s="109" t="s">
        <v>223</v>
      </c>
      <c r="P48" s="109" t="s">
        <v>231</v>
      </c>
      <c r="Q48" s="109" t="s">
        <v>231</v>
      </c>
    </row>
    <row r="49" spans="3:17">
      <c r="C49" t="s">
        <v>133</v>
      </c>
      <c r="E49">
        <v>0</v>
      </c>
      <c r="F49">
        <f t="shared" si="3"/>
        <v>0</v>
      </c>
      <c r="H49" s="203"/>
      <c r="I49" s="250"/>
      <c r="J49" s="104" t="s">
        <v>224</v>
      </c>
      <c r="K49" s="104" t="s">
        <v>224</v>
      </c>
      <c r="L49" s="104" t="s">
        <v>224</v>
      </c>
      <c r="M49" s="104" t="s">
        <v>224</v>
      </c>
      <c r="N49" s="104" t="s">
        <v>224</v>
      </c>
      <c r="O49" s="104" t="s">
        <v>224</v>
      </c>
      <c r="P49" s="104" t="s">
        <v>232</v>
      </c>
      <c r="Q49" s="104" t="s">
        <v>233</v>
      </c>
    </row>
    <row r="50" spans="3:17" ht="17.399999999999999">
      <c r="C50" t="s">
        <v>120</v>
      </c>
      <c r="E50">
        <v>0</v>
      </c>
      <c r="F50">
        <f t="shared" si="3"/>
        <v>0</v>
      </c>
      <c r="H50" s="188" t="s">
        <v>184</v>
      </c>
      <c r="I50" s="188"/>
      <c r="J50" s="78">
        <f t="shared" ref="J50:J55" si="4">$J40*$I40/170</f>
        <v>1.5441176470588236</v>
      </c>
      <c r="K50" s="78">
        <f t="shared" ref="K50:K55" si="5">$K40*$I40/170</f>
        <v>0.52941176470588236</v>
      </c>
      <c r="L50" s="78">
        <f t="shared" ref="L50:L55" si="6">$L40*$I40/170</f>
        <v>18.529411764705884</v>
      </c>
      <c r="M50" s="78">
        <f t="shared" ref="M50:M55" si="7">$M40*$I40/170</f>
        <v>1.1029411764705883</v>
      </c>
      <c r="N50" s="78">
        <f t="shared" ref="N50:N55" si="8">$N40*$I40/170</f>
        <v>4.367647058823529</v>
      </c>
      <c r="O50" s="78">
        <f t="shared" ref="O50:O55" si="9">$O40*$I40/170</f>
        <v>0.57352941176470584</v>
      </c>
      <c r="P50" s="3"/>
      <c r="Q50" s="3"/>
    </row>
    <row r="51" spans="3:17" ht="17.399999999999999">
      <c r="H51" s="188" t="s">
        <v>59</v>
      </c>
      <c r="I51" s="188"/>
      <c r="J51" s="78">
        <f t="shared" si="4"/>
        <v>6.4235294117647062</v>
      </c>
      <c r="K51" s="78">
        <f t="shared" si="5"/>
        <v>0.9882352941176471</v>
      </c>
      <c r="L51" s="78">
        <f t="shared" si="6"/>
        <v>0</v>
      </c>
      <c r="M51" s="78">
        <f t="shared" si="7"/>
        <v>0</v>
      </c>
      <c r="N51" s="78">
        <f t="shared" si="8"/>
        <v>0</v>
      </c>
      <c r="O51" s="78">
        <f t="shared" si="9"/>
        <v>0</v>
      </c>
      <c r="P51" s="3"/>
      <c r="Q51" s="3"/>
    </row>
    <row r="52" spans="3:17" ht="17.399999999999999">
      <c r="C52" s="67" t="s">
        <v>39</v>
      </c>
      <c r="E52" t="s">
        <v>212</v>
      </c>
      <c r="F52" t="s">
        <v>296</v>
      </c>
      <c r="H52" s="188" t="s">
        <v>39</v>
      </c>
      <c r="I52" s="188"/>
      <c r="J52" s="78">
        <f t="shared" si="4"/>
        <v>0.87058823529411766</v>
      </c>
      <c r="K52" s="78">
        <f t="shared" si="5"/>
        <v>0.28235294117647058</v>
      </c>
      <c r="L52" s="78">
        <f t="shared" si="6"/>
        <v>0.47058823529411764</v>
      </c>
      <c r="M52" s="78">
        <f t="shared" si="7"/>
        <v>0.21176470588235294</v>
      </c>
      <c r="N52" s="78">
        <f t="shared" si="8"/>
        <v>3.2470588235294118</v>
      </c>
      <c r="O52" s="78">
        <f t="shared" si="9"/>
        <v>0.49411764705882355</v>
      </c>
      <c r="P52" s="3"/>
      <c r="Q52" s="3"/>
    </row>
    <row r="53" spans="3:17" ht="17.399999999999999">
      <c r="C53" t="s">
        <v>142</v>
      </c>
      <c r="E53">
        <v>3.7</v>
      </c>
      <c r="F53" s="55">
        <f t="shared" ref="F53:F58" si="10">$E53*40/100</f>
        <v>1.48</v>
      </c>
      <c r="H53" s="188" t="s">
        <v>26</v>
      </c>
      <c r="I53" s="188"/>
      <c r="J53" s="78">
        <f t="shared" si="4"/>
        <v>3.1764705882352939</v>
      </c>
      <c r="K53" s="78">
        <f t="shared" si="5"/>
        <v>1.5294117647058822</v>
      </c>
      <c r="L53" s="78">
        <f t="shared" si="6"/>
        <v>5.8823529411764705E-2</v>
      </c>
      <c r="M53" s="78">
        <f t="shared" si="7"/>
        <v>0</v>
      </c>
      <c r="N53" s="78">
        <f t="shared" si="8"/>
        <v>2.8235294117647061</v>
      </c>
      <c r="O53" s="78">
        <f t="shared" si="9"/>
        <v>0.23529411764705882</v>
      </c>
      <c r="P53" s="3"/>
      <c r="Q53" s="3"/>
    </row>
    <row r="54" spans="3:17" ht="17.399999999999999">
      <c r="C54" t="s">
        <v>119</v>
      </c>
      <c r="E54">
        <v>1.2</v>
      </c>
      <c r="F54" s="55">
        <f t="shared" si="10"/>
        <v>0.48</v>
      </c>
      <c r="H54" s="188" t="s">
        <v>30</v>
      </c>
      <c r="I54" s="188"/>
      <c r="J54" s="78">
        <f t="shared" si="4"/>
        <v>4.7058823529411769E-3</v>
      </c>
      <c r="K54" s="78">
        <f t="shared" si="5"/>
        <v>0</v>
      </c>
      <c r="L54" s="78">
        <f t="shared" si="6"/>
        <v>0.94117647058823528</v>
      </c>
      <c r="M54" s="78">
        <f t="shared" si="7"/>
        <v>0.76235294117647057</v>
      </c>
      <c r="N54" s="78">
        <f t="shared" si="8"/>
        <v>3.2941176470588231E-2</v>
      </c>
      <c r="O54" s="78">
        <f t="shared" si="9"/>
        <v>9.8823529411764713E-2</v>
      </c>
      <c r="P54" s="3"/>
      <c r="Q54" s="3"/>
    </row>
    <row r="55" spans="3:17" ht="17.399999999999999">
      <c r="C55" t="s">
        <v>118</v>
      </c>
      <c r="E55">
        <v>2</v>
      </c>
      <c r="F55" s="55">
        <f t="shared" si="10"/>
        <v>0.8</v>
      </c>
      <c r="H55" s="188" t="s">
        <v>13</v>
      </c>
      <c r="I55" s="188"/>
      <c r="J55" s="78">
        <f t="shared" si="4"/>
        <v>1.7647058823529412E-2</v>
      </c>
      <c r="K55" s="78">
        <f t="shared" si="5"/>
        <v>0</v>
      </c>
      <c r="L55" s="78">
        <f t="shared" si="6"/>
        <v>0.27352941176470591</v>
      </c>
      <c r="M55" s="78">
        <f t="shared" si="7"/>
        <v>0</v>
      </c>
      <c r="N55" s="78">
        <f t="shared" si="8"/>
        <v>7.9411764705882348E-2</v>
      </c>
      <c r="O55" s="78">
        <f t="shared" si="9"/>
        <v>0</v>
      </c>
      <c r="P55" s="3"/>
      <c r="Q55" s="3"/>
    </row>
    <row r="56" spans="3:17" ht="34.5" customHeight="1">
      <c r="C56" t="s">
        <v>143</v>
      </c>
      <c r="E56">
        <v>0.9</v>
      </c>
      <c r="F56" s="55">
        <f t="shared" si="10"/>
        <v>0.36</v>
      </c>
      <c r="H56" s="189" t="s">
        <v>234</v>
      </c>
      <c r="I56" s="190"/>
      <c r="J56" s="85">
        <f t="shared" ref="J56:O56" si="11">SUM(J50:J55)</f>
        <v>12.03705882352941</v>
      </c>
      <c r="K56" s="84">
        <f t="shared" si="11"/>
        <v>3.3294117647058821</v>
      </c>
      <c r="L56" s="85">
        <f t="shared" si="11"/>
        <v>20.273529411764706</v>
      </c>
      <c r="M56" s="84">
        <f t="shared" si="11"/>
        <v>2.0770588235294118</v>
      </c>
      <c r="N56" s="84">
        <f t="shared" si="11"/>
        <v>10.550588235294118</v>
      </c>
      <c r="O56" s="84">
        <f t="shared" si="11"/>
        <v>1.401764705882353</v>
      </c>
      <c r="P56" s="85">
        <f>17*N56+37*J56+17*L56</f>
        <v>969.38117647058823</v>
      </c>
      <c r="Q56" s="85">
        <f>4*N56+9*J56+4*L56</f>
        <v>231.62999999999997</v>
      </c>
    </row>
    <row r="57" spans="3:17">
      <c r="C57" t="s">
        <v>133</v>
      </c>
      <c r="E57">
        <v>13.8</v>
      </c>
      <c r="F57" s="55">
        <f t="shared" si="10"/>
        <v>5.52</v>
      </c>
    </row>
    <row r="58" spans="3:17">
      <c r="C58" t="s">
        <v>120</v>
      </c>
      <c r="E58">
        <v>2.1</v>
      </c>
      <c r="F58" s="55">
        <f t="shared" si="10"/>
        <v>0.84</v>
      </c>
    </row>
    <row r="60" spans="3:17">
      <c r="C60" s="67" t="s">
        <v>26</v>
      </c>
      <c r="E60" s="56" t="s">
        <v>212</v>
      </c>
      <c r="F60" t="s">
        <v>297</v>
      </c>
    </row>
    <row r="61" spans="3:17">
      <c r="C61" t="s">
        <v>142</v>
      </c>
      <c r="E61">
        <v>27</v>
      </c>
      <c r="F61">
        <f t="shared" ref="F61:F66" si="12">$E61*20/100</f>
        <v>5.4</v>
      </c>
    </row>
    <row r="62" spans="3:17">
      <c r="C62" t="s">
        <v>119</v>
      </c>
      <c r="E62">
        <v>13</v>
      </c>
      <c r="F62">
        <f t="shared" si="12"/>
        <v>2.6</v>
      </c>
    </row>
    <row r="63" spans="3:17">
      <c r="C63" t="s">
        <v>118</v>
      </c>
      <c r="E63">
        <v>0.5</v>
      </c>
      <c r="F63">
        <f t="shared" si="12"/>
        <v>0.1</v>
      </c>
    </row>
    <row r="64" spans="3:17">
      <c r="C64" t="s">
        <v>143</v>
      </c>
      <c r="E64">
        <v>0</v>
      </c>
      <c r="F64">
        <f t="shared" si="12"/>
        <v>0</v>
      </c>
    </row>
    <row r="65" spans="2:6">
      <c r="C65" t="s">
        <v>133</v>
      </c>
      <c r="E65">
        <v>24</v>
      </c>
      <c r="F65">
        <f t="shared" si="12"/>
        <v>4.8</v>
      </c>
    </row>
    <row r="66" spans="2:6">
      <c r="C66" t="s">
        <v>120</v>
      </c>
      <c r="E66">
        <v>2</v>
      </c>
      <c r="F66">
        <f t="shared" si="12"/>
        <v>0.4</v>
      </c>
    </row>
    <row r="68" spans="2:6">
      <c r="C68" s="67" t="s">
        <v>30</v>
      </c>
      <c r="E68" t="s">
        <v>212</v>
      </c>
      <c r="F68" t="s">
        <v>298</v>
      </c>
    </row>
    <row r="69" spans="2:6">
      <c r="C69" t="s">
        <v>142</v>
      </c>
      <c r="E69">
        <v>0.1</v>
      </c>
      <c r="F69">
        <f t="shared" ref="F69:F74" si="13">$E69*8/100</f>
        <v>8.0000000000000002E-3</v>
      </c>
    </row>
    <row r="70" spans="2:6">
      <c r="C70" t="s">
        <v>119</v>
      </c>
      <c r="E70">
        <v>0</v>
      </c>
      <c r="F70">
        <f t="shared" si="13"/>
        <v>0</v>
      </c>
    </row>
    <row r="71" spans="2:6">
      <c r="C71" t="s">
        <v>118</v>
      </c>
      <c r="E71">
        <v>20</v>
      </c>
      <c r="F71">
        <f t="shared" si="13"/>
        <v>1.6</v>
      </c>
    </row>
    <row r="72" spans="2:6">
      <c r="C72" t="s">
        <v>143</v>
      </c>
      <c r="E72">
        <v>16.2</v>
      </c>
      <c r="F72">
        <f t="shared" si="13"/>
        <v>1.296</v>
      </c>
    </row>
    <row r="73" spans="2:6">
      <c r="C73" t="s">
        <v>133</v>
      </c>
      <c r="E73">
        <v>0.7</v>
      </c>
      <c r="F73">
        <f t="shared" si="13"/>
        <v>5.5999999999999994E-2</v>
      </c>
    </row>
    <row r="74" spans="2:6">
      <c r="C74" t="s">
        <v>120</v>
      </c>
      <c r="E74">
        <v>2.1</v>
      </c>
      <c r="F74">
        <f t="shared" si="13"/>
        <v>0.16800000000000001</v>
      </c>
    </row>
    <row r="76" spans="2:6">
      <c r="B76" t="s">
        <v>271</v>
      </c>
      <c r="C76" s="67" t="s">
        <v>292</v>
      </c>
      <c r="E76" t="s">
        <v>212</v>
      </c>
      <c r="F76" t="s">
        <v>299</v>
      </c>
    </row>
    <row r="77" spans="2:6">
      <c r="C77" t="s">
        <v>142</v>
      </c>
      <c r="E77">
        <v>0.2</v>
      </c>
      <c r="F77">
        <f t="shared" ref="F77:F82" si="14">$E77*15/100</f>
        <v>0.03</v>
      </c>
    </row>
    <row r="78" spans="2:6">
      <c r="C78" t="s">
        <v>119</v>
      </c>
      <c r="F78">
        <f t="shared" si="14"/>
        <v>0</v>
      </c>
    </row>
    <row r="79" spans="2:6">
      <c r="C79" t="s">
        <v>118</v>
      </c>
      <c r="E79">
        <v>3.1</v>
      </c>
      <c r="F79">
        <f t="shared" si="14"/>
        <v>0.46500000000000002</v>
      </c>
    </row>
    <row r="80" spans="2:6">
      <c r="C80" t="s">
        <v>143</v>
      </c>
      <c r="F80">
        <f t="shared" si="14"/>
        <v>0</v>
      </c>
    </row>
    <row r="81" spans="3:6">
      <c r="C81" t="s">
        <v>133</v>
      </c>
      <c r="E81">
        <v>0.9</v>
      </c>
      <c r="F81">
        <f t="shared" si="14"/>
        <v>0.13500000000000001</v>
      </c>
    </row>
    <row r="82" spans="3:6">
      <c r="C82" t="s">
        <v>120</v>
      </c>
      <c r="F82">
        <f t="shared" si="14"/>
        <v>0</v>
      </c>
    </row>
  </sheetData>
  <mergeCells count="14">
    <mergeCell ref="A1:G1"/>
    <mergeCell ref="J36:O36"/>
    <mergeCell ref="H37:H39"/>
    <mergeCell ref="I37:I38"/>
    <mergeCell ref="H47:H49"/>
    <mergeCell ref="I47:I49"/>
    <mergeCell ref="H54:I54"/>
    <mergeCell ref="H55:I55"/>
    <mergeCell ref="H56:I56"/>
    <mergeCell ref="P47:Q47"/>
    <mergeCell ref="H50:I50"/>
    <mergeCell ref="H51:I51"/>
    <mergeCell ref="H52:I52"/>
    <mergeCell ref="H53:I5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49" zoomScale="80" zoomScaleNormal="80" zoomScalePageLayoutView="80" workbookViewId="0">
      <selection activeCell="B64" sqref="B64:E86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6.69921875" bestFit="1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</cols>
  <sheetData>
    <row r="1" spans="1:8" ht="31.05" customHeight="1">
      <c r="A1" s="193" t="s">
        <v>188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173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78.599999999999994">
      <c r="A3" s="2" t="s">
        <v>183</v>
      </c>
      <c r="B3" s="37" t="s">
        <v>95</v>
      </c>
      <c r="C3" s="3">
        <v>75</v>
      </c>
      <c r="D3" s="3">
        <v>75</v>
      </c>
      <c r="E3" s="3">
        <v>42</v>
      </c>
      <c r="F3" s="4" t="s">
        <v>93</v>
      </c>
      <c r="G3" s="3" t="s">
        <v>84</v>
      </c>
      <c r="H3" s="6" t="s">
        <v>63</v>
      </c>
    </row>
    <row r="4" spans="1:8" ht="17.399999999999999">
      <c r="A4" s="2" t="s">
        <v>66</v>
      </c>
      <c r="B4" s="37" t="s">
        <v>394</v>
      </c>
      <c r="C4" s="3">
        <v>30</v>
      </c>
      <c r="D4" s="3">
        <v>26</v>
      </c>
      <c r="E4" s="3">
        <v>14.4</v>
      </c>
      <c r="F4" s="39" t="s">
        <v>99</v>
      </c>
      <c r="G4" s="6" t="s">
        <v>101</v>
      </c>
      <c r="H4" s="3"/>
    </row>
    <row r="5" spans="1:8" ht="17.399999999999999">
      <c r="A5" s="2" t="s">
        <v>67</v>
      </c>
      <c r="B5" s="12" t="s">
        <v>115</v>
      </c>
      <c r="C5" s="3">
        <v>30</v>
      </c>
      <c r="D5" s="3">
        <v>26</v>
      </c>
      <c r="E5" s="3">
        <v>14.4</v>
      </c>
      <c r="F5" s="5" t="s">
        <v>17</v>
      </c>
      <c r="G5" s="3" t="s">
        <v>17</v>
      </c>
      <c r="H5" s="3"/>
    </row>
    <row r="6" spans="1:8" ht="17.399999999999999">
      <c r="A6" s="2" t="s">
        <v>129</v>
      </c>
      <c r="B6" s="20"/>
      <c r="C6" s="3">
        <v>15</v>
      </c>
      <c r="D6" s="3">
        <v>13</v>
      </c>
      <c r="E6" s="3">
        <v>7</v>
      </c>
      <c r="F6" s="47"/>
      <c r="G6" s="3"/>
      <c r="H6" s="3"/>
    </row>
    <row r="7" spans="1:8" ht="31.8">
      <c r="A7" s="2" t="s">
        <v>68</v>
      </c>
      <c r="B7" s="9" t="s">
        <v>71</v>
      </c>
      <c r="C7" s="3">
        <v>3</v>
      </c>
      <c r="D7" s="3">
        <v>2</v>
      </c>
      <c r="E7" s="3">
        <v>1</v>
      </c>
      <c r="F7" s="38" t="s">
        <v>100</v>
      </c>
      <c r="G7" s="3" t="s">
        <v>44</v>
      </c>
      <c r="H7" s="3"/>
    </row>
    <row r="8" spans="1:8" ht="17.399999999999999">
      <c r="A8" s="2" t="s">
        <v>98</v>
      </c>
      <c r="B8" s="9"/>
      <c r="C8" s="25" t="s">
        <v>70</v>
      </c>
      <c r="D8" s="25">
        <v>0.5</v>
      </c>
      <c r="E8" s="3">
        <v>0.2</v>
      </c>
      <c r="F8" s="23"/>
      <c r="G8" s="3"/>
      <c r="H8" s="3"/>
    </row>
    <row r="9" spans="1:8" ht="17.399999999999999">
      <c r="A9" s="2" t="s">
        <v>13</v>
      </c>
      <c r="B9" s="9"/>
      <c r="C9" s="24">
        <v>30</v>
      </c>
      <c r="D9" s="24">
        <v>27.5</v>
      </c>
      <c r="E9" s="3">
        <v>15</v>
      </c>
      <c r="F9" s="61"/>
      <c r="G9" s="3"/>
      <c r="H9" s="3"/>
    </row>
    <row r="10" spans="1:8" ht="17.399999999999999">
      <c r="A10" s="2" t="s">
        <v>69</v>
      </c>
      <c r="B10" s="9"/>
      <c r="C10" s="24">
        <v>12</v>
      </c>
      <c r="D10" s="24">
        <v>10</v>
      </c>
      <c r="E10" s="3">
        <v>6</v>
      </c>
      <c r="F10" s="61"/>
      <c r="G10" s="3"/>
      <c r="H10" s="3"/>
    </row>
    <row r="11" spans="1:8" ht="43.95" customHeight="1">
      <c r="C11">
        <f>SUM(C3:C10)</f>
        <v>195</v>
      </c>
      <c r="D11">
        <f>SUM(D3:D10)</f>
        <v>180</v>
      </c>
      <c r="E11">
        <f>SUM(E3:E10)</f>
        <v>100</v>
      </c>
      <c r="F11" t="s">
        <v>300</v>
      </c>
    </row>
    <row r="23" spans="3:15">
      <c r="D23" s="7"/>
      <c r="F23" s="55" t="s">
        <v>282</v>
      </c>
      <c r="G23" t="s">
        <v>302</v>
      </c>
      <c r="H23" t="s">
        <v>303</v>
      </c>
      <c r="I23" t="s">
        <v>304</v>
      </c>
      <c r="J23" t="s">
        <v>305</v>
      </c>
      <c r="K23" t="s">
        <v>306</v>
      </c>
      <c r="L23" t="s">
        <v>309</v>
      </c>
      <c r="M23" t="s">
        <v>287</v>
      </c>
      <c r="N23" s="65" t="s">
        <v>155</v>
      </c>
    </row>
    <row r="24" spans="3:15">
      <c r="C24" t="s">
        <v>142</v>
      </c>
      <c r="F24" s="55">
        <v>2.5499999999999998</v>
      </c>
      <c r="G24" s="55">
        <v>1.3779999999999999</v>
      </c>
      <c r="H24" s="55">
        <v>21.32</v>
      </c>
      <c r="I24" s="55">
        <v>3.9E-2</v>
      </c>
      <c r="J24" s="55">
        <v>0.11199999999999999</v>
      </c>
      <c r="K24" s="55">
        <v>5.5E-2</v>
      </c>
      <c r="L24" s="55">
        <v>0.03</v>
      </c>
      <c r="M24" s="55">
        <f t="shared" ref="M24:M29" si="0">SUM(F24:L24)</f>
        <v>25.484000000000002</v>
      </c>
      <c r="N24" s="55">
        <f t="shared" ref="N24:N29" si="1">$M24*100/180</f>
        <v>14.157777777777778</v>
      </c>
    </row>
    <row r="25" spans="3:15">
      <c r="C25" t="s">
        <v>119</v>
      </c>
      <c r="F25" s="55">
        <v>0.82499999999999996</v>
      </c>
      <c r="G25" s="55">
        <v>0.39</v>
      </c>
      <c r="H25" s="55">
        <v>13.78</v>
      </c>
      <c r="I25" s="55">
        <v>0</v>
      </c>
      <c r="J25" s="55">
        <v>0.01</v>
      </c>
      <c r="K25" s="55">
        <v>0</v>
      </c>
      <c r="L25" s="55">
        <v>0</v>
      </c>
      <c r="M25" s="55">
        <f t="shared" si="0"/>
        <v>15.004999999999999</v>
      </c>
      <c r="N25" s="55">
        <f t="shared" si="1"/>
        <v>8.3361111111111104</v>
      </c>
    </row>
    <row r="26" spans="3:15">
      <c r="C26" t="s">
        <v>118</v>
      </c>
      <c r="F26" s="55">
        <v>36</v>
      </c>
      <c r="G26" s="55">
        <v>0.26</v>
      </c>
      <c r="H26" s="55">
        <v>0.156</v>
      </c>
      <c r="I26" s="55">
        <v>0.44199999999999995</v>
      </c>
      <c r="J26" s="55">
        <v>0.11800000000000001</v>
      </c>
      <c r="K26" s="55">
        <v>0.85250000000000004</v>
      </c>
      <c r="L26" s="55">
        <v>0.66</v>
      </c>
      <c r="M26" s="55">
        <f t="shared" si="0"/>
        <v>38.488499999999995</v>
      </c>
      <c r="N26" s="55">
        <f t="shared" si="1"/>
        <v>21.382499999999997</v>
      </c>
    </row>
    <row r="27" spans="3:15">
      <c r="C27" t="s">
        <v>143</v>
      </c>
      <c r="F27" s="55">
        <v>2.25</v>
      </c>
      <c r="G27" s="55">
        <v>0</v>
      </c>
      <c r="H27" s="55">
        <v>0.156</v>
      </c>
      <c r="I27" s="55">
        <v>0</v>
      </c>
      <c r="J27" s="55">
        <v>0.11</v>
      </c>
      <c r="K27" s="55">
        <v>0</v>
      </c>
      <c r="L27" s="55">
        <v>0</v>
      </c>
      <c r="M27" s="55">
        <f t="shared" si="0"/>
        <v>2.516</v>
      </c>
      <c r="N27" s="55">
        <f t="shared" si="1"/>
        <v>1.3977777777777778</v>
      </c>
    </row>
    <row r="28" spans="3:15">
      <c r="C28" t="s">
        <v>133</v>
      </c>
      <c r="F28" s="55">
        <v>6.5250000000000004</v>
      </c>
      <c r="G28" s="55">
        <v>6.76</v>
      </c>
      <c r="H28" s="55">
        <v>0.182</v>
      </c>
      <c r="I28" s="55">
        <v>0.33800000000000002</v>
      </c>
      <c r="J28" s="55">
        <v>0.12</v>
      </c>
      <c r="K28" s="55">
        <v>0.2475</v>
      </c>
      <c r="L28" s="55">
        <v>0.14000000000000001</v>
      </c>
      <c r="M28" s="55">
        <f t="shared" si="0"/>
        <v>14.3125</v>
      </c>
      <c r="N28" s="55">
        <f t="shared" si="1"/>
        <v>7.9513888888888893</v>
      </c>
    </row>
    <row r="29" spans="3:15">
      <c r="C29" t="s">
        <v>120</v>
      </c>
      <c r="F29" s="55">
        <v>1.05</v>
      </c>
      <c r="G29" s="55">
        <v>0.26</v>
      </c>
      <c r="H29" s="55">
        <v>2.5999999999999999E-3</v>
      </c>
      <c r="I29" s="55">
        <v>1.3000000000000001E-2</v>
      </c>
      <c r="J29" s="55">
        <v>4.5999999999999999E-2</v>
      </c>
      <c r="K29" s="55">
        <v>0</v>
      </c>
      <c r="L29" s="55">
        <v>0</v>
      </c>
      <c r="M29" s="55">
        <f t="shared" si="0"/>
        <v>1.3715999999999999</v>
      </c>
      <c r="N29" s="55">
        <f t="shared" si="1"/>
        <v>0.76200000000000001</v>
      </c>
    </row>
    <row r="32" spans="3:15">
      <c r="C32" s="67" t="s">
        <v>279</v>
      </c>
      <c r="E32" t="s">
        <v>212</v>
      </c>
      <c r="F32" t="s">
        <v>282</v>
      </c>
      <c r="H32" s="98"/>
      <c r="I32" s="98"/>
      <c r="J32" s="245" t="s">
        <v>228</v>
      </c>
      <c r="K32" s="245"/>
      <c r="L32" s="245"/>
      <c r="M32" s="245"/>
      <c r="N32" s="245"/>
      <c r="O32" s="245"/>
    </row>
    <row r="33" spans="3:17" ht="43.2">
      <c r="C33" t="s">
        <v>142</v>
      </c>
      <c r="E33">
        <v>3.4</v>
      </c>
      <c r="F33" s="55">
        <f t="shared" ref="F33:F38" si="2">$E33*75/100</f>
        <v>2.5499999999999998</v>
      </c>
      <c r="H33" s="242" t="s">
        <v>216</v>
      </c>
      <c r="I33" s="246" t="s">
        <v>225</v>
      </c>
      <c r="J33" s="70" t="s">
        <v>217</v>
      </c>
      <c r="K33" s="70" t="s">
        <v>226</v>
      </c>
      <c r="L33" s="70" t="s">
        <v>118</v>
      </c>
      <c r="M33" s="70" t="s">
        <v>143</v>
      </c>
      <c r="N33" s="70" t="s">
        <v>227</v>
      </c>
      <c r="O33" s="70" t="s">
        <v>120</v>
      </c>
    </row>
    <row r="34" spans="3:17">
      <c r="C34" t="s">
        <v>119</v>
      </c>
      <c r="E34">
        <v>1.1000000000000001</v>
      </c>
      <c r="F34" s="55">
        <f t="shared" si="2"/>
        <v>0.82499999999999996</v>
      </c>
      <c r="H34" s="242"/>
      <c r="I34" s="246"/>
      <c r="J34" s="71" t="s">
        <v>218</v>
      </c>
      <c r="K34" s="71" t="s">
        <v>219</v>
      </c>
      <c r="L34" s="71" t="s">
        <v>220</v>
      </c>
      <c r="M34" s="71" t="s">
        <v>221</v>
      </c>
      <c r="N34" s="71" t="s">
        <v>222</v>
      </c>
      <c r="O34" s="71" t="s">
        <v>223</v>
      </c>
    </row>
    <row r="35" spans="3:17">
      <c r="C35" t="s">
        <v>118</v>
      </c>
      <c r="E35">
        <v>48</v>
      </c>
      <c r="F35" s="55">
        <f t="shared" si="2"/>
        <v>36</v>
      </c>
      <c r="H35" s="242"/>
      <c r="I35" s="99" t="s">
        <v>224</v>
      </c>
      <c r="J35" s="71" t="s">
        <v>224</v>
      </c>
      <c r="K35" s="71" t="s">
        <v>224</v>
      </c>
      <c r="L35" s="71" t="s">
        <v>224</v>
      </c>
      <c r="M35" s="71" t="s">
        <v>224</v>
      </c>
      <c r="N35" s="71" t="s">
        <v>224</v>
      </c>
      <c r="O35" s="71" t="s">
        <v>224</v>
      </c>
    </row>
    <row r="36" spans="3:17" ht="17.399999999999999">
      <c r="C36" t="s">
        <v>143</v>
      </c>
      <c r="E36">
        <v>3</v>
      </c>
      <c r="F36" s="55">
        <f t="shared" si="2"/>
        <v>2.25</v>
      </c>
      <c r="H36" s="96" t="s">
        <v>183</v>
      </c>
      <c r="I36" s="3">
        <v>75</v>
      </c>
      <c r="J36" s="3">
        <v>3.4</v>
      </c>
      <c r="K36" s="3">
        <v>1.1000000000000001</v>
      </c>
      <c r="L36" s="3">
        <v>48</v>
      </c>
      <c r="M36" s="3">
        <v>3</v>
      </c>
      <c r="N36" s="3">
        <v>8.6999999999999993</v>
      </c>
      <c r="O36" s="3">
        <v>1.4</v>
      </c>
    </row>
    <row r="37" spans="3:17" ht="17.399999999999999">
      <c r="C37" t="s">
        <v>133</v>
      </c>
      <c r="E37">
        <v>8.6999999999999993</v>
      </c>
      <c r="F37" s="55">
        <f t="shared" si="2"/>
        <v>6.5250000000000004</v>
      </c>
      <c r="H37" s="96" t="s">
        <v>66</v>
      </c>
      <c r="I37" s="3">
        <v>26</v>
      </c>
      <c r="J37" s="3">
        <v>5.3</v>
      </c>
      <c r="K37" s="3">
        <v>1.5</v>
      </c>
      <c r="L37" s="3">
        <v>1</v>
      </c>
      <c r="M37" s="3">
        <v>0</v>
      </c>
      <c r="N37" s="3">
        <v>26</v>
      </c>
      <c r="O37" s="3">
        <v>1</v>
      </c>
    </row>
    <row r="38" spans="3:17" ht="17.399999999999999">
      <c r="C38" t="s">
        <v>120</v>
      </c>
      <c r="E38">
        <v>1.4</v>
      </c>
      <c r="F38" s="55">
        <f t="shared" si="2"/>
        <v>1.05</v>
      </c>
      <c r="H38" s="96" t="s">
        <v>67</v>
      </c>
      <c r="I38" s="3">
        <v>26</v>
      </c>
      <c r="J38" s="3">
        <v>82</v>
      </c>
      <c r="K38" s="3">
        <v>53</v>
      </c>
      <c r="L38" s="3">
        <v>0.6</v>
      </c>
      <c r="M38" s="3">
        <v>0.6</v>
      </c>
      <c r="N38" s="3">
        <v>0.7</v>
      </c>
      <c r="O38" s="3">
        <v>0.01</v>
      </c>
    </row>
    <row r="39" spans="3:17" ht="17.399999999999999">
      <c r="H39" s="96" t="s">
        <v>129</v>
      </c>
      <c r="I39" s="3">
        <v>13</v>
      </c>
      <c r="J39" s="3">
        <v>0.3</v>
      </c>
      <c r="K39" s="3">
        <v>0</v>
      </c>
      <c r="L39" s="3">
        <v>3.4</v>
      </c>
      <c r="M39" s="3">
        <v>0</v>
      </c>
      <c r="N39" s="3">
        <v>2.6</v>
      </c>
      <c r="O39" s="3">
        <v>0.1</v>
      </c>
    </row>
    <row r="40" spans="3:17" ht="17.399999999999999">
      <c r="C40" s="67" t="s">
        <v>66</v>
      </c>
      <c r="E40" t="s">
        <v>301</v>
      </c>
      <c r="F40" t="s">
        <v>302</v>
      </c>
      <c r="H40" s="96" t="s">
        <v>68</v>
      </c>
      <c r="I40" s="3">
        <v>2</v>
      </c>
      <c r="J40" s="3">
        <v>5.6</v>
      </c>
      <c r="K40" s="3">
        <v>0.5</v>
      </c>
      <c r="L40" s="3">
        <v>5.9</v>
      </c>
      <c r="M40" s="3">
        <v>5.5</v>
      </c>
      <c r="N40" s="3">
        <v>6</v>
      </c>
      <c r="O40" s="3">
        <v>2.2999999999999998</v>
      </c>
    </row>
    <row r="41" spans="3:17" ht="17.399999999999999">
      <c r="C41" t="s">
        <v>142</v>
      </c>
      <c r="E41">
        <v>5.3</v>
      </c>
      <c r="F41">
        <f t="shared" ref="F41:F46" si="3">$E41*26/100</f>
        <v>1.3779999999999999</v>
      </c>
      <c r="H41" s="96" t="s">
        <v>98</v>
      </c>
      <c r="I41" s="25">
        <v>0.5</v>
      </c>
      <c r="J41" s="3"/>
      <c r="K41" s="3"/>
      <c r="L41" s="3"/>
      <c r="M41" s="3"/>
      <c r="N41" s="3"/>
      <c r="O41" s="3">
        <v>0.5</v>
      </c>
    </row>
    <row r="42" spans="3:17" ht="17.399999999999999">
      <c r="C42" t="s">
        <v>119</v>
      </c>
      <c r="E42">
        <v>1.5</v>
      </c>
      <c r="F42">
        <f t="shared" si="3"/>
        <v>0.39</v>
      </c>
      <c r="H42" s="96" t="s">
        <v>13</v>
      </c>
      <c r="I42" s="24">
        <v>27.5</v>
      </c>
      <c r="J42" s="3">
        <v>0.2</v>
      </c>
      <c r="K42" s="3">
        <v>0</v>
      </c>
      <c r="L42" s="3">
        <v>3.1</v>
      </c>
      <c r="M42" s="3">
        <v>0</v>
      </c>
      <c r="N42" s="3">
        <v>0.9</v>
      </c>
      <c r="O42" s="3">
        <v>0</v>
      </c>
    </row>
    <row r="43" spans="3:17" ht="17.399999999999999">
      <c r="C43" t="s">
        <v>118</v>
      </c>
      <c r="E43">
        <v>1</v>
      </c>
      <c r="F43">
        <f t="shared" si="3"/>
        <v>0.26</v>
      </c>
      <c r="H43" s="96" t="s">
        <v>69</v>
      </c>
      <c r="I43" s="24">
        <v>10</v>
      </c>
      <c r="J43" s="24">
        <v>0.3</v>
      </c>
      <c r="K43" s="24">
        <v>0</v>
      </c>
      <c r="L43" s="24">
        <v>6.6</v>
      </c>
      <c r="M43" s="24">
        <v>0</v>
      </c>
      <c r="N43" s="24">
        <v>1.4</v>
      </c>
      <c r="O43" s="24">
        <v>0</v>
      </c>
    </row>
    <row r="44" spans="3:17">
      <c r="C44" t="s">
        <v>143</v>
      </c>
      <c r="E44">
        <v>0</v>
      </c>
      <c r="F44">
        <f t="shared" si="3"/>
        <v>0</v>
      </c>
    </row>
    <row r="45" spans="3:17" ht="43.2">
      <c r="C45" t="s">
        <v>133</v>
      </c>
      <c r="E45">
        <v>26</v>
      </c>
      <c r="F45">
        <f t="shared" si="3"/>
        <v>6.76</v>
      </c>
      <c r="H45" s="202" t="s">
        <v>0</v>
      </c>
      <c r="I45" s="249" t="s">
        <v>229</v>
      </c>
      <c r="J45" s="103" t="s">
        <v>217</v>
      </c>
      <c r="K45" s="103" t="s">
        <v>226</v>
      </c>
      <c r="L45" s="103" t="s">
        <v>118</v>
      </c>
      <c r="M45" s="103" t="s">
        <v>143</v>
      </c>
      <c r="N45" s="103" t="s">
        <v>227</v>
      </c>
      <c r="O45" s="103" t="s">
        <v>120</v>
      </c>
      <c r="P45" s="191" t="s">
        <v>230</v>
      </c>
      <c r="Q45" s="248"/>
    </row>
    <row r="46" spans="3:17">
      <c r="C46" t="s">
        <v>120</v>
      </c>
      <c r="E46">
        <v>1</v>
      </c>
      <c r="F46">
        <f t="shared" si="3"/>
        <v>0.26</v>
      </c>
      <c r="H46" s="203"/>
      <c r="I46" s="250"/>
      <c r="J46" s="95" t="s">
        <v>218</v>
      </c>
      <c r="K46" s="95" t="s">
        <v>219</v>
      </c>
      <c r="L46" s="95" t="s">
        <v>220</v>
      </c>
      <c r="M46" s="95" t="s">
        <v>221</v>
      </c>
      <c r="N46" s="95" t="s">
        <v>222</v>
      </c>
      <c r="O46" s="95" t="s">
        <v>223</v>
      </c>
      <c r="P46" s="95" t="s">
        <v>231</v>
      </c>
      <c r="Q46" s="95" t="s">
        <v>231</v>
      </c>
    </row>
    <row r="47" spans="3:17">
      <c r="H47" s="203"/>
      <c r="I47" s="250"/>
      <c r="J47" s="104" t="s">
        <v>224</v>
      </c>
      <c r="K47" s="104" t="s">
        <v>224</v>
      </c>
      <c r="L47" s="104" t="s">
        <v>224</v>
      </c>
      <c r="M47" s="104" t="s">
        <v>224</v>
      </c>
      <c r="N47" s="104" t="s">
        <v>224</v>
      </c>
      <c r="O47" s="104" t="s">
        <v>224</v>
      </c>
      <c r="P47" s="104" t="s">
        <v>232</v>
      </c>
      <c r="Q47" s="104" t="s">
        <v>233</v>
      </c>
    </row>
    <row r="48" spans="3:17" ht="17.399999999999999">
      <c r="C48" s="67" t="s">
        <v>67</v>
      </c>
      <c r="E48" t="s">
        <v>212</v>
      </c>
      <c r="F48" t="s">
        <v>303</v>
      </c>
      <c r="H48" s="188" t="s">
        <v>183</v>
      </c>
      <c r="I48" s="188"/>
      <c r="J48" s="78">
        <f>$J36*$I36/180</f>
        <v>1.4166666666666667</v>
      </c>
      <c r="K48" s="78">
        <f>$K36*$I36/180</f>
        <v>0.45833333333333331</v>
      </c>
      <c r="L48" s="78">
        <f>$L36*$I36/180</f>
        <v>20</v>
      </c>
      <c r="M48" s="78">
        <f>$M36*$I36/180</f>
        <v>1.25</v>
      </c>
      <c r="N48" s="78">
        <f>$N36*$I36/180</f>
        <v>3.625</v>
      </c>
      <c r="O48" s="78">
        <f>$O36*$I36/180</f>
        <v>0.58333333333333337</v>
      </c>
      <c r="P48" s="3"/>
      <c r="Q48" s="3"/>
    </row>
    <row r="49" spans="2:17" ht="17.399999999999999">
      <c r="C49" t="s">
        <v>142</v>
      </c>
      <c r="E49">
        <v>82</v>
      </c>
      <c r="F49">
        <f t="shared" ref="F49:F54" si="4">$E49*26/100</f>
        <v>21.32</v>
      </c>
      <c r="H49" s="188" t="s">
        <v>66</v>
      </c>
      <c r="I49" s="188"/>
      <c r="J49" s="78">
        <f t="shared" ref="J49:J55" si="5">$J37*$I37/180</f>
        <v>0.76555555555555543</v>
      </c>
      <c r="K49" s="78">
        <f t="shared" ref="K49:K55" si="6">$K37*$I37/180</f>
        <v>0.21666666666666667</v>
      </c>
      <c r="L49" s="78">
        <f t="shared" ref="L49:L55" si="7">$L37*$I37/180</f>
        <v>0.14444444444444443</v>
      </c>
      <c r="M49" s="78">
        <f t="shared" ref="M49:M55" si="8">$M37*$I37/180</f>
        <v>0</v>
      </c>
      <c r="N49" s="78">
        <f t="shared" ref="N49:N55" si="9">$N37*$I37/180</f>
        <v>3.7555555555555555</v>
      </c>
      <c r="O49" s="78">
        <f t="shared" ref="O49:O55" si="10">$O37*$I37/180</f>
        <v>0.14444444444444443</v>
      </c>
      <c r="P49" s="3"/>
      <c r="Q49" s="3"/>
    </row>
    <row r="50" spans="2:17" ht="17.399999999999999">
      <c r="C50" t="s">
        <v>119</v>
      </c>
      <c r="E50">
        <v>53</v>
      </c>
      <c r="F50">
        <f t="shared" si="4"/>
        <v>13.78</v>
      </c>
      <c r="H50" s="188" t="s">
        <v>67</v>
      </c>
      <c r="I50" s="188"/>
      <c r="J50" s="78">
        <f t="shared" si="5"/>
        <v>11.844444444444445</v>
      </c>
      <c r="K50" s="78">
        <f t="shared" si="6"/>
        <v>7.6555555555555559</v>
      </c>
      <c r="L50" s="78">
        <f t="shared" si="7"/>
        <v>8.666666666666667E-2</v>
      </c>
      <c r="M50" s="78">
        <f t="shared" si="8"/>
        <v>8.666666666666667E-2</v>
      </c>
      <c r="N50" s="78">
        <f t="shared" si="9"/>
        <v>0.10111111111111111</v>
      </c>
      <c r="O50" s="78">
        <f t="shared" si="10"/>
        <v>1.4444444444444446E-3</v>
      </c>
      <c r="P50" s="3"/>
      <c r="Q50" s="3"/>
    </row>
    <row r="51" spans="2:17" ht="17.399999999999999">
      <c r="C51" t="s">
        <v>118</v>
      </c>
      <c r="E51">
        <v>0.6</v>
      </c>
      <c r="F51">
        <f t="shared" si="4"/>
        <v>0.156</v>
      </c>
      <c r="H51" s="188" t="s">
        <v>129</v>
      </c>
      <c r="I51" s="188"/>
      <c r="J51" s="78">
        <f t="shared" si="5"/>
        <v>2.1666666666666667E-2</v>
      </c>
      <c r="K51" s="78">
        <f t="shared" si="6"/>
        <v>0</v>
      </c>
      <c r="L51" s="78">
        <f t="shared" si="7"/>
        <v>0.24555555555555553</v>
      </c>
      <c r="M51" s="78">
        <f t="shared" si="8"/>
        <v>0</v>
      </c>
      <c r="N51" s="78">
        <f t="shared" si="9"/>
        <v>0.18777777777777779</v>
      </c>
      <c r="O51" s="78">
        <f t="shared" si="10"/>
        <v>7.2222222222222228E-3</v>
      </c>
      <c r="P51" s="3"/>
      <c r="Q51" s="3"/>
    </row>
    <row r="52" spans="2:17" ht="17.399999999999999">
      <c r="C52" t="s">
        <v>143</v>
      </c>
      <c r="E52">
        <v>0.6</v>
      </c>
      <c r="F52">
        <f t="shared" si="4"/>
        <v>0.156</v>
      </c>
      <c r="H52" s="188" t="s">
        <v>68</v>
      </c>
      <c r="I52" s="188"/>
      <c r="J52" s="78">
        <f t="shared" si="5"/>
        <v>6.222222222222222E-2</v>
      </c>
      <c r="K52" s="78">
        <f t="shared" si="6"/>
        <v>5.5555555555555558E-3</v>
      </c>
      <c r="L52" s="78">
        <f t="shared" si="7"/>
        <v>6.5555555555555561E-2</v>
      </c>
      <c r="M52" s="78">
        <f t="shared" si="8"/>
        <v>6.1111111111111109E-2</v>
      </c>
      <c r="N52" s="78">
        <f t="shared" si="9"/>
        <v>6.6666666666666666E-2</v>
      </c>
      <c r="O52" s="78">
        <f t="shared" si="10"/>
        <v>2.5555555555555554E-2</v>
      </c>
      <c r="P52" s="3"/>
      <c r="Q52" s="3"/>
    </row>
    <row r="53" spans="2:17" ht="17.399999999999999">
      <c r="C53" t="s">
        <v>133</v>
      </c>
      <c r="E53">
        <v>0.7</v>
      </c>
      <c r="F53">
        <f t="shared" si="4"/>
        <v>0.182</v>
      </c>
      <c r="H53" s="188" t="s">
        <v>98</v>
      </c>
      <c r="I53" s="188"/>
      <c r="J53" s="78">
        <f t="shared" si="5"/>
        <v>0</v>
      </c>
      <c r="K53" s="78">
        <f t="shared" si="6"/>
        <v>0</v>
      </c>
      <c r="L53" s="78">
        <f t="shared" si="7"/>
        <v>0</v>
      </c>
      <c r="M53" s="78">
        <f t="shared" si="8"/>
        <v>0</v>
      </c>
      <c r="N53" s="78">
        <f t="shared" si="9"/>
        <v>0</v>
      </c>
      <c r="O53" s="78">
        <f t="shared" si="10"/>
        <v>1.3888888888888889E-3</v>
      </c>
      <c r="P53" s="3"/>
      <c r="Q53" s="3"/>
    </row>
    <row r="54" spans="2:17" ht="17.399999999999999">
      <c r="C54" t="s">
        <v>120</v>
      </c>
      <c r="E54">
        <v>0.01</v>
      </c>
      <c r="F54">
        <f t="shared" si="4"/>
        <v>2.5999999999999999E-3</v>
      </c>
      <c r="H54" s="188" t="s">
        <v>13</v>
      </c>
      <c r="I54" s="188"/>
      <c r="J54" s="78">
        <f t="shared" si="5"/>
        <v>3.0555555555555555E-2</v>
      </c>
      <c r="K54" s="78">
        <f t="shared" si="6"/>
        <v>0</v>
      </c>
      <c r="L54" s="78">
        <f t="shared" si="7"/>
        <v>0.47361111111111109</v>
      </c>
      <c r="M54" s="78">
        <f t="shared" si="8"/>
        <v>0</v>
      </c>
      <c r="N54" s="78">
        <f t="shared" si="9"/>
        <v>0.13750000000000001</v>
      </c>
      <c r="O54" s="78">
        <f t="shared" si="10"/>
        <v>0</v>
      </c>
      <c r="P54" s="3"/>
      <c r="Q54" s="3"/>
    </row>
    <row r="55" spans="2:17" ht="17.399999999999999">
      <c r="H55" s="188" t="s">
        <v>69</v>
      </c>
      <c r="I55" s="188"/>
      <c r="J55" s="78">
        <f t="shared" si="5"/>
        <v>1.6666666666666666E-2</v>
      </c>
      <c r="K55" s="78">
        <f t="shared" si="6"/>
        <v>0</v>
      </c>
      <c r="L55" s="78">
        <f t="shared" si="7"/>
        <v>0.36666666666666664</v>
      </c>
      <c r="M55" s="78">
        <f t="shared" si="8"/>
        <v>0</v>
      </c>
      <c r="N55" s="78">
        <f t="shared" si="9"/>
        <v>7.7777777777777779E-2</v>
      </c>
      <c r="O55" s="78">
        <f t="shared" si="10"/>
        <v>0</v>
      </c>
      <c r="P55" s="3"/>
      <c r="Q55" s="3"/>
    </row>
    <row r="56" spans="2:17" ht="31.95" customHeight="1">
      <c r="B56" t="s">
        <v>310</v>
      </c>
      <c r="C56" s="67" t="s">
        <v>129</v>
      </c>
      <c r="E56" t="s">
        <v>212</v>
      </c>
      <c r="F56" t="s">
        <v>304</v>
      </c>
      <c r="H56" s="189" t="s">
        <v>234</v>
      </c>
      <c r="I56" s="190"/>
      <c r="J56" s="85">
        <f t="shared" ref="J56:O56" si="11">SUM(J48:J55)</f>
        <v>14.157777777777779</v>
      </c>
      <c r="K56" s="84">
        <f t="shared" si="11"/>
        <v>8.3361111111111121</v>
      </c>
      <c r="L56" s="85">
        <f t="shared" si="11"/>
        <v>21.3825</v>
      </c>
      <c r="M56" s="84">
        <f t="shared" si="11"/>
        <v>1.3977777777777778</v>
      </c>
      <c r="N56" s="84">
        <f t="shared" si="11"/>
        <v>7.9513888888888884</v>
      </c>
      <c r="O56" s="84">
        <f t="shared" si="11"/>
        <v>0.76338888888888901</v>
      </c>
      <c r="P56" s="85">
        <f>17*N56+37*J56+17*L56</f>
        <v>1022.5138888888889</v>
      </c>
      <c r="Q56" s="85">
        <f>4*N56+9*J56+4*L56</f>
        <v>244.75555555555556</v>
      </c>
    </row>
    <row r="57" spans="2:17">
      <c r="C57" t="s">
        <v>142</v>
      </c>
      <c r="E57">
        <v>0.3</v>
      </c>
      <c r="F57">
        <f t="shared" ref="F57:F62" si="12">$E57*13/100</f>
        <v>3.9E-2</v>
      </c>
    </row>
    <row r="58" spans="2:17">
      <c r="C58" t="s">
        <v>119</v>
      </c>
      <c r="F58">
        <f t="shared" si="12"/>
        <v>0</v>
      </c>
    </row>
    <row r="59" spans="2:17">
      <c r="C59" t="s">
        <v>118</v>
      </c>
      <c r="E59">
        <v>3.4</v>
      </c>
      <c r="F59">
        <f t="shared" si="12"/>
        <v>0.44199999999999995</v>
      </c>
    </row>
    <row r="60" spans="2:17">
      <c r="C60" t="s">
        <v>143</v>
      </c>
      <c r="F60">
        <f t="shared" si="12"/>
        <v>0</v>
      </c>
    </row>
    <row r="61" spans="2:17">
      <c r="C61" t="s">
        <v>133</v>
      </c>
      <c r="E61">
        <v>2.6</v>
      </c>
      <c r="F61">
        <f t="shared" si="12"/>
        <v>0.33800000000000002</v>
      </c>
    </row>
    <row r="62" spans="2:17">
      <c r="C62" t="s">
        <v>120</v>
      </c>
      <c r="E62">
        <v>0.1</v>
      </c>
      <c r="F62">
        <f t="shared" si="12"/>
        <v>1.3000000000000001E-2</v>
      </c>
    </row>
    <row r="64" spans="2:17">
      <c r="C64" s="67" t="s">
        <v>68</v>
      </c>
      <c r="E64" t="s">
        <v>212</v>
      </c>
      <c r="F64" t="s">
        <v>305</v>
      </c>
    </row>
    <row r="65" spans="2:6">
      <c r="C65" t="s">
        <v>142</v>
      </c>
      <c r="E65">
        <v>5.6</v>
      </c>
      <c r="F65">
        <f t="shared" ref="F65:F70" si="13">$E65*2/100</f>
        <v>0.11199999999999999</v>
      </c>
    </row>
    <row r="66" spans="2:6">
      <c r="C66" t="s">
        <v>119</v>
      </c>
      <c r="E66">
        <v>0.5</v>
      </c>
      <c r="F66">
        <f t="shared" si="13"/>
        <v>0.01</v>
      </c>
    </row>
    <row r="67" spans="2:6">
      <c r="C67" t="s">
        <v>118</v>
      </c>
      <c r="E67">
        <v>5.9</v>
      </c>
      <c r="F67">
        <f t="shared" si="13"/>
        <v>0.11800000000000001</v>
      </c>
    </row>
    <row r="68" spans="2:6">
      <c r="C68" t="s">
        <v>143</v>
      </c>
      <c r="E68">
        <v>5.5</v>
      </c>
      <c r="F68">
        <f t="shared" si="13"/>
        <v>0.11</v>
      </c>
    </row>
    <row r="69" spans="2:6">
      <c r="C69" t="s">
        <v>133</v>
      </c>
      <c r="E69">
        <v>6</v>
      </c>
      <c r="F69">
        <f t="shared" si="13"/>
        <v>0.12</v>
      </c>
    </row>
    <row r="70" spans="2:6">
      <c r="C70" t="s">
        <v>120</v>
      </c>
      <c r="E70">
        <v>2.2999999999999998</v>
      </c>
      <c r="F70">
        <f t="shared" si="13"/>
        <v>4.5999999999999999E-2</v>
      </c>
    </row>
    <row r="72" spans="2:6">
      <c r="B72" t="s">
        <v>271</v>
      </c>
      <c r="C72" s="67" t="s">
        <v>292</v>
      </c>
      <c r="E72" t="s">
        <v>212</v>
      </c>
      <c r="F72" t="s">
        <v>306</v>
      </c>
    </row>
    <row r="73" spans="2:6">
      <c r="C73" t="s">
        <v>142</v>
      </c>
      <c r="E73">
        <v>0.2</v>
      </c>
      <c r="F73">
        <f t="shared" ref="F73:F78" si="14">$E73*27.5/100</f>
        <v>5.5E-2</v>
      </c>
    </row>
    <row r="74" spans="2:6">
      <c r="C74" t="s">
        <v>119</v>
      </c>
      <c r="F74">
        <f t="shared" si="14"/>
        <v>0</v>
      </c>
    </row>
    <row r="75" spans="2:6">
      <c r="C75" t="s">
        <v>118</v>
      </c>
      <c r="E75">
        <v>3.1</v>
      </c>
      <c r="F75">
        <f t="shared" si="14"/>
        <v>0.85250000000000004</v>
      </c>
    </row>
    <row r="76" spans="2:6">
      <c r="C76" t="s">
        <v>143</v>
      </c>
      <c r="F76">
        <f t="shared" si="14"/>
        <v>0</v>
      </c>
    </row>
    <row r="77" spans="2:6">
      <c r="C77" t="s">
        <v>133</v>
      </c>
      <c r="E77">
        <v>0.9</v>
      </c>
      <c r="F77">
        <f t="shared" si="14"/>
        <v>0.2475</v>
      </c>
    </row>
    <row r="78" spans="2:6">
      <c r="C78" t="s">
        <v>120</v>
      </c>
      <c r="F78">
        <f t="shared" si="14"/>
        <v>0</v>
      </c>
    </row>
    <row r="80" spans="2:6">
      <c r="B80" t="s">
        <v>308</v>
      </c>
      <c r="C80" s="67" t="s">
        <v>307</v>
      </c>
      <c r="F80" t="s">
        <v>309</v>
      </c>
    </row>
    <row r="81" spans="3:6">
      <c r="C81" t="s">
        <v>142</v>
      </c>
      <c r="E81">
        <v>0.3</v>
      </c>
      <c r="F81">
        <f t="shared" ref="F81:F86" si="15">$E81*10/100</f>
        <v>0.03</v>
      </c>
    </row>
    <row r="82" spans="3:6">
      <c r="C82" t="s">
        <v>119</v>
      </c>
      <c r="F82">
        <f t="shared" si="15"/>
        <v>0</v>
      </c>
    </row>
    <row r="83" spans="3:6">
      <c r="C83" t="s">
        <v>118</v>
      </c>
      <c r="E83">
        <v>6.6</v>
      </c>
      <c r="F83">
        <f t="shared" si="15"/>
        <v>0.66</v>
      </c>
    </row>
    <row r="84" spans="3:6">
      <c r="C84" t="s">
        <v>143</v>
      </c>
      <c r="F84">
        <f t="shared" si="15"/>
        <v>0</v>
      </c>
    </row>
    <row r="85" spans="3:6">
      <c r="C85" t="s">
        <v>133</v>
      </c>
      <c r="E85">
        <v>1.4</v>
      </c>
      <c r="F85">
        <f t="shared" si="15"/>
        <v>0.14000000000000001</v>
      </c>
    </row>
    <row r="86" spans="3:6">
      <c r="C86" t="s">
        <v>120</v>
      </c>
      <c r="F86">
        <f t="shared" si="15"/>
        <v>0</v>
      </c>
    </row>
  </sheetData>
  <mergeCells count="16">
    <mergeCell ref="H52:I52"/>
    <mergeCell ref="H53:I53"/>
    <mergeCell ref="H54:I54"/>
    <mergeCell ref="H55:I55"/>
    <mergeCell ref="H56:I56"/>
    <mergeCell ref="P45:Q45"/>
    <mergeCell ref="H48:I48"/>
    <mergeCell ref="H49:I49"/>
    <mergeCell ref="H50:I50"/>
    <mergeCell ref="H51:I51"/>
    <mergeCell ref="A1:H1"/>
    <mergeCell ref="J32:O32"/>
    <mergeCell ref="H33:H35"/>
    <mergeCell ref="I33:I34"/>
    <mergeCell ref="H45:H47"/>
    <mergeCell ref="I45:I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89" zoomScaleNormal="70" zoomScalePageLayoutView="70" workbookViewId="0">
      <selection activeCell="Q86" sqref="Q86"/>
    </sheetView>
  </sheetViews>
  <sheetFormatPr defaultColWidth="11" defaultRowHeight="15.6"/>
  <cols>
    <col min="1" max="1" width="29" bestFit="1" customWidth="1"/>
    <col min="2" max="2" width="24.5" bestFit="1" customWidth="1"/>
    <col min="3" max="3" width="21.796875" customWidth="1"/>
    <col min="4" max="4" width="12.796875" bestFit="1" customWidth="1"/>
    <col min="5" max="5" width="13.296875" bestFit="1" customWidth="1"/>
    <col min="6" max="6" width="73.5" bestFit="1" customWidth="1"/>
    <col min="7" max="7" width="20.796875" bestFit="1" customWidth="1"/>
    <col min="8" max="8" width="20" customWidth="1"/>
    <col min="9" max="9" width="29.796875" bestFit="1" customWidth="1"/>
    <col min="10" max="10" width="30.19921875" bestFit="1" customWidth="1"/>
    <col min="11" max="11" width="22.296875" bestFit="1" customWidth="1"/>
    <col min="12" max="12" width="16" bestFit="1" customWidth="1"/>
    <col min="13" max="13" width="15" bestFit="1" customWidth="1"/>
  </cols>
  <sheetData>
    <row r="1" spans="1:8" ht="31.05" customHeight="1">
      <c r="A1" s="207" t="s">
        <v>110</v>
      </c>
      <c r="B1" s="208"/>
      <c r="C1" s="208"/>
      <c r="D1" s="208"/>
      <c r="E1" s="208"/>
      <c r="F1" s="208"/>
      <c r="G1" s="208"/>
      <c r="H1" s="209"/>
    </row>
    <row r="2" spans="1:8" ht="16.05" customHeight="1">
      <c r="A2" s="1" t="s">
        <v>0</v>
      </c>
      <c r="B2" s="1"/>
      <c r="C2" s="1" t="s">
        <v>27</v>
      </c>
      <c r="D2" s="1" t="s">
        <v>4</v>
      </c>
      <c r="E2" s="8" t="s">
        <v>18</v>
      </c>
      <c r="F2" s="1" t="s">
        <v>5</v>
      </c>
      <c r="G2" s="1" t="s">
        <v>6</v>
      </c>
      <c r="H2" s="1" t="s">
        <v>7</v>
      </c>
    </row>
    <row r="3" spans="1:8" ht="31.8">
      <c r="A3" s="2" t="s">
        <v>2</v>
      </c>
      <c r="B3" s="8"/>
      <c r="C3" s="37" t="s">
        <v>3</v>
      </c>
      <c r="D3" s="3">
        <v>120</v>
      </c>
      <c r="E3" s="24">
        <v>49</v>
      </c>
      <c r="F3" s="4" t="s">
        <v>167</v>
      </c>
      <c r="G3" s="3" t="s">
        <v>83</v>
      </c>
      <c r="H3" s="6" t="s">
        <v>8</v>
      </c>
    </row>
    <row r="4" spans="1:8" ht="31.8">
      <c r="A4" s="210" t="s">
        <v>19</v>
      </c>
      <c r="B4" s="11" t="s">
        <v>20</v>
      </c>
      <c r="C4" s="37" t="s">
        <v>21</v>
      </c>
      <c r="D4" s="212">
        <v>35</v>
      </c>
      <c r="E4" s="214">
        <v>14</v>
      </c>
      <c r="F4" s="5" t="s">
        <v>22</v>
      </c>
      <c r="G4" s="3"/>
      <c r="H4" s="3"/>
    </row>
    <row r="5" spans="1:8" ht="78.599999999999994">
      <c r="A5" s="211"/>
      <c r="B5" s="11" t="s">
        <v>10</v>
      </c>
      <c r="C5" s="37" t="s">
        <v>11</v>
      </c>
      <c r="D5" s="213"/>
      <c r="E5" s="215"/>
      <c r="F5" s="5" t="s">
        <v>197</v>
      </c>
      <c r="G5" s="6" t="s">
        <v>82</v>
      </c>
      <c r="H5" s="3"/>
    </row>
    <row r="6" spans="1:8" ht="16.05" customHeight="1">
      <c r="A6" s="2" t="s">
        <v>12</v>
      </c>
      <c r="B6" s="8"/>
      <c r="C6" s="37"/>
      <c r="D6" s="3">
        <v>20</v>
      </c>
      <c r="E6" s="24">
        <v>8</v>
      </c>
      <c r="F6" s="31"/>
      <c r="G6" s="3"/>
      <c r="H6" s="3"/>
    </row>
    <row r="7" spans="1:8" ht="63">
      <c r="A7" s="2" t="s">
        <v>24</v>
      </c>
      <c r="B7" s="3"/>
      <c r="C7" s="12" t="s">
        <v>25</v>
      </c>
      <c r="D7" s="3">
        <v>36</v>
      </c>
      <c r="E7" s="24">
        <v>15</v>
      </c>
      <c r="F7" s="6" t="s">
        <v>166</v>
      </c>
      <c r="G7" s="3"/>
      <c r="H7" s="3"/>
    </row>
    <row r="8" spans="1:8" ht="47.4">
      <c r="A8" s="2" t="s">
        <v>26</v>
      </c>
      <c r="C8" s="9" t="s">
        <v>28</v>
      </c>
      <c r="D8" s="24">
        <v>22</v>
      </c>
      <c r="E8" s="24">
        <v>9</v>
      </c>
      <c r="F8" s="6" t="s">
        <v>77</v>
      </c>
      <c r="G8" s="3" t="s">
        <v>17</v>
      </c>
      <c r="H8" s="3"/>
    </row>
    <row r="9" spans="1:8" ht="16.05" customHeight="1">
      <c r="A9" s="2" t="s">
        <v>23</v>
      </c>
      <c r="B9" s="8"/>
      <c r="C9" s="37"/>
      <c r="D9" s="3">
        <v>12</v>
      </c>
      <c r="E9" s="24">
        <v>5</v>
      </c>
      <c r="F9" s="31"/>
      <c r="G9" s="3"/>
      <c r="H9" s="3"/>
    </row>
    <row r="10" spans="1:8" ht="43.95" customHeight="1">
      <c r="D10" s="7">
        <f>SUM(D3:D9)</f>
        <v>245</v>
      </c>
      <c r="E10" s="90">
        <f>SUM(E3:E9)</f>
        <v>100</v>
      </c>
      <c r="F10" s="46" t="s">
        <v>108</v>
      </c>
    </row>
    <row r="23" spans="3:13">
      <c r="E23" s="7"/>
    </row>
    <row r="24" spans="3:13">
      <c r="F24" s="57" t="s">
        <v>205</v>
      </c>
      <c r="G24" t="s">
        <v>238</v>
      </c>
      <c r="H24" t="s">
        <v>239</v>
      </c>
      <c r="I24" t="s">
        <v>241</v>
      </c>
      <c r="J24" t="s">
        <v>243</v>
      </c>
      <c r="K24" t="s">
        <v>245</v>
      </c>
      <c r="L24" t="s">
        <v>154</v>
      </c>
      <c r="M24" s="65" t="s">
        <v>155</v>
      </c>
    </row>
    <row r="25" spans="3:13">
      <c r="C25" t="s">
        <v>134</v>
      </c>
      <c r="F25">
        <v>1344</v>
      </c>
    </row>
    <row r="26" spans="3:13">
      <c r="C26" t="s">
        <v>135</v>
      </c>
      <c r="F26">
        <v>322.8</v>
      </c>
    </row>
    <row r="27" spans="3:13">
      <c r="C27" t="s">
        <v>142</v>
      </c>
      <c r="F27">
        <v>2.2799999999999998</v>
      </c>
      <c r="G27">
        <v>18.003999999999998</v>
      </c>
      <c r="H27">
        <v>0.04</v>
      </c>
      <c r="I27">
        <v>0.68399999999999994</v>
      </c>
      <c r="J27">
        <v>5.94</v>
      </c>
      <c r="K27" s="55">
        <v>2.2800000000000001E-2</v>
      </c>
      <c r="L27" s="55">
        <f t="shared" ref="L27:L32" si="0">SUM(F27:K27)</f>
        <v>26.970800000000001</v>
      </c>
      <c r="M27" s="55">
        <f t="shared" ref="M27:M32" si="1">$L27*100/245</f>
        <v>11.008489795918367</v>
      </c>
    </row>
    <row r="28" spans="3:13">
      <c r="C28" t="s">
        <v>119</v>
      </c>
      <c r="F28">
        <v>0.24</v>
      </c>
      <c r="G28">
        <v>1.7920000000000003</v>
      </c>
      <c r="H28">
        <v>0</v>
      </c>
      <c r="I28">
        <v>0.252</v>
      </c>
      <c r="J28">
        <v>2.86</v>
      </c>
      <c r="K28" s="55">
        <v>3.8400000000000001E-3</v>
      </c>
      <c r="L28" s="55">
        <f t="shared" si="0"/>
        <v>5.1478400000000004</v>
      </c>
      <c r="M28" s="55">
        <f t="shared" si="1"/>
        <v>2.1011591836734693</v>
      </c>
    </row>
    <row r="29" spans="3:13">
      <c r="C29" t="s">
        <v>118</v>
      </c>
      <c r="F29">
        <v>61.2</v>
      </c>
      <c r="G29">
        <v>2.17</v>
      </c>
      <c r="H29">
        <v>0.28000000000000003</v>
      </c>
      <c r="I29">
        <v>1.08</v>
      </c>
      <c r="J29">
        <v>0.11</v>
      </c>
      <c r="K29" s="55">
        <v>0.27960000000000002</v>
      </c>
      <c r="L29" s="55">
        <f t="shared" si="0"/>
        <v>65.119600000000005</v>
      </c>
      <c r="M29" s="55">
        <f t="shared" si="1"/>
        <v>26.579428571428576</v>
      </c>
    </row>
    <row r="30" spans="3:13">
      <c r="C30" t="s">
        <v>143</v>
      </c>
      <c r="F30">
        <v>3.36</v>
      </c>
      <c r="G30">
        <v>1.47</v>
      </c>
      <c r="H30">
        <v>0</v>
      </c>
      <c r="I30">
        <v>0.18</v>
      </c>
      <c r="J30">
        <v>0</v>
      </c>
      <c r="K30" s="55">
        <v>0</v>
      </c>
      <c r="L30" s="55">
        <f t="shared" si="0"/>
        <v>5.01</v>
      </c>
      <c r="M30" s="55">
        <f t="shared" si="1"/>
        <v>2.0448979591836736</v>
      </c>
    </row>
    <row r="31" spans="3:13">
      <c r="C31" t="s">
        <v>133</v>
      </c>
      <c r="F31">
        <v>11.3</v>
      </c>
      <c r="G31">
        <v>0.45500000000000002</v>
      </c>
      <c r="H31">
        <v>0.26</v>
      </c>
      <c r="I31">
        <v>4.68</v>
      </c>
      <c r="J31">
        <v>5.28</v>
      </c>
      <c r="K31" s="55">
        <v>0.21960000000000002</v>
      </c>
      <c r="L31" s="55">
        <f t="shared" si="0"/>
        <v>22.194600000000001</v>
      </c>
      <c r="M31" s="55">
        <f t="shared" si="1"/>
        <v>9.0590204081632653</v>
      </c>
    </row>
    <row r="32" spans="3:13">
      <c r="C32" t="s">
        <v>120</v>
      </c>
      <c r="F32">
        <v>0.73</v>
      </c>
      <c r="G32">
        <v>0.8540000000000002</v>
      </c>
      <c r="H32">
        <v>0</v>
      </c>
      <c r="I32">
        <v>1.0439999999999998</v>
      </c>
      <c r="J32">
        <v>0.44</v>
      </c>
      <c r="K32" s="55">
        <v>0</v>
      </c>
      <c r="L32" s="55">
        <f t="shared" si="0"/>
        <v>3.0680000000000001</v>
      </c>
      <c r="M32" s="55">
        <f t="shared" si="1"/>
        <v>1.2522448979591838</v>
      </c>
    </row>
    <row r="34" spans="3:10">
      <c r="F34" s="57"/>
    </row>
    <row r="35" spans="3:10">
      <c r="C35" s="67" t="s">
        <v>204</v>
      </c>
      <c r="E35" t="s">
        <v>212</v>
      </c>
      <c r="F35" s="57" t="s">
        <v>205</v>
      </c>
    </row>
    <row r="36" spans="3:10">
      <c r="C36" t="s">
        <v>134</v>
      </c>
      <c r="E36">
        <v>1120</v>
      </c>
      <c r="F36" s="57">
        <f>$E36*120/100</f>
        <v>1344</v>
      </c>
    </row>
    <row r="37" spans="3:10">
      <c r="C37" t="s">
        <v>135</v>
      </c>
      <c r="E37">
        <v>269</v>
      </c>
      <c r="F37" s="57">
        <f t="shared" ref="F37:F43" si="2">$E37*120/100</f>
        <v>322.8</v>
      </c>
    </row>
    <row r="38" spans="3:10">
      <c r="C38" t="s">
        <v>142</v>
      </c>
      <c r="E38">
        <v>1.9</v>
      </c>
      <c r="F38" s="57">
        <f t="shared" si="2"/>
        <v>2.2799999999999998</v>
      </c>
    </row>
    <row r="39" spans="3:10">
      <c r="C39" t="s">
        <v>119</v>
      </c>
      <c r="E39">
        <v>0.2</v>
      </c>
      <c r="F39" s="57">
        <f t="shared" si="2"/>
        <v>0.24</v>
      </c>
      <c r="J39" s="56"/>
    </row>
    <row r="40" spans="3:10">
      <c r="C40" t="s">
        <v>118</v>
      </c>
      <c r="E40">
        <v>51</v>
      </c>
      <c r="F40" s="57">
        <f t="shared" si="2"/>
        <v>61.2</v>
      </c>
      <c r="J40" s="56"/>
    </row>
    <row r="41" spans="3:10">
      <c r="C41" t="s">
        <v>143</v>
      </c>
      <c r="E41">
        <v>2.8</v>
      </c>
      <c r="F41" s="57">
        <f t="shared" si="2"/>
        <v>3.36</v>
      </c>
      <c r="J41" s="56"/>
    </row>
    <row r="42" spans="3:10">
      <c r="C42" t="s">
        <v>133</v>
      </c>
      <c r="E42">
        <v>9.42</v>
      </c>
      <c r="F42" s="57">
        <f t="shared" si="2"/>
        <v>11.304</v>
      </c>
      <c r="J42" s="56"/>
    </row>
    <row r="43" spans="3:10">
      <c r="C43" t="s">
        <v>120</v>
      </c>
      <c r="E43">
        <v>0.61</v>
      </c>
      <c r="F43" s="57">
        <f t="shared" si="2"/>
        <v>0.73199999999999998</v>
      </c>
      <c r="J43" s="56"/>
    </row>
    <row r="44" spans="3:10">
      <c r="J44" s="56"/>
    </row>
    <row r="46" spans="3:10">
      <c r="C46" s="64" t="s">
        <v>151</v>
      </c>
      <c r="D46" s="54"/>
      <c r="F46" t="s">
        <v>206</v>
      </c>
    </row>
    <row r="47" spans="3:10">
      <c r="C47" t="s">
        <v>134</v>
      </c>
      <c r="E47" s="56">
        <v>2002</v>
      </c>
      <c r="F47" s="57">
        <f>$E47*40/100</f>
        <v>800.8</v>
      </c>
    </row>
    <row r="48" spans="3:10">
      <c r="C48" t="s">
        <v>135</v>
      </c>
      <c r="E48" s="56">
        <v>486</v>
      </c>
      <c r="F48" s="57">
        <f t="shared" ref="F48:F54" si="3">$E48*40/100</f>
        <v>194.4</v>
      </c>
    </row>
    <row r="49" spans="3:15">
      <c r="C49" t="s">
        <v>142</v>
      </c>
      <c r="E49" s="56">
        <v>51.3</v>
      </c>
      <c r="F49" s="57">
        <f t="shared" si="3"/>
        <v>20.52</v>
      </c>
    </row>
    <row r="50" spans="3:15">
      <c r="C50" t="s">
        <v>119</v>
      </c>
      <c r="E50" s="56">
        <v>4.0999999999999996</v>
      </c>
      <c r="F50" s="57">
        <f t="shared" si="3"/>
        <v>1.64</v>
      </c>
    </row>
    <row r="51" spans="3:15">
      <c r="C51" t="s">
        <v>118</v>
      </c>
      <c r="E51" s="56">
        <v>5</v>
      </c>
      <c r="F51" s="57">
        <f t="shared" si="3"/>
        <v>2</v>
      </c>
      <c r="H51" t="s">
        <v>19</v>
      </c>
      <c r="I51" t="s">
        <v>206</v>
      </c>
      <c r="J51" t="s">
        <v>209</v>
      </c>
      <c r="K51" t="s">
        <v>208</v>
      </c>
      <c r="L51" t="s">
        <v>237</v>
      </c>
      <c r="M51" t="s">
        <v>210</v>
      </c>
    </row>
    <row r="52" spans="3:15">
      <c r="C52" t="s">
        <v>143</v>
      </c>
      <c r="E52" s="56">
        <v>3</v>
      </c>
      <c r="F52" s="57">
        <f t="shared" si="3"/>
        <v>1.2</v>
      </c>
      <c r="H52" t="s">
        <v>134</v>
      </c>
      <c r="I52" s="57">
        <v>800.8</v>
      </c>
      <c r="J52">
        <v>216.7</v>
      </c>
      <c r="K52" s="55">
        <f>$I52+$J52</f>
        <v>1017.5</v>
      </c>
      <c r="L52" s="55">
        <f>$K52*100/50</f>
        <v>2035</v>
      </c>
    </row>
    <row r="53" spans="3:15">
      <c r="C53" t="s">
        <v>133</v>
      </c>
      <c r="E53" s="56">
        <v>0.8</v>
      </c>
      <c r="F53" s="57">
        <f t="shared" si="3"/>
        <v>0.32</v>
      </c>
      <c r="H53" t="s">
        <v>135</v>
      </c>
      <c r="I53" s="57">
        <v>194.4</v>
      </c>
      <c r="J53">
        <v>52.6</v>
      </c>
      <c r="K53" s="55">
        <f t="shared" ref="K53:K59" si="4">$I53+$J53</f>
        <v>247</v>
      </c>
      <c r="L53" s="55">
        <f t="shared" ref="L53:L59" si="5">$K53*100/50</f>
        <v>494</v>
      </c>
    </row>
    <row r="54" spans="3:15">
      <c r="C54" t="s">
        <v>120</v>
      </c>
      <c r="E54" s="56">
        <v>1.4</v>
      </c>
      <c r="F54" s="57">
        <f t="shared" si="3"/>
        <v>0.56000000000000005</v>
      </c>
      <c r="H54" t="s">
        <v>142</v>
      </c>
      <c r="I54" s="57">
        <v>20.52</v>
      </c>
      <c r="J54">
        <v>5.2</v>
      </c>
      <c r="K54" s="55">
        <f t="shared" si="4"/>
        <v>25.72</v>
      </c>
      <c r="L54" s="55">
        <f t="shared" si="5"/>
        <v>51.44</v>
      </c>
      <c r="M54" s="55">
        <f t="shared" ref="M54:M59" si="6">$L54*35/100</f>
        <v>18.003999999999998</v>
      </c>
    </row>
    <row r="55" spans="3:15">
      <c r="H55" t="s">
        <v>119</v>
      </c>
      <c r="I55" s="57">
        <v>1.64</v>
      </c>
      <c r="J55">
        <v>0.92</v>
      </c>
      <c r="K55" s="55">
        <f t="shared" si="4"/>
        <v>2.56</v>
      </c>
      <c r="L55" s="55">
        <f t="shared" si="5"/>
        <v>5.12</v>
      </c>
      <c r="M55" s="55">
        <f t="shared" si="6"/>
        <v>1.7920000000000003</v>
      </c>
    </row>
    <row r="56" spans="3:15">
      <c r="H56" t="s">
        <v>118</v>
      </c>
      <c r="I56" s="57">
        <v>2</v>
      </c>
      <c r="J56">
        <v>1.1000000000000001</v>
      </c>
      <c r="K56" s="55">
        <f t="shared" si="4"/>
        <v>3.1</v>
      </c>
      <c r="L56" s="55">
        <f t="shared" si="5"/>
        <v>6.2</v>
      </c>
      <c r="M56" s="55">
        <f t="shared" si="6"/>
        <v>2.17</v>
      </c>
    </row>
    <row r="57" spans="3:15">
      <c r="C57" s="67" t="s">
        <v>207</v>
      </c>
      <c r="F57" t="s">
        <v>209</v>
      </c>
      <c r="H57" t="s">
        <v>143</v>
      </c>
      <c r="I57" s="57">
        <v>1.2</v>
      </c>
      <c r="J57">
        <v>0.9</v>
      </c>
      <c r="K57" s="55">
        <f t="shared" si="4"/>
        <v>2.1</v>
      </c>
      <c r="L57" s="55">
        <f t="shared" si="5"/>
        <v>4.2</v>
      </c>
      <c r="M57" s="55">
        <f t="shared" si="6"/>
        <v>1.47</v>
      </c>
    </row>
    <row r="58" spans="3:15">
      <c r="C58" t="s">
        <v>134</v>
      </c>
      <c r="E58">
        <v>2167</v>
      </c>
      <c r="F58">
        <f>$E58*10/100</f>
        <v>216.7</v>
      </c>
      <c r="H58" t="s">
        <v>133</v>
      </c>
      <c r="I58" s="57">
        <v>0.32</v>
      </c>
      <c r="J58">
        <v>0.33</v>
      </c>
      <c r="K58" s="55">
        <f t="shared" si="4"/>
        <v>0.65</v>
      </c>
      <c r="L58" s="55">
        <f t="shared" si="5"/>
        <v>1.3</v>
      </c>
      <c r="M58" s="55">
        <f t="shared" si="6"/>
        <v>0.45500000000000002</v>
      </c>
    </row>
    <row r="59" spans="3:15">
      <c r="C59" t="s">
        <v>135</v>
      </c>
      <c r="E59">
        <v>526</v>
      </c>
      <c r="F59">
        <f t="shared" ref="F59:F65" si="7">$E59*10/100</f>
        <v>52.6</v>
      </c>
      <c r="H59" t="s">
        <v>120</v>
      </c>
      <c r="I59" s="57">
        <v>0.56000000000000005</v>
      </c>
      <c r="J59">
        <v>0.66</v>
      </c>
      <c r="K59" s="55">
        <f t="shared" si="4"/>
        <v>1.2200000000000002</v>
      </c>
      <c r="L59" s="55">
        <f t="shared" si="5"/>
        <v>2.4400000000000004</v>
      </c>
      <c r="M59" s="55">
        <f t="shared" si="6"/>
        <v>0.8540000000000002</v>
      </c>
    </row>
    <row r="60" spans="3:15">
      <c r="C60" t="s">
        <v>142</v>
      </c>
      <c r="E60">
        <v>52</v>
      </c>
      <c r="F60">
        <f t="shared" si="7"/>
        <v>5.2</v>
      </c>
    </row>
    <row r="61" spans="3:15">
      <c r="C61" t="s">
        <v>119</v>
      </c>
      <c r="E61">
        <v>9.1999999999999993</v>
      </c>
      <c r="F61">
        <f t="shared" si="7"/>
        <v>0.92</v>
      </c>
    </row>
    <row r="62" spans="3:15">
      <c r="C62" t="s">
        <v>118</v>
      </c>
      <c r="E62">
        <v>11</v>
      </c>
      <c r="F62">
        <f t="shared" si="7"/>
        <v>1.1000000000000001</v>
      </c>
    </row>
    <row r="63" spans="3:15">
      <c r="C63" t="s">
        <v>143</v>
      </c>
      <c r="E63">
        <v>9</v>
      </c>
      <c r="F63">
        <f t="shared" si="7"/>
        <v>0.9</v>
      </c>
    </row>
    <row r="64" spans="3:15">
      <c r="C64" t="s">
        <v>133</v>
      </c>
      <c r="E64">
        <v>3.3</v>
      </c>
      <c r="F64">
        <f t="shared" si="7"/>
        <v>0.33</v>
      </c>
      <c r="H64" s="69"/>
      <c r="I64" s="69"/>
      <c r="J64" s="199" t="s">
        <v>228</v>
      </c>
      <c r="K64" s="200"/>
      <c r="L64" s="200"/>
      <c r="M64" s="200"/>
      <c r="N64" s="200"/>
      <c r="O64" s="201"/>
    </row>
    <row r="65" spans="3:17">
      <c r="C65" t="s">
        <v>120</v>
      </c>
      <c r="E65">
        <v>6.6</v>
      </c>
      <c r="F65">
        <f t="shared" si="7"/>
        <v>0.66</v>
      </c>
      <c r="H65" s="195" t="s">
        <v>216</v>
      </c>
      <c r="I65" s="197" t="s">
        <v>225</v>
      </c>
      <c r="J65" s="70" t="s">
        <v>217</v>
      </c>
      <c r="K65" s="70" t="s">
        <v>226</v>
      </c>
      <c r="L65" s="70" t="s">
        <v>118</v>
      </c>
      <c r="M65" s="70" t="s">
        <v>143</v>
      </c>
      <c r="N65" s="70" t="s">
        <v>227</v>
      </c>
      <c r="O65" s="70" t="s">
        <v>120</v>
      </c>
    </row>
    <row r="66" spans="3:17">
      <c r="H66" s="195"/>
      <c r="I66" s="198"/>
      <c r="J66" s="71" t="s">
        <v>218</v>
      </c>
      <c r="K66" s="71" t="s">
        <v>219</v>
      </c>
      <c r="L66" s="71" t="s">
        <v>220</v>
      </c>
      <c r="M66" s="71" t="s">
        <v>221</v>
      </c>
      <c r="N66" s="71" t="s">
        <v>222</v>
      </c>
      <c r="O66" s="71" t="s">
        <v>223</v>
      </c>
    </row>
    <row r="67" spans="3:17" ht="16.2" thickBot="1">
      <c r="H67" s="196"/>
      <c r="I67" s="72" t="s">
        <v>224</v>
      </c>
      <c r="J67" s="77" t="s">
        <v>224</v>
      </c>
      <c r="K67" s="77" t="s">
        <v>224</v>
      </c>
      <c r="L67" s="77" t="s">
        <v>224</v>
      </c>
      <c r="M67" s="77" t="s">
        <v>224</v>
      </c>
      <c r="N67" s="77" t="s">
        <v>224</v>
      </c>
      <c r="O67" s="77" t="s">
        <v>224</v>
      </c>
    </row>
    <row r="68" spans="3:17" ht="17.399999999999999">
      <c r="C68" s="64" t="s">
        <v>149</v>
      </c>
      <c r="D68" s="54"/>
      <c r="E68" s="54"/>
      <c r="F68" t="s">
        <v>150</v>
      </c>
      <c r="H68" s="2" t="s">
        <v>2</v>
      </c>
      <c r="I68" s="3">
        <v>120</v>
      </c>
      <c r="J68" s="3">
        <v>1.9</v>
      </c>
      <c r="K68" s="3">
        <v>0.2</v>
      </c>
      <c r="L68" s="3">
        <v>51</v>
      </c>
      <c r="M68" s="3">
        <v>2.8</v>
      </c>
      <c r="N68" s="3">
        <v>9.42</v>
      </c>
      <c r="O68" s="3">
        <v>0.61</v>
      </c>
    </row>
    <row r="69" spans="3:17" ht="15.75" customHeight="1">
      <c r="C69" t="s">
        <v>134</v>
      </c>
      <c r="E69" s="56">
        <v>65</v>
      </c>
      <c r="F69" s="56">
        <f>E69*20/100</f>
        <v>13</v>
      </c>
      <c r="H69" s="79" t="s">
        <v>19</v>
      </c>
      <c r="I69" s="80">
        <v>35</v>
      </c>
      <c r="J69" s="18">
        <v>51.44</v>
      </c>
      <c r="K69" s="18">
        <v>5.12</v>
      </c>
      <c r="L69" s="18">
        <v>6.2</v>
      </c>
      <c r="M69" s="18">
        <v>4.2</v>
      </c>
      <c r="N69" s="18">
        <v>1.3</v>
      </c>
      <c r="O69" s="18">
        <v>2.44</v>
      </c>
    </row>
    <row r="70" spans="3:17" ht="15.75" customHeight="1">
      <c r="C70" t="s">
        <v>135</v>
      </c>
      <c r="E70" s="56">
        <v>15</v>
      </c>
      <c r="F70" s="56">
        <f t="shared" ref="F70:F76" si="8">E70*20/100</f>
        <v>3</v>
      </c>
      <c r="H70" s="2" t="s">
        <v>12</v>
      </c>
      <c r="I70" s="3">
        <v>20</v>
      </c>
      <c r="J70" s="18">
        <v>0.2</v>
      </c>
      <c r="K70" s="3">
        <v>0</v>
      </c>
      <c r="L70" s="3">
        <v>1.4</v>
      </c>
      <c r="M70" s="3">
        <v>0</v>
      </c>
      <c r="N70" s="3">
        <v>1.3</v>
      </c>
      <c r="O70" s="3">
        <v>0</v>
      </c>
    </row>
    <row r="71" spans="3:17" ht="17.399999999999999">
      <c r="C71" t="s">
        <v>142</v>
      </c>
      <c r="E71" s="56">
        <v>0.2</v>
      </c>
      <c r="F71" s="56">
        <f t="shared" si="8"/>
        <v>0.04</v>
      </c>
      <c r="H71" s="2" t="s">
        <v>24</v>
      </c>
      <c r="I71" s="3">
        <v>36</v>
      </c>
      <c r="J71" s="81">
        <v>1.9</v>
      </c>
      <c r="K71" s="81">
        <v>0.7</v>
      </c>
      <c r="L71" s="81">
        <v>3</v>
      </c>
      <c r="M71" s="81">
        <v>0.5</v>
      </c>
      <c r="N71" s="81">
        <v>13</v>
      </c>
      <c r="O71" s="81">
        <v>2.9</v>
      </c>
    </row>
    <row r="72" spans="3:17" ht="17.399999999999999">
      <c r="C72" t="s">
        <v>119</v>
      </c>
      <c r="E72" s="56">
        <v>0</v>
      </c>
      <c r="F72" s="56">
        <f t="shared" si="8"/>
        <v>0</v>
      </c>
      <c r="H72" s="2" t="s">
        <v>26</v>
      </c>
      <c r="I72" s="24">
        <v>22</v>
      </c>
      <c r="J72" s="3">
        <v>27</v>
      </c>
      <c r="K72" s="78">
        <v>13</v>
      </c>
      <c r="L72" s="3">
        <v>0.5</v>
      </c>
      <c r="M72" s="3">
        <v>0</v>
      </c>
      <c r="N72" s="3">
        <v>24</v>
      </c>
      <c r="O72" s="3">
        <v>2</v>
      </c>
    </row>
    <row r="73" spans="3:17" ht="17.399999999999999">
      <c r="C73" t="s">
        <v>118</v>
      </c>
      <c r="E73" s="56">
        <v>1.4</v>
      </c>
      <c r="F73" s="56">
        <f t="shared" si="8"/>
        <v>0.28000000000000003</v>
      </c>
      <c r="H73" s="2" t="s">
        <v>235</v>
      </c>
      <c r="I73" s="3">
        <v>12</v>
      </c>
      <c r="J73" s="3">
        <v>0.19</v>
      </c>
      <c r="K73" s="3">
        <v>3.2000000000000001E-2</v>
      </c>
      <c r="L73" s="3">
        <v>2.33</v>
      </c>
      <c r="M73" s="3">
        <v>0</v>
      </c>
      <c r="N73" s="3">
        <v>1.83</v>
      </c>
      <c r="O73" s="3">
        <v>0</v>
      </c>
    </row>
    <row r="74" spans="3:17" ht="34.5" customHeight="1">
      <c r="C74" t="s">
        <v>143</v>
      </c>
      <c r="E74" s="56">
        <v>0</v>
      </c>
      <c r="F74" s="56">
        <f t="shared" si="8"/>
        <v>0</v>
      </c>
      <c r="H74" s="206" t="s">
        <v>236</v>
      </c>
      <c r="I74" s="206"/>
      <c r="J74" s="206"/>
      <c r="K74" s="206"/>
    </row>
    <row r="75" spans="3:17">
      <c r="C75" t="s">
        <v>133</v>
      </c>
      <c r="E75" s="56">
        <v>1.3</v>
      </c>
      <c r="F75" s="56">
        <f t="shared" si="8"/>
        <v>0.26</v>
      </c>
    </row>
    <row r="76" spans="3:17">
      <c r="C76" t="s">
        <v>120</v>
      </c>
      <c r="E76" s="56">
        <v>0</v>
      </c>
      <c r="F76" s="56">
        <f t="shared" si="8"/>
        <v>0</v>
      </c>
    </row>
    <row r="77" spans="3:17">
      <c r="H77" s="202" t="s">
        <v>0</v>
      </c>
      <c r="I77" s="204" t="s">
        <v>229</v>
      </c>
      <c r="J77" s="70" t="s">
        <v>217</v>
      </c>
      <c r="K77" s="70" t="s">
        <v>226</v>
      </c>
      <c r="L77" s="70" t="s">
        <v>118</v>
      </c>
      <c r="M77" s="70" t="s">
        <v>143</v>
      </c>
      <c r="N77" s="70" t="s">
        <v>227</v>
      </c>
      <c r="O77" s="70" t="s">
        <v>120</v>
      </c>
      <c r="P77" s="191" t="s">
        <v>230</v>
      </c>
      <c r="Q77" s="192"/>
    </row>
    <row r="78" spans="3:17">
      <c r="H78" s="203"/>
      <c r="I78" s="205"/>
      <c r="J78" s="71" t="s">
        <v>218</v>
      </c>
      <c r="K78" s="71" t="s">
        <v>219</v>
      </c>
      <c r="L78" s="71" t="s">
        <v>220</v>
      </c>
      <c r="M78" s="71" t="s">
        <v>221</v>
      </c>
      <c r="N78" s="71" t="s">
        <v>222</v>
      </c>
      <c r="O78" s="71" t="s">
        <v>223</v>
      </c>
      <c r="P78" s="71" t="s">
        <v>231</v>
      </c>
      <c r="Q78" s="71" t="s">
        <v>231</v>
      </c>
    </row>
    <row r="79" spans="3:17">
      <c r="C79" s="67" t="s">
        <v>211</v>
      </c>
      <c r="F79" t="s">
        <v>240</v>
      </c>
      <c r="H79" s="203"/>
      <c r="I79" s="205"/>
      <c r="J79" s="77" t="s">
        <v>224</v>
      </c>
      <c r="K79" s="77" t="s">
        <v>224</v>
      </c>
      <c r="L79" s="77" t="s">
        <v>224</v>
      </c>
      <c r="M79" s="77" t="s">
        <v>224</v>
      </c>
      <c r="N79" s="77" t="s">
        <v>224</v>
      </c>
      <c r="O79" s="77" t="s">
        <v>224</v>
      </c>
      <c r="P79" s="77" t="s">
        <v>232</v>
      </c>
      <c r="Q79" s="77" t="s">
        <v>233</v>
      </c>
    </row>
    <row r="80" spans="3:17" ht="17.399999999999999">
      <c r="C80" t="s">
        <v>134</v>
      </c>
      <c r="H80" s="188" t="s">
        <v>2</v>
      </c>
      <c r="I80" s="188"/>
      <c r="J80" s="84">
        <f t="shared" ref="J80:J85" si="9">$J68*$I68/245</f>
        <v>0.93061224489795913</v>
      </c>
      <c r="K80" s="78">
        <f t="shared" ref="K80:K85" si="10">$K68*$I68/245</f>
        <v>9.7959183673469383E-2</v>
      </c>
      <c r="L80" s="84">
        <f t="shared" ref="L80:L85" si="11">$L68*$I68/245</f>
        <v>24.979591836734695</v>
      </c>
      <c r="M80" s="84">
        <f t="shared" ref="M80:M85" si="12">$M68*$I68/245</f>
        <v>1.3714285714285714</v>
      </c>
      <c r="N80" s="84">
        <f t="shared" ref="N80:N85" si="13">$N68*$I68/245</f>
        <v>4.6138775510204084</v>
      </c>
      <c r="O80" s="78">
        <f t="shared" ref="O80:O85" si="14">O68*I68/245</f>
        <v>0.29877551020408166</v>
      </c>
      <c r="P80" s="3"/>
      <c r="Q80" s="3"/>
    </row>
    <row r="81" spans="3:17" ht="17.399999999999999">
      <c r="C81" t="s">
        <v>135</v>
      </c>
      <c r="H81" s="188" t="s">
        <v>19</v>
      </c>
      <c r="I81" s="188"/>
      <c r="J81" s="84">
        <f t="shared" si="9"/>
        <v>7.3485714285714279</v>
      </c>
      <c r="K81" s="78">
        <f t="shared" si="10"/>
        <v>0.73142857142857154</v>
      </c>
      <c r="L81" s="84">
        <f t="shared" si="11"/>
        <v>0.88571428571428568</v>
      </c>
      <c r="M81" s="84">
        <f t="shared" si="12"/>
        <v>0.6</v>
      </c>
      <c r="N81" s="84">
        <f t="shared" si="13"/>
        <v>0.18571428571428572</v>
      </c>
      <c r="O81" s="78">
        <f t="shared" si="14"/>
        <v>0.34857142857142853</v>
      </c>
      <c r="P81" s="3"/>
      <c r="Q81" s="3"/>
    </row>
    <row r="82" spans="3:17" ht="17.399999999999999">
      <c r="C82" t="s">
        <v>142</v>
      </c>
      <c r="E82" s="89">
        <v>1.9</v>
      </c>
      <c r="F82" s="55">
        <f t="shared" ref="F82:F87" si="15">$E82*36/100</f>
        <v>0.68399999999999994</v>
      </c>
      <c r="H82" s="188" t="s">
        <v>12</v>
      </c>
      <c r="I82" s="188"/>
      <c r="J82" s="84">
        <f t="shared" si="9"/>
        <v>1.6326530612244899E-2</v>
      </c>
      <c r="K82" s="78">
        <f t="shared" si="10"/>
        <v>0</v>
      </c>
      <c r="L82" s="84">
        <f t="shared" si="11"/>
        <v>0.11428571428571428</v>
      </c>
      <c r="M82" s="84">
        <f t="shared" si="12"/>
        <v>0</v>
      </c>
      <c r="N82" s="84">
        <f t="shared" si="13"/>
        <v>0.10612244897959183</v>
      </c>
      <c r="O82" s="78">
        <f t="shared" si="14"/>
        <v>0</v>
      </c>
      <c r="P82" s="3"/>
      <c r="Q82" s="3"/>
    </row>
    <row r="83" spans="3:17" ht="17.399999999999999">
      <c r="C83" t="s">
        <v>119</v>
      </c>
      <c r="E83" s="89">
        <v>0.7</v>
      </c>
      <c r="F83" s="55">
        <f t="shared" si="15"/>
        <v>0.252</v>
      </c>
      <c r="H83" s="188" t="s">
        <v>24</v>
      </c>
      <c r="I83" s="188"/>
      <c r="J83" s="84">
        <f t="shared" si="9"/>
        <v>0.27918367346938772</v>
      </c>
      <c r="K83" s="78">
        <f t="shared" si="10"/>
        <v>0.10285714285714286</v>
      </c>
      <c r="L83" s="84">
        <f t="shared" si="11"/>
        <v>0.44081632653061226</v>
      </c>
      <c r="M83" s="84">
        <f t="shared" si="12"/>
        <v>7.3469387755102047E-2</v>
      </c>
      <c r="N83" s="84">
        <f t="shared" si="13"/>
        <v>1.9102040816326531</v>
      </c>
      <c r="O83" s="78">
        <f t="shared" si="14"/>
        <v>0.42612244897959178</v>
      </c>
      <c r="P83" s="3"/>
      <c r="Q83" s="3"/>
    </row>
    <row r="84" spans="3:17" ht="17.399999999999999">
      <c r="C84" t="s">
        <v>118</v>
      </c>
      <c r="E84" s="89">
        <v>3</v>
      </c>
      <c r="F84" s="55">
        <f t="shared" si="15"/>
        <v>1.08</v>
      </c>
      <c r="H84" s="188" t="s">
        <v>26</v>
      </c>
      <c r="I84" s="188"/>
      <c r="J84" s="84">
        <f t="shared" si="9"/>
        <v>2.4244897959183676</v>
      </c>
      <c r="K84" s="78">
        <f t="shared" si="10"/>
        <v>1.1673469387755102</v>
      </c>
      <c r="L84" s="84">
        <f t="shared" si="11"/>
        <v>4.4897959183673466E-2</v>
      </c>
      <c r="M84" s="84">
        <f t="shared" si="12"/>
        <v>0</v>
      </c>
      <c r="N84" s="84">
        <f t="shared" si="13"/>
        <v>2.1551020408163266</v>
      </c>
      <c r="O84" s="78">
        <f t="shared" si="14"/>
        <v>0.17959183673469387</v>
      </c>
      <c r="P84" s="3"/>
      <c r="Q84" s="3"/>
    </row>
    <row r="85" spans="3:17" ht="17.399999999999999">
      <c r="C85" t="s">
        <v>143</v>
      </c>
      <c r="E85" s="89">
        <v>0.5</v>
      </c>
      <c r="F85" s="55">
        <f t="shared" si="15"/>
        <v>0.18</v>
      </c>
      <c r="H85" s="188" t="s">
        <v>235</v>
      </c>
      <c r="I85" s="188"/>
      <c r="J85" s="84">
        <f t="shared" si="9"/>
        <v>9.3061224489795931E-3</v>
      </c>
      <c r="K85" s="78">
        <f t="shared" si="10"/>
        <v>1.5673469387755103E-3</v>
      </c>
      <c r="L85" s="84">
        <f t="shared" si="11"/>
        <v>0.11412244897959184</v>
      </c>
      <c r="M85" s="84">
        <f t="shared" si="12"/>
        <v>0</v>
      </c>
      <c r="N85" s="84">
        <f t="shared" si="13"/>
        <v>8.963265306122449E-2</v>
      </c>
      <c r="O85" s="78">
        <f t="shared" si="14"/>
        <v>0</v>
      </c>
      <c r="P85" s="3"/>
      <c r="Q85" s="3"/>
    </row>
    <row r="86" spans="3:17" ht="34.5" customHeight="1">
      <c r="C86" t="s">
        <v>133</v>
      </c>
      <c r="E86" s="89">
        <v>13</v>
      </c>
      <c r="F86" s="55">
        <f t="shared" si="15"/>
        <v>4.68</v>
      </c>
      <c r="H86" s="189" t="s">
        <v>234</v>
      </c>
      <c r="I86" s="190"/>
      <c r="J86" s="85">
        <f t="shared" ref="J86:O86" si="16">SUM(SUM(J80:J85))</f>
        <v>11.008489795918367</v>
      </c>
      <c r="K86" s="84">
        <f t="shared" si="16"/>
        <v>2.1011591836734698</v>
      </c>
      <c r="L86" s="85">
        <f t="shared" si="16"/>
        <v>26.579428571428572</v>
      </c>
      <c r="M86" s="84">
        <f t="shared" si="16"/>
        <v>2.0448979591836736</v>
      </c>
      <c r="N86" s="84">
        <f t="shared" si="16"/>
        <v>9.0606530612244907</v>
      </c>
      <c r="O86" s="84">
        <f t="shared" si="16"/>
        <v>1.2530612244897958</v>
      </c>
      <c r="P86" s="86">
        <f>17*N86+37*J86+17*L86</f>
        <v>1013.1955102040816</v>
      </c>
      <c r="Q86" s="86">
        <f>4*N86+9*J86+4*L86</f>
        <v>241.63673469387754</v>
      </c>
    </row>
    <row r="87" spans="3:17">
      <c r="C87" t="s">
        <v>120</v>
      </c>
      <c r="E87" s="89">
        <v>2.9</v>
      </c>
      <c r="F87" s="55">
        <f t="shared" si="15"/>
        <v>1.0439999999999998</v>
      </c>
    </row>
    <row r="90" spans="3:17">
      <c r="C90" s="67" t="s">
        <v>26</v>
      </c>
      <c r="F90" t="s">
        <v>242</v>
      </c>
    </row>
    <row r="91" spans="3:17">
      <c r="C91" t="s">
        <v>134</v>
      </c>
      <c r="E91">
        <v>1438</v>
      </c>
    </row>
    <row r="92" spans="3:17">
      <c r="C92" t="s">
        <v>135</v>
      </c>
      <c r="E92">
        <v>347</v>
      </c>
    </row>
    <row r="93" spans="3:17">
      <c r="C93" t="s">
        <v>142</v>
      </c>
      <c r="E93">
        <v>27</v>
      </c>
      <c r="F93">
        <f t="shared" ref="F93:F98" si="17">$E93*22/100</f>
        <v>5.94</v>
      </c>
    </row>
    <row r="94" spans="3:17">
      <c r="C94" t="s">
        <v>119</v>
      </c>
      <c r="E94">
        <v>13</v>
      </c>
      <c r="F94">
        <f t="shared" si="17"/>
        <v>2.86</v>
      </c>
    </row>
    <row r="95" spans="3:17">
      <c r="C95" t="s">
        <v>118</v>
      </c>
      <c r="E95">
        <v>0.5</v>
      </c>
      <c r="F95">
        <f t="shared" si="17"/>
        <v>0.11</v>
      </c>
    </row>
    <row r="96" spans="3:17">
      <c r="C96" t="s">
        <v>143</v>
      </c>
      <c r="E96">
        <v>0</v>
      </c>
      <c r="F96">
        <f t="shared" si="17"/>
        <v>0</v>
      </c>
    </row>
    <row r="97" spans="3:6">
      <c r="C97" t="s">
        <v>133</v>
      </c>
      <c r="E97">
        <v>24</v>
      </c>
      <c r="F97">
        <f t="shared" si="17"/>
        <v>5.28</v>
      </c>
    </row>
    <row r="98" spans="3:6">
      <c r="C98" t="s">
        <v>120</v>
      </c>
      <c r="E98">
        <v>2</v>
      </c>
      <c r="F98">
        <f t="shared" si="17"/>
        <v>0.44</v>
      </c>
    </row>
    <row r="101" spans="3:6">
      <c r="C101" s="67" t="s">
        <v>23</v>
      </c>
      <c r="F101" t="s">
        <v>244</v>
      </c>
    </row>
    <row r="102" spans="3:6">
      <c r="C102" t="s">
        <v>134</v>
      </c>
      <c r="E102" s="68"/>
      <c r="F102" s="68"/>
    </row>
    <row r="103" spans="3:6">
      <c r="C103" t="s">
        <v>135</v>
      </c>
      <c r="E103" s="68"/>
      <c r="F103" s="68"/>
    </row>
    <row r="104" spans="3:6">
      <c r="C104" t="s">
        <v>142</v>
      </c>
      <c r="E104" s="90">
        <v>0.19</v>
      </c>
      <c r="F104" s="87">
        <f t="shared" ref="F104:F109" si="18">$E104*12/100</f>
        <v>2.2800000000000001E-2</v>
      </c>
    </row>
    <row r="105" spans="3:6">
      <c r="C105" t="s">
        <v>119</v>
      </c>
      <c r="E105" s="90">
        <v>3.2000000000000001E-2</v>
      </c>
      <c r="F105" s="87">
        <f t="shared" si="18"/>
        <v>3.8400000000000001E-3</v>
      </c>
    </row>
    <row r="106" spans="3:6">
      <c r="C106" t="s">
        <v>118</v>
      </c>
      <c r="E106" s="90">
        <v>2.33</v>
      </c>
      <c r="F106" s="87">
        <f t="shared" si="18"/>
        <v>0.27960000000000002</v>
      </c>
    </row>
    <row r="107" spans="3:6">
      <c r="C107" t="s">
        <v>143</v>
      </c>
      <c r="E107" s="91">
        <v>0</v>
      </c>
      <c r="F107" s="87">
        <f t="shared" si="18"/>
        <v>0</v>
      </c>
    </row>
    <row r="108" spans="3:6">
      <c r="C108" t="s">
        <v>133</v>
      </c>
      <c r="E108" s="90">
        <v>1.83</v>
      </c>
      <c r="F108" s="87">
        <f t="shared" si="18"/>
        <v>0.21960000000000002</v>
      </c>
    </row>
    <row r="109" spans="3:6">
      <c r="C109" t="s">
        <v>120</v>
      </c>
      <c r="E109" s="91">
        <v>0</v>
      </c>
      <c r="F109" s="87">
        <f t="shared" si="18"/>
        <v>0</v>
      </c>
    </row>
  </sheetData>
  <mergeCells count="18">
    <mergeCell ref="H82:I82"/>
    <mergeCell ref="H83:I83"/>
    <mergeCell ref="H84:I84"/>
    <mergeCell ref="H85:I85"/>
    <mergeCell ref="H86:I86"/>
    <mergeCell ref="H77:H79"/>
    <mergeCell ref="I77:I79"/>
    <mergeCell ref="P77:Q77"/>
    <mergeCell ref="H80:I80"/>
    <mergeCell ref="H81:I81"/>
    <mergeCell ref="H65:H67"/>
    <mergeCell ref="I65:I66"/>
    <mergeCell ref="H74:K74"/>
    <mergeCell ref="A1:H1"/>
    <mergeCell ref="A4:A5"/>
    <mergeCell ref="D4:D5"/>
    <mergeCell ref="E4:E5"/>
    <mergeCell ref="J64:O64"/>
  </mergeCells>
  <phoneticPr fontId="21" type="noConversion"/>
  <pageMargins left="0.25" right="0.25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3" zoomScale="80" zoomScaleNormal="80" zoomScalePageLayoutView="80" workbookViewId="0">
      <selection activeCell="B5" sqref="B5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6.69921875" bestFit="1" customWidth="1"/>
    <col min="5" max="5" width="13.296875" bestFit="1" customWidth="1"/>
    <col min="6" max="6" width="51.69921875" customWidth="1"/>
    <col min="7" max="7" width="16" bestFit="1" customWidth="1"/>
    <col min="8" max="8" width="28.796875" bestFit="1" customWidth="1"/>
  </cols>
  <sheetData>
    <row r="1" spans="1:8" ht="31.05" customHeight="1">
      <c r="A1" s="193" t="s">
        <v>189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173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203.4">
      <c r="A3" s="2" t="s">
        <v>184</v>
      </c>
      <c r="B3" s="37" t="s">
        <v>95</v>
      </c>
      <c r="C3" s="3">
        <v>75</v>
      </c>
      <c r="D3" s="3">
        <v>75</v>
      </c>
      <c r="E3" s="3">
        <v>42</v>
      </c>
      <c r="F3" s="4" t="s">
        <v>190</v>
      </c>
      <c r="G3" s="6" t="s">
        <v>177</v>
      </c>
      <c r="H3" s="6" t="s">
        <v>178</v>
      </c>
    </row>
    <row r="4" spans="1:8" ht="17.399999999999999">
      <c r="A4" s="2" t="s">
        <v>66</v>
      </c>
      <c r="B4" s="37"/>
      <c r="C4" s="3">
        <v>30</v>
      </c>
      <c r="D4" s="3">
        <v>26</v>
      </c>
      <c r="E4" s="3">
        <v>14.4</v>
      </c>
      <c r="F4" s="39" t="s">
        <v>99</v>
      </c>
      <c r="G4" s="6" t="s">
        <v>101</v>
      </c>
      <c r="H4" s="3"/>
    </row>
    <row r="5" spans="1:8" ht="17.399999999999999">
      <c r="A5" s="2" t="s">
        <v>67</v>
      </c>
      <c r="B5" s="12" t="s">
        <v>115</v>
      </c>
      <c r="C5" s="3">
        <v>30</v>
      </c>
      <c r="D5" s="3">
        <v>26</v>
      </c>
      <c r="E5" s="3">
        <v>14.4</v>
      </c>
      <c r="F5" s="5" t="s">
        <v>17</v>
      </c>
      <c r="G5" s="3" t="s">
        <v>17</v>
      </c>
      <c r="H5" s="3"/>
    </row>
    <row r="6" spans="1:8" ht="17.399999999999999">
      <c r="A6" s="2" t="s">
        <v>129</v>
      </c>
      <c r="B6" s="20"/>
      <c r="C6" s="3">
        <v>15</v>
      </c>
      <c r="D6" s="3">
        <v>13</v>
      </c>
      <c r="E6" s="3">
        <v>7</v>
      </c>
      <c r="F6" s="47"/>
      <c r="G6" s="3"/>
      <c r="H6" s="3"/>
    </row>
    <row r="7" spans="1:8" ht="31.8">
      <c r="A7" s="2" t="s">
        <v>68</v>
      </c>
      <c r="B7" s="9" t="s">
        <v>71</v>
      </c>
      <c r="C7" s="3">
        <v>3</v>
      </c>
      <c r="D7" s="3">
        <v>2</v>
      </c>
      <c r="E7" s="3">
        <v>1</v>
      </c>
      <c r="F7" s="38" t="s">
        <v>100</v>
      </c>
      <c r="G7" s="3" t="s">
        <v>44</v>
      </c>
      <c r="H7" s="3"/>
    </row>
    <row r="8" spans="1:8" ht="17.399999999999999">
      <c r="A8" s="2" t="s">
        <v>98</v>
      </c>
      <c r="B8" s="9"/>
      <c r="C8" s="25" t="s">
        <v>70</v>
      </c>
      <c r="D8" s="25">
        <v>0.5</v>
      </c>
      <c r="E8" s="3">
        <v>0.2</v>
      </c>
      <c r="F8" s="23"/>
      <c r="G8" s="3"/>
      <c r="H8" s="3"/>
    </row>
    <row r="9" spans="1:8" ht="17.399999999999999">
      <c r="A9" s="2" t="s">
        <v>13</v>
      </c>
      <c r="B9" s="9"/>
      <c r="C9" s="24">
        <v>30</v>
      </c>
      <c r="D9" s="24">
        <v>27.5</v>
      </c>
      <c r="E9" s="3">
        <v>15</v>
      </c>
      <c r="F9" s="61"/>
      <c r="G9" s="3"/>
      <c r="H9" s="3"/>
    </row>
    <row r="10" spans="1:8" ht="17.399999999999999">
      <c r="A10" s="2" t="s">
        <v>69</v>
      </c>
      <c r="B10" s="9"/>
      <c r="C10" s="24">
        <v>12</v>
      </c>
      <c r="D10" s="24">
        <v>10</v>
      </c>
      <c r="E10" s="3">
        <v>6</v>
      </c>
      <c r="F10" s="61"/>
      <c r="G10" s="3"/>
      <c r="H10" s="3"/>
    </row>
    <row r="11" spans="1:8" ht="43.95" customHeight="1">
      <c r="C11">
        <f>SUM(C3:C10)</f>
        <v>195</v>
      </c>
      <c r="D11">
        <f>SUM(D3:D10)</f>
        <v>180</v>
      </c>
      <c r="E11">
        <f>SUM(E3:E10)</f>
        <v>100</v>
      </c>
    </row>
    <row r="23" spans="3:15">
      <c r="D23" s="7"/>
      <c r="F23" s="55" t="s">
        <v>282</v>
      </c>
      <c r="G23" t="s">
        <v>302</v>
      </c>
      <c r="H23" t="s">
        <v>303</v>
      </c>
      <c r="I23" t="s">
        <v>304</v>
      </c>
      <c r="J23" t="s">
        <v>305</v>
      </c>
      <c r="K23" t="s">
        <v>306</v>
      </c>
      <c r="L23" t="s">
        <v>309</v>
      </c>
      <c r="M23" t="s">
        <v>287</v>
      </c>
      <c r="N23" s="65" t="s">
        <v>155</v>
      </c>
    </row>
    <row r="24" spans="3:15">
      <c r="C24" t="s">
        <v>142</v>
      </c>
      <c r="F24" s="55">
        <v>2.625</v>
      </c>
      <c r="G24" s="55">
        <v>1.3779999999999999</v>
      </c>
      <c r="H24" s="55">
        <v>21.32</v>
      </c>
      <c r="I24" s="55">
        <v>3.9E-2</v>
      </c>
      <c r="J24" s="55">
        <v>0.11199999999999999</v>
      </c>
      <c r="K24" s="55">
        <v>5.5E-2</v>
      </c>
      <c r="L24" s="55">
        <v>0.03</v>
      </c>
      <c r="M24" s="55">
        <f t="shared" ref="M24:M29" si="0">SUM(F24:L24)</f>
        <v>25.559000000000001</v>
      </c>
      <c r="N24" s="55">
        <f t="shared" ref="N24:N29" si="1">$M24*100/180</f>
        <v>14.199444444444445</v>
      </c>
    </row>
    <row r="25" spans="3:15">
      <c r="C25" t="s">
        <v>119</v>
      </c>
      <c r="F25" s="55">
        <v>0.9</v>
      </c>
      <c r="G25" s="55">
        <v>0.39</v>
      </c>
      <c r="H25" s="55">
        <v>13.78</v>
      </c>
      <c r="I25" s="55">
        <v>0</v>
      </c>
      <c r="J25" s="55">
        <v>0.01</v>
      </c>
      <c r="K25" s="55">
        <v>0</v>
      </c>
      <c r="L25" s="55">
        <v>0</v>
      </c>
      <c r="M25" s="55">
        <f t="shared" si="0"/>
        <v>15.08</v>
      </c>
      <c r="N25" s="55">
        <f t="shared" si="1"/>
        <v>8.3777777777777782</v>
      </c>
    </row>
    <row r="26" spans="3:15">
      <c r="C26" t="s">
        <v>118</v>
      </c>
      <c r="F26" s="55">
        <v>31.5</v>
      </c>
      <c r="G26" s="55">
        <v>0.26</v>
      </c>
      <c r="H26" s="55">
        <v>0.156</v>
      </c>
      <c r="I26" s="55">
        <v>0.44199999999999995</v>
      </c>
      <c r="J26" s="55">
        <v>0.11800000000000001</v>
      </c>
      <c r="K26" s="55">
        <v>0.85250000000000004</v>
      </c>
      <c r="L26" s="55">
        <v>0.66</v>
      </c>
      <c r="M26" s="55">
        <f t="shared" si="0"/>
        <v>33.988499999999995</v>
      </c>
      <c r="N26" s="55">
        <f t="shared" si="1"/>
        <v>18.882499999999997</v>
      </c>
    </row>
    <row r="27" spans="3:15">
      <c r="C27" t="s">
        <v>143</v>
      </c>
      <c r="F27" s="55">
        <v>1.875</v>
      </c>
      <c r="G27" s="55">
        <v>0</v>
      </c>
      <c r="H27" s="55">
        <v>0.156</v>
      </c>
      <c r="I27" s="55">
        <v>0</v>
      </c>
      <c r="J27" s="55">
        <v>0.11</v>
      </c>
      <c r="K27" s="55">
        <v>0</v>
      </c>
      <c r="L27" s="55">
        <v>0</v>
      </c>
      <c r="M27" s="55">
        <f t="shared" si="0"/>
        <v>2.141</v>
      </c>
      <c r="N27" s="55">
        <f t="shared" si="1"/>
        <v>1.1894444444444443</v>
      </c>
    </row>
    <row r="28" spans="3:15">
      <c r="C28" t="s">
        <v>133</v>
      </c>
      <c r="F28" s="55">
        <v>7.4249999999999998</v>
      </c>
      <c r="G28" s="55">
        <v>6.76</v>
      </c>
      <c r="H28" s="55">
        <v>0.182</v>
      </c>
      <c r="I28" s="55">
        <v>0.33800000000000002</v>
      </c>
      <c r="J28" s="55">
        <v>0.12</v>
      </c>
      <c r="K28" s="55">
        <v>0.2475</v>
      </c>
      <c r="L28" s="55">
        <v>0.14000000000000001</v>
      </c>
      <c r="M28" s="55">
        <f t="shared" si="0"/>
        <v>15.212499999999999</v>
      </c>
      <c r="N28" s="55">
        <f t="shared" si="1"/>
        <v>8.4513888888888875</v>
      </c>
    </row>
    <row r="29" spans="3:15">
      <c r="C29" t="s">
        <v>120</v>
      </c>
      <c r="F29" s="55">
        <v>0.97499999999999998</v>
      </c>
      <c r="G29" s="55">
        <v>0.26</v>
      </c>
      <c r="H29" s="55">
        <v>2.5999999999999999E-3</v>
      </c>
      <c r="I29" s="55">
        <v>1.3000000000000001E-2</v>
      </c>
      <c r="J29" s="55">
        <v>4.5999999999999999E-2</v>
      </c>
      <c r="K29" s="55">
        <v>0</v>
      </c>
      <c r="L29" s="55">
        <v>0</v>
      </c>
      <c r="M29" s="55">
        <f t="shared" si="0"/>
        <v>1.2965999999999998</v>
      </c>
      <c r="N29" s="55">
        <f t="shared" si="1"/>
        <v>0.72033333333333316</v>
      </c>
    </row>
    <row r="32" spans="3:15">
      <c r="C32" s="67" t="s">
        <v>332</v>
      </c>
      <c r="E32" t="s">
        <v>212</v>
      </c>
      <c r="F32" t="s">
        <v>333</v>
      </c>
      <c r="H32" s="98"/>
      <c r="I32" s="98"/>
      <c r="J32" s="245" t="s">
        <v>228</v>
      </c>
      <c r="K32" s="245"/>
      <c r="L32" s="245"/>
      <c r="M32" s="245"/>
      <c r="N32" s="245"/>
      <c r="O32" s="245"/>
    </row>
    <row r="33" spans="3:17" ht="43.2">
      <c r="C33" t="s">
        <v>142</v>
      </c>
      <c r="E33">
        <v>3.5</v>
      </c>
      <c r="F33" s="55">
        <f t="shared" ref="F33:F38" si="2">$E33*75/100</f>
        <v>2.625</v>
      </c>
      <c r="H33" s="242" t="s">
        <v>216</v>
      </c>
      <c r="I33" s="246" t="s">
        <v>225</v>
      </c>
      <c r="J33" s="70" t="s">
        <v>217</v>
      </c>
      <c r="K33" s="70" t="s">
        <v>226</v>
      </c>
      <c r="L33" s="70" t="s">
        <v>118</v>
      </c>
      <c r="M33" s="70" t="s">
        <v>143</v>
      </c>
      <c r="N33" s="70" t="s">
        <v>227</v>
      </c>
      <c r="O33" s="70" t="s">
        <v>120</v>
      </c>
    </row>
    <row r="34" spans="3:17">
      <c r="C34" t="s">
        <v>119</v>
      </c>
      <c r="E34">
        <v>1.2</v>
      </c>
      <c r="F34" s="55">
        <f t="shared" si="2"/>
        <v>0.9</v>
      </c>
      <c r="H34" s="242"/>
      <c r="I34" s="246"/>
      <c r="J34" s="71" t="s">
        <v>218</v>
      </c>
      <c r="K34" s="71" t="s">
        <v>219</v>
      </c>
      <c r="L34" s="71" t="s">
        <v>220</v>
      </c>
      <c r="M34" s="71" t="s">
        <v>221</v>
      </c>
      <c r="N34" s="71" t="s">
        <v>222</v>
      </c>
      <c r="O34" s="71" t="s">
        <v>223</v>
      </c>
    </row>
    <row r="35" spans="3:17">
      <c r="C35" t="s">
        <v>118</v>
      </c>
      <c r="E35">
        <v>42</v>
      </c>
      <c r="F35" s="55">
        <f t="shared" si="2"/>
        <v>31.5</v>
      </c>
      <c r="H35" s="242"/>
      <c r="I35" s="110" t="s">
        <v>224</v>
      </c>
      <c r="J35" s="71" t="s">
        <v>224</v>
      </c>
      <c r="K35" s="71" t="s">
        <v>224</v>
      </c>
      <c r="L35" s="71" t="s">
        <v>224</v>
      </c>
      <c r="M35" s="71" t="s">
        <v>224</v>
      </c>
      <c r="N35" s="71" t="s">
        <v>224</v>
      </c>
      <c r="O35" s="71" t="s">
        <v>224</v>
      </c>
    </row>
    <row r="36" spans="3:17" ht="17.399999999999999">
      <c r="C36" t="s">
        <v>143</v>
      </c>
      <c r="E36">
        <v>2.5</v>
      </c>
      <c r="F36" s="55">
        <f t="shared" si="2"/>
        <v>1.875</v>
      </c>
      <c r="H36" s="108" t="s">
        <v>184</v>
      </c>
      <c r="I36" s="3">
        <v>75</v>
      </c>
      <c r="J36" s="3">
        <v>3.5</v>
      </c>
      <c r="K36" s="3">
        <v>1.2</v>
      </c>
      <c r="L36" s="3">
        <v>42</v>
      </c>
      <c r="M36" s="3">
        <v>2.5</v>
      </c>
      <c r="N36" s="3">
        <v>9.9</v>
      </c>
      <c r="O36" s="3">
        <v>1.3</v>
      </c>
    </row>
    <row r="37" spans="3:17" ht="17.399999999999999">
      <c r="C37" t="s">
        <v>133</v>
      </c>
      <c r="E37">
        <v>9.9</v>
      </c>
      <c r="F37" s="55">
        <f t="shared" si="2"/>
        <v>7.4249999999999998</v>
      </c>
      <c r="H37" s="108" t="s">
        <v>66</v>
      </c>
      <c r="I37" s="3">
        <v>26</v>
      </c>
      <c r="J37" s="3">
        <v>5.3</v>
      </c>
      <c r="K37" s="3">
        <v>1.5</v>
      </c>
      <c r="L37" s="3">
        <v>1</v>
      </c>
      <c r="M37" s="3">
        <v>0</v>
      </c>
      <c r="N37" s="3">
        <v>26</v>
      </c>
      <c r="O37" s="3">
        <v>1</v>
      </c>
    </row>
    <row r="38" spans="3:17" ht="17.399999999999999">
      <c r="C38" t="s">
        <v>120</v>
      </c>
      <c r="E38">
        <v>1.3</v>
      </c>
      <c r="F38" s="55">
        <f t="shared" si="2"/>
        <v>0.97499999999999998</v>
      </c>
      <c r="H38" s="108" t="s">
        <v>67</v>
      </c>
      <c r="I38" s="3">
        <v>26</v>
      </c>
      <c r="J38" s="3">
        <v>82</v>
      </c>
      <c r="K38" s="3">
        <v>53</v>
      </c>
      <c r="L38" s="3">
        <v>0.6</v>
      </c>
      <c r="M38" s="3">
        <v>0.6</v>
      </c>
      <c r="N38" s="3">
        <v>0.7</v>
      </c>
      <c r="O38" s="3">
        <v>0.01</v>
      </c>
    </row>
    <row r="39" spans="3:17" ht="17.399999999999999">
      <c r="H39" s="108" t="s">
        <v>129</v>
      </c>
      <c r="I39" s="3">
        <v>13</v>
      </c>
      <c r="J39" s="3">
        <v>0.3</v>
      </c>
      <c r="K39" s="3">
        <v>0</v>
      </c>
      <c r="L39" s="3">
        <v>3.4</v>
      </c>
      <c r="M39" s="3">
        <v>0</v>
      </c>
      <c r="N39" s="3">
        <v>2.6</v>
      </c>
      <c r="O39" s="3">
        <v>0.1</v>
      </c>
    </row>
    <row r="40" spans="3:17" ht="17.399999999999999">
      <c r="C40" s="67" t="s">
        <v>66</v>
      </c>
      <c r="E40" t="s">
        <v>301</v>
      </c>
      <c r="F40" t="s">
        <v>302</v>
      </c>
      <c r="H40" s="108" t="s">
        <v>68</v>
      </c>
      <c r="I40" s="3">
        <v>2</v>
      </c>
      <c r="J40" s="3">
        <v>5.6</v>
      </c>
      <c r="K40" s="3">
        <v>0.5</v>
      </c>
      <c r="L40" s="3">
        <v>5.9</v>
      </c>
      <c r="M40" s="3">
        <v>5.5</v>
      </c>
      <c r="N40" s="3">
        <v>6</v>
      </c>
      <c r="O40" s="3">
        <v>2.2999999999999998</v>
      </c>
    </row>
    <row r="41" spans="3:17" ht="17.399999999999999">
      <c r="C41" t="s">
        <v>142</v>
      </c>
      <c r="E41">
        <v>5.3</v>
      </c>
      <c r="F41">
        <f t="shared" ref="F41:F46" si="3">$E41*26/100</f>
        <v>1.3779999999999999</v>
      </c>
      <c r="H41" s="108" t="s">
        <v>98</v>
      </c>
      <c r="I41" s="25">
        <v>0.5</v>
      </c>
      <c r="J41" s="3"/>
      <c r="K41" s="3"/>
      <c r="L41" s="3"/>
      <c r="M41" s="3"/>
      <c r="N41" s="3"/>
      <c r="O41" s="3">
        <v>0.5</v>
      </c>
    </row>
    <row r="42" spans="3:17" ht="17.399999999999999">
      <c r="C42" t="s">
        <v>119</v>
      </c>
      <c r="E42">
        <v>1.5</v>
      </c>
      <c r="F42">
        <f t="shared" si="3"/>
        <v>0.39</v>
      </c>
      <c r="H42" s="108" t="s">
        <v>13</v>
      </c>
      <c r="I42" s="24">
        <v>27.5</v>
      </c>
      <c r="J42" s="3">
        <v>0.2</v>
      </c>
      <c r="K42" s="3">
        <v>0</v>
      </c>
      <c r="L42" s="3">
        <v>3.1</v>
      </c>
      <c r="M42" s="3">
        <v>0</v>
      </c>
      <c r="N42" s="3">
        <v>0.9</v>
      </c>
      <c r="O42" s="3">
        <v>0</v>
      </c>
    </row>
    <row r="43" spans="3:17" ht="17.399999999999999">
      <c r="C43" t="s">
        <v>118</v>
      </c>
      <c r="E43">
        <v>1</v>
      </c>
      <c r="F43">
        <f t="shared" si="3"/>
        <v>0.26</v>
      </c>
      <c r="H43" s="108" t="s">
        <v>69</v>
      </c>
      <c r="I43" s="24">
        <v>10</v>
      </c>
      <c r="J43" s="24">
        <v>0.3</v>
      </c>
      <c r="K43" s="24">
        <v>0</v>
      </c>
      <c r="L43" s="24">
        <v>6.6</v>
      </c>
      <c r="M43" s="24">
        <v>0</v>
      </c>
      <c r="N43" s="24">
        <v>1.4</v>
      </c>
      <c r="O43" s="24">
        <v>0</v>
      </c>
    </row>
    <row r="44" spans="3:17">
      <c r="C44" t="s">
        <v>143</v>
      </c>
      <c r="E44">
        <v>0</v>
      </c>
      <c r="F44">
        <f t="shared" si="3"/>
        <v>0</v>
      </c>
    </row>
    <row r="45" spans="3:17" ht="43.2">
      <c r="C45" t="s">
        <v>133</v>
      </c>
      <c r="E45">
        <v>26</v>
      </c>
      <c r="F45">
        <f t="shared" si="3"/>
        <v>6.76</v>
      </c>
      <c r="H45" s="202" t="s">
        <v>0</v>
      </c>
      <c r="I45" s="249" t="s">
        <v>229</v>
      </c>
      <c r="J45" s="103" t="s">
        <v>217</v>
      </c>
      <c r="K45" s="103" t="s">
        <v>226</v>
      </c>
      <c r="L45" s="103" t="s">
        <v>118</v>
      </c>
      <c r="M45" s="103" t="s">
        <v>143</v>
      </c>
      <c r="N45" s="103" t="s">
        <v>227</v>
      </c>
      <c r="O45" s="103" t="s">
        <v>120</v>
      </c>
      <c r="P45" s="191" t="s">
        <v>230</v>
      </c>
      <c r="Q45" s="248"/>
    </row>
    <row r="46" spans="3:17">
      <c r="C46" t="s">
        <v>120</v>
      </c>
      <c r="E46">
        <v>1</v>
      </c>
      <c r="F46">
        <f t="shared" si="3"/>
        <v>0.26</v>
      </c>
      <c r="H46" s="203"/>
      <c r="I46" s="250"/>
      <c r="J46" s="109" t="s">
        <v>218</v>
      </c>
      <c r="K46" s="109" t="s">
        <v>219</v>
      </c>
      <c r="L46" s="109" t="s">
        <v>220</v>
      </c>
      <c r="M46" s="109" t="s">
        <v>221</v>
      </c>
      <c r="N46" s="109" t="s">
        <v>222</v>
      </c>
      <c r="O46" s="109" t="s">
        <v>223</v>
      </c>
      <c r="P46" s="109" t="s">
        <v>231</v>
      </c>
      <c r="Q46" s="109" t="s">
        <v>231</v>
      </c>
    </row>
    <row r="47" spans="3:17">
      <c r="H47" s="203"/>
      <c r="I47" s="250"/>
      <c r="J47" s="104" t="s">
        <v>224</v>
      </c>
      <c r="K47" s="104" t="s">
        <v>224</v>
      </c>
      <c r="L47" s="104" t="s">
        <v>224</v>
      </c>
      <c r="M47" s="104" t="s">
        <v>224</v>
      </c>
      <c r="N47" s="104" t="s">
        <v>224</v>
      </c>
      <c r="O47" s="104" t="s">
        <v>224</v>
      </c>
      <c r="P47" s="104" t="s">
        <v>232</v>
      </c>
      <c r="Q47" s="104" t="s">
        <v>233</v>
      </c>
    </row>
    <row r="48" spans="3:17" ht="17.399999999999999">
      <c r="C48" s="67" t="s">
        <v>67</v>
      </c>
      <c r="E48" t="s">
        <v>212</v>
      </c>
      <c r="F48" t="s">
        <v>303</v>
      </c>
      <c r="H48" s="188" t="s">
        <v>184</v>
      </c>
      <c r="I48" s="188"/>
      <c r="J48" s="78">
        <f>$J36*$I36/180</f>
        <v>1.4583333333333333</v>
      </c>
      <c r="K48" s="78">
        <f>$K36*$I36/180</f>
        <v>0.5</v>
      </c>
      <c r="L48" s="78">
        <f>$L36*$I36/180</f>
        <v>17.5</v>
      </c>
      <c r="M48" s="78">
        <f>$M36*$I36/180</f>
        <v>1.0416666666666667</v>
      </c>
      <c r="N48" s="78">
        <f>$N36*$I36/180</f>
        <v>4.125</v>
      </c>
      <c r="O48" s="78">
        <f>$O36*$I36/180</f>
        <v>0.54166666666666663</v>
      </c>
      <c r="P48" s="3"/>
      <c r="Q48" s="3"/>
    </row>
    <row r="49" spans="2:17" ht="17.399999999999999">
      <c r="C49" t="s">
        <v>142</v>
      </c>
      <c r="E49">
        <v>82</v>
      </c>
      <c r="F49">
        <f t="shared" ref="F49:F54" si="4">$E49*26/100</f>
        <v>21.32</v>
      </c>
      <c r="H49" s="188" t="s">
        <v>66</v>
      </c>
      <c r="I49" s="188"/>
      <c r="J49" s="78">
        <f t="shared" ref="J49:J55" si="5">$J37*$I37/180</f>
        <v>0.76555555555555543</v>
      </c>
      <c r="K49" s="78">
        <f t="shared" ref="K49:K55" si="6">$K37*$I37/180</f>
        <v>0.21666666666666667</v>
      </c>
      <c r="L49" s="78">
        <f t="shared" ref="L49:L55" si="7">$L37*$I37/180</f>
        <v>0.14444444444444443</v>
      </c>
      <c r="M49" s="78">
        <f t="shared" ref="M49:M55" si="8">$M37*$I37/180</f>
        <v>0</v>
      </c>
      <c r="N49" s="78">
        <f t="shared" ref="N49:N55" si="9">$N37*$I37/180</f>
        <v>3.7555555555555555</v>
      </c>
      <c r="O49" s="78">
        <f t="shared" ref="O49:O55" si="10">$O37*$I37/180</f>
        <v>0.14444444444444443</v>
      </c>
      <c r="P49" s="3"/>
      <c r="Q49" s="3"/>
    </row>
    <row r="50" spans="2:17" ht="17.399999999999999">
      <c r="C50" t="s">
        <v>119</v>
      </c>
      <c r="E50">
        <v>53</v>
      </c>
      <c r="F50">
        <f t="shared" si="4"/>
        <v>13.78</v>
      </c>
      <c r="H50" s="188" t="s">
        <v>67</v>
      </c>
      <c r="I50" s="188"/>
      <c r="J50" s="78">
        <f t="shared" si="5"/>
        <v>11.844444444444445</v>
      </c>
      <c r="K50" s="78">
        <f t="shared" si="6"/>
        <v>7.6555555555555559</v>
      </c>
      <c r="L50" s="78">
        <f t="shared" si="7"/>
        <v>8.666666666666667E-2</v>
      </c>
      <c r="M50" s="78">
        <f t="shared" si="8"/>
        <v>8.666666666666667E-2</v>
      </c>
      <c r="N50" s="78">
        <f t="shared" si="9"/>
        <v>0.10111111111111111</v>
      </c>
      <c r="O50" s="78">
        <f t="shared" si="10"/>
        <v>1.4444444444444446E-3</v>
      </c>
      <c r="P50" s="3"/>
      <c r="Q50" s="3"/>
    </row>
    <row r="51" spans="2:17" ht="17.399999999999999">
      <c r="C51" t="s">
        <v>118</v>
      </c>
      <c r="E51">
        <v>0.6</v>
      </c>
      <c r="F51">
        <f t="shared" si="4"/>
        <v>0.156</v>
      </c>
      <c r="H51" s="188" t="s">
        <v>129</v>
      </c>
      <c r="I51" s="188"/>
      <c r="J51" s="78">
        <f t="shared" si="5"/>
        <v>2.1666666666666667E-2</v>
      </c>
      <c r="K51" s="78">
        <f t="shared" si="6"/>
        <v>0</v>
      </c>
      <c r="L51" s="78">
        <f t="shared" si="7"/>
        <v>0.24555555555555553</v>
      </c>
      <c r="M51" s="78">
        <f t="shared" si="8"/>
        <v>0</v>
      </c>
      <c r="N51" s="78">
        <f t="shared" si="9"/>
        <v>0.18777777777777779</v>
      </c>
      <c r="O51" s="78">
        <f t="shared" si="10"/>
        <v>7.2222222222222228E-3</v>
      </c>
      <c r="P51" s="3"/>
      <c r="Q51" s="3"/>
    </row>
    <row r="52" spans="2:17" ht="17.399999999999999">
      <c r="C52" t="s">
        <v>143</v>
      </c>
      <c r="E52">
        <v>0.6</v>
      </c>
      <c r="F52">
        <f t="shared" si="4"/>
        <v>0.156</v>
      </c>
      <c r="H52" s="188" t="s">
        <v>68</v>
      </c>
      <c r="I52" s="188"/>
      <c r="J52" s="78">
        <f t="shared" si="5"/>
        <v>6.222222222222222E-2</v>
      </c>
      <c r="K52" s="78">
        <f t="shared" si="6"/>
        <v>5.5555555555555558E-3</v>
      </c>
      <c r="L52" s="78">
        <f t="shared" si="7"/>
        <v>6.5555555555555561E-2</v>
      </c>
      <c r="M52" s="78">
        <f t="shared" si="8"/>
        <v>6.1111111111111109E-2</v>
      </c>
      <c r="N52" s="78">
        <f t="shared" si="9"/>
        <v>6.6666666666666666E-2</v>
      </c>
      <c r="O52" s="78">
        <f t="shared" si="10"/>
        <v>2.5555555555555554E-2</v>
      </c>
      <c r="P52" s="3"/>
      <c r="Q52" s="3"/>
    </row>
    <row r="53" spans="2:17" ht="17.399999999999999">
      <c r="C53" t="s">
        <v>133</v>
      </c>
      <c r="E53">
        <v>0.7</v>
      </c>
      <c r="F53">
        <f t="shared" si="4"/>
        <v>0.182</v>
      </c>
      <c r="H53" s="188" t="s">
        <v>98</v>
      </c>
      <c r="I53" s="188"/>
      <c r="J53" s="78">
        <f t="shared" si="5"/>
        <v>0</v>
      </c>
      <c r="K53" s="78">
        <f t="shared" si="6"/>
        <v>0</v>
      </c>
      <c r="L53" s="78">
        <f t="shared" si="7"/>
        <v>0</v>
      </c>
      <c r="M53" s="78">
        <f t="shared" si="8"/>
        <v>0</v>
      </c>
      <c r="N53" s="78">
        <f t="shared" si="9"/>
        <v>0</v>
      </c>
      <c r="O53" s="78">
        <f t="shared" si="10"/>
        <v>1.3888888888888889E-3</v>
      </c>
      <c r="P53" s="3"/>
      <c r="Q53" s="3"/>
    </row>
    <row r="54" spans="2:17" ht="17.399999999999999">
      <c r="C54" t="s">
        <v>120</v>
      </c>
      <c r="E54">
        <v>0.01</v>
      </c>
      <c r="F54">
        <f t="shared" si="4"/>
        <v>2.5999999999999999E-3</v>
      </c>
      <c r="H54" s="188" t="s">
        <v>13</v>
      </c>
      <c r="I54" s="188"/>
      <c r="J54" s="78">
        <f t="shared" si="5"/>
        <v>3.0555555555555555E-2</v>
      </c>
      <c r="K54" s="78">
        <f t="shared" si="6"/>
        <v>0</v>
      </c>
      <c r="L54" s="78">
        <f t="shared" si="7"/>
        <v>0.47361111111111109</v>
      </c>
      <c r="M54" s="78">
        <f t="shared" si="8"/>
        <v>0</v>
      </c>
      <c r="N54" s="78">
        <f t="shared" si="9"/>
        <v>0.13750000000000001</v>
      </c>
      <c r="O54" s="78">
        <f t="shared" si="10"/>
        <v>0</v>
      </c>
      <c r="P54" s="3"/>
      <c r="Q54" s="3"/>
    </row>
    <row r="55" spans="2:17" ht="17.399999999999999">
      <c r="H55" s="188" t="s">
        <v>69</v>
      </c>
      <c r="I55" s="188"/>
      <c r="J55" s="78">
        <f t="shared" si="5"/>
        <v>1.6666666666666666E-2</v>
      </c>
      <c r="K55" s="78">
        <f t="shared" si="6"/>
        <v>0</v>
      </c>
      <c r="L55" s="78">
        <f t="shared" si="7"/>
        <v>0.36666666666666664</v>
      </c>
      <c r="M55" s="78">
        <f t="shared" si="8"/>
        <v>0</v>
      </c>
      <c r="N55" s="78">
        <f t="shared" si="9"/>
        <v>7.7777777777777779E-2</v>
      </c>
      <c r="O55" s="78">
        <f t="shared" si="10"/>
        <v>0</v>
      </c>
      <c r="P55" s="3"/>
      <c r="Q55" s="3"/>
    </row>
    <row r="56" spans="2:17" ht="30.75" customHeight="1">
      <c r="B56" t="s">
        <v>310</v>
      </c>
      <c r="C56" s="67" t="s">
        <v>129</v>
      </c>
      <c r="E56" t="s">
        <v>212</v>
      </c>
      <c r="F56" t="s">
        <v>304</v>
      </c>
      <c r="H56" s="189" t="s">
        <v>234</v>
      </c>
      <c r="I56" s="190"/>
      <c r="J56" s="85">
        <f t="shared" ref="J56:O56" si="11">SUM(J48:J55)</f>
        <v>14.199444444444445</v>
      </c>
      <c r="K56" s="84">
        <f t="shared" si="11"/>
        <v>8.3777777777777782</v>
      </c>
      <c r="L56" s="85">
        <f t="shared" si="11"/>
        <v>18.8825</v>
      </c>
      <c r="M56" s="84">
        <f t="shared" si="11"/>
        <v>1.1894444444444445</v>
      </c>
      <c r="N56" s="84">
        <f t="shared" si="11"/>
        <v>8.4513888888888875</v>
      </c>
      <c r="O56" s="84">
        <f t="shared" si="11"/>
        <v>0.72172222222222226</v>
      </c>
      <c r="P56" s="85">
        <f>17*N56+37*J56+17*L56</f>
        <v>990.05555555555566</v>
      </c>
      <c r="Q56" s="85">
        <f>4*N56+9*J56+4*L56</f>
        <v>237.13055555555556</v>
      </c>
    </row>
    <row r="57" spans="2:17">
      <c r="C57" t="s">
        <v>142</v>
      </c>
      <c r="E57">
        <v>0.3</v>
      </c>
      <c r="F57">
        <f t="shared" ref="F57:F62" si="12">$E57*13/100</f>
        <v>3.9E-2</v>
      </c>
    </row>
    <row r="58" spans="2:17">
      <c r="C58" t="s">
        <v>119</v>
      </c>
      <c r="F58">
        <f t="shared" si="12"/>
        <v>0</v>
      </c>
    </row>
    <row r="59" spans="2:17">
      <c r="C59" t="s">
        <v>118</v>
      </c>
      <c r="E59">
        <v>3.4</v>
      </c>
      <c r="F59">
        <f t="shared" si="12"/>
        <v>0.44199999999999995</v>
      </c>
    </row>
    <row r="60" spans="2:17">
      <c r="C60" t="s">
        <v>143</v>
      </c>
      <c r="F60">
        <f t="shared" si="12"/>
        <v>0</v>
      </c>
    </row>
    <row r="61" spans="2:17">
      <c r="C61" t="s">
        <v>133</v>
      </c>
      <c r="E61">
        <v>2.6</v>
      </c>
      <c r="F61">
        <f t="shared" si="12"/>
        <v>0.33800000000000002</v>
      </c>
    </row>
    <row r="62" spans="2:17">
      <c r="C62" t="s">
        <v>120</v>
      </c>
      <c r="E62">
        <v>0.1</v>
      </c>
      <c r="F62">
        <f t="shared" si="12"/>
        <v>1.3000000000000001E-2</v>
      </c>
    </row>
    <row r="64" spans="2:17">
      <c r="C64" s="67" t="s">
        <v>68</v>
      </c>
      <c r="E64" t="s">
        <v>212</v>
      </c>
      <c r="F64" t="s">
        <v>305</v>
      </c>
    </row>
    <row r="65" spans="2:6">
      <c r="C65" t="s">
        <v>142</v>
      </c>
      <c r="E65">
        <v>5.6</v>
      </c>
      <c r="F65">
        <f t="shared" ref="F65:F70" si="13">$E65*2/100</f>
        <v>0.11199999999999999</v>
      </c>
    </row>
    <row r="66" spans="2:6">
      <c r="C66" t="s">
        <v>119</v>
      </c>
      <c r="E66">
        <v>0.5</v>
      </c>
      <c r="F66">
        <f t="shared" si="13"/>
        <v>0.01</v>
      </c>
    </row>
    <row r="67" spans="2:6">
      <c r="C67" t="s">
        <v>118</v>
      </c>
      <c r="E67">
        <v>5.9</v>
      </c>
      <c r="F67">
        <f t="shared" si="13"/>
        <v>0.11800000000000001</v>
      </c>
    </row>
    <row r="68" spans="2:6">
      <c r="C68" t="s">
        <v>143</v>
      </c>
      <c r="E68">
        <v>5.5</v>
      </c>
      <c r="F68">
        <f t="shared" si="13"/>
        <v>0.11</v>
      </c>
    </row>
    <row r="69" spans="2:6">
      <c r="C69" t="s">
        <v>133</v>
      </c>
      <c r="E69">
        <v>6</v>
      </c>
      <c r="F69">
        <f t="shared" si="13"/>
        <v>0.12</v>
      </c>
    </row>
    <row r="70" spans="2:6">
      <c r="C70" t="s">
        <v>120</v>
      </c>
      <c r="E70">
        <v>2.2999999999999998</v>
      </c>
      <c r="F70">
        <f t="shared" si="13"/>
        <v>4.5999999999999999E-2</v>
      </c>
    </row>
    <row r="72" spans="2:6">
      <c r="B72" t="s">
        <v>271</v>
      </c>
      <c r="C72" s="67" t="s">
        <v>292</v>
      </c>
      <c r="E72" t="s">
        <v>212</v>
      </c>
      <c r="F72" t="s">
        <v>306</v>
      </c>
    </row>
    <row r="73" spans="2:6">
      <c r="C73" t="s">
        <v>142</v>
      </c>
      <c r="E73">
        <v>0.2</v>
      </c>
      <c r="F73">
        <f t="shared" ref="F73:F78" si="14">$E73*27.5/100</f>
        <v>5.5E-2</v>
      </c>
    </row>
    <row r="74" spans="2:6">
      <c r="C74" t="s">
        <v>119</v>
      </c>
      <c r="F74">
        <f t="shared" si="14"/>
        <v>0</v>
      </c>
    </row>
    <row r="75" spans="2:6">
      <c r="C75" t="s">
        <v>118</v>
      </c>
      <c r="E75">
        <v>3.1</v>
      </c>
      <c r="F75">
        <f t="shared" si="14"/>
        <v>0.85250000000000004</v>
      </c>
    </row>
    <row r="76" spans="2:6">
      <c r="C76" t="s">
        <v>143</v>
      </c>
      <c r="F76">
        <f t="shared" si="14"/>
        <v>0</v>
      </c>
    </row>
    <row r="77" spans="2:6">
      <c r="C77" t="s">
        <v>133</v>
      </c>
      <c r="E77">
        <v>0.9</v>
      </c>
      <c r="F77">
        <f t="shared" si="14"/>
        <v>0.2475</v>
      </c>
    </row>
    <row r="78" spans="2:6">
      <c r="C78" t="s">
        <v>120</v>
      </c>
      <c r="F78">
        <f t="shared" si="14"/>
        <v>0</v>
      </c>
    </row>
    <row r="80" spans="2:6">
      <c r="B80" t="s">
        <v>308</v>
      </c>
      <c r="C80" s="67" t="s">
        <v>307</v>
      </c>
      <c r="F80" t="s">
        <v>309</v>
      </c>
    </row>
    <row r="81" spans="3:6">
      <c r="C81" t="s">
        <v>142</v>
      </c>
      <c r="E81">
        <v>0.3</v>
      </c>
      <c r="F81">
        <f t="shared" ref="F81:F86" si="15">$E81*10/100</f>
        <v>0.03</v>
      </c>
    </row>
    <row r="82" spans="3:6">
      <c r="C82" t="s">
        <v>119</v>
      </c>
      <c r="F82">
        <f t="shared" si="15"/>
        <v>0</v>
      </c>
    </row>
    <row r="83" spans="3:6">
      <c r="C83" t="s">
        <v>118</v>
      </c>
      <c r="E83">
        <v>6.6</v>
      </c>
      <c r="F83">
        <f t="shared" si="15"/>
        <v>0.66</v>
      </c>
    </row>
    <row r="84" spans="3:6">
      <c r="C84" t="s">
        <v>143</v>
      </c>
      <c r="F84">
        <f t="shared" si="15"/>
        <v>0</v>
      </c>
    </row>
    <row r="85" spans="3:6">
      <c r="C85" t="s">
        <v>133</v>
      </c>
      <c r="E85">
        <v>1.4</v>
      </c>
      <c r="F85">
        <f t="shared" si="15"/>
        <v>0.14000000000000001</v>
      </c>
    </row>
    <row r="86" spans="3:6">
      <c r="C86" t="s">
        <v>120</v>
      </c>
      <c r="F86">
        <f t="shared" si="15"/>
        <v>0</v>
      </c>
    </row>
  </sheetData>
  <mergeCells count="16">
    <mergeCell ref="A1:H1"/>
    <mergeCell ref="J32:O32"/>
    <mergeCell ref="H33:H35"/>
    <mergeCell ref="I33:I34"/>
    <mergeCell ref="H45:H47"/>
    <mergeCell ref="I45:I47"/>
    <mergeCell ref="P45:Q45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39" zoomScale="111" zoomScaleNormal="70" zoomScalePageLayoutView="70" workbookViewId="0">
      <selection activeCell="B47" sqref="B47:E53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5.5" bestFit="1" customWidth="1"/>
  </cols>
  <sheetData>
    <row r="1" spans="1:7" ht="31.05" customHeight="1">
      <c r="A1" s="193" t="s">
        <v>364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78.599999999999994">
      <c r="A3" s="114" t="s">
        <v>183</v>
      </c>
      <c r="B3" s="130" t="s">
        <v>95</v>
      </c>
      <c r="C3" s="3">
        <v>75</v>
      </c>
      <c r="D3" s="85">
        <f>$C3*100/157</f>
        <v>47.770700636942678</v>
      </c>
      <c r="E3" s="4" t="s">
        <v>93</v>
      </c>
      <c r="F3" s="3" t="s">
        <v>84</v>
      </c>
      <c r="G3" s="6" t="s">
        <v>63</v>
      </c>
    </row>
    <row r="4" spans="1:7" ht="17.399999999999999">
      <c r="A4" s="114" t="s">
        <v>59</v>
      </c>
      <c r="B4" s="130" t="s">
        <v>128</v>
      </c>
      <c r="C4" s="3">
        <v>12</v>
      </c>
      <c r="D4" s="85">
        <f>$C4*100/157</f>
        <v>7.6433121019108281</v>
      </c>
      <c r="E4" s="5"/>
      <c r="F4" s="6"/>
      <c r="G4" s="3"/>
    </row>
    <row r="5" spans="1:7" ht="17.399999999999999">
      <c r="A5" s="114" t="s">
        <v>363</v>
      </c>
      <c r="B5" s="22"/>
      <c r="C5" s="3">
        <v>40</v>
      </c>
      <c r="D5" s="85">
        <f>$C5*100/157</f>
        <v>25.477707006369428</v>
      </c>
      <c r="E5" s="38"/>
      <c r="F5" s="3"/>
      <c r="G5" s="3"/>
    </row>
    <row r="6" spans="1:7" ht="17.399999999999999">
      <c r="A6" s="114" t="s">
        <v>13</v>
      </c>
      <c r="B6" s="12"/>
      <c r="C6" s="3">
        <v>25</v>
      </c>
      <c r="D6" s="85">
        <f>$C6*100/157</f>
        <v>15.923566878980891</v>
      </c>
      <c r="E6" s="33"/>
      <c r="F6" s="3"/>
      <c r="G6" s="3"/>
    </row>
    <row r="7" spans="1:7" ht="17.399999999999999">
      <c r="A7" s="114" t="s">
        <v>65</v>
      </c>
      <c r="B7" s="9"/>
      <c r="C7" s="3">
        <v>5</v>
      </c>
      <c r="D7" s="85">
        <f>$C7*100/157</f>
        <v>3.1847133757961785</v>
      </c>
      <c r="E7" s="23"/>
      <c r="F7" s="3"/>
      <c r="G7" s="3"/>
    </row>
    <row r="8" spans="1:7" ht="43.95" customHeight="1">
      <c r="C8" s="60">
        <f>SUM(C3:C7)</f>
        <v>157</v>
      </c>
      <c r="D8">
        <f>SUM(D3:D7)</f>
        <v>100</v>
      </c>
      <c r="E8" t="s">
        <v>362</v>
      </c>
    </row>
    <row r="21" spans="3:15">
      <c r="D21" s="7"/>
    </row>
    <row r="22" spans="3:15">
      <c r="D22" s="7"/>
      <c r="F22" s="55" t="s">
        <v>282</v>
      </c>
      <c r="G22" t="s">
        <v>291</v>
      </c>
      <c r="H22" t="s">
        <v>366</v>
      </c>
      <c r="I22" t="s">
        <v>367</v>
      </c>
      <c r="J22" t="s">
        <v>287</v>
      </c>
      <c r="K22" s="65" t="s">
        <v>155</v>
      </c>
    </row>
    <row r="23" spans="3:15">
      <c r="C23" t="s">
        <v>142</v>
      </c>
      <c r="F23" s="55">
        <v>2.5499999999999998</v>
      </c>
      <c r="G23">
        <v>10.92</v>
      </c>
      <c r="H23">
        <v>4.2840000000000007</v>
      </c>
      <c r="I23">
        <v>0.05</v>
      </c>
      <c r="J23" s="55">
        <f t="shared" ref="J23:J28" si="0">SUM(F23:I23)</f>
        <v>17.803999999999998</v>
      </c>
      <c r="K23" s="55">
        <f t="shared" ref="K23:K28" si="1">$J23*100/175</f>
        <v>10.173714285714285</v>
      </c>
    </row>
    <row r="24" spans="3:15">
      <c r="C24" t="s">
        <v>119</v>
      </c>
      <c r="F24" s="55">
        <v>0.82499999999999996</v>
      </c>
      <c r="G24">
        <v>1.68</v>
      </c>
      <c r="H24">
        <v>0</v>
      </c>
      <c r="I24">
        <v>0</v>
      </c>
      <c r="J24" s="55">
        <f t="shared" si="0"/>
        <v>2.5049999999999999</v>
      </c>
      <c r="K24" s="55">
        <f t="shared" si="1"/>
        <v>1.4314285714285715</v>
      </c>
    </row>
    <row r="25" spans="3:15">
      <c r="C25" t="s">
        <v>118</v>
      </c>
      <c r="F25" s="55">
        <v>36</v>
      </c>
      <c r="G25">
        <v>0</v>
      </c>
      <c r="H25">
        <v>0</v>
      </c>
      <c r="I25">
        <v>0.77500000000000002</v>
      </c>
      <c r="J25" s="55">
        <f t="shared" si="0"/>
        <v>36.774999999999999</v>
      </c>
      <c r="K25" s="55">
        <f t="shared" si="1"/>
        <v>21.014285714285716</v>
      </c>
    </row>
    <row r="26" spans="3:15">
      <c r="C26" t="s">
        <v>143</v>
      </c>
      <c r="F26" s="55">
        <v>2.25</v>
      </c>
      <c r="G26">
        <v>0</v>
      </c>
      <c r="H26">
        <v>0</v>
      </c>
      <c r="I26">
        <v>0</v>
      </c>
      <c r="J26" s="55">
        <f t="shared" si="0"/>
        <v>2.25</v>
      </c>
      <c r="K26" s="55">
        <f t="shared" si="1"/>
        <v>1.2857142857142858</v>
      </c>
    </row>
    <row r="27" spans="3:15">
      <c r="C27" t="s">
        <v>133</v>
      </c>
      <c r="F27" s="55">
        <v>6.5250000000000004</v>
      </c>
      <c r="G27">
        <v>0</v>
      </c>
      <c r="H27">
        <v>11.427999999999999</v>
      </c>
      <c r="I27">
        <v>0.22500000000000001</v>
      </c>
      <c r="J27" s="55">
        <f t="shared" si="0"/>
        <v>18.178000000000001</v>
      </c>
      <c r="K27" s="55">
        <f t="shared" si="1"/>
        <v>10.387428571428572</v>
      </c>
    </row>
    <row r="28" spans="3:15">
      <c r="C28" t="s">
        <v>120</v>
      </c>
      <c r="F28" s="55">
        <v>1.05</v>
      </c>
      <c r="G28">
        <v>0</v>
      </c>
      <c r="H28">
        <v>0.64</v>
      </c>
      <c r="I28">
        <v>0</v>
      </c>
      <c r="J28" s="55">
        <f t="shared" si="0"/>
        <v>1.69</v>
      </c>
      <c r="K28" s="55">
        <f t="shared" si="1"/>
        <v>0.96571428571428575</v>
      </c>
    </row>
    <row r="31" spans="3:15">
      <c r="C31" s="67" t="s">
        <v>279</v>
      </c>
      <c r="E31" t="s">
        <v>212</v>
      </c>
      <c r="F31" t="s">
        <v>282</v>
      </c>
      <c r="H31" s="98"/>
      <c r="I31" s="98"/>
      <c r="J31" s="245" t="s">
        <v>228</v>
      </c>
      <c r="K31" s="245"/>
      <c r="L31" s="245"/>
      <c r="M31" s="245"/>
      <c r="N31" s="245"/>
      <c r="O31" s="245"/>
    </row>
    <row r="32" spans="3:15" ht="43.2">
      <c r="C32" t="s">
        <v>142</v>
      </c>
      <c r="E32">
        <v>3.4</v>
      </c>
      <c r="F32" s="55">
        <f t="shared" ref="F32:F37" si="2">$E32*75/100</f>
        <v>2.5499999999999998</v>
      </c>
      <c r="H32" s="242" t="s">
        <v>216</v>
      </c>
      <c r="I32" s="246" t="s">
        <v>225</v>
      </c>
      <c r="J32" s="70" t="s">
        <v>217</v>
      </c>
      <c r="K32" s="70" t="s">
        <v>226</v>
      </c>
      <c r="L32" s="70" t="s">
        <v>118</v>
      </c>
      <c r="M32" s="70" t="s">
        <v>143</v>
      </c>
      <c r="N32" s="70" t="s">
        <v>227</v>
      </c>
      <c r="O32" s="70" t="s">
        <v>120</v>
      </c>
    </row>
    <row r="33" spans="2:17">
      <c r="C33" t="s">
        <v>119</v>
      </c>
      <c r="E33">
        <v>1.1000000000000001</v>
      </c>
      <c r="F33" s="55">
        <f t="shared" si="2"/>
        <v>0.82499999999999996</v>
      </c>
      <c r="H33" s="242"/>
      <c r="I33" s="246"/>
      <c r="J33" s="129" t="s">
        <v>218</v>
      </c>
      <c r="K33" s="129" t="s">
        <v>219</v>
      </c>
      <c r="L33" s="129" t="s">
        <v>220</v>
      </c>
      <c r="M33" s="129" t="s">
        <v>221</v>
      </c>
      <c r="N33" s="129" t="s">
        <v>222</v>
      </c>
      <c r="O33" s="129" t="s">
        <v>223</v>
      </c>
    </row>
    <row r="34" spans="2:17">
      <c r="C34" t="s">
        <v>118</v>
      </c>
      <c r="E34">
        <v>48</v>
      </c>
      <c r="F34" s="55">
        <f t="shared" si="2"/>
        <v>36</v>
      </c>
      <c r="H34" s="242"/>
      <c r="I34" s="116" t="s">
        <v>224</v>
      </c>
      <c r="J34" s="129" t="s">
        <v>224</v>
      </c>
      <c r="K34" s="129" t="s">
        <v>224</v>
      </c>
      <c r="L34" s="129" t="s">
        <v>224</v>
      </c>
      <c r="M34" s="129" t="s">
        <v>224</v>
      </c>
      <c r="N34" s="129" t="s">
        <v>224</v>
      </c>
      <c r="O34" s="129" t="s">
        <v>224</v>
      </c>
    </row>
    <row r="35" spans="2:17" ht="17.399999999999999">
      <c r="C35" t="s">
        <v>143</v>
      </c>
      <c r="E35">
        <v>3</v>
      </c>
      <c r="F35" s="55">
        <f t="shared" si="2"/>
        <v>2.25</v>
      </c>
      <c r="H35" s="114" t="s">
        <v>183</v>
      </c>
      <c r="I35" s="3">
        <v>75</v>
      </c>
      <c r="J35" s="3">
        <v>3.4</v>
      </c>
      <c r="K35" s="3">
        <v>1.1000000000000001</v>
      </c>
      <c r="L35" s="3">
        <v>48</v>
      </c>
      <c r="M35" s="3">
        <v>3</v>
      </c>
      <c r="N35" s="3">
        <v>8.6999999999999993</v>
      </c>
      <c r="O35" s="3">
        <v>1.4</v>
      </c>
    </row>
    <row r="36" spans="2:17" ht="17.399999999999999">
      <c r="C36" t="s">
        <v>133</v>
      </c>
      <c r="E36">
        <v>8.6999999999999993</v>
      </c>
      <c r="F36" s="55">
        <f t="shared" si="2"/>
        <v>6.5250000000000004</v>
      </c>
      <c r="H36" s="114" t="s">
        <v>59</v>
      </c>
      <c r="I36" s="3">
        <v>12</v>
      </c>
      <c r="J36" s="3">
        <v>91</v>
      </c>
      <c r="K36" s="3">
        <v>14</v>
      </c>
      <c r="L36" s="3">
        <v>0</v>
      </c>
      <c r="M36" s="3">
        <v>0</v>
      </c>
      <c r="N36" s="3">
        <v>0</v>
      </c>
      <c r="O36" s="3">
        <v>0</v>
      </c>
    </row>
    <row r="37" spans="2:17" ht="17.399999999999999">
      <c r="C37" t="s">
        <v>120</v>
      </c>
      <c r="E37">
        <v>1.4</v>
      </c>
      <c r="F37" s="55">
        <f t="shared" si="2"/>
        <v>1.05</v>
      </c>
      <c r="H37" s="114" t="s">
        <v>363</v>
      </c>
      <c r="I37" s="3">
        <v>40</v>
      </c>
      <c r="J37" s="3">
        <v>10.71</v>
      </c>
      <c r="K37" s="3"/>
      <c r="L37" s="3"/>
      <c r="M37" s="3"/>
      <c r="N37" s="3">
        <v>28.57</v>
      </c>
      <c r="O37" s="3">
        <v>1.6</v>
      </c>
    </row>
    <row r="38" spans="2:17" ht="17.399999999999999">
      <c r="H38" s="114" t="s">
        <v>13</v>
      </c>
      <c r="I38" s="3">
        <v>25</v>
      </c>
      <c r="J38" s="3">
        <v>0.2</v>
      </c>
      <c r="K38" s="3">
        <v>0</v>
      </c>
      <c r="L38" s="3">
        <v>3.1</v>
      </c>
      <c r="M38" s="3">
        <v>0</v>
      </c>
      <c r="N38" s="3">
        <v>0.9</v>
      </c>
      <c r="O38" s="3">
        <v>0</v>
      </c>
    </row>
    <row r="39" spans="2:17" ht="15.75" customHeight="1">
      <c r="C39" s="67" t="s">
        <v>59</v>
      </c>
      <c r="E39" t="s">
        <v>212</v>
      </c>
      <c r="F39" t="s">
        <v>291</v>
      </c>
    </row>
    <row r="40" spans="2:17" ht="43.2">
      <c r="C40" t="s">
        <v>142</v>
      </c>
      <c r="E40">
        <v>91</v>
      </c>
      <c r="F40">
        <f t="shared" ref="F40:F45" si="3">$E40*12/100</f>
        <v>10.92</v>
      </c>
      <c r="H40" s="202" t="s">
        <v>0</v>
      </c>
      <c r="I40" s="204" t="s">
        <v>229</v>
      </c>
      <c r="J40" s="70" t="s">
        <v>217</v>
      </c>
      <c r="K40" s="70" t="s">
        <v>226</v>
      </c>
      <c r="L40" s="70" t="s">
        <v>118</v>
      </c>
      <c r="M40" s="70" t="s">
        <v>143</v>
      </c>
      <c r="N40" s="70" t="s">
        <v>227</v>
      </c>
      <c r="O40" s="70" t="s">
        <v>120</v>
      </c>
      <c r="P40" s="191" t="s">
        <v>230</v>
      </c>
      <c r="Q40" s="192"/>
    </row>
    <row r="41" spans="2:17">
      <c r="C41" t="s">
        <v>119</v>
      </c>
      <c r="E41">
        <v>14</v>
      </c>
      <c r="F41">
        <f t="shared" si="3"/>
        <v>1.68</v>
      </c>
      <c r="H41" s="203"/>
      <c r="I41" s="205"/>
      <c r="J41" s="129" t="s">
        <v>218</v>
      </c>
      <c r="K41" s="129" t="s">
        <v>219</v>
      </c>
      <c r="L41" s="129" t="s">
        <v>220</v>
      </c>
      <c r="M41" s="129" t="s">
        <v>221</v>
      </c>
      <c r="N41" s="129" t="s">
        <v>222</v>
      </c>
      <c r="O41" s="129" t="s">
        <v>223</v>
      </c>
      <c r="P41" s="129" t="s">
        <v>231</v>
      </c>
      <c r="Q41" s="129" t="s">
        <v>231</v>
      </c>
    </row>
    <row r="42" spans="2:17">
      <c r="C42" t="s">
        <v>118</v>
      </c>
      <c r="E42">
        <v>0</v>
      </c>
      <c r="F42">
        <f t="shared" si="3"/>
        <v>0</v>
      </c>
      <c r="H42" s="203"/>
      <c r="I42" s="205"/>
      <c r="J42" s="77" t="s">
        <v>224</v>
      </c>
      <c r="K42" s="77" t="s">
        <v>224</v>
      </c>
      <c r="L42" s="77" t="s">
        <v>224</v>
      </c>
      <c r="M42" s="77" t="s">
        <v>224</v>
      </c>
      <c r="N42" s="77" t="s">
        <v>224</v>
      </c>
      <c r="O42" s="77" t="s">
        <v>224</v>
      </c>
      <c r="P42" s="77" t="s">
        <v>232</v>
      </c>
      <c r="Q42" s="77" t="s">
        <v>233</v>
      </c>
    </row>
    <row r="43" spans="2:17" ht="17.399999999999999">
      <c r="C43" t="s">
        <v>143</v>
      </c>
      <c r="E43">
        <v>0</v>
      </c>
      <c r="F43">
        <f t="shared" si="3"/>
        <v>0</v>
      </c>
      <c r="H43" s="188" t="s">
        <v>183</v>
      </c>
      <c r="I43" s="188"/>
      <c r="J43" s="78">
        <f>$J35*$I35/175</f>
        <v>1.4571428571428571</v>
      </c>
      <c r="K43" s="78">
        <f>$K35*$I35/175</f>
        <v>0.47142857142857142</v>
      </c>
      <c r="L43" s="78">
        <f>$L35*$I35/175</f>
        <v>20.571428571428573</v>
      </c>
      <c r="M43" s="78">
        <f>$M35*$I35/175</f>
        <v>1.2857142857142858</v>
      </c>
      <c r="N43" s="78">
        <f>$N35*$I35/175</f>
        <v>3.7285714285714286</v>
      </c>
      <c r="O43" s="78">
        <f>$O35*$I35/175</f>
        <v>0.6</v>
      </c>
      <c r="P43" s="3"/>
      <c r="Q43" s="3"/>
    </row>
    <row r="44" spans="2:17" ht="17.399999999999999">
      <c r="C44" t="s">
        <v>133</v>
      </c>
      <c r="E44">
        <v>0</v>
      </c>
      <c r="F44">
        <f t="shared" si="3"/>
        <v>0</v>
      </c>
      <c r="H44" s="188" t="s">
        <v>59</v>
      </c>
      <c r="I44" s="188"/>
      <c r="J44" s="78">
        <f>$J36*$I36/175</f>
        <v>6.24</v>
      </c>
      <c r="K44" s="78">
        <f>$K36*$I36/175</f>
        <v>0.96</v>
      </c>
      <c r="L44" s="78">
        <f>$L36*$I36/175</f>
        <v>0</v>
      </c>
      <c r="M44" s="78">
        <f>$M36*$I36/175</f>
        <v>0</v>
      </c>
      <c r="N44" s="78">
        <f>$N36*$I36/175</f>
        <v>0</v>
      </c>
      <c r="O44" s="78">
        <f>$O36*$I36/175</f>
        <v>0</v>
      </c>
      <c r="P44" s="3"/>
      <c r="Q44" s="3"/>
    </row>
    <row r="45" spans="2:17" ht="17.399999999999999">
      <c r="C45" t="s">
        <v>120</v>
      </c>
      <c r="E45">
        <v>0</v>
      </c>
      <c r="F45">
        <f t="shared" si="3"/>
        <v>0</v>
      </c>
      <c r="H45" s="188" t="s">
        <v>363</v>
      </c>
      <c r="I45" s="188"/>
      <c r="J45" s="78">
        <f>$J37*$I37/175</f>
        <v>2.4480000000000004</v>
      </c>
      <c r="K45" s="78">
        <f>$K37*$I37/175</f>
        <v>0</v>
      </c>
      <c r="L45" s="78">
        <f>$L37*$I37/175</f>
        <v>0</v>
      </c>
      <c r="M45" s="78">
        <f>$M37*$I37/175</f>
        <v>0</v>
      </c>
      <c r="N45" s="78">
        <f>$N37*$I37/175</f>
        <v>6.5302857142857142</v>
      </c>
      <c r="O45" s="78">
        <f>$O37*$I37/175</f>
        <v>0.36571428571428571</v>
      </c>
      <c r="P45" s="3"/>
      <c r="Q45" s="3"/>
    </row>
    <row r="46" spans="2:17" ht="17.399999999999999">
      <c r="H46" s="188" t="s">
        <v>13</v>
      </c>
      <c r="I46" s="188"/>
      <c r="J46" s="78">
        <f>$J38*$I38/175</f>
        <v>2.8571428571428571E-2</v>
      </c>
      <c r="K46" s="78">
        <f>$K38*$I38/175</f>
        <v>0</v>
      </c>
      <c r="L46" s="78">
        <f>$L38*$I38/175</f>
        <v>0.44285714285714284</v>
      </c>
      <c r="M46" s="78">
        <f>$M38*$I38/175</f>
        <v>0</v>
      </c>
      <c r="N46" s="78">
        <f>$N38*$I38/175</f>
        <v>0.12857142857142856</v>
      </c>
      <c r="O46" s="78">
        <f>$O38*$I38/175</f>
        <v>0</v>
      </c>
      <c r="P46" s="3"/>
      <c r="Q46" s="3"/>
    </row>
    <row r="47" spans="2:17" ht="30.75" customHeight="1">
      <c r="B47" t="s">
        <v>365</v>
      </c>
      <c r="C47" s="131" t="s">
        <v>363</v>
      </c>
      <c r="E47" t="s">
        <v>212</v>
      </c>
      <c r="F47" t="s">
        <v>366</v>
      </c>
      <c r="H47" s="189" t="s">
        <v>234</v>
      </c>
      <c r="I47" s="190"/>
      <c r="J47" s="85">
        <f t="shared" ref="J47:O47" si="4">SUM(J43:J46)</f>
        <v>10.173714285714286</v>
      </c>
      <c r="K47" s="84">
        <f t="shared" si="4"/>
        <v>1.4314285714285715</v>
      </c>
      <c r="L47" s="85">
        <f t="shared" si="4"/>
        <v>21.014285714285716</v>
      </c>
      <c r="M47" s="84">
        <f t="shared" si="4"/>
        <v>1.2857142857142858</v>
      </c>
      <c r="N47" s="84">
        <f t="shared" si="4"/>
        <v>10.38742857142857</v>
      </c>
      <c r="O47" s="84">
        <f t="shared" si="4"/>
        <v>0.96571428571428575</v>
      </c>
      <c r="P47" s="85">
        <f>17*N47+37*J47+17*L47</f>
        <v>910.25657142857153</v>
      </c>
      <c r="Q47" s="85">
        <f>4*N47+9*J47+4*L47</f>
        <v>217.17028571428574</v>
      </c>
    </row>
    <row r="48" spans="2:17">
      <c r="C48" t="s">
        <v>142</v>
      </c>
      <c r="E48">
        <v>10.71</v>
      </c>
      <c r="F48">
        <f t="shared" ref="F48:F53" si="5">$E48*40/100</f>
        <v>4.2840000000000007</v>
      </c>
    </row>
    <row r="49" spans="2:6">
      <c r="C49" t="s">
        <v>119</v>
      </c>
      <c r="F49">
        <f t="shared" si="5"/>
        <v>0</v>
      </c>
    </row>
    <row r="50" spans="2:6">
      <c r="C50" t="s">
        <v>118</v>
      </c>
      <c r="F50">
        <f t="shared" si="5"/>
        <v>0</v>
      </c>
    </row>
    <row r="51" spans="2:6">
      <c r="C51" t="s">
        <v>143</v>
      </c>
      <c r="F51">
        <f t="shared" si="5"/>
        <v>0</v>
      </c>
    </row>
    <row r="52" spans="2:6">
      <c r="C52" t="s">
        <v>133</v>
      </c>
      <c r="E52">
        <v>28.57</v>
      </c>
      <c r="F52">
        <f t="shared" si="5"/>
        <v>11.427999999999999</v>
      </c>
    </row>
    <row r="53" spans="2:6">
      <c r="C53" t="s">
        <v>120</v>
      </c>
      <c r="E53">
        <v>1.6</v>
      </c>
      <c r="F53">
        <f t="shared" si="5"/>
        <v>0.64</v>
      </c>
    </row>
    <row r="55" spans="2:6">
      <c r="B55" t="s">
        <v>271</v>
      </c>
      <c r="C55" s="67" t="s">
        <v>292</v>
      </c>
      <c r="E55" t="s">
        <v>212</v>
      </c>
      <c r="F55" t="s">
        <v>367</v>
      </c>
    </row>
    <row r="56" spans="2:6">
      <c r="C56" t="s">
        <v>142</v>
      </c>
      <c r="E56">
        <v>0.2</v>
      </c>
      <c r="F56">
        <f t="shared" ref="F56:F61" si="6">$E56*25/100</f>
        <v>0.05</v>
      </c>
    </row>
    <row r="57" spans="2:6">
      <c r="C57" t="s">
        <v>119</v>
      </c>
      <c r="F57">
        <f t="shared" si="6"/>
        <v>0</v>
      </c>
    </row>
    <row r="58" spans="2:6">
      <c r="C58" t="s">
        <v>118</v>
      </c>
      <c r="E58">
        <v>3.1</v>
      </c>
      <c r="F58">
        <f t="shared" si="6"/>
        <v>0.77500000000000002</v>
      </c>
    </row>
    <row r="59" spans="2:6">
      <c r="C59" t="s">
        <v>143</v>
      </c>
      <c r="F59">
        <f t="shared" si="6"/>
        <v>0</v>
      </c>
    </row>
    <row r="60" spans="2:6">
      <c r="C60" t="s">
        <v>133</v>
      </c>
      <c r="E60">
        <v>0.9</v>
      </c>
      <c r="F60">
        <f t="shared" si="6"/>
        <v>0.22500000000000001</v>
      </c>
    </row>
    <row r="61" spans="2:6">
      <c r="C61" t="s">
        <v>120</v>
      </c>
      <c r="F61">
        <f t="shared" si="6"/>
        <v>0</v>
      </c>
    </row>
  </sheetData>
  <mergeCells count="12">
    <mergeCell ref="P40:Q40"/>
    <mergeCell ref="H43:I43"/>
    <mergeCell ref="H44:I44"/>
    <mergeCell ref="H45:I45"/>
    <mergeCell ref="H46:I46"/>
    <mergeCell ref="H47:I47"/>
    <mergeCell ref="A1:G1"/>
    <mergeCell ref="J31:O31"/>
    <mergeCell ref="H32:H34"/>
    <mergeCell ref="I32:I33"/>
    <mergeCell ref="H40:H42"/>
    <mergeCell ref="I40:I4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D30" zoomScale="111" zoomScaleNormal="70" zoomScalePageLayoutView="70" workbookViewId="0">
      <selection activeCell="J38" sqref="J38:O38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5.5" bestFit="1" customWidth="1"/>
  </cols>
  <sheetData>
    <row r="1" spans="1:7" ht="31.05" customHeight="1">
      <c r="A1" s="193" t="s">
        <v>364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203.4">
      <c r="A3" s="114" t="s">
        <v>183</v>
      </c>
      <c r="B3" s="130" t="s">
        <v>95</v>
      </c>
      <c r="C3" s="3">
        <v>75</v>
      </c>
      <c r="D3" s="85">
        <f>$C3*100/157</f>
        <v>47.770700636942678</v>
      </c>
      <c r="E3" s="4" t="s">
        <v>190</v>
      </c>
      <c r="F3" s="6" t="s">
        <v>177</v>
      </c>
      <c r="G3" s="6" t="s">
        <v>178</v>
      </c>
    </row>
    <row r="4" spans="1:7" ht="17.399999999999999">
      <c r="A4" s="114" t="s">
        <v>59</v>
      </c>
      <c r="B4" s="130" t="s">
        <v>128</v>
      </c>
      <c r="C4" s="3">
        <v>12</v>
      </c>
      <c r="D4" s="85">
        <f>$C4*100/157</f>
        <v>7.6433121019108281</v>
      </c>
      <c r="E4" s="5"/>
      <c r="F4" s="6"/>
      <c r="G4" s="3"/>
    </row>
    <row r="5" spans="1:7" ht="17.399999999999999">
      <c r="A5" s="114" t="s">
        <v>363</v>
      </c>
      <c r="B5" s="22"/>
      <c r="C5" s="3">
        <v>40</v>
      </c>
      <c r="D5" s="85">
        <f>$C5*100/157</f>
        <v>25.477707006369428</v>
      </c>
      <c r="E5" s="38"/>
      <c r="F5" s="3"/>
      <c r="G5" s="3"/>
    </row>
    <row r="6" spans="1:7" ht="17.399999999999999">
      <c r="A6" s="114" t="s">
        <v>13</v>
      </c>
      <c r="B6" s="12"/>
      <c r="C6" s="3">
        <v>25</v>
      </c>
      <c r="D6" s="85">
        <f>$C6*100/157</f>
        <v>15.923566878980891</v>
      </c>
      <c r="E6" s="33"/>
      <c r="F6" s="3"/>
      <c r="G6" s="3"/>
    </row>
    <row r="7" spans="1:7" ht="17.399999999999999">
      <c r="A7" s="114" t="s">
        <v>65</v>
      </c>
      <c r="B7" s="9"/>
      <c r="C7" s="3">
        <v>5</v>
      </c>
      <c r="D7" s="85">
        <f>$C7*100/157</f>
        <v>3.1847133757961785</v>
      </c>
      <c r="E7" s="23"/>
      <c r="F7" s="3"/>
      <c r="G7" s="3"/>
    </row>
    <row r="8" spans="1:7" ht="43.95" customHeight="1">
      <c r="C8" s="60">
        <f>SUM(C3:C7)</f>
        <v>157</v>
      </c>
      <c r="D8">
        <f>SUM(D3:D7)</f>
        <v>100</v>
      </c>
      <c r="E8" t="s">
        <v>362</v>
      </c>
    </row>
    <row r="21" spans="3:15">
      <c r="D21" s="7"/>
    </row>
    <row r="22" spans="3:15">
      <c r="D22" s="7"/>
      <c r="F22" s="55" t="s">
        <v>333</v>
      </c>
      <c r="G22" t="s">
        <v>291</v>
      </c>
      <c r="H22" t="s">
        <v>366</v>
      </c>
      <c r="I22" t="s">
        <v>367</v>
      </c>
      <c r="J22" t="s">
        <v>287</v>
      </c>
      <c r="K22" s="65" t="s">
        <v>155</v>
      </c>
    </row>
    <row r="23" spans="3:15">
      <c r="C23" t="s">
        <v>142</v>
      </c>
      <c r="F23" s="55">
        <v>2.625</v>
      </c>
      <c r="G23">
        <v>10.92</v>
      </c>
      <c r="H23">
        <v>4.2840000000000007</v>
      </c>
      <c r="I23">
        <v>0.05</v>
      </c>
      <c r="J23" s="55">
        <f t="shared" ref="J23:J28" si="0">SUM(F23:I23)</f>
        <v>17.879000000000001</v>
      </c>
      <c r="K23" s="55">
        <f t="shared" ref="K23:K28" si="1">$J23*100/175</f>
        <v>10.216571428571429</v>
      </c>
    </row>
    <row r="24" spans="3:15">
      <c r="C24" t="s">
        <v>119</v>
      </c>
      <c r="F24" s="55">
        <v>0.9</v>
      </c>
      <c r="G24">
        <v>1.68</v>
      </c>
      <c r="H24">
        <v>0</v>
      </c>
      <c r="I24">
        <v>0</v>
      </c>
      <c r="J24" s="55">
        <f t="shared" si="0"/>
        <v>2.58</v>
      </c>
      <c r="K24" s="55">
        <f t="shared" si="1"/>
        <v>1.4742857142857142</v>
      </c>
    </row>
    <row r="25" spans="3:15">
      <c r="C25" t="s">
        <v>118</v>
      </c>
      <c r="F25" s="55">
        <v>31.5</v>
      </c>
      <c r="G25">
        <v>0</v>
      </c>
      <c r="H25">
        <v>0</v>
      </c>
      <c r="I25">
        <v>0.77500000000000002</v>
      </c>
      <c r="J25" s="55">
        <f t="shared" si="0"/>
        <v>32.274999999999999</v>
      </c>
      <c r="K25" s="55">
        <f t="shared" si="1"/>
        <v>18.442857142857143</v>
      </c>
    </row>
    <row r="26" spans="3:15">
      <c r="C26" t="s">
        <v>143</v>
      </c>
      <c r="F26" s="55">
        <v>1.875</v>
      </c>
      <c r="G26">
        <v>0</v>
      </c>
      <c r="H26">
        <v>0</v>
      </c>
      <c r="I26">
        <v>0</v>
      </c>
      <c r="J26" s="55">
        <f t="shared" si="0"/>
        <v>1.875</v>
      </c>
      <c r="K26" s="55">
        <f t="shared" si="1"/>
        <v>1.0714285714285714</v>
      </c>
    </row>
    <row r="27" spans="3:15">
      <c r="C27" t="s">
        <v>133</v>
      </c>
      <c r="F27" s="55">
        <v>7.4249999999999998</v>
      </c>
      <c r="G27">
        <v>0</v>
      </c>
      <c r="H27">
        <v>11.427999999999999</v>
      </c>
      <c r="I27">
        <v>0.22500000000000001</v>
      </c>
      <c r="J27" s="55">
        <f t="shared" si="0"/>
        <v>19.077999999999999</v>
      </c>
      <c r="K27" s="55">
        <f t="shared" si="1"/>
        <v>10.901714285714286</v>
      </c>
    </row>
    <row r="28" spans="3:15">
      <c r="C28" t="s">
        <v>120</v>
      </c>
      <c r="F28" s="55">
        <v>0.97499999999999998</v>
      </c>
      <c r="G28">
        <v>0</v>
      </c>
      <c r="H28">
        <v>0.64</v>
      </c>
      <c r="I28">
        <v>0</v>
      </c>
      <c r="J28" s="55">
        <f t="shared" si="0"/>
        <v>1.615</v>
      </c>
      <c r="K28" s="55">
        <f t="shared" si="1"/>
        <v>0.92285714285714282</v>
      </c>
    </row>
    <row r="31" spans="3:15">
      <c r="C31" s="102" t="s">
        <v>332</v>
      </c>
      <c r="E31" t="s">
        <v>212</v>
      </c>
      <c r="F31" t="s">
        <v>282</v>
      </c>
      <c r="H31" s="98"/>
      <c r="I31" s="98"/>
      <c r="J31" s="245" t="s">
        <v>228</v>
      </c>
      <c r="K31" s="245"/>
      <c r="L31" s="245"/>
      <c r="M31" s="245"/>
      <c r="N31" s="245"/>
      <c r="O31" s="245"/>
    </row>
    <row r="32" spans="3:15" ht="43.2">
      <c r="C32" t="s">
        <v>142</v>
      </c>
      <c r="E32">
        <v>3.5</v>
      </c>
      <c r="F32" s="55">
        <f t="shared" ref="F32:F37" si="2">$E32*75/100</f>
        <v>2.625</v>
      </c>
      <c r="H32" s="242" t="s">
        <v>216</v>
      </c>
      <c r="I32" s="246" t="s">
        <v>225</v>
      </c>
      <c r="J32" s="70" t="s">
        <v>217</v>
      </c>
      <c r="K32" s="70" t="s">
        <v>226</v>
      </c>
      <c r="L32" s="70" t="s">
        <v>118</v>
      </c>
      <c r="M32" s="70" t="s">
        <v>143</v>
      </c>
      <c r="N32" s="70" t="s">
        <v>227</v>
      </c>
      <c r="O32" s="70" t="s">
        <v>120</v>
      </c>
    </row>
    <row r="33" spans="2:17">
      <c r="C33" t="s">
        <v>119</v>
      </c>
      <c r="E33">
        <v>1.2</v>
      </c>
      <c r="F33" s="55">
        <f t="shared" si="2"/>
        <v>0.9</v>
      </c>
      <c r="H33" s="242"/>
      <c r="I33" s="246"/>
      <c r="J33" s="129" t="s">
        <v>218</v>
      </c>
      <c r="K33" s="129" t="s">
        <v>219</v>
      </c>
      <c r="L33" s="129" t="s">
        <v>220</v>
      </c>
      <c r="M33" s="129" t="s">
        <v>221</v>
      </c>
      <c r="N33" s="129" t="s">
        <v>222</v>
      </c>
      <c r="O33" s="129" t="s">
        <v>223</v>
      </c>
    </row>
    <row r="34" spans="2:17">
      <c r="C34" t="s">
        <v>118</v>
      </c>
      <c r="E34">
        <v>42</v>
      </c>
      <c r="F34" s="55">
        <f t="shared" si="2"/>
        <v>31.5</v>
      </c>
      <c r="H34" s="242"/>
      <c r="I34" s="116" t="s">
        <v>224</v>
      </c>
      <c r="J34" s="129" t="s">
        <v>224</v>
      </c>
      <c r="K34" s="129" t="s">
        <v>224</v>
      </c>
      <c r="L34" s="129" t="s">
        <v>224</v>
      </c>
      <c r="M34" s="129" t="s">
        <v>224</v>
      </c>
      <c r="N34" s="129" t="s">
        <v>224</v>
      </c>
      <c r="O34" s="129" t="s">
        <v>224</v>
      </c>
    </row>
    <row r="35" spans="2:17" ht="17.399999999999999">
      <c r="C35" t="s">
        <v>143</v>
      </c>
      <c r="E35">
        <v>2.5</v>
      </c>
      <c r="F35" s="55">
        <f t="shared" si="2"/>
        <v>1.875</v>
      </c>
      <c r="H35" s="114" t="s">
        <v>184</v>
      </c>
      <c r="I35" s="3">
        <v>75</v>
      </c>
      <c r="J35" s="3">
        <v>3.5</v>
      </c>
      <c r="K35" s="3">
        <v>1.2</v>
      </c>
      <c r="L35" s="3">
        <v>42</v>
      </c>
      <c r="M35" s="3">
        <v>2.5</v>
      </c>
      <c r="N35" s="3">
        <v>9.9</v>
      </c>
      <c r="O35" s="3">
        <v>1.3</v>
      </c>
    </row>
    <row r="36" spans="2:17" ht="17.399999999999999">
      <c r="C36" t="s">
        <v>133</v>
      </c>
      <c r="E36">
        <v>9.9</v>
      </c>
      <c r="F36" s="55">
        <f t="shared" si="2"/>
        <v>7.4249999999999998</v>
      </c>
      <c r="H36" s="114" t="s">
        <v>59</v>
      </c>
      <c r="I36" s="3">
        <v>12</v>
      </c>
      <c r="J36" s="3">
        <v>91</v>
      </c>
      <c r="K36" s="3">
        <v>14</v>
      </c>
      <c r="L36" s="3">
        <v>0</v>
      </c>
      <c r="M36" s="3">
        <v>0</v>
      </c>
      <c r="N36" s="3">
        <v>0</v>
      </c>
      <c r="O36" s="3">
        <v>0</v>
      </c>
    </row>
    <row r="37" spans="2:17" ht="17.399999999999999">
      <c r="C37" t="s">
        <v>120</v>
      </c>
      <c r="E37">
        <v>1.3</v>
      </c>
      <c r="F37" s="55">
        <f t="shared" si="2"/>
        <v>0.97499999999999998</v>
      </c>
      <c r="H37" s="114" t="s">
        <v>363</v>
      </c>
      <c r="I37" s="3">
        <v>40</v>
      </c>
      <c r="J37" s="3">
        <v>10.71</v>
      </c>
      <c r="K37" s="3"/>
      <c r="L37" s="3"/>
      <c r="M37" s="3"/>
      <c r="N37" s="3">
        <v>28.57</v>
      </c>
      <c r="O37" s="3">
        <v>1.6</v>
      </c>
    </row>
    <row r="38" spans="2:17" ht="17.399999999999999">
      <c r="H38" s="114" t="s">
        <v>13</v>
      </c>
      <c r="I38" s="3">
        <v>25</v>
      </c>
      <c r="J38" s="3">
        <v>0.2</v>
      </c>
      <c r="K38" s="3">
        <v>0</v>
      </c>
      <c r="L38" s="3">
        <v>3.1</v>
      </c>
      <c r="M38" s="3">
        <v>0</v>
      </c>
      <c r="N38" s="3">
        <v>0.9</v>
      </c>
      <c r="O38" s="3">
        <v>0</v>
      </c>
    </row>
    <row r="39" spans="2:17" ht="15.75" customHeight="1">
      <c r="C39" s="67" t="s">
        <v>59</v>
      </c>
      <c r="E39" t="s">
        <v>212</v>
      </c>
      <c r="F39" t="s">
        <v>291</v>
      </c>
    </row>
    <row r="40" spans="2:17" ht="43.2">
      <c r="C40" t="s">
        <v>142</v>
      </c>
      <c r="E40">
        <v>91</v>
      </c>
      <c r="F40">
        <f t="shared" ref="F40:F45" si="3">$E40*12/100</f>
        <v>10.92</v>
      </c>
      <c r="H40" s="202" t="s">
        <v>0</v>
      </c>
      <c r="I40" s="204" t="s">
        <v>229</v>
      </c>
      <c r="J40" s="70" t="s">
        <v>217</v>
      </c>
      <c r="K40" s="70" t="s">
        <v>226</v>
      </c>
      <c r="L40" s="70" t="s">
        <v>118</v>
      </c>
      <c r="M40" s="70" t="s">
        <v>143</v>
      </c>
      <c r="N40" s="70" t="s">
        <v>227</v>
      </c>
      <c r="O40" s="70" t="s">
        <v>120</v>
      </c>
      <c r="P40" s="191" t="s">
        <v>230</v>
      </c>
      <c r="Q40" s="192"/>
    </row>
    <row r="41" spans="2:17">
      <c r="C41" t="s">
        <v>119</v>
      </c>
      <c r="E41">
        <v>14</v>
      </c>
      <c r="F41">
        <f t="shared" si="3"/>
        <v>1.68</v>
      </c>
      <c r="H41" s="203"/>
      <c r="I41" s="205"/>
      <c r="J41" s="129" t="s">
        <v>218</v>
      </c>
      <c r="K41" s="129" t="s">
        <v>219</v>
      </c>
      <c r="L41" s="129" t="s">
        <v>220</v>
      </c>
      <c r="M41" s="129" t="s">
        <v>221</v>
      </c>
      <c r="N41" s="129" t="s">
        <v>222</v>
      </c>
      <c r="O41" s="129" t="s">
        <v>223</v>
      </c>
      <c r="P41" s="129" t="s">
        <v>231</v>
      </c>
      <c r="Q41" s="129" t="s">
        <v>231</v>
      </c>
    </row>
    <row r="42" spans="2:17">
      <c r="C42" t="s">
        <v>118</v>
      </c>
      <c r="E42">
        <v>0</v>
      </c>
      <c r="F42">
        <f t="shared" si="3"/>
        <v>0</v>
      </c>
      <c r="H42" s="203"/>
      <c r="I42" s="205"/>
      <c r="J42" s="77" t="s">
        <v>224</v>
      </c>
      <c r="K42" s="77" t="s">
        <v>224</v>
      </c>
      <c r="L42" s="77" t="s">
        <v>224</v>
      </c>
      <c r="M42" s="77" t="s">
        <v>224</v>
      </c>
      <c r="N42" s="77" t="s">
        <v>224</v>
      </c>
      <c r="O42" s="77" t="s">
        <v>224</v>
      </c>
      <c r="P42" s="77" t="s">
        <v>232</v>
      </c>
      <c r="Q42" s="77" t="s">
        <v>233</v>
      </c>
    </row>
    <row r="43" spans="2:17" ht="17.399999999999999">
      <c r="C43" t="s">
        <v>143</v>
      </c>
      <c r="E43">
        <v>0</v>
      </c>
      <c r="F43">
        <f t="shared" si="3"/>
        <v>0</v>
      </c>
      <c r="H43" s="188" t="s">
        <v>184</v>
      </c>
      <c r="I43" s="188"/>
      <c r="J43" s="78">
        <f>$J35*$I35/175</f>
        <v>1.5</v>
      </c>
      <c r="K43" s="78">
        <f>$K35*$I35/175</f>
        <v>0.51428571428571423</v>
      </c>
      <c r="L43" s="78">
        <f>$L35*$I35/175</f>
        <v>18</v>
      </c>
      <c r="M43" s="78">
        <f>$M35*$I35/175</f>
        <v>1.0714285714285714</v>
      </c>
      <c r="N43" s="78">
        <f>$N35*$I35/175</f>
        <v>4.2428571428571429</v>
      </c>
      <c r="O43" s="78">
        <f>$O35*$I35/175</f>
        <v>0.55714285714285716</v>
      </c>
      <c r="P43" s="3"/>
      <c r="Q43" s="3"/>
    </row>
    <row r="44" spans="2:17" ht="17.399999999999999">
      <c r="C44" t="s">
        <v>133</v>
      </c>
      <c r="E44">
        <v>0</v>
      </c>
      <c r="F44">
        <f t="shared" si="3"/>
        <v>0</v>
      </c>
      <c r="H44" s="188" t="s">
        <v>59</v>
      </c>
      <c r="I44" s="188"/>
      <c r="J44" s="78">
        <f>$J36*$I36/175</f>
        <v>6.24</v>
      </c>
      <c r="K44" s="78">
        <f>$K36*$I36/175</f>
        <v>0.96</v>
      </c>
      <c r="L44" s="78">
        <f>$L36*$I36/175</f>
        <v>0</v>
      </c>
      <c r="M44" s="78">
        <f>$M36*$I36/175</f>
        <v>0</v>
      </c>
      <c r="N44" s="78">
        <f>$N36*$I36/175</f>
        <v>0</v>
      </c>
      <c r="O44" s="78">
        <f>$O36*$I36/175</f>
        <v>0</v>
      </c>
      <c r="P44" s="3"/>
      <c r="Q44" s="3"/>
    </row>
    <row r="45" spans="2:17" ht="17.399999999999999">
      <c r="C45" t="s">
        <v>120</v>
      </c>
      <c r="E45">
        <v>0</v>
      </c>
      <c r="F45">
        <f t="shared" si="3"/>
        <v>0</v>
      </c>
      <c r="H45" s="188" t="s">
        <v>363</v>
      </c>
      <c r="I45" s="188"/>
      <c r="J45" s="78">
        <f>$J37*$I37/175</f>
        <v>2.4480000000000004</v>
      </c>
      <c r="K45" s="78">
        <f>$K37*$I37/175</f>
        <v>0</v>
      </c>
      <c r="L45" s="78">
        <f>$L37*$I37/175</f>
        <v>0</v>
      </c>
      <c r="M45" s="78">
        <f>$M37*$I37/175</f>
        <v>0</v>
      </c>
      <c r="N45" s="78">
        <f>$N37*$I37/175</f>
        <v>6.5302857142857142</v>
      </c>
      <c r="O45" s="78">
        <f>$O37*$I37/175</f>
        <v>0.36571428571428571</v>
      </c>
      <c r="P45" s="3"/>
      <c r="Q45" s="3"/>
    </row>
    <row r="46" spans="2:17" ht="17.399999999999999">
      <c r="H46" s="188" t="s">
        <v>13</v>
      </c>
      <c r="I46" s="188"/>
      <c r="J46" s="78">
        <f>$J38*$I38/175</f>
        <v>2.8571428571428571E-2</v>
      </c>
      <c r="K46" s="78">
        <f>$K38*$I38/175</f>
        <v>0</v>
      </c>
      <c r="L46" s="78">
        <f>$L38*$I38/175</f>
        <v>0.44285714285714284</v>
      </c>
      <c r="M46" s="78">
        <f>$M38*$I38/175</f>
        <v>0</v>
      </c>
      <c r="N46" s="78">
        <f>$N38*$I38/175</f>
        <v>0.12857142857142856</v>
      </c>
      <c r="O46" s="78">
        <f>$O38*$I38/175</f>
        <v>0</v>
      </c>
      <c r="P46" s="3"/>
      <c r="Q46" s="3"/>
    </row>
    <row r="47" spans="2:17" ht="30.75" customHeight="1">
      <c r="B47" t="s">
        <v>365</v>
      </c>
      <c r="C47" s="131" t="s">
        <v>363</v>
      </c>
      <c r="E47" t="s">
        <v>212</v>
      </c>
      <c r="F47" t="s">
        <v>366</v>
      </c>
      <c r="H47" s="189" t="s">
        <v>234</v>
      </c>
      <c r="I47" s="190"/>
      <c r="J47" s="85">
        <f t="shared" ref="J47:O47" si="4">SUM(J43:J46)</f>
        <v>10.216571428571429</v>
      </c>
      <c r="K47" s="84">
        <f t="shared" si="4"/>
        <v>1.4742857142857142</v>
      </c>
      <c r="L47" s="85">
        <f t="shared" si="4"/>
        <v>18.442857142857143</v>
      </c>
      <c r="M47" s="84">
        <f t="shared" si="4"/>
        <v>1.0714285714285714</v>
      </c>
      <c r="N47" s="84">
        <f t="shared" si="4"/>
        <v>10.901714285714286</v>
      </c>
      <c r="O47" s="84">
        <f t="shared" si="4"/>
        <v>0.92285714285714282</v>
      </c>
      <c r="P47" s="85">
        <f>17*N47+37*J47+17*L47</f>
        <v>876.87085714285718</v>
      </c>
      <c r="Q47" s="85">
        <f>4*N47+9*J47+4*L47</f>
        <v>209.32742857142858</v>
      </c>
    </row>
    <row r="48" spans="2:17">
      <c r="C48" t="s">
        <v>142</v>
      </c>
      <c r="E48">
        <v>10.71</v>
      </c>
      <c r="F48">
        <f t="shared" ref="F48:F53" si="5">$E48*40/100</f>
        <v>4.2840000000000007</v>
      </c>
    </row>
    <row r="49" spans="2:6">
      <c r="C49" t="s">
        <v>119</v>
      </c>
      <c r="F49">
        <f t="shared" si="5"/>
        <v>0</v>
      </c>
    </row>
    <row r="50" spans="2:6">
      <c r="C50" t="s">
        <v>118</v>
      </c>
      <c r="F50">
        <f t="shared" si="5"/>
        <v>0</v>
      </c>
    </row>
    <row r="51" spans="2:6">
      <c r="C51" t="s">
        <v>143</v>
      </c>
      <c r="F51">
        <f t="shared" si="5"/>
        <v>0</v>
      </c>
    </row>
    <row r="52" spans="2:6">
      <c r="C52" t="s">
        <v>133</v>
      </c>
      <c r="E52">
        <v>28.57</v>
      </c>
      <c r="F52">
        <f t="shared" si="5"/>
        <v>11.427999999999999</v>
      </c>
    </row>
    <row r="53" spans="2:6">
      <c r="C53" t="s">
        <v>120</v>
      </c>
      <c r="E53">
        <v>1.6</v>
      </c>
      <c r="F53">
        <f t="shared" si="5"/>
        <v>0.64</v>
      </c>
    </row>
    <row r="55" spans="2:6">
      <c r="B55" t="s">
        <v>271</v>
      </c>
      <c r="C55" s="67" t="s">
        <v>292</v>
      </c>
      <c r="E55" t="s">
        <v>212</v>
      </c>
      <c r="F55" t="s">
        <v>367</v>
      </c>
    </row>
    <row r="56" spans="2:6">
      <c r="C56" t="s">
        <v>142</v>
      </c>
      <c r="E56">
        <v>0.2</v>
      </c>
      <c r="F56">
        <f t="shared" ref="F56:F61" si="6">$E56*25/100</f>
        <v>0.05</v>
      </c>
    </row>
    <row r="57" spans="2:6">
      <c r="C57" t="s">
        <v>119</v>
      </c>
      <c r="F57">
        <f t="shared" si="6"/>
        <v>0</v>
      </c>
    </row>
    <row r="58" spans="2:6">
      <c r="C58" t="s">
        <v>118</v>
      </c>
      <c r="E58">
        <v>3.1</v>
      </c>
      <c r="F58">
        <f t="shared" si="6"/>
        <v>0.77500000000000002</v>
      </c>
    </row>
    <row r="59" spans="2:6">
      <c r="C59" t="s">
        <v>143</v>
      </c>
      <c r="F59">
        <f t="shared" si="6"/>
        <v>0</v>
      </c>
    </row>
    <row r="60" spans="2:6">
      <c r="C60" t="s">
        <v>133</v>
      </c>
      <c r="E60">
        <v>0.9</v>
      </c>
      <c r="F60">
        <f t="shared" si="6"/>
        <v>0.22500000000000001</v>
      </c>
    </row>
    <row r="61" spans="2:6">
      <c r="C61" t="s">
        <v>120</v>
      </c>
      <c r="F61">
        <f t="shared" si="6"/>
        <v>0</v>
      </c>
    </row>
  </sheetData>
  <mergeCells count="12">
    <mergeCell ref="P40:Q40"/>
    <mergeCell ref="H43:I43"/>
    <mergeCell ref="H44:I44"/>
    <mergeCell ref="H45:I45"/>
    <mergeCell ref="H46:I46"/>
    <mergeCell ref="H47:I47"/>
    <mergeCell ref="A1:G1"/>
    <mergeCell ref="J31:O31"/>
    <mergeCell ref="H32:H34"/>
    <mergeCell ref="I32:I33"/>
    <mergeCell ref="H40:H42"/>
    <mergeCell ref="I40:I42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104" zoomScale="93" zoomScaleNormal="70" zoomScalePageLayoutView="70" workbookViewId="0">
      <selection activeCell="C118" sqref="C118:E123"/>
    </sheetView>
  </sheetViews>
  <sheetFormatPr defaultColWidth="11" defaultRowHeight="15.6"/>
  <cols>
    <col min="1" max="1" width="29" bestFit="1" customWidth="1"/>
    <col min="2" max="2" width="25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29.19921875" bestFit="1" customWidth="1"/>
  </cols>
  <sheetData>
    <row r="1" spans="1:7" ht="31.05" customHeight="1">
      <c r="A1" s="193" t="s">
        <v>193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78.599999999999994">
      <c r="A3" s="2" t="s">
        <v>72</v>
      </c>
      <c r="B3" s="37"/>
      <c r="C3" s="3">
        <v>25</v>
      </c>
      <c r="D3" s="3">
        <v>29</v>
      </c>
      <c r="E3" s="5" t="s">
        <v>191</v>
      </c>
      <c r="F3" s="6" t="s">
        <v>192</v>
      </c>
      <c r="G3" s="6"/>
    </row>
    <row r="4" spans="1:7" ht="109.8">
      <c r="A4" s="2" t="s">
        <v>10</v>
      </c>
      <c r="B4" s="37" t="s">
        <v>11</v>
      </c>
      <c r="C4" s="3">
        <v>5</v>
      </c>
      <c r="D4" s="3">
        <v>6</v>
      </c>
      <c r="E4" s="5" t="s">
        <v>197</v>
      </c>
      <c r="F4" s="6" t="s">
        <v>82</v>
      </c>
      <c r="G4" s="3"/>
    </row>
    <row r="5" spans="1:7" ht="17.399999999999999">
      <c r="A5" s="2" t="s">
        <v>12</v>
      </c>
      <c r="B5" s="12"/>
      <c r="C5" s="3">
        <v>2</v>
      </c>
      <c r="D5" s="3">
        <v>2</v>
      </c>
      <c r="E5" s="33"/>
      <c r="F5" s="3"/>
      <c r="G5" s="3"/>
    </row>
    <row r="6" spans="1:7" ht="78.599999999999994">
      <c r="A6" s="2" t="s">
        <v>36</v>
      </c>
      <c r="B6" s="12" t="s">
        <v>25</v>
      </c>
      <c r="C6" s="3">
        <v>35</v>
      </c>
      <c r="D6" s="3">
        <v>41</v>
      </c>
      <c r="E6" s="6" t="s">
        <v>37</v>
      </c>
      <c r="F6" s="3"/>
      <c r="G6" s="3"/>
    </row>
    <row r="7" spans="1:7" ht="17.399999999999999">
      <c r="A7" s="2" t="s">
        <v>13</v>
      </c>
      <c r="B7" s="9"/>
      <c r="C7" s="3">
        <v>10</v>
      </c>
      <c r="D7" s="3">
        <v>12</v>
      </c>
      <c r="E7" s="40"/>
      <c r="F7" s="3"/>
      <c r="G7" s="3"/>
    </row>
    <row r="8" spans="1:7" ht="17.399999999999999">
      <c r="A8" s="2" t="s">
        <v>35</v>
      </c>
      <c r="B8" s="9"/>
      <c r="C8" s="24">
        <v>8</v>
      </c>
      <c r="D8" s="3">
        <v>9</v>
      </c>
      <c r="E8" s="41"/>
      <c r="F8" s="3"/>
      <c r="G8" s="3"/>
    </row>
    <row r="9" spans="1:7" ht="17.399999999999999">
      <c r="A9" s="2" t="s">
        <v>130</v>
      </c>
      <c r="B9" s="9"/>
      <c r="C9" s="25">
        <v>0.5</v>
      </c>
      <c r="D9" s="3">
        <v>1</v>
      </c>
      <c r="E9" s="52"/>
      <c r="F9" s="3"/>
      <c r="G9" s="3"/>
    </row>
    <row r="10" spans="1:7" ht="43.95" customHeight="1">
      <c r="C10" s="60">
        <f>SUM(C3:C9)</f>
        <v>85.5</v>
      </c>
      <c r="D10">
        <f>SUM(D3:D9)</f>
        <v>100</v>
      </c>
      <c r="E10" t="s">
        <v>313</v>
      </c>
    </row>
    <row r="13" spans="1:7">
      <c r="A13" s="193" t="s">
        <v>195</v>
      </c>
      <c r="B13" s="239"/>
      <c r="C13" s="239"/>
      <c r="D13" s="239"/>
      <c r="E13" s="239"/>
      <c r="F13" s="239"/>
      <c r="G13" s="239"/>
    </row>
    <row r="14" spans="1:7" ht="17.399999999999999">
      <c r="A14" s="1" t="s">
        <v>0</v>
      </c>
      <c r="B14" s="1" t="s">
        <v>1</v>
      </c>
      <c r="C14" s="1" t="s">
        <v>4</v>
      </c>
      <c r="D14" s="1" t="s">
        <v>18</v>
      </c>
      <c r="E14" s="1" t="s">
        <v>5</v>
      </c>
      <c r="F14" s="1" t="s">
        <v>6</v>
      </c>
      <c r="G14" s="1" t="s">
        <v>7</v>
      </c>
    </row>
    <row r="15" spans="1:7" ht="78.599999999999994">
      <c r="A15" s="2" t="s">
        <v>72</v>
      </c>
      <c r="B15" s="37" t="s">
        <v>95</v>
      </c>
      <c r="C15" s="3">
        <v>25</v>
      </c>
      <c r="D15" s="3">
        <v>24</v>
      </c>
      <c r="E15" s="5" t="s">
        <v>191</v>
      </c>
      <c r="F15" s="6" t="s">
        <v>192</v>
      </c>
      <c r="G15" s="6"/>
    </row>
    <row r="16" spans="1:7" ht="141">
      <c r="A16" s="2" t="s">
        <v>73</v>
      </c>
      <c r="B16" s="37"/>
      <c r="C16" s="3">
        <v>45</v>
      </c>
      <c r="D16" s="3">
        <v>41</v>
      </c>
      <c r="E16" s="63" t="s">
        <v>196</v>
      </c>
      <c r="F16" s="6" t="s">
        <v>103</v>
      </c>
      <c r="G16" s="6" t="s">
        <v>194</v>
      </c>
    </row>
    <row r="17" spans="1:13" ht="47.4">
      <c r="A17" s="2" t="s">
        <v>39</v>
      </c>
      <c r="B17" s="12" t="s">
        <v>40</v>
      </c>
      <c r="C17" s="3">
        <v>18</v>
      </c>
      <c r="D17" s="3">
        <v>16</v>
      </c>
      <c r="E17" s="6" t="s">
        <v>85</v>
      </c>
      <c r="F17" s="3"/>
      <c r="G17" s="3"/>
    </row>
    <row r="18" spans="1:13" ht="31.2">
      <c r="A18" s="2" t="s">
        <v>43</v>
      </c>
      <c r="B18" s="37" t="s">
        <v>79</v>
      </c>
      <c r="C18" s="3">
        <v>5</v>
      </c>
      <c r="D18" s="3">
        <v>5</v>
      </c>
      <c r="E18" s="17" t="s">
        <v>117</v>
      </c>
      <c r="F18" s="3" t="s">
        <v>44</v>
      </c>
      <c r="G18" s="3"/>
    </row>
    <row r="19" spans="1:13" ht="17.399999999999999">
      <c r="A19" s="2" t="s">
        <v>14</v>
      </c>
      <c r="B19" s="9"/>
      <c r="C19" s="24">
        <v>10</v>
      </c>
      <c r="D19" s="3">
        <v>9.5</v>
      </c>
      <c r="E19" s="23"/>
      <c r="F19" s="3" t="s">
        <v>42</v>
      </c>
      <c r="G19" s="3"/>
    </row>
    <row r="20" spans="1:13" ht="47.4">
      <c r="A20" s="2" t="s">
        <v>55</v>
      </c>
      <c r="B20" s="9" t="s">
        <v>78</v>
      </c>
      <c r="C20" s="21">
        <v>4</v>
      </c>
      <c r="D20" s="21">
        <v>4</v>
      </c>
      <c r="E20" s="5" t="s">
        <v>198</v>
      </c>
      <c r="F20" s="21" t="s">
        <v>44</v>
      </c>
      <c r="G20" s="3"/>
    </row>
    <row r="21" spans="1:13" ht="17.399999999999999">
      <c r="A21" s="2" t="s">
        <v>130</v>
      </c>
      <c r="B21" s="9"/>
      <c r="C21" s="25">
        <v>0.5</v>
      </c>
      <c r="D21" s="3">
        <v>0.5</v>
      </c>
      <c r="E21" s="52"/>
      <c r="F21" s="3"/>
      <c r="G21" s="3"/>
    </row>
    <row r="22" spans="1:13">
      <c r="C22" s="60">
        <f>SUM(C15:C21)</f>
        <v>107.5</v>
      </c>
      <c r="D22">
        <f>SUM(D15:D21)</f>
        <v>100</v>
      </c>
    </row>
    <row r="23" spans="1:13">
      <c r="D23" s="7"/>
    </row>
    <row r="24" spans="1:13">
      <c r="C24" s="252" t="s">
        <v>320</v>
      </c>
      <c r="D24" s="252"/>
    </row>
    <row r="25" spans="1:13">
      <c r="D25" s="7"/>
      <c r="F25" s="55" t="s">
        <v>369</v>
      </c>
      <c r="G25" t="s">
        <v>315</v>
      </c>
      <c r="H25" t="s">
        <v>316</v>
      </c>
      <c r="I25" t="s">
        <v>317</v>
      </c>
      <c r="J25" t="s">
        <v>318</v>
      </c>
      <c r="K25" t="s">
        <v>319</v>
      </c>
      <c r="L25" t="s">
        <v>360</v>
      </c>
      <c r="M25" s="65" t="s">
        <v>155</v>
      </c>
    </row>
    <row r="26" spans="1:13">
      <c r="C26" t="s">
        <v>142</v>
      </c>
      <c r="F26" s="55">
        <v>0.4</v>
      </c>
      <c r="G26">
        <v>2.5649999999999999</v>
      </c>
      <c r="H26">
        <v>4.0000000000000001E-3</v>
      </c>
      <c r="I26">
        <v>0.56000000000000005</v>
      </c>
      <c r="J26">
        <v>0.02</v>
      </c>
      <c r="K26">
        <v>2.4E-2</v>
      </c>
      <c r="L26" s="55">
        <f t="shared" ref="L26:L31" si="0">SUM(F26:K26)</f>
        <v>3.573</v>
      </c>
      <c r="M26" s="55">
        <f t="shared" ref="M26:M31" si="1">L26*100/85</f>
        <v>4.2035294117647064</v>
      </c>
    </row>
    <row r="27" spans="1:13">
      <c r="C27" t="s">
        <v>119</v>
      </c>
      <c r="F27" s="55">
        <v>0</v>
      </c>
      <c r="G27">
        <v>0.20499999999999999</v>
      </c>
      <c r="H27">
        <v>0</v>
      </c>
      <c r="I27">
        <v>0.21</v>
      </c>
      <c r="J27">
        <v>0</v>
      </c>
      <c r="K27">
        <v>0</v>
      </c>
      <c r="L27" s="55">
        <f t="shared" si="0"/>
        <v>0.41499999999999998</v>
      </c>
      <c r="M27" s="55">
        <f t="shared" si="1"/>
        <v>0.48823529411764705</v>
      </c>
    </row>
    <row r="28" spans="1:13">
      <c r="C28" t="s">
        <v>118</v>
      </c>
      <c r="F28" s="55">
        <v>11.625</v>
      </c>
      <c r="G28">
        <v>0.25</v>
      </c>
      <c r="H28">
        <v>2.7999999999999997E-2</v>
      </c>
      <c r="I28">
        <v>1.19</v>
      </c>
      <c r="J28">
        <v>0.31</v>
      </c>
      <c r="K28">
        <v>0.20800000000000002</v>
      </c>
      <c r="L28" s="55">
        <f t="shared" si="0"/>
        <v>13.611000000000001</v>
      </c>
      <c r="M28" s="55">
        <f t="shared" si="1"/>
        <v>16.012941176470591</v>
      </c>
    </row>
    <row r="29" spans="1:13">
      <c r="C29" t="s">
        <v>143</v>
      </c>
      <c r="F29" s="55">
        <v>0</v>
      </c>
      <c r="G29">
        <v>0.15</v>
      </c>
      <c r="H29">
        <v>0</v>
      </c>
      <c r="I29">
        <v>0.17499999999999999</v>
      </c>
      <c r="J29">
        <v>0</v>
      </c>
      <c r="K29">
        <v>0</v>
      </c>
      <c r="L29" s="55">
        <f t="shared" si="0"/>
        <v>0.32499999999999996</v>
      </c>
      <c r="M29" s="55">
        <f t="shared" si="1"/>
        <v>0.38235294117647051</v>
      </c>
    </row>
    <row r="30" spans="1:13">
      <c r="C30" t="s">
        <v>133</v>
      </c>
      <c r="F30" s="55">
        <v>2.0750000000000002</v>
      </c>
      <c r="G30">
        <v>0.04</v>
      </c>
      <c r="H30">
        <v>2.6000000000000002E-2</v>
      </c>
      <c r="I30">
        <v>4.9000000000000004</v>
      </c>
      <c r="J30">
        <v>0.09</v>
      </c>
      <c r="K30">
        <v>7.2000000000000008E-2</v>
      </c>
      <c r="L30" s="55">
        <f t="shared" si="0"/>
        <v>7.2030000000000003</v>
      </c>
      <c r="M30" s="55">
        <f t="shared" si="1"/>
        <v>8.474117647058824</v>
      </c>
    </row>
    <row r="31" spans="1:13">
      <c r="C31" t="s">
        <v>120</v>
      </c>
      <c r="F31" s="55">
        <v>0.32500000000000001</v>
      </c>
      <c r="G31">
        <v>7.0000000000000007E-2</v>
      </c>
      <c r="H31">
        <v>0</v>
      </c>
      <c r="I31">
        <v>1.085</v>
      </c>
      <c r="J31">
        <v>0</v>
      </c>
      <c r="K31">
        <v>0</v>
      </c>
      <c r="L31" s="55">
        <f t="shared" si="0"/>
        <v>1.48</v>
      </c>
      <c r="M31" s="55">
        <f t="shared" si="1"/>
        <v>1.7411764705882353</v>
      </c>
    </row>
    <row r="34" spans="3:17">
      <c r="C34" s="132" t="s">
        <v>361</v>
      </c>
      <c r="E34" t="s">
        <v>212</v>
      </c>
      <c r="F34" t="s">
        <v>369</v>
      </c>
      <c r="H34" s="98"/>
      <c r="I34" s="98"/>
      <c r="J34" s="245" t="s">
        <v>228</v>
      </c>
      <c r="K34" s="245"/>
      <c r="L34" s="245"/>
      <c r="M34" s="245"/>
      <c r="N34" s="245"/>
      <c r="O34" s="245"/>
    </row>
    <row r="35" spans="3:17" ht="43.2">
      <c r="C35" t="s">
        <v>142</v>
      </c>
      <c r="E35">
        <v>1.6</v>
      </c>
      <c r="F35" s="55">
        <f t="shared" ref="F35:F40" si="2">$E35*25/100</f>
        <v>0.4</v>
      </c>
      <c r="H35" s="242" t="s">
        <v>216</v>
      </c>
      <c r="I35" s="246" t="s">
        <v>225</v>
      </c>
      <c r="J35" s="70" t="s">
        <v>217</v>
      </c>
      <c r="K35" s="70" t="s">
        <v>226</v>
      </c>
      <c r="L35" s="70" t="s">
        <v>118</v>
      </c>
      <c r="M35" s="70" t="s">
        <v>143</v>
      </c>
      <c r="N35" s="70" t="s">
        <v>227</v>
      </c>
      <c r="O35" s="70" t="s">
        <v>120</v>
      </c>
    </row>
    <row r="36" spans="3:17">
      <c r="C36" t="s">
        <v>119</v>
      </c>
      <c r="F36" s="55">
        <f t="shared" si="2"/>
        <v>0</v>
      </c>
      <c r="H36" s="242"/>
      <c r="I36" s="246"/>
      <c r="J36" s="129" t="s">
        <v>218</v>
      </c>
      <c r="K36" s="129" t="s">
        <v>219</v>
      </c>
      <c r="L36" s="129" t="s">
        <v>220</v>
      </c>
      <c r="M36" s="129" t="s">
        <v>221</v>
      </c>
      <c r="N36" s="129" t="s">
        <v>222</v>
      </c>
      <c r="O36" s="129" t="s">
        <v>223</v>
      </c>
    </row>
    <row r="37" spans="3:17">
      <c r="C37" t="s">
        <v>118</v>
      </c>
      <c r="E37">
        <v>46.5</v>
      </c>
      <c r="F37" s="55">
        <f t="shared" si="2"/>
        <v>11.625</v>
      </c>
      <c r="H37" s="242"/>
      <c r="I37" s="116" t="s">
        <v>224</v>
      </c>
      <c r="J37" s="129" t="s">
        <v>224</v>
      </c>
      <c r="K37" s="129" t="s">
        <v>224</v>
      </c>
      <c r="L37" s="129" t="s">
        <v>224</v>
      </c>
      <c r="M37" s="129" t="s">
        <v>224</v>
      </c>
      <c r="N37" s="129" t="s">
        <v>224</v>
      </c>
      <c r="O37" s="129" t="s">
        <v>224</v>
      </c>
    </row>
    <row r="38" spans="3:17" ht="17.399999999999999">
      <c r="C38" t="s">
        <v>143</v>
      </c>
      <c r="F38" s="55">
        <f t="shared" si="2"/>
        <v>0</v>
      </c>
      <c r="H38" s="114" t="s">
        <v>72</v>
      </c>
      <c r="I38" s="3">
        <v>25</v>
      </c>
      <c r="J38" s="3">
        <v>1.6</v>
      </c>
      <c r="K38" s="3"/>
      <c r="L38" s="3">
        <v>46.5</v>
      </c>
      <c r="M38" s="3"/>
      <c r="N38" s="3">
        <v>8.3000000000000007</v>
      </c>
      <c r="O38" s="3">
        <v>1.3</v>
      </c>
    </row>
    <row r="39" spans="3:17" ht="17.399999999999999">
      <c r="C39" t="s">
        <v>133</v>
      </c>
      <c r="E39">
        <v>8.3000000000000007</v>
      </c>
      <c r="F39" s="55">
        <f t="shared" si="2"/>
        <v>2.0750000000000002</v>
      </c>
      <c r="H39" s="114" t="s">
        <v>10</v>
      </c>
      <c r="I39" s="3">
        <v>5</v>
      </c>
      <c r="J39" s="18">
        <v>51.3</v>
      </c>
      <c r="K39" s="18">
        <v>4.0999999999999996</v>
      </c>
      <c r="L39" s="18">
        <v>5</v>
      </c>
      <c r="M39" s="18">
        <v>3</v>
      </c>
      <c r="N39" s="18">
        <v>0.8</v>
      </c>
      <c r="O39" s="18">
        <v>1.4</v>
      </c>
    </row>
    <row r="40" spans="3:17" ht="17.399999999999999">
      <c r="C40" t="s">
        <v>120</v>
      </c>
      <c r="E40">
        <v>1.3</v>
      </c>
      <c r="F40" s="55">
        <f t="shared" si="2"/>
        <v>0.32500000000000001</v>
      </c>
      <c r="H40" s="114" t="s">
        <v>12</v>
      </c>
      <c r="I40" s="3">
        <v>2</v>
      </c>
      <c r="J40" s="24">
        <v>0.25</v>
      </c>
      <c r="K40" s="24">
        <v>0</v>
      </c>
      <c r="L40" s="24">
        <v>1.4</v>
      </c>
      <c r="M40" s="24">
        <v>0</v>
      </c>
      <c r="N40" s="24">
        <v>1.3</v>
      </c>
      <c r="O40" s="24">
        <v>0</v>
      </c>
    </row>
    <row r="41" spans="3:17" ht="17.399999999999999">
      <c r="H41" s="114" t="s">
        <v>36</v>
      </c>
      <c r="I41" s="3">
        <v>35</v>
      </c>
      <c r="J41" s="3">
        <v>1.6</v>
      </c>
      <c r="K41" s="3">
        <v>0.6</v>
      </c>
      <c r="L41" s="3">
        <v>3.4</v>
      </c>
      <c r="M41" s="3">
        <v>0.5</v>
      </c>
      <c r="N41" s="3">
        <v>14</v>
      </c>
      <c r="O41" s="3">
        <v>3.1</v>
      </c>
    </row>
    <row r="42" spans="3:17" ht="17.399999999999999">
      <c r="C42" s="64" t="s">
        <v>151</v>
      </c>
      <c r="D42" s="54"/>
      <c r="F42" t="s">
        <v>315</v>
      </c>
      <c r="H42" s="114" t="s">
        <v>13</v>
      </c>
      <c r="I42" s="3">
        <v>10</v>
      </c>
      <c r="J42" s="3">
        <v>0.2</v>
      </c>
      <c r="K42" s="3">
        <v>0</v>
      </c>
      <c r="L42" s="3">
        <v>3.1</v>
      </c>
      <c r="M42" s="3">
        <v>0</v>
      </c>
      <c r="N42" s="3">
        <v>0.9</v>
      </c>
      <c r="O42" s="3">
        <v>0</v>
      </c>
    </row>
    <row r="43" spans="3:17" ht="17.399999999999999">
      <c r="C43" t="s">
        <v>142</v>
      </c>
      <c r="E43" s="56">
        <v>51.3</v>
      </c>
      <c r="F43" s="88">
        <f t="shared" ref="F43:F48" si="3">$E43*5/100</f>
        <v>2.5649999999999999</v>
      </c>
      <c r="H43" s="114" t="s">
        <v>35</v>
      </c>
      <c r="I43" s="24">
        <v>8</v>
      </c>
      <c r="J43" s="24">
        <v>0.3</v>
      </c>
      <c r="K43" s="3"/>
      <c r="L43" s="24">
        <v>2.6</v>
      </c>
      <c r="M43" s="3"/>
      <c r="N43" s="24">
        <v>0.8</v>
      </c>
      <c r="O43" s="3"/>
    </row>
    <row r="44" spans="3:17">
      <c r="C44" t="s">
        <v>119</v>
      </c>
      <c r="E44" s="56">
        <v>4.0999999999999996</v>
      </c>
      <c r="F44" s="88">
        <f t="shared" si="3"/>
        <v>0.20499999999999999</v>
      </c>
    </row>
    <row r="45" spans="3:17" ht="43.2">
      <c r="C45" t="s">
        <v>118</v>
      </c>
      <c r="E45" s="56">
        <v>5</v>
      </c>
      <c r="F45" s="88">
        <f t="shared" si="3"/>
        <v>0.25</v>
      </c>
      <c r="H45" s="254" t="s">
        <v>0</v>
      </c>
      <c r="I45" s="255" t="s">
        <v>229</v>
      </c>
      <c r="J45" s="103" t="s">
        <v>217</v>
      </c>
      <c r="K45" s="103" t="s">
        <v>226</v>
      </c>
      <c r="L45" s="103" t="s">
        <v>118</v>
      </c>
      <c r="M45" s="103" t="s">
        <v>143</v>
      </c>
      <c r="N45" s="103" t="s">
        <v>227</v>
      </c>
      <c r="O45" s="103" t="s">
        <v>120</v>
      </c>
      <c r="P45" s="191" t="s">
        <v>230</v>
      </c>
      <c r="Q45" s="191"/>
    </row>
    <row r="46" spans="3:17">
      <c r="C46" t="s">
        <v>143</v>
      </c>
      <c r="E46" s="56">
        <v>3</v>
      </c>
      <c r="F46" s="88">
        <f t="shared" si="3"/>
        <v>0.15</v>
      </c>
      <c r="H46" s="254"/>
      <c r="I46" s="255"/>
      <c r="J46" s="115" t="s">
        <v>218</v>
      </c>
      <c r="K46" s="115" t="s">
        <v>219</v>
      </c>
      <c r="L46" s="115" t="s">
        <v>220</v>
      </c>
      <c r="M46" s="115" t="s">
        <v>221</v>
      </c>
      <c r="N46" s="115" t="s">
        <v>222</v>
      </c>
      <c r="O46" s="115" t="s">
        <v>223</v>
      </c>
      <c r="P46" s="115" t="s">
        <v>231</v>
      </c>
      <c r="Q46" s="115" t="s">
        <v>231</v>
      </c>
    </row>
    <row r="47" spans="3:17">
      <c r="C47" t="s">
        <v>133</v>
      </c>
      <c r="E47" s="56">
        <v>0.8</v>
      </c>
      <c r="F47" s="88">
        <f t="shared" si="3"/>
        <v>0.04</v>
      </c>
      <c r="H47" s="254"/>
      <c r="I47" s="255"/>
      <c r="J47" s="115" t="s">
        <v>224</v>
      </c>
      <c r="K47" s="115" t="s">
        <v>224</v>
      </c>
      <c r="L47" s="115" t="s">
        <v>224</v>
      </c>
      <c r="M47" s="115" t="s">
        <v>224</v>
      </c>
      <c r="N47" s="115" t="s">
        <v>224</v>
      </c>
      <c r="O47" s="115" t="s">
        <v>224</v>
      </c>
      <c r="P47" s="115" t="s">
        <v>232</v>
      </c>
      <c r="Q47" s="115" t="s">
        <v>233</v>
      </c>
    </row>
    <row r="48" spans="3:17" ht="17.399999999999999">
      <c r="C48" t="s">
        <v>120</v>
      </c>
      <c r="E48" s="56">
        <v>1.4</v>
      </c>
      <c r="F48" s="88">
        <f t="shared" si="3"/>
        <v>7.0000000000000007E-2</v>
      </c>
      <c r="H48" s="188" t="s">
        <v>72</v>
      </c>
      <c r="I48" s="188"/>
      <c r="J48" s="78">
        <f t="shared" ref="J48:J53" si="4">$J38*$I38/85</f>
        <v>0.47058823529411764</v>
      </c>
      <c r="K48" s="78">
        <f t="shared" ref="K48:K53" si="5">$K38*$I38/85</f>
        <v>0</v>
      </c>
      <c r="L48" s="78">
        <f t="shared" ref="L48:L53" si="6">$L38*$I38/85</f>
        <v>13.676470588235293</v>
      </c>
      <c r="M48" s="78">
        <f t="shared" ref="M48:M53" si="7">$M38*$I38/85</f>
        <v>0</v>
      </c>
      <c r="N48" s="78">
        <f t="shared" ref="N48:N53" si="8">$N38*$I38/85</f>
        <v>2.4411764705882355</v>
      </c>
      <c r="O48" s="78">
        <f t="shared" ref="O48:O53" si="9">$O38*$I38/85</f>
        <v>0.38235294117647056</v>
      </c>
      <c r="P48" s="78"/>
      <c r="Q48" s="78"/>
    </row>
    <row r="49" spans="3:17" ht="17.399999999999999">
      <c r="H49" s="188" t="s">
        <v>10</v>
      </c>
      <c r="I49" s="188"/>
      <c r="J49" s="78">
        <f t="shared" si="4"/>
        <v>3.0176470588235293</v>
      </c>
      <c r="K49" s="78">
        <f t="shared" si="5"/>
        <v>0.2411764705882353</v>
      </c>
      <c r="L49" s="78">
        <f t="shared" si="6"/>
        <v>0.29411764705882354</v>
      </c>
      <c r="M49" s="78">
        <f t="shared" si="7"/>
        <v>0.17647058823529413</v>
      </c>
      <c r="N49" s="78">
        <f t="shared" si="8"/>
        <v>4.7058823529411764E-2</v>
      </c>
      <c r="O49" s="78">
        <f t="shared" si="9"/>
        <v>8.2352941176470587E-2</v>
      </c>
      <c r="P49" s="78"/>
      <c r="Q49" s="78"/>
    </row>
    <row r="50" spans="3:17" ht="17.399999999999999">
      <c r="C50" s="92" t="s">
        <v>149</v>
      </c>
      <c r="D50" s="93"/>
      <c r="E50" t="s">
        <v>212</v>
      </c>
      <c r="F50" t="s">
        <v>316</v>
      </c>
      <c r="H50" s="188" t="s">
        <v>12</v>
      </c>
      <c r="I50" s="188"/>
      <c r="J50" s="78">
        <f t="shared" si="4"/>
        <v>5.8823529411764705E-3</v>
      </c>
      <c r="K50" s="78">
        <f t="shared" si="5"/>
        <v>0</v>
      </c>
      <c r="L50" s="78">
        <f t="shared" si="6"/>
        <v>3.2941176470588231E-2</v>
      </c>
      <c r="M50" s="78">
        <f t="shared" si="7"/>
        <v>0</v>
      </c>
      <c r="N50" s="78">
        <f t="shared" si="8"/>
        <v>3.0588235294117649E-2</v>
      </c>
      <c r="O50" s="78">
        <f t="shared" si="9"/>
        <v>0</v>
      </c>
      <c r="P50" s="78"/>
      <c r="Q50" s="78"/>
    </row>
    <row r="51" spans="3:17" ht="17.399999999999999">
      <c r="C51" t="s">
        <v>142</v>
      </c>
      <c r="E51">
        <v>0.2</v>
      </c>
      <c r="F51" s="55">
        <f t="shared" ref="F51:F56" si="10">$E51*2/100</f>
        <v>4.0000000000000001E-3</v>
      </c>
      <c r="H51" s="188" t="s">
        <v>36</v>
      </c>
      <c r="I51" s="188"/>
      <c r="J51" s="78">
        <f t="shared" si="4"/>
        <v>0.6588235294117647</v>
      </c>
      <c r="K51" s="78">
        <f t="shared" si="5"/>
        <v>0.24705882352941178</v>
      </c>
      <c r="L51" s="78">
        <f t="shared" si="6"/>
        <v>1.4</v>
      </c>
      <c r="M51" s="78">
        <f t="shared" si="7"/>
        <v>0.20588235294117646</v>
      </c>
      <c r="N51" s="78">
        <f t="shared" si="8"/>
        <v>5.7647058823529411</v>
      </c>
      <c r="O51" s="78">
        <f t="shared" si="9"/>
        <v>1.276470588235294</v>
      </c>
      <c r="P51" s="78"/>
      <c r="Q51" s="78"/>
    </row>
    <row r="52" spans="3:17" ht="17.399999999999999">
      <c r="C52" t="s">
        <v>119</v>
      </c>
      <c r="E52">
        <v>0</v>
      </c>
      <c r="F52" s="55">
        <f t="shared" si="10"/>
        <v>0</v>
      </c>
      <c r="H52" s="188" t="s">
        <v>13</v>
      </c>
      <c r="I52" s="188"/>
      <c r="J52" s="78">
        <f t="shared" si="4"/>
        <v>2.3529411764705882E-2</v>
      </c>
      <c r="K52" s="78">
        <f t="shared" si="5"/>
        <v>0</v>
      </c>
      <c r="L52" s="78">
        <f t="shared" si="6"/>
        <v>0.36470588235294116</v>
      </c>
      <c r="M52" s="78">
        <f t="shared" si="7"/>
        <v>0</v>
      </c>
      <c r="N52" s="78">
        <f t="shared" si="8"/>
        <v>0.10588235294117647</v>
      </c>
      <c r="O52" s="78">
        <f t="shared" si="9"/>
        <v>0</v>
      </c>
      <c r="P52" s="78"/>
      <c r="Q52" s="78"/>
    </row>
    <row r="53" spans="3:17" ht="17.399999999999999">
      <c r="C53" t="s">
        <v>118</v>
      </c>
      <c r="E53">
        <v>1.4</v>
      </c>
      <c r="F53" s="55">
        <f t="shared" si="10"/>
        <v>2.7999999999999997E-2</v>
      </c>
      <c r="H53" s="188" t="s">
        <v>35</v>
      </c>
      <c r="I53" s="188"/>
      <c r="J53" s="78">
        <f t="shared" si="4"/>
        <v>2.8235294117647056E-2</v>
      </c>
      <c r="K53" s="78">
        <f t="shared" si="5"/>
        <v>0</v>
      </c>
      <c r="L53" s="78">
        <f t="shared" si="6"/>
        <v>0.24470588235294119</v>
      </c>
      <c r="M53" s="78">
        <f t="shared" si="7"/>
        <v>0</v>
      </c>
      <c r="N53" s="78">
        <f t="shared" si="8"/>
        <v>7.5294117647058831E-2</v>
      </c>
      <c r="O53" s="78">
        <f t="shared" si="9"/>
        <v>0</v>
      </c>
      <c r="P53" s="78"/>
      <c r="Q53" s="78"/>
    </row>
    <row r="54" spans="3:17" ht="34.049999999999997" customHeight="1">
      <c r="C54" t="s">
        <v>143</v>
      </c>
      <c r="E54">
        <v>0</v>
      </c>
      <c r="F54" s="55">
        <f t="shared" si="10"/>
        <v>0</v>
      </c>
      <c r="H54" s="235" t="s">
        <v>234</v>
      </c>
      <c r="I54" s="235"/>
      <c r="J54" s="85">
        <f t="shared" ref="J54:O54" si="11">SUM(J48:J53)</f>
        <v>4.2047058823529415</v>
      </c>
      <c r="K54" s="84">
        <f t="shared" si="11"/>
        <v>0.4882352941176471</v>
      </c>
      <c r="L54" s="85">
        <f t="shared" si="11"/>
        <v>16.012941176470591</v>
      </c>
      <c r="M54" s="84">
        <f t="shared" si="11"/>
        <v>0.38235294117647056</v>
      </c>
      <c r="N54" s="84">
        <f t="shared" si="11"/>
        <v>8.4647058823529413</v>
      </c>
      <c r="O54" s="84">
        <f t="shared" si="11"/>
        <v>1.7411764705882351</v>
      </c>
      <c r="P54" s="85">
        <f>17*N54+37*J54+17*L54</f>
        <v>571.69411764705887</v>
      </c>
      <c r="Q54" s="85">
        <f>4*N54+9*J54+4*L54</f>
        <v>135.75294117647059</v>
      </c>
    </row>
    <row r="55" spans="3:17">
      <c r="C55" t="s">
        <v>133</v>
      </c>
      <c r="E55">
        <v>1.3</v>
      </c>
      <c r="F55" s="55">
        <f t="shared" si="10"/>
        <v>2.6000000000000002E-2</v>
      </c>
    </row>
    <row r="56" spans="3:17">
      <c r="C56" t="s">
        <v>120</v>
      </c>
      <c r="E56">
        <v>0</v>
      </c>
      <c r="F56" s="55">
        <f t="shared" si="10"/>
        <v>0</v>
      </c>
    </row>
    <row r="58" spans="3:17">
      <c r="C58" s="67" t="s">
        <v>81</v>
      </c>
      <c r="F58" t="s">
        <v>317</v>
      </c>
    </row>
    <row r="59" spans="3:17">
      <c r="C59" t="s">
        <v>142</v>
      </c>
      <c r="E59">
        <v>1.6</v>
      </c>
      <c r="F59" s="55">
        <f t="shared" ref="F59:F64" si="12">$E59*35/100</f>
        <v>0.56000000000000005</v>
      </c>
    </row>
    <row r="60" spans="3:17">
      <c r="C60" t="s">
        <v>119</v>
      </c>
      <c r="E60">
        <v>0.6</v>
      </c>
      <c r="F60" s="55">
        <f t="shared" si="12"/>
        <v>0.21</v>
      </c>
    </row>
    <row r="61" spans="3:17">
      <c r="C61" t="s">
        <v>118</v>
      </c>
      <c r="E61">
        <v>3.4</v>
      </c>
      <c r="F61" s="55">
        <f t="shared" si="12"/>
        <v>1.19</v>
      </c>
    </row>
    <row r="62" spans="3:17">
      <c r="C62" t="s">
        <v>143</v>
      </c>
      <c r="E62">
        <v>0.5</v>
      </c>
      <c r="F62" s="55">
        <f t="shared" si="12"/>
        <v>0.17499999999999999</v>
      </c>
    </row>
    <row r="63" spans="3:17">
      <c r="C63" t="s">
        <v>133</v>
      </c>
      <c r="E63">
        <v>14</v>
      </c>
      <c r="F63" s="55">
        <f t="shared" si="12"/>
        <v>4.9000000000000004</v>
      </c>
    </row>
    <row r="64" spans="3:17">
      <c r="C64" t="s">
        <v>120</v>
      </c>
      <c r="E64">
        <v>3.1</v>
      </c>
      <c r="F64" s="55">
        <f t="shared" si="12"/>
        <v>1.085</v>
      </c>
    </row>
    <row r="66" spans="2:6">
      <c r="B66" t="s">
        <v>271</v>
      </c>
      <c r="C66" s="67" t="s">
        <v>292</v>
      </c>
      <c r="E66" t="s">
        <v>212</v>
      </c>
      <c r="F66" t="s">
        <v>318</v>
      </c>
    </row>
    <row r="67" spans="2:6">
      <c r="C67" t="s">
        <v>142</v>
      </c>
      <c r="E67">
        <v>0.2</v>
      </c>
      <c r="F67">
        <f t="shared" ref="F67:F72" si="13">$E67*10/100</f>
        <v>0.02</v>
      </c>
    </row>
    <row r="68" spans="2:6">
      <c r="C68" t="s">
        <v>119</v>
      </c>
      <c r="F68">
        <f t="shared" si="13"/>
        <v>0</v>
      </c>
    </row>
    <row r="69" spans="2:6">
      <c r="C69" t="s">
        <v>118</v>
      </c>
      <c r="E69">
        <v>3.1</v>
      </c>
      <c r="F69">
        <f t="shared" si="13"/>
        <v>0.31</v>
      </c>
    </row>
    <row r="70" spans="2:6">
      <c r="C70" t="s">
        <v>143</v>
      </c>
      <c r="F70">
        <f t="shared" si="13"/>
        <v>0</v>
      </c>
    </row>
    <row r="71" spans="2:6">
      <c r="C71" t="s">
        <v>133</v>
      </c>
      <c r="E71">
        <v>0.9</v>
      </c>
      <c r="F71">
        <f t="shared" si="13"/>
        <v>0.09</v>
      </c>
    </row>
    <row r="72" spans="2:6">
      <c r="C72" t="s">
        <v>120</v>
      </c>
      <c r="F72">
        <f t="shared" si="13"/>
        <v>0</v>
      </c>
    </row>
    <row r="74" spans="2:6">
      <c r="B74" t="s">
        <v>215</v>
      </c>
      <c r="C74" s="67" t="s">
        <v>52</v>
      </c>
      <c r="E74" t="s">
        <v>212</v>
      </c>
      <c r="F74" t="s">
        <v>319</v>
      </c>
    </row>
    <row r="75" spans="2:6">
      <c r="C75" t="s">
        <v>142</v>
      </c>
      <c r="E75" s="68">
        <v>0.3</v>
      </c>
      <c r="F75">
        <f t="shared" ref="F75:F80" si="14">$E75*8/100</f>
        <v>2.4E-2</v>
      </c>
    </row>
    <row r="76" spans="2:6">
      <c r="C76" t="s">
        <v>119</v>
      </c>
      <c r="E76" s="68"/>
      <c r="F76">
        <f t="shared" si="14"/>
        <v>0</v>
      </c>
    </row>
    <row r="77" spans="2:6">
      <c r="C77" t="s">
        <v>118</v>
      </c>
      <c r="E77" s="87">
        <v>2.6</v>
      </c>
      <c r="F77">
        <f t="shared" si="14"/>
        <v>0.20800000000000002</v>
      </c>
    </row>
    <row r="78" spans="2:6">
      <c r="C78" t="s">
        <v>143</v>
      </c>
      <c r="E78" s="68"/>
      <c r="F78">
        <f t="shared" si="14"/>
        <v>0</v>
      </c>
    </row>
    <row r="79" spans="2:6">
      <c r="C79" t="s">
        <v>133</v>
      </c>
      <c r="E79" s="68">
        <v>0.9</v>
      </c>
      <c r="F79">
        <f t="shared" si="14"/>
        <v>7.2000000000000008E-2</v>
      </c>
    </row>
    <row r="80" spans="2:6">
      <c r="C80" t="s">
        <v>120</v>
      </c>
      <c r="E80" s="68">
        <v>0</v>
      </c>
      <c r="F80">
        <f t="shared" si="14"/>
        <v>0</v>
      </c>
    </row>
    <row r="83" spans="2:18">
      <c r="C83" s="253" t="s">
        <v>345</v>
      </c>
      <c r="D83" s="253"/>
      <c r="I83" s="7"/>
      <c r="K83" s="55" t="s">
        <v>369</v>
      </c>
      <c r="L83" t="s">
        <v>346</v>
      </c>
      <c r="M83" t="s">
        <v>347</v>
      </c>
      <c r="N83" t="s">
        <v>348</v>
      </c>
      <c r="O83" t="s">
        <v>349</v>
      </c>
      <c r="P83" t="s">
        <v>359</v>
      </c>
      <c r="Q83" t="s">
        <v>360</v>
      </c>
      <c r="R83" s="65" t="s">
        <v>155</v>
      </c>
    </row>
    <row r="84" spans="2:18">
      <c r="H84" t="s">
        <v>142</v>
      </c>
      <c r="K84" s="55">
        <v>0.4</v>
      </c>
      <c r="L84">
        <v>0.66600000000000004</v>
      </c>
      <c r="M84">
        <v>0.01</v>
      </c>
      <c r="N84">
        <v>1.06</v>
      </c>
      <c r="O84">
        <v>1.2E-2</v>
      </c>
      <c r="P84">
        <v>4.2164999999999999</v>
      </c>
      <c r="Q84" s="55">
        <f t="shared" ref="Q84:Q89" si="15">SUM(K84:P84)</f>
        <v>6.3644999999999996</v>
      </c>
      <c r="R84" s="55">
        <f t="shared" ref="R84:R89" si="16">$Q84*100/105</f>
        <v>6.0614285714285705</v>
      </c>
    </row>
    <row r="85" spans="2:18">
      <c r="B85" t="s">
        <v>368</v>
      </c>
      <c r="C85" s="107" t="s">
        <v>361</v>
      </c>
      <c r="E85" t="s">
        <v>212</v>
      </c>
      <c r="F85" t="s">
        <v>369</v>
      </c>
      <c r="H85" t="s">
        <v>119</v>
      </c>
      <c r="K85" s="55">
        <v>0</v>
      </c>
      <c r="L85">
        <v>0.21599999999999997</v>
      </c>
      <c r="M85">
        <v>2.5999999999999999E-3</v>
      </c>
      <c r="N85">
        <v>0.32299999999999995</v>
      </c>
      <c r="O85">
        <v>1.8E-3</v>
      </c>
      <c r="P85">
        <v>0.32850000000000001</v>
      </c>
      <c r="Q85" s="55">
        <f t="shared" si="15"/>
        <v>0.8718999999999999</v>
      </c>
      <c r="R85" s="55">
        <f t="shared" si="16"/>
        <v>0.83038095238095222</v>
      </c>
    </row>
    <row r="86" spans="2:18">
      <c r="C86" t="s">
        <v>142</v>
      </c>
      <c r="E86">
        <v>1.6</v>
      </c>
      <c r="F86" s="55">
        <f t="shared" ref="F86:F91" si="17">$E86*25/100</f>
        <v>0.4</v>
      </c>
      <c r="H86" t="s">
        <v>118</v>
      </c>
      <c r="K86" s="55">
        <v>11.625</v>
      </c>
      <c r="L86">
        <v>0.36</v>
      </c>
      <c r="M86">
        <v>0.11299999999999999</v>
      </c>
      <c r="N86">
        <v>0.34</v>
      </c>
      <c r="O86">
        <v>0.156</v>
      </c>
      <c r="P86">
        <v>4.7294999999999998</v>
      </c>
      <c r="Q86" s="55">
        <f t="shared" si="15"/>
        <v>17.323499999999999</v>
      </c>
      <c r="R86" s="55">
        <f t="shared" si="16"/>
        <v>16.498571428571427</v>
      </c>
    </row>
    <row r="87" spans="2:18">
      <c r="C87" t="s">
        <v>119</v>
      </c>
      <c r="F87" s="55">
        <f t="shared" si="17"/>
        <v>0</v>
      </c>
      <c r="H87" t="s">
        <v>143</v>
      </c>
      <c r="K87" s="55">
        <v>0</v>
      </c>
      <c r="L87">
        <v>0.16200000000000001</v>
      </c>
      <c r="M87">
        <v>5.3000000000000005E-2</v>
      </c>
      <c r="N87">
        <v>0.05</v>
      </c>
      <c r="O87">
        <v>0</v>
      </c>
      <c r="P87">
        <v>0.3105</v>
      </c>
      <c r="Q87" s="55">
        <f t="shared" si="15"/>
        <v>0.57550000000000001</v>
      </c>
      <c r="R87" s="55">
        <f t="shared" si="16"/>
        <v>0.54809523809523819</v>
      </c>
    </row>
    <row r="88" spans="2:18">
      <c r="C88" t="s">
        <v>118</v>
      </c>
      <c r="E88">
        <v>46.5</v>
      </c>
      <c r="F88" s="55">
        <f t="shared" si="17"/>
        <v>11.625</v>
      </c>
      <c r="H88" t="s">
        <v>133</v>
      </c>
      <c r="K88" s="55">
        <v>2.0750000000000002</v>
      </c>
      <c r="L88">
        <v>2.484</v>
      </c>
      <c r="M88">
        <v>1.6500000000000001E-2</v>
      </c>
      <c r="N88">
        <v>1.26</v>
      </c>
      <c r="O88">
        <v>3.2000000000000001E-2</v>
      </c>
      <c r="P88">
        <v>0.82350000000000012</v>
      </c>
      <c r="Q88" s="55">
        <f t="shared" si="15"/>
        <v>6.6909999999999998</v>
      </c>
      <c r="R88" s="55">
        <f t="shared" si="16"/>
        <v>6.3723809523809525</v>
      </c>
    </row>
    <row r="89" spans="2:18">
      <c r="C89" t="s">
        <v>143</v>
      </c>
      <c r="F89" s="55">
        <f t="shared" si="17"/>
        <v>0</v>
      </c>
      <c r="H89" t="s">
        <v>120</v>
      </c>
      <c r="K89" s="55">
        <v>0.32500000000000001</v>
      </c>
      <c r="L89">
        <v>0.37800000000000006</v>
      </c>
      <c r="M89">
        <v>0</v>
      </c>
      <c r="N89">
        <v>0.03</v>
      </c>
      <c r="O89">
        <v>0</v>
      </c>
      <c r="P89">
        <v>0.13949999999999999</v>
      </c>
      <c r="Q89" s="55">
        <f t="shared" si="15"/>
        <v>0.87250000000000005</v>
      </c>
      <c r="R89" s="55">
        <f t="shared" si="16"/>
        <v>0.830952380952381</v>
      </c>
    </row>
    <row r="90" spans="2:18">
      <c r="C90" t="s">
        <v>133</v>
      </c>
      <c r="E90">
        <v>8.3000000000000007</v>
      </c>
      <c r="F90" s="55">
        <f t="shared" si="17"/>
        <v>2.0750000000000002</v>
      </c>
    </row>
    <row r="91" spans="2:18">
      <c r="C91" t="s">
        <v>120</v>
      </c>
      <c r="E91">
        <v>1.3</v>
      </c>
      <c r="F91" s="55">
        <f t="shared" si="17"/>
        <v>0.32500000000000001</v>
      </c>
      <c r="H91" s="98"/>
      <c r="I91" s="98"/>
      <c r="J91" s="245" t="s">
        <v>228</v>
      </c>
      <c r="K91" s="245"/>
      <c r="L91" s="245"/>
      <c r="M91" s="245"/>
      <c r="N91" s="245"/>
      <c r="O91" s="245"/>
    </row>
    <row r="92" spans="2:18" ht="43.2">
      <c r="H92" s="242" t="s">
        <v>216</v>
      </c>
      <c r="I92" s="246" t="s">
        <v>225</v>
      </c>
      <c r="J92" s="70" t="s">
        <v>217</v>
      </c>
      <c r="K92" s="70" t="s">
        <v>226</v>
      </c>
      <c r="L92" s="70" t="s">
        <v>118</v>
      </c>
      <c r="M92" s="70" t="s">
        <v>143</v>
      </c>
      <c r="N92" s="70" t="s">
        <v>227</v>
      </c>
      <c r="O92" s="70" t="s">
        <v>120</v>
      </c>
    </row>
    <row r="93" spans="2:18">
      <c r="C93" s="67" t="s">
        <v>39</v>
      </c>
      <c r="E93" t="s">
        <v>212</v>
      </c>
      <c r="F93" t="s">
        <v>346</v>
      </c>
      <c r="H93" s="242"/>
      <c r="I93" s="246"/>
      <c r="J93" s="71" t="s">
        <v>218</v>
      </c>
      <c r="K93" s="71" t="s">
        <v>219</v>
      </c>
      <c r="L93" s="71" t="s">
        <v>220</v>
      </c>
      <c r="M93" s="71" t="s">
        <v>221</v>
      </c>
      <c r="N93" s="71" t="s">
        <v>222</v>
      </c>
      <c r="O93" s="71" t="s">
        <v>223</v>
      </c>
    </row>
    <row r="94" spans="2:18">
      <c r="C94" t="s">
        <v>142</v>
      </c>
      <c r="E94">
        <v>3.7</v>
      </c>
      <c r="F94" s="55">
        <f t="shared" ref="F94:F99" si="18">$E94*18/100</f>
        <v>0.66600000000000004</v>
      </c>
      <c r="H94" s="242"/>
      <c r="I94" s="110" t="s">
        <v>224</v>
      </c>
      <c r="J94" s="71" t="s">
        <v>224</v>
      </c>
      <c r="K94" s="71" t="s">
        <v>224</v>
      </c>
      <c r="L94" s="71" t="s">
        <v>224</v>
      </c>
      <c r="M94" s="71" t="s">
        <v>224</v>
      </c>
      <c r="N94" s="71" t="s">
        <v>224</v>
      </c>
      <c r="O94" s="71" t="s">
        <v>224</v>
      </c>
    </row>
    <row r="95" spans="2:18" ht="17.399999999999999">
      <c r="C95" t="s">
        <v>119</v>
      </c>
      <c r="E95">
        <v>1.2</v>
      </c>
      <c r="F95" s="55">
        <f t="shared" si="18"/>
        <v>0.21599999999999997</v>
      </c>
      <c r="H95" s="108" t="s">
        <v>72</v>
      </c>
      <c r="I95" s="3">
        <v>25</v>
      </c>
      <c r="J95" s="3">
        <v>1.6</v>
      </c>
      <c r="K95" s="3"/>
      <c r="L95" s="3">
        <v>46.5</v>
      </c>
      <c r="M95" s="3"/>
      <c r="N95" s="3">
        <v>8.3000000000000007</v>
      </c>
      <c r="O95" s="3">
        <v>1.3</v>
      </c>
    </row>
    <row r="96" spans="2:18" ht="17.399999999999999">
      <c r="C96" t="s">
        <v>118</v>
      </c>
      <c r="E96">
        <v>2</v>
      </c>
      <c r="F96" s="55">
        <f t="shared" si="18"/>
        <v>0.36</v>
      </c>
      <c r="H96" s="108" t="s">
        <v>73</v>
      </c>
      <c r="I96" s="3">
        <v>45</v>
      </c>
      <c r="J96" s="78">
        <v>9.3690821256038639</v>
      </c>
      <c r="K96" s="78">
        <v>0.73466666666666669</v>
      </c>
      <c r="L96" s="78">
        <v>10.511497584541067</v>
      </c>
      <c r="M96" s="78">
        <v>0.68855072463768119</v>
      </c>
      <c r="N96" s="78">
        <v>1.8260386473429953</v>
      </c>
      <c r="O96" s="78">
        <v>0.30845410628019321</v>
      </c>
    </row>
    <row r="97" spans="2:17" ht="17.399999999999999">
      <c r="C97" t="s">
        <v>143</v>
      </c>
      <c r="E97">
        <v>0.9</v>
      </c>
      <c r="F97" s="55">
        <f t="shared" si="18"/>
        <v>0.16200000000000001</v>
      </c>
      <c r="H97" s="108" t="s">
        <v>39</v>
      </c>
      <c r="I97" s="3">
        <v>18</v>
      </c>
      <c r="J97" s="3">
        <v>3.7</v>
      </c>
      <c r="K97" s="3">
        <v>1.2</v>
      </c>
      <c r="L97" s="3">
        <v>2</v>
      </c>
      <c r="M97" s="3">
        <v>0.9</v>
      </c>
      <c r="N97" s="3">
        <v>13.8</v>
      </c>
      <c r="O97" s="3">
        <v>2.1</v>
      </c>
    </row>
    <row r="98" spans="2:17" ht="17.399999999999999">
      <c r="C98" t="s">
        <v>133</v>
      </c>
      <c r="E98">
        <v>13.8</v>
      </c>
      <c r="F98" s="55">
        <f t="shared" si="18"/>
        <v>2.484</v>
      </c>
      <c r="H98" s="108" t="s">
        <v>43</v>
      </c>
      <c r="I98" s="3">
        <v>5</v>
      </c>
      <c r="J98" s="3">
        <v>0.2</v>
      </c>
      <c r="K98" s="3">
        <v>5.1999999999999998E-2</v>
      </c>
      <c r="L98" s="3">
        <v>2.2599999999999998</v>
      </c>
      <c r="M98" s="3">
        <v>1.06</v>
      </c>
      <c r="N98" s="3">
        <v>0.33</v>
      </c>
      <c r="O98" s="3">
        <v>0</v>
      </c>
    </row>
    <row r="99" spans="2:17" ht="17.399999999999999">
      <c r="C99" t="s">
        <v>120</v>
      </c>
      <c r="E99">
        <v>2.1</v>
      </c>
      <c r="F99" s="55">
        <f t="shared" si="18"/>
        <v>0.37800000000000006</v>
      </c>
      <c r="H99" s="108" t="s">
        <v>14</v>
      </c>
      <c r="I99" s="24">
        <v>10</v>
      </c>
      <c r="J99" s="3">
        <v>10.6</v>
      </c>
      <c r="K99" s="3">
        <v>3.23</v>
      </c>
      <c r="L99" s="3">
        <v>3.4</v>
      </c>
      <c r="M99" s="3">
        <v>0.5</v>
      </c>
      <c r="N99" s="3">
        <v>12.6</v>
      </c>
      <c r="O99" s="3">
        <v>0.3</v>
      </c>
    </row>
    <row r="100" spans="2:17" ht="17.399999999999999">
      <c r="H100" s="108" t="s">
        <v>55</v>
      </c>
      <c r="I100" s="21">
        <v>4</v>
      </c>
      <c r="J100" s="24">
        <v>0.3</v>
      </c>
      <c r="K100" s="24">
        <v>4.4999999999999998E-2</v>
      </c>
      <c r="L100" s="24">
        <v>3.9</v>
      </c>
      <c r="M100" s="3"/>
      <c r="N100" s="24">
        <v>0.8</v>
      </c>
      <c r="O100" s="3"/>
    </row>
    <row r="101" spans="2:17">
      <c r="B101" t="s">
        <v>331</v>
      </c>
      <c r="C101" s="92" t="s">
        <v>258</v>
      </c>
      <c r="D101" s="93"/>
      <c r="E101" t="s">
        <v>212</v>
      </c>
      <c r="F101" t="s">
        <v>347</v>
      </c>
    </row>
    <row r="102" spans="2:17" ht="43.2">
      <c r="C102" t="s">
        <v>142</v>
      </c>
      <c r="E102">
        <v>0.2</v>
      </c>
      <c r="F102" s="55">
        <f t="shared" ref="F102:F107" si="19">$E102*5/100</f>
        <v>0.01</v>
      </c>
      <c r="H102" s="202" t="s">
        <v>0</v>
      </c>
      <c r="I102" s="249" t="s">
        <v>229</v>
      </c>
      <c r="J102" s="103" t="s">
        <v>217</v>
      </c>
      <c r="K102" s="103" t="s">
        <v>226</v>
      </c>
      <c r="L102" s="103" t="s">
        <v>118</v>
      </c>
      <c r="M102" s="103" t="s">
        <v>143</v>
      </c>
      <c r="N102" s="103" t="s">
        <v>227</v>
      </c>
      <c r="O102" s="103" t="s">
        <v>120</v>
      </c>
      <c r="P102" s="191" t="s">
        <v>230</v>
      </c>
      <c r="Q102" s="248"/>
    </row>
    <row r="103" spans="2:17">
      <c r="C103" t="s">
        <v>119</v>
      </c>
      <c r="E103">
        <v>5.1999999999999998E-2</v>
      </c>
      <c r="F103" s="55">
        <f t="shared" si="19"/>
        <v>2.5999999999999999E-3</v>
      </c>
      <c r="H103" s="203"/>
      <c r="I103" s="250"/>
      <c r="J103" s="109" t="s">
        <v>218</v>
      </c>
      <c r="K103" s="109" t="s">
        <v>219</v>
      </c>
      <c r="L103" s="109" t="s">
        <v>220</v>
      </c>
      <c r="M103" s="109" t="s">
        <v>221</v>
      </c>
      <c r="N103" s="109" t="s">
        <v>222</v>
      </c>
      <c r="O103" s="109" t="s">
        <v>223</v>
      </c>
      <c r="P103" s="109" t="s">
        <v>231</v>
      </c>
      <c r="Q103" s="109" t="s">
        <v>231</v>
      </c>
    </row>
    <row r="104" spans="2:17">
      <c r="C104" t="s">
        <v>118</v>
      </c>
      <c r="E104">
        <v>2.2599999999999998</v>
      </c>
      <c r="F104" s="55">
        <f t="shared" si="19"/>
        <v>0.11299999999999999</v>
      </c>
      <c r="H104" s="203"/>
      <c r="I104" s="250"/>
      <c r="J104" s="104" t="s">
        <v>224</v>
      </c>
      <c r="K104" s="104" t="s">
        <v>224</v>
      </c>
      <c r="L104" s="104" t="s">
        <v>224</v>
      </c>
      <c r="M104" s="104" t="s">
        <v>224</v>
      </c>
      <c r="N104" s="104" t="s">
        <v>224</v>
      </c>
      <c r="O104" s="104" t="s">
        <v>224</v>
      </c>
      <c r="P104" s="104" t="s">
        <v>232</v>
      </c>
      <c r="Q104" s="104" t="s">
        <v>233</v>
      </c>
    </row>
    <row r="105" spans="2:17" ht="17.399999999999999">
      <c r="C105" t="s">
        <v>143</v>
      </c>
      <c r="E105">
        <v>1.06</v>
      </c>
      <c r="F105" s="55">
        <f t="shared" si="19"/>
        <v>5.3000000000000005E-2</v>
      </c>
      <c r="H105" s="188" t="s">
        <v>72</v>
      </c>
      <c r="I105" s="188"/>
      <c r="J105" s="78">
        <f t="shared" ref="J105:J110" si="20">$J95*$I95/105</f>
        <v>0.38095238095238093</v>
      </c>
      <c r="K105" s="78">
        <f t="shared" ref="K105:K110" si="21">$K95*$I95/105</f>
        <v>0</v>
      </c>
      <c r="L105" s="78">
        <f t="shared" ref="L105:L110" si="22">$L95*$I95/105</f>
        <v>11.071428571428571</v>
      </c>
      <c r="M105" s="78">
        <f t="shared" ref="M105:M110" si="23">$M95*$I95/105</f>
        <v>0</v>
      </c>
      <c r="N105" s="78">
        <f t="shared" ref="N105:N110" si="24">$N95*$I95/105</f>
        <v>1.9761904761904765</v>
      </c>
      <c r="O105" s="78">
        <f t="shared" ref="O105:O110" si="25">$O95*$I95/105</f>
        <v>0.30952380952380953</v>
      </c>
      <c r="P105" s="3"/>
      <c r="Q105" s="3"/>
    </row>
    <row r="106" spans="2:17" ht="17.399999999999999">
      <c r="C106" t="s">
        <v>133</v>
      </c>
      <c r="E106">
        <v>0.33</v>
      </c>
      <c r="F106" s="55">
        <f t="shared" si="19"/>
        <v>1.6500000000000001E-2</v>
      </c>
      <c r="H106" s="188" t="s">
        <v>73</v>
      </c>
      <c r="I106" s="188"/>
      <c r="J106" s="78">
        <f t="shared" si="20"/>
        <v>4.0153209109730845</v>
      </c>
      <c r="K106" s="78">
        <f t="shared" si="21"/>
        <v>0.31485714285714289</v>
      </c>
      <c r="L106" s="78">
        <f t="shared" si="22"/>
        <v>4.5049275362318859</v>
      </c>
      <c r="M106" s="78">
        <f t="shared" si="23"/>
        <v>0.29509316770186333</v>
      </c>
      <c r="N106" s="78">
        <f t="shared" si="24"/>
        <v>0.78258799171842652</v>
      </c>
      <c r="O106" s="78">
        <f t="shared" si="25"/>
        <v>0.13219461697722565</v>
      </c>
      <c r="P106" s="3"/>
      <c r="Q106" s="3"/>
    </row>
    <row r="107" spans="2:17" ht="17.399999999999999">
      <c r="C107" t="s">
        <v>120</v>
      </c>
      <c r="E107">
        <v>0</v>
      </c>
      <c r="F107" s="55">
        <f t="shared" si="19"/>
        <v>0</v>
      </c>
      <c r="H107" s="188" t="s">
        <v>39</v>
      </c>
      <c r="I107" s="188"/>
      <c r="J107" s="78">
        <f t="shared" si="20"/>
        <v>0.63428571428571434</v>
      </c>
      <c r="K107" s="78">
        <f t="shared" si="21"/>
        <v>0.20571428571428568</v>
      </c>
      <c r="L107" s="78">
        <f t="shared" si="22"/>
        <v>0.34285714285714286</v>
      </c>
      <c r="M107" s="78">
        <f t="shared" si="23"/>
        <v>0.15428571428571428</v>
      </c>
      <c r="N107" s="78">
        <f t="shared" si="24"/>
        <v>2.3657142857142857</v>
      </c>
      <c r="O107" s="78">
        <f t="shared" si="25"/>
        <v>0.36000000000000004</v>
      </c>
      <c r="P107" s="3"/>
      <c r="Q107" s="3"/>
    </row>
    <row r="108" spans="2:17" ht="17.399999999999999">
      <c r="H108" s="188" t="s">
        <v>43</v>
      </c>
      <c r="I108" s="188"/>
      <c r="J108" s="78">
        <f t="shared" si="20"/>
        <v>9.5238095238095247E-3</v>
      </c>
      <c r="K108" s="78">
        <f t="shared" si="21"/>
        <v>2.4761904761904764E-3</v>
      </c>
      <c r="L108" s="78">
        <f t="shared" si="22"/>
        <v>0.10761904761904761</v>
      </c>
      <c r="M108" s="78">
        <f t="shared" si="23"/>
        <v>5.047619047619048E-2</v>
      </c>
      <c r="N108" s="78">
        <f t="shared" si="24"/>
        <v>1.5714285714285715E-2</v>
      </c>
      <c r="O108" s="78">
        <f t="shared" si="25"/>
        <v>0</v>
      </c>
      <c r="P108" s="3"/>
      <c r="Q108" s="3"/>
    </row>
    <row r="109" spans="2:17" ht="17.399999999999999">
      <c r="C109" s="92" t="s">
        <v>257</v>
      </c>
      <c r="D109" s="93"/>
      <c r="E109" t="s">
        <v>212</v>
      </c>
      <c r="F109" t="s">
        <v>348</v>
      </c>
      <c r="H109" s="188" t="s">
        <v>14</v>
      </c>
      <c r="I109" s="188"/>
      <c r="J109" s="78">
        <f t="shared" si="20"/>
        <v>1.0095238095238095</v>
      </c>
      <c r="K109" s="78">
        <f t="shared" si="21"/>
        <v>0.30761904761904757</v>
      </c>
      <c r="L109" s="78">
        <f t="shared" si="22"/>
        <v>0.32380952380952382</v>
      </c>
      <c r="M109" s="78">
        <f t="shared" si="23"/>
        <v>4.7619047619047616E-2</v>
      </c>
      <c r="N109" s="78">
        <f t="shared" si="24"/>
        <v>1.2</v>
      </c>
      <c r="O109" s="78">
        <f t="shared" si="25"/>
        <v>2.8571428571428571E-2</v>
      </c>
      <c r="P109" s="3"/>
      <c r="Q109" s="3"/>
    </row>
    <row r="110" spans="2:17" ht="17.399999999999999">
      <c r="C110" t="s">
        <v>142</v>
      </c>
      <c r="E110">
        <v>10.6</v>
      </c>
      <c r="F110" s="55">
        <f t="shared" ref="F110:F115" si="26">$E110*10/100</f>
        <v>1.06</v>
      </c>
      <c r="H110" s="188" t="s">
        <v>55</v>
      </c>
      <c r="I110" s="188"/>
      <c r="J110" s="78">
        <f t="shared" si="20"/>
        <v>1.1428571428571429E-2</v>
      </c>
      <c r="K110" s="78">
        <f t="shared" si="21"/>
        <v>1.7142857142857142E-3</v>
      </c>
      <c r="L110" s="78">
        <f t="shared" si="22"/>
        <v>0.14857142857142858</v>
      </c>
      <c r="M110" s="78">
        <f t="shared" si="23"/>
        <v>0</v>
      </c>
      <c r="N110" s="78">
        <f t="shared" si="24"/>
        <v>3.0476190476190476E-2</v>
      </c>
      <c r="O110" s="78">
        <f t="shared" si="25"/>
        <v>0</v>
      </c>
      <c r="P110" s="3"/>
      <c r="Q110" s="3"/>
    </row>
    <row r="111" spans="2:17" ht="33.75" customHeight="1">
      <c r="C111" t="s">
        <v>119</v>
      </c>
      <c r="E111">
        <v>3.23</v>
      </c>
      <c r="F111" s="55">
        <f t="shared" si="26"/>
        <v>0.32299999999999995</v>
      </c>
      <c r="H111" s="189" t="s">
        <v>234</v>
      </c>
      <c r="I111" s="190"/>
      <c r="J111" s="85">
        <f t="shared" ref="J111:O111" si="27">SUM(J105:J110)</f>
        <v>6.0610351966873708</v>
      </c>
      <c r="K111" s="84">
        <f t="shared" si="27"/>
        <v>0.83238095238095233</v>
      </c>
      <c r="L111" s="85">
        <f t="shared" si="27"/>
        <v>16.499213250517599</v>
      </c>
      <c r="M111" s="84">
        <f t="shared" si="27"/>
        <v>0.54747412008281571</v>
      </c>
      <c r="N111" s="84">
        <f t="shared" si="27"/>
        <v>6.3706832298136655</v>
      </c>
      <c r="O111" s="84">
        <f t="shared" si="27"/>
        <v>0.83028985507246389</v>
      </c>
      <c r="P111" s="85">
        <f>17*N111+37*J111+17*L111</f>
        <v>613.04654244306425</v>
      </c>
      <c r="Q111" s="85">
        <f>4*N111+9*J111+4*L111</f>
        <v>146.02890269151141</v>
      </c>
    </row>
    <row r="112" spans="2:17">
      <c r="C112" t="s">
        <v>118</v>
      </c>
      <c r="E112">
        <v>3.4</v>
      </c>
      <c r="F112" s="55">
        <f t="shared" si="26"/>
        <v>0.34</v>
      </c>
    </row>
    <row r="113" spans="3:10">
      <c r="C113" t="s">
        <v>143</v>
      </c>
      <c r="E113">
        <v>0.5</v>
      </c>
      <c r="F113" s="55">
        <f t="shared" si="26"/>
        <v>0.05</v>
      </c>
    </row>
    <row r="114" spans="3:10">
      <c r="C114" t="s">
        <v>133</v>
      </c>
      <c r="E114">
        <v>12.6</v>
      </c>
      <c r="F114" s="55">
        <f t="shared" si="26"/>
        <v>1.26</v>
      </c>
    </row>
    <row r="115" spans="3:10">
      <c r="C115" t="s">
        <v>120</v>
      </c>
      <c r="E115">
        <v>0.3</v>
      </c>
      <c r="F115" s="55">
        <f t="shared" si="26"/>
        <v>0.03</v>
      </c>
    </row>
    <row r="117" spans="3:10">
      <c r="C117" s="67" t="s">
        <v>55</v>
      </c>
      <c r="E117" t="s">
        <v>212</v>
      </c>
      <c r="F117" t="s">
        <v>349</v>
      </c>
    </row>
    <row r="118" spans="3:10">
      <c r="C118" t="s">
        <v>142</v>
      </c>
      <c r="E118">
        <v>0.3</v>
      </c>
      <c r="F118">
        <f t="shared" ref="F118:F123" si="28">$E118*4/100</f>
        <v>1.2E-2</v>
      </c>
    </row>
    <row r="119" spans="3:10">
      <c r="C119" t="s">
        <v>119</v>
      </c>
      <c r="E119">
        <v>4.4999999999999998E-2</v>
      </c>
      <c r="F119">
        <f t="shared" si="28"/>
        <v>1.8E-3</v>
      </c>
    </row>
    <row r="120" spans="3:10">
      <c r="C120" t="s">
        <v>118</v>
      </c>
      <c r="E120">
        <v>3.9</v>
      </c>
      <c r="F120">
        <f t="shared" si="28"/>
        <v>0.156</v>
      </c>
    </row>
    <row r="121" spans="3:10">
      <c r="C121" t="s">
        <v>143</v>
      </c>
      <c r="F121">
        <f t="shared" si="28"/>
        <v>0</v>
      </c>
    </row>
    <row r="122" spans="3:10">
      <c r="C122" t="s">
        <v>133</v>
      </c>
      <c r="E122">
        <v>0.8</v>
      </c>
      <c r="F122">
        <f t="shared" si="28"/>
        <v>3.2000000000000001E-2</v>
      </c>
    </row>
    <row r="123" spans="3:10">
      <c r="C123" t="s">
        <v>120</v>
      </c>
      <c r="F123">
        <f t="shared" si="28"/>
        <v>0</v>
      </c>
    </row>
    <row r="125" spans="3:10">
      <c r="C125" s="98"/>
      <c r="D125" s="98"/>
      <c r="E125" s="245" t="s">
        <v>228</v>
      </c>
      <c r="F125" s="245"/>
      <c r="G125" s="245"/>
      <c r="H125" s="245"/>
      <c r="I125" s="245"/>
      <c r="J125" s="245"/>
    </row>
    <row r="126" spans="3:10" ht="28.8">
      <c r="C126" s="242" t="s">
        <v>216</v>
      </c>
      <c r="D126" s="246" t="s">
        <v>225</v>
      </c>
      <c r="E126" s="70" t="s">
        <v>217</v>
      </c>
      <c r="F126" s="70" t="s">
        <v>226</v>
      </c>
      <c r="G126" s="70" t="s">
        <v>118</v>
      </c>
      <c r="H126" s="70" t="s">
        <v>143</v>
      </c>
      <c r="I126" s="70" t="s">
        <v>227</v>
      </c>
      <c r="J126" s="70" t="s">
        <v>120</v>
      </c>
    </row>
    <row r="127" spans="3:10">
      <c r="C127" s="242"/>
      <c r="D127" s="246"/>
      <c r="E127" s="71" t="s">
        <v>218</v>
      </c>
      <c r="F127" s="71" t="s">
        <v>219</v>
      </c>
      <c r="G127" s="71" t="s">
        <v>220</v>
      </c>
      <c r="H127" s="71" t="s">
        <v>221</v>
      </c>
      <c r="I127" s="71" t="s">
        <v>222</v>
      </c>
      <c r="J127" s="71" t="s">
        <v>223</v>
      </c>
    </row>
    <row r="128" spans="3:10">
      <c r="C128" s="242"/>
      <c r="D128" s="110" t="s">
        <v>224</v>
      </c>
      <c r="E128" s="71" t="s">
        <v>224</v>
      </c>
      <c r="F128" s="71" t="s">
        <v>224</v>
      </c>
      <c r="G128" s="71" t="s">
        <v>224</v>
      </c>
      <c r="H128" s="71" t="s">
        <v>224</v>
      </c>
      <c r="I128" s="71" t="s">
        <v>224</v>
      </c>
      <c r="J128" s="71" t="s">
        <v>224</v>
      </c>
    </row>
    <row r="129" spans="2:10">
      <c r="B129" t="s">
        <v>355</v>
      </c>
      <c r="C129" s="3" t="s">
        <v>350</v>
      </c>
      <c r="D129" s="3">
        <v>24</v>
      </c>
      <c r="E129" s="3">
        <v>0.3</v>
      </c>
      <c r="F129" s="3"/>
      <c r="G129" s="3">
        <v>14.4</v>
      </c>
      <c r="H129" s="3"/>
      <c r="I129" s="3">
        <v>2</v>
      </c>
      <c r="J129" s="3"/>
    </row>
    <row r="130" spans="2:10">
      <c r="C130" s="3" t="s">
        <v>351</v>
      </c>
      <c r="D130" s="3">
        <v>7.3</v>
      </c>
      <c r="E130" s="18">
        <v>51.3</v>
      </c>
      <c r="F130" s="18">
        <v>4.0999999999999996</v>
      </c>
      <c r="G130" s="18">
        <v>5</v>
      </c>
      <c r="H130" s="18">
        <v>3</v>
      </c>
      <c r="I130" s="18">
        <v>0.8</v>
      </c>
      <c r="J130" s="18">
        <v>1.4</v>
      </c>
    </row>
    <row r="131" spans="2:10">
      <c r="C131" s="3" t="s">
        <v>120</v>
      </c>
      <c r="D131" s="3">
        <v>0.6</v>
      </c>
      <c r="E131" s="3"/>
      <c r="F131" s="3"/>
      <c r="G131" s="3"/>
      <c r="H131" s="3"/>
      <c r="I131" s="3"/>
      <c r="J131" s="3">
        <v>0.6</v>
      </c>
    </row>
    <row r="132" spans="2:10">
      <c r="C132" s="3" t="s">
        <v>352</v>
      </c>
      <c r="D132" s="3">
        <v>2.6</v>
      </c>
      <c r="E132" s="3">
        <v>0.2</v>
      </c>
      <c r="F132" s="3">
        <v>5.1999999999999998E-2</v>
      </c>
      <c r="G132" s="3">
        <v>2.2599999999999998</v>
      </c>
      <c r="H132" s="3">
        <v>1.06</v>
      </c>
      <c r="I132" s="3">
        <v>0.33</v>
      </c>
      <c r="J132" s="3"/>
    </row>
    <row r="133" spans="2:10">
      <c r="B133" t="s">
        <v>357</v>
      </c>
      <c r="C133" s="3" t="s">
        <v>307</v>
      </c>
      <c r="D133" s="3">
        <v>1.5</v>
      </c>
      <c r="E133" s="3">
        <v>0.3</v>
      </c>
      <c r="F133" s="3"/>
      <c r="G133" s="3">
        <v>6.6</v>
      </c>
      <c r="H133" s="3"/>
      <c r="I133" s="3">
        <v>1.4</v>
      </c>
      <c r="J133" s="3"/>
    </row>
    <row r="134" spans="2:10">
      <c r="B134" t="s">
        <v>356</v>
      </c>
      <c r="C134" s="3" t="s">
        <v>353</v>
      </c>
      <c r="D134" s="3">
        <v>2.9</v>
      </c>
      <c r="E134" s="3">
        <v>0.2</v>
      </c>
      <c r="F134" s="3"/>
      <c r="G134" s="3">
        <v>6.1</v>
      </c>
      <c r="H134" s="3"/>
      <c r="I134" s="3">
        <v>1</v>
      </c>
      <c r="J134" s="3">
        <v>0.2</v>
      </c>
    </row>
    <row r="135" spans="2:10">
      <c r="B135" t="s">
        <v>358</v>
      </c>
      <c r="C135" s="3" t="s">
        <v>354</v>
      </c>
      <c r="D135" s="3">
        <v>1.8</v>
      </c>
      <c r="E135" s="3">
        <v>0.4</v>
      </c>
      <c r="F135" s="3"/>
      <c r="G135" s="3">
        <v>8.6</v>
      </c>
      <c r="H135" s="3"/>
      <c r="I135" s="3">
        <v>6.5</v>
      </c>
      <c r="J135" s="3"/>
    </row>
    <row r="136" spans="2:10">
      <c r="C136" s="3" t="s">
        <v>68</v>
      </c>
      <c r="D136" s="3">
        <v>0.7</v>
      </c>
      <c r="E136" s="3">
        <v>5.6</v>
      </c>
      <c r="F136" s="3">
        <v>0.5</v>
      </c>
      <c r="G136" s="3">
        <v>5.9</v>
      </c>
      <c r="H136" s="3">
        <v>5.5</v>
      </c>
      <c r="I136" s="3">
        <v>6</v>
      </c>
      <c r="J136" s="3">
        <v>2.2999999999999998</v>
      </c>
    </row>
    <row r="137" spans="2:10">
      <c r="D137">
        <f>SUM(D129:D136)</f>
        <v>41.4</v>
      </c>
    </row>
    <row r="138" spans="2:10" ht="28.8">
      <c r="C138" s="202" t="s">
        <v>0</v>
      </c>
      <c r="D138" s="249" t="s">
        <v>229</v>
      </c>
      <c r="E138" s="103" t="s">
        <v>217</v>
      </c>
      <c r="F138" s="103" t="s">
        <v>226</v>
      </c>
      <c r="G138" s="103" t="s">
        <v>118</v>
      </c>
      <c r="H138" s="103" t="s">
        <v>143</v>
      </c>
      <c r="I138" s="103" t="s">
        <v>227</v>
      </c>
      <c r="J138" s="103" t="s">
        <v>120</v>
      </c>
    </row>
    <row r="139" spans="2:10">
      <c r="C139" s="203"/>
      <c r="D139" s="250"/>
      <c r="E139" s="109" t="s">
        <v>218</v>
      </c>
      <c r="F139" s="109" t="s">
        <v>219</v>
      </c>
      <c r="G139" s="109" t="s">
        <v>220</v>
      </c>
      <c r="H139" s="109" t="s">
        <v>221</v>
      </c>
      <c r="I139" s="109" t="s">
        <v>222</v>
      </c>
      <c r="J139" s="109" t="s">
        <v>223</v>
      </c>
    </row>
    <row r="140" spans="2:10">
      <c r="C140" s="203"/>
      <c r="D140" s="250"/>
      <c r="E140" s="104" t="s">
        <v>224</v>
      </c>
      <c r="F140" s="104" t="s">
        <v>224</v>
      </c>
      <c r="G140" s="104" t="s">
        <v>224</v>
      </c>
      <c r="H140" s="104" t="s">
        <v>224</v>
      </c>
      <c r="I140" s="104" t="s">
        <v>224</v>
      </c>
      <c r="J140" s="104" t="s">
        <v>224</v>
      </c>
    </row>
    <row r="141" spans="2:10">
      <c r="C141" s="251" t="s">
        <v>350</v>
      </c>
      <c r="D141" s="251"/>
      <c r="E141" s="78">
        <f>$E129*$D129/41.4</f>
        <v>0.17391304347826086</v>
      </c>
      <c r="F141" s="78">
        <f>$F129*$D129/41.4</f>
        <v>0</v>
      </c>
      <c r="G141" s="78">
        <f>$G129*$D129/41.4</f>
        <v>8.3478260869565233</v>
      </c>
      <c r="H141" s="78">
        <f>$H129*$D129/41.4</f>
        <v>0</v>
      </c>
      <c r="I141" s="78">
        <f>I129*D129/41.4</f>
        <v>1.1594202898550725</v>
      </c>
      <c r="J141" s="78">
        <f>$J129*$D129/41.4</f>
        <v>0</v>
      </c>
    </row>
    <row r="142" spans="2:10">
      <c r="C142" s="251" t="s">
        <v>351</v>
      </c>
      <c r="D142" s="251"/>
      <c r="E142" s="78">
        <f t="shared" ref="E142:E148" si="29">$E130*$D130/41.4</f>
        <v>9.0456521739130427</v>
      </c>
      <c r="F142" s="78">
        <f t="shared" ref="F142:F148" si="30">$F130*$D130/41.4</f>
        <v>0.72294685990338159</v>
      </c>
      <c r="G142" s="78">
        <f t="shared" ref="G142:G148" si="31">$G130*$D130/41.4</f>
        <v>0.88164251207729472</v>
      </c>
      <c r="H142" s="78">
        <f t="shared" ref="H142:H148" si="32">$H130*$D130/41.4</f>
        <v>0.52898550724637683</v>
      </c>
      <c r="I142" s="78">
        <f t="shared" ref="I142:I148" si="33">I130*D130/41.4</f>
        <v>0.14106280193236714</v>
      </c>
      <c r="J142" s="78">
        <f t="shared" ref="J142:J148" si="34">$J130*$D130/41.4</f>
        <v>0.24685990338164249</v>
      </c>
    </row>
    <row r="143" spans="2:10">
      <c r="C143" s="251" t="s">
        <v>120</v>
      </c>
      <c r="D143" s="251"/>
      <c r="E143" s="78">
        <f t="shared" si="29"/>
        <v>0</v>
      </c>
      <c r="F143" s="78">
        <f t="shared" si="30"/>
        <v>0</v>
      </c>
      <c r="G143" s="78">
        <f t="shared" si="31"/>
        <v>0</v>
      </c>
      <c r="H143" s="78">
        <f t="shared" si="32"/>
        <v>0</v>
      </c>
      <c r="I143" s="78">
        <f t="shared" si="33"/>
        <v>0</v>
      </c>
      <c r="J143" s="78">
        <f t="shared" si="34"/>
        <v>8.6956521739130436E-3</v>
      </c>
    </row>
    <row r="144" spans="2:10">
      <c r="C144" s="251" t="s">
        <v>352</v>
      </c>
      <c r="D144" s="251"/>
      <c r="E144" s="78">
        <f t="shared" si="29"/>
        <v>1.2560386473429953E-2</v>
      </c>
      <c r="F144" s="78">
        <f t="shared" si="30"/>
        <v>3.2657004830917873E-3</v>
      </c>
      <c r="G144" s="78">
        <f t="shared" si="31"/>
        <v>0.14193236714975846</v>
      </c>
      <c r="H144" s="78">
        <f t="shared" si="32"/>
        <v>6.6570048309178745E-2</v>
      </c>
      <c r="I144" s="78">
        <f t="shared" si="33"/>
        <v>2.0724637681159425E-2</v>
      </c>
      <c r="J144" s="78">
        <f t="shared" si="34"/>
        <v>0</v>
      </c>
    </row>
    <row r="145" spans="3:10">
      <c r="C145" s="251" t="s">
        <v>307</v>
      </c>
      <c r="D145" s="251"/>
      <c r="E145" s="78">
        <f t="shared" si="29"/>
        <v>1.0869565217391304E-2</v>
      </c>
      <c r="F145" s="78">
        <f t="shared" si="30"/>
        <v>0</v>
      </c>
      <c r="G145" s="78">
        <f t="shared" si="31"/>
        <v>0.23913043478260868</v>
      </c>
      <c r="H145" s="78">
        <f t="shared" si="32"/>
        <v>0</v>
      </c>
      <c r="I145" s="78">
        <f t="shared" si="33"/>
        <v>5.0724637681159417E-2</v>
      </c>
      <c r="J145" s="78">
        <f t="shared" si="34"/>
        <v>0</v>
      </c>
    </row>
    <row r="146" spans="3:10">
      <c r="C146" s="251" t="s">
        <v>353</v>
      </c>
      <c r="D146" s="251"/>
      <c r="E146" s="78">
        <f t="shared" si="29"/>
        <v>1.4009661835748791E-2</v>
      </c>
      <c r="F146" s="78">
        <f t="shared" si="30"/>
        <v>0</v>
      </c>
      <c r="G146" s="78">
        <f t="shared" si="31"/>
        <v>0.4272946859903381</v>
      </c>
      <c r="H146" s="78">
        <f t="shared" si="32"/>
        <v>0</v>
      </c>
      <c r="I146" s="78">
        <f t="shared" si="33"/>
        <v>7.0048309178743967E-2</v>
      </c>
      <c r="J146" s="78">
        <f t="shared" si="34"/>
        <v>1.4009661835748791E-2</v>
      </c>
    </row>
    <row r="147" spans="3:10">
      <c r="C147" s="251" t="s">
        <v>354</v>
      </c>
      <c r="D147" s="251"/>
      <c r="E147" s="78">
        <f t="shared" si="29"/>
        <v>1.7391304347826091E-2</v>
      </c>
      <c r="F147" s="78">
        <f t="shared" si="30"/>
        <v>0</v>
      </c>
      <c r="G147" s="78">
        <f t="shared" si="31"/>
        <v>0.37391304347826088</v>
      </c>
      <c r="H147" s="78">
        <f t="shared" si="32"/>
        <v>0</v>
      </c>
      <c r="I147" s="78">
        <f t="shared" si="33"/>
        <v>0.28260869565217395</v>
      </c>
      <c r="J147" s="78">
        <f t="shared" si="34"/>
        <v>0</v>
      </c>
    </row>
    <row r="148" spans="3:10">
      <c r="C148" s="251" t="s">
        <v>68</v>
      </c>
      <c r="D148" s="251"/>
      <c r="E148" s="78">
        <f t="shared" si="29"/>
        <v>9.4685990338164244E-2</v>
      </c>
      <c r="F148" s="78">
        <f t="shared" si="30"/>
        <v>8.4541062801932361E-3</v>
      </c>
      <c r="G148" s="78">
        <f t="shared" si="31"/>
        <v>9.9758454106280189E-2</v>
      </c>
      <c r="H148" s="78">
        <f t="shared" si="32"/>
        <v>9.2995169082125601E-2</v>
      </c>
      <c r="I148" s="78">
        <f t="shared" si="33"/>
        <v>0.10144927536231883</v>
      </c>
      <c r="J148" s="78">
        <f t="shared" si="34"/>
        <v>3.888888888888889E-2</v>
      </c>
    </row>
    <row r="149" spans="3:10">
      <c r="C149" s="189" t="s">
        <v>234</v>
      </c>
      <c r="D149" s="190"/>
      <c r="E149" s="78">
        <f t="shared" ref="E149:J149" si="35">SUM(E141:E148)</f>
        <v>9.3690821256038639</v>
      </c>
      <c r="F149" s="78">
        <f t="shared" si="35"/>
        <v>0.73466666666666669</v>
      </c>
      <c r="G149" s="78">
        <f t="shared" si="35"/>
        <v>10.511497584541067</v>
      </c>
      <c r="H149" s="78">
        <f t="shared" si="35"/>
        <v>0.68855072463768119</v>
      </c>
      <c r="I149" s="78">
        <f t="shared" si="35"/>
        <v>1.8260386473429953</v>
      </c>
      <c r="J149" s="78">
        <f t="shared" si="35"/>
        <v>0.30845410628019321</v>
      </c>
    </row>
    <row r="151" spans="3:10">
      <c r="C151" t="s">
        <v>73</v>
      </c>
      <c r="E151" t="s">
        <v>212</v>
      </c>
      <c r="F151" t="s">
        <v>359</v>
      </c>
    </row>
    <row r="152" spans="3:10">
      <c r="C152" t="s">
        <v>142</v>
      </c>
      <c r="E152">
        <v>9.3699999999999992</v>
      </c>
      <c r="F152">
        <f t="shared" ref="F152:F157" si="36">$E152*45/100</f>
        <v>4.2164999999999999</v>
      </c>
    </row>
    <row r="153" spans="3:10">
      <c r="C153" t="s">
        <v>119</v>
      </c>
      <c r="E153">
        <v>0.73</v>
      </c>
      <c r="F153">
        <f t="shared" si="36"/>
        <v>0.32850000000000001</v>
      </c>
    </row>
    <row r="154" spans="3:10">
      <c r="C154" t="s">
        <v>118</v>
      </c>
      <c r="E154">
        <v>10.51</v>
      </c>
      <c r="F154">
        <f t="shared" si="36"/>
        <v>4.7294999999999998</v>
      </c>
    </row>
    <row r="155" spans="3:10">
      <c r="C155" t="s">
        <v>143</v>
      </c>
      <c r="E155">
        <v>0.69</v>
      </c>
      <c r="F155">
        <f t="shared" si="36"/>
        <v>0.3105</v>
      </c>
    </row>
    <row r="156" spans="3:10">
      <c r="C156" t="s">
        <v>133</v>
      </c>
      <c r="E156">
        <v>1.83</v>
      </c>
      <c r="F156">
        <f t="shared" si="36"/>
        <v>0.82350000000000012</v>
      </c>
    </row>
    <row r="157" spans="3:10">
      <c r="C157" t="s">
        <v>120</v>
      </c>
      <c r="E157">
        <v>0.31</v>
      </c>
      <c r="F157">
        <f t="shared" si="36"/>
        <v>0.13949999999999999</v>
      </c>
    </row>
  </sheetData>
  <mergeCells count="44">
    <mergeCell ref="H50:I50"/>
    <mergeCell ref="H51:I51"/>
    <mergeCell ref="H52:I52"/>
    <mergeCell ref="H53:I53"/>
    <mergeCell ref="H54:I54"/>
    <mergeCell ref="H45:H47"/>
    <mergeCell ref="I45:I47"/>
    <mergeCell ref="P45:Q45"/>
    <mergeCell ref="H48:I48"/>
    <mergeCell ref="H49:I49"/>
    <mergeCell ref="A1:G1"/>
    <mergeCell ref="A13:G13"/>
    <mergeCell ref="C24:D24"/>
    <mergeCell ref="C83:D83"/>
    <mergeCell ref="E125:J125"/>
    <mergeCell ref="J91:O91"/>
    <mergeCell ref="H92:H94"/>
    <mergeCell ref="I92:I93"/>
    <mergeCell ref="H102:H104"/>
    <mergeCell ref="I102:I104"/>
    <mergeCell ref="H109:I109"/>
    <mergeCell ref="H110:I110"/>
    <mergeCell ref="H111:I111"/>
    <mergeCell ref="J34:O34"/>
    <mergeCell ref="H35:H37"/>
    <mergeCell ref="I35:I36"/>
    <mergeCell ref="C126:C128"/>
    <mergeCell ref="D126:D127"/>
    <mergeCell ref="C138:C140"/>
    <mergeCell ref="D138:D140"/>
    <mergeCell ref="C149:D149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P102:Q102"/>
    <mergeCell ref="H105:I105"/>
    <mergeCell ref="H106:I106"/>
    <mergeCell ref="H107:I107"/>
    <mergeCell ref="H108:I108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opLeftCell="E21" zoomScale="89" zoomScaleNormal="60" zoomScalePageLayoutView="60" workbookViewId="0">
      <selection activeCell="H42" sqref="H42:O42"/>
    </sheetView>
  </sheetViews>
  <sheetFormatPr defaultColWidth="11" defaultRowHeight="15.6"/>
  <cols>
    <col min="1" max="1" width="29" bestFit="1" customWidth="1"/>
    <col min="2" max="2" width="25.796875" bestFit="1" customWidth="1"/>
    <col min="3" max="3" width="12.796875" bestFit="1" customWidth="1"/>
    <col min="4" max="4" width="13.296875" bestFit="1" customWidth="1"/>
    <col min="5" max="5" width="51.69921875" customWidth="1"/>
    <col min="6" max="6" width="16" bestFit="1" customWidth="1"/>
    <col min="7" max="7" width="28.796875" bestFit="1" customWidth="1"/>
    <col min="8" max="8" width="30.19921875" bestFit="1" customWidth="1"/>
  </cols>
  <sheetData>
    <row r="1" spans="1:7" ht="31.05" customHeight="1">
      <c r="A1" s="193" t="s">
        <v>171</v>
      </c>
      <c r="B1" s="239"/>
      <c r="C1" s="239"/>
      <c r="D1" s="239"/>
      <c r="E1" s="239"/>
      <c r="F1" s="239"/>
      <c r="G1" s="239"/>
    </row>
    <row r="2" spans="1:7" ht="16.05" customHeight="1">
      <c r="A2" s="1" t="s">
        <v>0</v>
      </c>
      <c r="B2" s="1" t="s">
        <v>1</v>
      </c>
      <c r="C2" s="1" t="s">
        <v>4</v>
      </c>
      <c r="D2" s="1" t="s">
        <v>18</v>
      </c>
      <c r="E2" s="1" t="s">
        <v>5</v>
      </c>
      <c r="F2" s="1" t="s">
        <v>6</v>
      </c>
      <c r="G2" s="1" t="s">
        <v>7</v>
      </c>
    </row>
    <row r="3" spans="1:7" ht="78.599999999999994">
      <c r="A3" s="2" t="s">
        <v>72</v>
      </c>
      <c r="B3" s="37" t="s">
        <v>95</v>
      </c>
      <c r="C3" s="3">
        <v>25</v>
      </c>
      <c r="D3" s="3">
        <v>31</v>
      </c>
      <c r="E3" s="5" t="s">
        <v>191</v>
      </c>
      <c r="F3" s="6" t="s">
        <v>192</v>
      </c>
      <c r="G3" s="6"/>
    </row>
    <row r="4" spans="1:7" ht="109.8">
      <c r="A4" s="2" t="s">
        <v>10</v>
      </c>
      <c r="B4" s="37" t="s">
        <v>11</v>
      </c>
      <c r="C4" s="3">
        <v>5</v>
      </c>
      <c r="D4" s="3">
        <v>6</v>
      </c>
      <c r="E4" s="5" t="s">
        <v>199</v>
      </c>
      <c r="F4" s="6" t="s">
        <v>82</v>
      </c>
      <c r="G4" s="3"/>
    </row>
    <row r="5" spans="1:7" ht="17.399999999999999">
      <c r="A5" s="2" t="s">
        <v>12</v>
      </c>
      <c r="B5" s="12"/>
      <c r="C5" s="3">
        <v>2</v>
      </c>
      <c r="D5" s="3">
        <v>2.5</v>
      </c>
      <c r="E5" s="33"/>
      <c r="F5" s="3"/>
      <c r="G5" s="3"/>
    </row>
    <row r="6" spans="1:7" ht="78.599999999999994">
      <c r="A6" s="2" t="s">
        <v>74</v>
      </c>
      <c r="B6" s="12" t="s">
        <v>105</v>
      </c>
      <c r="C6" s="3">
        <v>23</v>
      </c>
      <c r="D6" s="3">
        <v>29</v>
      </c>
      <c r="E6" s="30" t="s">
        <v>131</v>
      </c>
      <c r="F6" s="3"/>
      <c r="G6" s="3"/>
    </row>
    <row r="7" spans="1:7" ht="17.399999999999999">
      <c r="A7" s="2" t="s">
        <v>14</v>
      </c>
      <c r="B7" s="9"/>
      <c r="C7" s="3">
        <v>6</v>
      </c>
      <c r="D7" s="3">
        <v>7.5</v>
      </c>
      <c r="E7" s="16"/>
      <c r="F7" s="3"/>
      <c r="G7" s="3"/>
    </row>
    <row r="8" spans="1:7" ht="31.2">
      <c r="A8" s="2" t="s">
        <v>43</v>
      </c>
      <c r="B8" s="9" t="s">
        <v>79</v>
      </c>
      <c r="C8" s="24">
        <v>19</v>
      </c>
      <c r="D8" s="3">
        <v>23</v>
      </c>
      <c r="E8" s="17" t="s">
        <v>117</v>
      </c>
      <c r="F8" s="3" t="s">
        <v>44</v>
      </c>
      <c r="G8" s="29"/>
    </row>
    <row r="9" spans="1:7" ht="17.399999999999999">
      <c r="A9" s="2" t="s">
        <v>130</v>
      </c>
      <c r="B9" s="9"/>
      <c r="C9" s="25" t="s">
        <v>70</v>
      </c>
      <c r="D9" s="3">
        <v>1</v>
      </c>
      <c r="E9" s="23"/>
      <c r="F9" s="3"/>
      <c r="G9" s="3"/>
    </row>
    <row r="10" spans="1:7" ht="43.95" customHeight="1">
      <c r="C10" s="60">
        <f>SUM(C3:C9)</f>
        <v>80</v>
      </c>
      <c r="D10">
        <f>SUM(D3:D9)</f>
        <v>100</v>
      </c>
    </row>
    <row r="13" spans="1:7">
      <c r="A13" s="193" t="s">
        <v>201</v>
      </c>
      <c r="B13" s="239"/>
      <c r="C13" s="239"/>
      <c r="D13" s="239"/>
      <c r="E13" s="239"/>
      <c r="F13" s="239"/>
      <c r="G13" s="239"/>
    </row>
    <row r="14" spans="1:7" ht="17.399999999999999">
      <c r="A14" s="1" t="s">
        <v>0</v>
      </c>
      <c r="B14" s="1" t="s">
        <v>1</v>
      </c>
      <c r="C14" s="1" t="s">
        <v>4</v>
      </c>
      <c r="D14" s="1" t="s">
        <v>18</v>
      </c>
      <c r="E14" s="1" t="s">
        <v>5</v>
      </c>
      <c r="F14" s="1" t="s">
        <v>6</v>
      </c>
      <c r="G14" s="1" t="s">
        <v>7</v>
      </c>
    </row>
    <row r="15" spans="1:7" ht="78.599999999999994">
      <c r="A15" s="2" t="s">
        <v>72</v>
      </c>
      <c r="B15" s="37" t="s">
        <v>95</v>
      </c>
      <c r="C15" s="3">
        <v>25</v>
      </c>
      <c r="D15" s="3">
        <v>33</v>
      </c>
      <c r="E15" s="5" t="s">
        <v>191</v>
      </c>
      <c r="F15" s="6" t="s">
        <v>192</v>
      </c>
      <c r="G15" s="6"/>
    </row>
    <row r="16" spans="1:7" ht="109.8">
      <c r="A16" s="2" t="s">
        <v>38</v>
      </c>
      <c r="B16" s="37" t="s">
        <v>11</v>
      </c>
      <c r="C16" s="3">
        <v>5</v>
      </c>
      <c r="D16" s="3">
        <v>6.5</v>
      </c>
      <c r="E16" s="5" t="s">
        <v>200</v>
      </c>
      <c r="F16" s="6" t="s">
        <v>86</v>
      </c>
      <c r="G16" s="3"/>
    </row>
    <row r="17" spans="1:13" ht="17.399999999999999">
      <c r="A17" s="2" t="s">
        <v>12</v>
      </c>
      <c r="B17" s="12"/>
      <c r="C17" s="3">
        <v>2</v>
      </c>
      <c r="D17" s="3">
        <v>3</v>
      </c>
      <c r="E17" s="33"/>
      <c r="F17" s="3"/>
      <c r="G17" s="3"/>
    </row>
    <row r="18" spans="1:13" ht="47.4">
      <c r="A18" s="2" t="s">
        <v>39</v>
      </c>
      <c r="B18" s="12" t="s">
        <v>40</v>
      </c>
      <c r="C18" s="3">
        <v>21</v>
      </c>
      <c r="D18" s="3">
        <v>28</v>
      </c>
      <c r="E18" s="6" t="s">
        <v>41</v>
      </c>
      <c r="F18" s="3"/>
      <c r="G18" s="3"/>
    </row>
    <row r="19" spans="1:13" ht="47.4">
      <c r="A19" s="2" t="s">
        <v>26</v>
      </c>
      <c r="B19" s="20" t="s">
        <v>28</v>
      </c>
      <c r="C19" s="3">
        <v>12</v>
      </c>
      <c r="D19" s="3">
        <v>16</v>
      </c>
      <c r="E19" s="6" t="s">
        <v>203</v>
      </c>
      <c r="F19" s="3" t="s">
        <v>17</v>
      </c>
      <c r="G19" s="3"/>
    </row>
    <row r="20" spans="1:13" ht="17.399999999999999">
      <c r="A20" s="2" t="s">
        <v>14</v>
      </c>
      <c r="B20" s="9"/>
      <c r="C20" s="24">
        <v>6</v>
      </c>
      <c r="D20" s="3">
        <v>8</v>
      </c>
      <c r="E20" s="23"/>
      <c r="F20" s="3" t="s">
        <v>42</v>
      </c>
      <c r="G20" s="3"/>
    </row>
    <row r="21" spans="1:13" ht="47.4">
      <c r="A21" s="2" t="s">
        <v>55</v>
      </c>
      <c r="B21" s="9" t="s">
        <v>78</v>
      </c>
      <c r="C21" s="21">
        <v>4</v>
      </c>
      <c r="D21" s="21">
        <v>5</v>
      </c>
      <c r="E21" s="5" t="s">
        <v>198</v>
      </c>
      <c r="F21" s="21" t="s">
        <v>44</v>
      </c>
      <c r="G21" s="3"/>
    </row>
    <row r="22" spans="1:13" ht="17.399999999999999">
      <c r="A22" s="2" t="s">
        <v>130</v>
      </c>
      <c r="B22" s="9"/>
      <c r="C22" s="25" t="s">
        <v>70</v>
      </c>
      <c r="D22" s="3">
        <v>0.5</v>
      </c>
      <c r="E22" s="23"/>
      <c r="F22" s="3"/>
      <c r="G22" s="3"/>
    </row>
    <row r="23" spans="1:13">
      <c r="C23">
        <f>SUM(C15:C22)</f>
        <v>75</v>
      </c>
      <c r="D23">
        <f>SUM(D15:D22)</f>
        <v>100</v>
      </c>
    </row>
    <row r="24" spans="1:13">
      <c r="D24" s="7"/>
    </row>
    <row r="25" spans="1:13">
      <c r="C25" s="252" t="s">
        <v>370</v>
      </c>
      <c r="D25" s="252"/>
    </row>
    <row r="26" spans="1:13">
      <c r="D26" s="7"/>
      <c r="F26" s="55" t="s">
        <v>369</v>
      </c>
      <c r="G26" t="s">
        <v>315</v>
      </c>
      <c r="H26" t="s">
        <v>316</v>
      </c>
      <c r="I26" t="s">
        <v>374</v>
      </c>
      <c r="J26" t="s">
        <v>371</v>
      </c>
      <c r="K26" t="s">
        <v>372</v>
      </c>
      <c r="L26" t="s">
        <v>360</v>
      </c>
      <c r="M26" s="65" t="s">
        <v>155</v>
      </c>
    </row>
    <row r="27" spans="1:13">
      <c r="C27" t="s">
        <v>142</v>
      </c>
      <c r="F27" s="55">
        <v>0.4</v>
      </c>
      <c r="G27" s="55">
        <v>2.5649999999999999</v>
      </c>
      <c r="H27" s="55">
        <v>4.0000000000000001E-3</v>
      </c>
      <c r="I27" s="55">
        <v>8.1419999999999995</v>
      </c>
      <c r="J27" s="55">
        <v>0.6359999999999999</v>
      </c>
      <c r="K27" s="55">
        <v>3.8000000000000006E-2</v>
      </c>
      <c r="L27" s="55">
        <f t="shared" ref="L27:L32" si="0">SUM(F27:K27)</f>
        <v>11.784999999999998</v>
      </c>
      <c r="M27" s="55">
        <f t="shared" ref="M27:M32" si="1">$L27*100/80</f>
        <v>14.731249999999998</v>
      </c>
    </row>
    <row r="28" spans="1:13">
      <c r="C28" t="s">
        <v>119</v>
      </c>
      <c r="F28" s="55">
        <v>0</v>
      </c>
      <c r="G28" s="55">
        <v>0.20499999999999999</v>
      </c>
      <c r="H28" s="55">
        <v>0</v>
      </c>
      <c r="I28" s="55">
        <v>0</v>
      </c>
      <c r="J28" s="55">
        <v>0.1938</v>
      </c>
      <c r="K28" s="55">
        <v>9.8799999999999999E-3</v>
      </c>
      <c r="L28" s="55">
        <f t="shared" si="0"/>
        <v>0.40867999999999999</v>
      </c>
      <c r="M28" s="55">
        <f t="shared" si="1"/>
        <v>0.51085000000000003</v>
      </c>
    </row>
    <row r="29" spans="1:13">
      <c r="C29" t="s">
        <v>118</v>
      </c>
      <c r="F29" s="55">
        <v>11.625</v>
      </c>
      <c r="G29" s="55">
        <v>0.25</v>
      </c>
      <c r="H29" s="55">
        <v>2.7999999999999997E-2</v>
      </c>
      <c r="I29" s="55">
        <v>4.6000000000000006E-2</v>
      </c>
      <c r="J29" s="55">
        <v>0.20399999999999999</v>
      </c>
      <c r="K29" s="55">
        <v>0.4294</v>
      </c>
      <c r="L29" s="55">
        <f t="shared" si="0"/>
        <v>12.5824</v>
      </c>
      <c r="M29" s="55">
        <f t="shared" si="1"/>
        <v>15.728</v>
      </c>
    </row>
    <row r="30" spans="1:13">
      <c r="C30" t="s">
        <v>143</v>
      </c>
      <c r="F30" s="55">
        <v>0</v>
      </c>
      <c r="G30" s="55">
        <v>0.15</v>
      </c>
      <c r="H30" s="55">
        <v>0</v>
      </c>
      <c r="I30" s="55">
        <v>0</v>
      </c>
      <c r="J30" s="55">
        <v>0.03</v>
      </c>
      <c r="K30" s="55">
        <v>0.2014</v>
      </c>
      <c r="L30" s="55">
        <f t="shared" si="0"/>
        <v>0.38139999999999996</v>
      </c>
      <c r="M30" s="55">
        <f t="shared" si="1"/>
        <v>0.4767499999999999</v>
      </c>
    </row>
    <row r="31" spans="1:13">
      <c r="C31" t="s">
        <v>133</v>
      </c>
      <c r="F31" s="55">
        <v>2.0750000000000002</v>
      </c>
      <c r="G31" s="55">
        <v>0.04</v>
      </c>
      <c r="H31" s="55">
        <v>2.6000000000000002E-2</v>
      </c>
      <c r="I31" s="55">
        <v>6.3019999999999996</v>
      </c>
      <c r="J31" s="55">
        <v>0.75599999999999989</v>
      </c>
      <c r="K31" s="55">
        <v>6.2700000000000006E-2</v>
      </c>
      <c r="L31" s="55">
        <f t="shared" si="0"/>
        <v>9.2616999999999994</v>
      </c>
      <c r="M31" s="55">
        <f t="shared" si="1"/>
        <v>11.577124999999999</v>
      </c>
    </row>
    <row r="32" spans="1:13">
      <c r="C32" t="s">
        <v>120</v>
      </c>
      <c r="F32" s="55">
        <v>0.32500000000000001</v>
      </c>
      <c r="G32" s="55">
        <v>7.0000000000000007E-2</v>
      </c>
      <c r="H32" s="55">
        <v>0</v>
      </c>
      <c r="I32" s="55">
        <v>0</v>
      </c>
      <c r="J32" s="55">
        <v>1.7999999999999999E-2</v>
      </c>
      <c r="K32" s="55">
        <v>0</v>
      </c>
      <c r="L32" s="55">
        <f t="shared" si="0"/>
        <v>0.41300000000000003</v>
      </c>
      <c r="M32" s="55">
        <f t="shared" si="1"/>
        <v>0.5162500000000001</v>
      </c>
    </row>
    <row r="35" spans="3:17">
      <c r="C35" s="132" t="s">
        <v>361</v>
      </c>
      <c r="E35" t="s">
        <v>212</v>
      </c>
      <c r="F35" t="s">
        <v>369</v>
      </c>
      <c r="H35" s="98"/>
      <c r="I35" s="98"/>
      <c r="J35" s="245" t="s">
        <v>228</v>
      </c>
      <c r="K35" s="245"/>
      <c r="L35" s="245"/>
      <c r="M35" s="245"/>
      <c r="N35" s="245"/>
      <c r="O35" s="245"/>
    </row>
    <row r="36" spans="3:17" ht="43.2">
      <c r="C36" t="s">
        <v>142</v>
      </c>
      <c r="E36">
        <v>1.6</v>
      </c>
      <c r="F36" s="55">
        <f t="shared" ref="F36:F41" si="2">$E36*25/100</f>
        <v>0.4</v>
      </c>
      <c r="H36" s="242" t="s">
        <v>216</v>
      </c>
      <c r="I36" s="246" t="s">
        <v>225</v>
      </c>
      <c r="J36" s="70" t="s">
        <v>217</v>
      </c>
      <c r="K36" s="70" t="s">
        <v>226</v>
      </c>
      <c r="L36" s="70" t="s">
        <v>118</v>
      </c>
      <c r="M36" s="70" t="s">
        <v>143</v>
      </c>
      <c r="N36" s="70" t="s">
        <v>227</v>
      </c>
      <c r="O36" s="70" t="s">
        <v>120</v>
      </c>
    </row>
    <row r="37" spans="3:17">
      <c r="C37" t="s">
        <v>119</v>
      </c>
      <c r="F37" s="55">
        <f t="shared" si="2"/>
        <v>0</v>
      </c>
      <c r="H37" s="242"/>
      <c r="I37" s="246"/>
      <c r="J37" s="129" t="s">
        <v>218</v>
      </c>
      <c r="K37" s="129" t="s">
        <v>219</v>
      </c>
      <c r="L37" s="129" t="s">
        <v>220</v>
      </c>
      <c r="M37" s="129" t="s">
        <v>221</v>
      </c>
      <c r="N37" s="129" t="s">
        <v>222</v>
      </c>
      <c r="O37" s="129" t="s">
        <v>223</v>
      </c>
    </row>
    <row r="38" spans="3:17">
      <c r="C38" t="s">
        <v>118</v>
      </c>
      <c r="E38">
        <v>46.5</v>
      </c>
      <c r="F38" s="55">
        <f t="shared" si="2"/>
        <v>11.625</v>
      </c>
      <c r="H38" s="242"/>
      <c r="I38" s="116" t="s">
        <v>224</v>
      </c>
      <c r="J38" s="129" t="s">
        <v>224</v>
      </c>
      <c r="K38" s="129" t="s">
        <v>224</v>
      </c>
      <c r="L38" s="129" t="s">
        <v>224</v>
      </c>
      <c r="M38" s="129" t="s">
        <v>224</v>
      </c>
      <c r="N38" s="129" t="s">
        <v>224</v>
      </c>
      <c r="O38" s="129" t="s">
        <v>224</v>
      </c>
    </row>
    <row r="39" spans="3:17" ht="17.399999999999999">
      <c r="C39" t="s">
        <v>143</v>
      </c>
      <c r="F39" s="55">
        <f t="shared" si="2"/>
        <v>0</v>
      </c>
      <c r="H39" s="114" t="s">
        <v>72</v>
      </c>
      <c r="I39" s="3">
        <v>25</v>
      </c>
      <c r="J39" s="3">
        <v>1.6</v>
      </c>
      <c r="K39" s="3"/>
      <c r="L39" s="3">
        <v>46.5</v>
      </c>
      <c r="M39" s="3"/>
      <c r="N39" s="3">
        <v>8.3000000000000007</v>
      </c>
      <c r="O39" s="3">
        <v>1.3</v>
      </c>
    </row>
    <row r="40" spans="3:17" ht="17.399999999999999">
      <c r="C40" t="s">
        <v>133</v>
      </c>
      <c r="E40">
        <v>8.3000000000000007</v>
      </c>
      <c r="F40" s="55">
        <f t="shared" si="2"/>
        <v>2.0750000000000002</v>
      </c>
      <c r="H40" s="114" t="s">
        <v>10</v>
      </c>
      <c r="I40" s="3">
        <v>5</v>
      </c>
      <c r="J40" s="18">
        <v>51.3</v>
      </c>
      <c r="K40" s="18">
        <v>4.0999999999999996</v>
      </c>
      <c r="L40" s="18">
        <v>5</v>
      </c>
      <c r="M40" s="18">
        <v>3</v>
      </c>
      <c r="N40" s="18">
        <v>0.8</v>
      </c>
      <c r="O40" s="18">
        <v>1.4</v>
      </c>
    </row>
    <row r="41" spans="3:17" ht="17.399999999999999">
      <c r="C41" t="s">
        <v>120</v>
      </c>
      <c r="E41">
        <v>1.3</v>
      </c>
      <c r="F41" s="55">
        <f t="shared" si="2"/>
        <v>0.32500000000000001</v>
      </c>
      <c r="H41" s="114" t="s">
        <v>12</v>
      </c>
      <c r="I41" s="3">
        <v>2</v>
      </c>
      <c r="J41" s="24">
        <v>0.25</v>
      </c>
      <c r="K41" s="24">
        <v>0</v>
      </c>
      <c r="L41" s="24">
        <v>1.4</v>
      </c>
      <c r="M41" s="24">
        <v>0</v>
      </c>
      <c r="N41" s="24">
        <v>1.3</v>
      </c>
      <c r="O41" s="24">
        <v>0</v>
      </c>
    </row>
    <row r="42" spans="3:17" ht="17.399999999999999">
      <c r="H42" s="114" t="s">
        <v>74</v>
      </c>
      <c r="I42" s="3">
        <v>23</v>
      </c>
      <c r="J42" s="3">
        <v>35.4</v>
      </c>
      <c r="K42" s="3"/>
      <c r="L42" s="3">
        <v>0.2</v>
      </c>
      <c r="M42" s="3"/>
      <c r="N42" s="3">
        <v>27.4</v>
      </c>
      <c r="O42" s="3"/>
    </row>
    <row r="43" spans="3:17" ht="17.399999999999999">
      <c r="C43" s="64" t="s">
        <v>151</v>
      </c>
      <c r="D43" s="54"/>
      <c r="F43" t="s">
        <v>315</v>
      </c>
      <c r="H43" s="114" t="s">
        <v>14</v>
      </c>
      <c r="I43" s="3">
        <v>6</v>
      </c>
      <c r="J43" s="3">
        <v>10.6</v>
      </c>
      <c r="K43" s="3">
        <v>3.23</v>
      </c>
      <c r="L43" s="3">
        <v>3.4</v>
      </c>
      <c r="M43" s="3">
        <v>0.5</v>
      </c>
      <c r="N43" s="3">
        <v>12.6</v>
      </c>
      <c r="O43" s="3">
        <v>0.3</v>
      </c>
    </row>
    <row r="44" spans="3:17" ht="17.399999999999999">
      <c r="C44" t="s">
        <v>142</v>
      </c>
      <c r="E44" s="56">
        <v>51.3</v>
      </c>
      <c r="F44" s="88">
        <f t="shared" ref="F44:F49" si="3">$E44*5/100</f>
        <v>2.5649999999999999</v>
      </c>
      <c r="H44" s="114" t="s">
        <v>43</v>
      </c>
      <c r="I44" s="24">
        <v>19</v>
      </c>
      <c r="J44" s="3">
        <v>0.2</v>
      </c>
      <c r="K44" s="3">
        <v>5.1999999999999998E-2</v>
      </c>
      <c r="L44" s="3">
        <v>2.2599999999999998</v>
      </c>
      <c r="M44" s="3">
        <v>1.06</v>
      </c>
      <c r="N44" s="3">
        <v>0.33</v>
      </c>
      <c r="O44" s="3"/>
    </row>
    <row r="45" spans="3:17">
      <c r="C45" t="s">
        <v>119</v>
      </c>
      <c r="E45" s="56">
        <v>4.0999999999999996</v>
      </c>
      <c r="F45" s="88">
        <f t="shared" si="3"/>
        <v>0.20499999999999999</v>
      </c>
    </row>
    <row r="46" spans="3:17" ht="43.2">
      <c r="C46" t="s">
        <v>118</v>
      </c>
      <c r="E46" s="56">
        <v>5</v>
      </c>
      <c r="F46" s="88">
        <f t="shared" si="3"/>
        <v>0.25</v>
      </c>
      <c r="H46" s="254" t="s">
        <v>0</v>
      </c>
      <c r="I46" s="255" t="s">
        <v>229</v>
      </c>
      <c r="J46" s="103" t="s">
        <v>217</v>
      </c>
      <c r="K46" s="103" t="s">
        <v>226</v>
      </c>
      <c r="L46" s="103" t="s">
        <v>118</v>
      </c>
      <c r="M46" s="103" t="s">
        <v>143</v>
      </c>
      <c r="N46" s="103" t="s">
        <v>227</v>
      </c>
      <c r="O46" s="103" t="s">
        <v>120</v>
      </c>
      <c r="P46" s="191" t="s">
        <v>230</v>
      </c>
      <c r="Q46" s="191"/>
    </row>
    <row r="47" spans="3:17">
      <c r="C47" t="s">
        <v>143</v>
      </c>
      <c r="E47" s="56">
        <v>3</v>
      </c>
      <c r="F47" s="88">
        <f t="shared" si="3"/>
        <v>0.15</v>
      </c>
      <c r="H47" s="254"/>
      <c r="I47" s="255"/>
      <c r="J47" s="115" t="s">
        <v>218</v>
      </c>
      <c r="K47" s="115" t="s">
        <v>219</v>
      </c>
      <c r="L47" s="115" t="s">
        <v>220</v>
      </c>
      <c r="M47" s="115" t="s">
        <v>221</v>
      </c>
      <c r="N47" s="115" t="s">
        <v>222</v>
      </c>
      <c r="O47" s="115" t="s">
        <v>223</v>
      </c>
      <c r="P47" s="115" t="s">
        <v>231</v>
      </c>
      <c r="Q47" s="115" t="s">
        <v>231</v>
      </c>
    </row>
    <row r="48" spans="3:17">
      <c r="C48" t="s">
        <v>133</v>
      </c>
      <c r="E48" s="56">
        <v>0.8</v>
      </c>
      <c r="F48" s="88">
        <f t="shared" si="3"/>
        <v>0.04</v>
      </c>
      <c r="H48" s="254"/>
      <c r="I48" s="255"/>
      <c r="J48" s="115" t="s">
        <v>224</v>
      </c>
      <c r="K48" s="115" t="s">
        <v>224</v>
      </c>
      <c r="L48" s="115" t="s">
        <v>224</v>
      </c>
      <c r="M48" s="115" t="s">
        <v>224</v>
      </c>
      <c r="N48" s="115" t="s">
        <v>224</v>
      </c>
      <c r="O48" s="115" t="s">
        <v>224</v>
      </c>
      <c r="P48" s="115" t="s">
        <v>232</v>
      </c>
      <c r="Q48" s="115" t="s">
        <v>233</v>
      </c>
    </row>
    <row r="49" spans="3:17" ht="17.399999999999999">
      <c r="C49" t="s">
        <v>120</v>
      </c>
      <c r="E49" s="56">
        <v>1.4</v>
      </c>
      <c r="F49" s="88">
        <f t="shared" si="3"/>
        <v>7.0000000000000007E-2</v>
      </c>
      <c r="H49" s="188" t="s">
        <v>72</v>
      </c>
      <c r="I49" s="188"/>
      <c r="J49" s="78">
        <f t="shared" ref="J49:J54" si="4">$J39*$I39/80</f>
        <v>0.5</v>
      </c>
      <c r="K49" s="78">
        <f t="shared" ref="K49:K54" si="5">$K39*$I39/80</f>
        <v>0</v>
      </c>
      <c r="L49" s="78">
        <f t="shared" ref="L49:L54" si="6">$L39*$I39/80</f>
        <v>14.53125</v>
      </c>
      <c r="M49" s="78">
        <f t="shared" ref="M49:M54" si="7">$M39*$I39/80</f>
        <v>0</v>
      </c>
      <c r="N49" s="78">
        <f t="shared" ref="N49:N54" si="8">$N39*$I39/80</f>
        <v>2.5937500000000004</v>
      </c>
      <c r="O49" s="78">
        <f t="shared" ref="O49:O54" si="9">$O39*$I39/80</f>
        <v>0.40625</v>
      </c>
      <c r="P49" s="78"/>
      <c r="Q49" s="3"/>
    </row>
    <row r="50" spans="3:17" ht="17.399999999999999">
      <c r="H50" s="188" t="s">
        <v>10</v>
      </c>
      <c r="I50" s="188"/>
      <c r="J50" s="78">
        <f t="shared" si="4"/>
        <v>3.2062499999999998</v>
      </c>
      <c r="K50" s="78">
        <f t="shared" si="5"/>
        <v>0.25624999999999998</v>
      </c>
      <c r="L50" s="78">
        <f t="shared" si="6"/>
        <v>0.3125</v>
      </c>
      <c r="M50" s="78">
        <f t="shared" si="7"/>
        <v>0.1875</v>
      </c>
      <c r="N50" s="78">
        <f t="shared" si="8"/>
        <v>0.05</v>
      </c>
      <c r="O50" s="78">
        <f t="shared" si="9"/>
        <v>8.7499999999999994E-2</v>
      </c>
      <c r="P50" s="78"/>
      <c r="Q50" s="3"/>
    </row>
    <row r="51" spans="3:17" ht="17.399999999999999">
      <c r="C51" s="92" t="s">
        <v>149</v>
      </c>
      <c r="D51" s="93"/>
      <c r="E51" t="s">
        <v>212</v>
      </c>
      <c r="F51" t="s">
        <v>316</v>
      </c>
      <c r="H51" s="188" t="s">
        <v>12</v>
      </c>
      <c r="I51" s="188"/>
      <c r="J51" s="78">
        <f t="shared" si="4"/>
        <v>6.2500000000000003E-3</v>
      </c>
      <c r="K51" s="78">
        <f t="shared" si="5"/>
        <v>0</v>
      </c>
      <c r="L51" s="78">
        <f t="shared" si="6"/>
        <v>3.4999999999999996E-2</v>
      </c>
      <c r="M51" s="78">
        <f t="shared" si="7"/>
        <v>0</v>
      </c>
      <c r="N51" s="78">
        <f t="shared" si="8"/>
        <v>3.2500000000000001E-2</v>
      </c>
      <c r="O51" s="78">
        <f t="shared" si="9"/>
        <v>0</v>
      </c>
      <c r="P51" s="78"/>
      <c r="Q51" s="3"/>
    </row>
    <row r="52" spans="3:17" ht="17.399999999999999">
      <c r="C52" t="s">
        <v>142</v>
      </c>
      <c r="E52">
        <v>0.2</v>
      </c>
      <c r="F52" s="55">
        <f t="shared" ref="F52:F57" si="10">$E52*2/100</f>
        <v>4.0000000000000001E-3</v>
      </c>
      <c r="H52" s="188" t="s">
        <v>74</v>
      </c>
      <c r="I52" s="188"/>
      <c r="J52" s="78">
        <f t="shared" si="4"/>
        <v>10.177499999999998</v>
      </c>
      <c r="K52" s="78">
        <f t="shared" si="5"/>
        <v>0</v>
      </c>
      <c r="L52" s="78">
        <f t="shared" si="6"/>
        <v>5.7500000000000009E-2</v>
      </c>
      <c r="M52" s="78">
        <f t="shared" si="7"/>
        <v>0</v>
      </c>
      <c r="N52" s="78">
        <f t="shared" si="8"/>
        <v>7.8774999999999995</v>
      </c>
      <c r="O52" s="78">
        <f t="shared" si="9"/>
        <v>0</v>
      </c>
      <c r="P52" s="78"/>
      <c r="Q52" s="3"/>
    </row>
    <row r="53" spans="3:17" ht="17.399999999999999">
      <c r="C53" t="s">
        <v>119</v>
      </c>
      <c r="E53">
        <v>0</v>
      </c>
      <c r="F53" s="55">
        <f t="shared" si="10"/>
        <v>0</v>
      </c>
      <c r="H53" s="188" t="s">
        <v>14</v>
      </c>
      <c r="I53" s="188"/>
      <c r="J53" s="78">
        <f t="shared" si="4"/>
        <v>0.79499999999999993</v>
      </c>
      <c r="K53" s="78">
        <f t="shared" si="5"/>
        <v>0.24224999999999999</v>
      </c>
      <c r="L53" s="78">
        <f t="shared" si="6"/>
        <v>0.255</v>
      </c>
      <c r="M53" s="78">
        <f t="shared" si="7"/>
        <v>3.7499999999999999E-2</v>
      </c>
      <c r="N53" s="78">
        <f t="shared" si="8"/>
        <v>0.94499999999999995</v>
      </c>
      <c r="O53" s="78">
        <f t="shared" si="9"/>
        <v>2.2499999999999999E-2</v>
      </c>
      <c r="P53" s="78"/>
      <c r="Q53" s="3"/>
    </row>
    <row r="54" spans="3:17" ht="17.399999999999999">
      <c r="C54" t="s">
        <v>118</v>
      </c>
      <c r="E54">
        <v>1.4</v>
      </c>
      <c r="F54" s="55">
        <f t="shared" si="10"/>
        <v>2.7999999999999997E-2</v>
      </c>
      <c r="H54" s="188" t="s">
        <v>43</v>
      </c>
      <c r="I54" s="188"/>
      <c r="J54" s="78">
        <f t="shared" si="4"/>
        <v>4.7500000000000001E-2</v>
      </c>
      <c r="K54" s="78">
        <f t="shared" si="5"/>
        <v>1.235E-2</v>
      </c>
      <c r="L54" s="78">
        <f t="shared" si="6"/>
        <v>0.53674999999999995</v>
      </c>
      <c r="M54" s="78">
        <f t="shared" si="7"/>
        <v>0.25175000000000003</v>
      </c>
      <c r="N54" s="78">
        <f t="shared" si="8"/>
        <v>7.8375E-2</v>
      </c>
      <c r="O54" s="78">
        <f t="shared" si="9"/>
        <v>0</v>
      </c>
      <c r="P54" s="78"/>
      <c r="Q54" s="3"/>
    </row>
    <row r="55" spans="3:17" ht="33" customHeight="1">
      <c r="C55" t="s">
        <v>143</v>
      </c>
      <c r="E55">
        <v>0</v>
      </c>
      <c r="F55" s="55">
        <f t="shared" si="10"/>
        <v>0</v>
      </c>
      <c r="H55" s="235" t="s">
        <v>234</v>
      </c>
      <c r="I55" s="235"/>
      <c r="J55" s="85">
        <f t="shared" ref="J55:O55" si="11">SUM(J49:J54)</f>
        <v>14.732499999999998</v>
      </c>
      <c r="K55" s="84">
        <f t="shared" si="11"/>
        <v>0.51084999999999992</v>
      </c>
      <c r="L55" s="85">
        <f t="shared" si="11"/>
        <v>15.728</v>
      </c>
      <c r="M55" s="84">
        <f t="shared" si="11"/>
        <v>0.47675000000000001</v>
      </c>
      <c r="N55" s="84">
        <f t="shared" si="11"/>
        <v>11.577125000000001</v>
      </c>
      <c r="O55" s="84">
        <f t="shared" si="11"/>
        <v>0.51624999999999999</v>
      </c>
      <c r="P55" s="85">
        <f>17*N55+37*J55+17*L55</f>
        <v>1009.2896249999999</v>
      </c>
      <c r="Q55" s="85">
        <f>4*N55+9*J55+4*L55</f>
        <v>241.81299999999999</v>
      </c>
    </row>
    <row r="56" spans="3:17">
      <c r="C56" t="s">
        <v>133</v>
      </c>
      <c r="E56">
        <v>1.3</v>
      </c>
      <c r="F56" s="55">
        <f t="shared" si="10"/>
        <v>2.6000000000000002E-2</v>
      </c>
    </row>
    <row r="57" spans="3:17">
      <c r="C57" t="s">
        <v>120</v>
      </c>
      <c r="E57">
        <v>0</v>
      </c>
      <c r="F57" s="55">
        <f t="shared" si="10"/>
        <v>0</v>
      </c>
    </row>
    <row r="59" spans="3:17">
      <c r="C59" s="131" t="s">
        <v>74</v>
      </c>
      <c r="F59" t="s">
        <v>374</v>
      </c>
    </row>
    <row r="60" spans="3:17">
      <c r="C60" t="s">
        <v>142</v>
      </c>
      <c r="E60">
        <v>35.4</v>
      </c>
      <c r="F60" s="55">
        <f t="shared" ref="F60:F65" si="12">$E60*23/100</f>
        <v>8.1419999999999995</v>
      </c>
    </row>
    <row r="61" spans="3:17">
      <c r="C61" t="s">
        <v>119</v>
      </c>
      <c r="F61" s="55">
        <f t="shared" si="12"/>
        <v>0</v>
      </c>
    </row>
    <row r="62" spans="3:17">
      <c r="C62" t="s">
        <v>118</v>
      </c>
      <c r="E62">
        <v>0.2</v>
      </c>
      <c r="F62" s="55">
        <f t="shared" si="12"/>
        <v>4.6000000000000006E-2</v>
      </c>
    </row>
    <row r="63" spans="3:17">
      <c r="C63" t="s">
        <v>143</v>
      </c>
      <c r="F63" s="55">
        <f t="shared" si="12"/>
        <v>0</v>
      </c>
    </row>
    <row r="64" spans="3:17">
      <c r="C64" t="s">
        <v>133</v>
      </c>
      <c r="E64">
        <v>27.4</v>
      </c>
      <c r="F64" s="55">
        <f t="shared" si="12"/>
        <v>6.3019999999999996</v>
      </c>
    </row>
    <row r="65" spans="2:6">
      <c r="C65" t="s">
        <v>120</v>
      </c>
      <c r="F65" s="55">
        <f t="shared" si="12"/>
        <v>0</v>
      </c>
    </row>
    <row r="67" spans="2:6">
      <c r="C67" s="64" t="s">
        <v>373</v>
      </c>
      <c r="D67" s="54"/>
      <c r="F67" t="s">
        <v>371</v>
      </c>
    </row>
    <row r="68" spans="2:6">
      <c r="C68" t="s">
        <v>136</v>
      </c>
      <c r="E68">
        <v>10.6</v>
      </c>
      <c r="F68" s="55">
        <f t="shared" ref="F68:F73" si="13">$E68*6/100</f>
        <v>0.6359999999999999</v>
      </c>
    </row>
    <row r="69" spans="2:6">
      <c r="C69" t="s">
        <v>137</v>
      </c>
      <c r="E69">
        <v>3.23</v>
      </c>
      <c r="F69" s="55">
        <f t="shared" si="13"/>
        <v>0.1938</v>
      </c>
    </row>
    <row r="70" spans="2:6">
      <c r="C70" t="s">
        <v>138</v>
      </c>
      <c r="E70">
        <v>3.4</v>
      </c>
      <c r="F70" s="55">
        <f t="shared" si="13"/>
        <v>0.20399999999999999</v>
      </c>
    </row>
    <row r="71" spans="2:6">
      <c r="C71" t="s">
        <v>139</v>
      </c>
      <c r="E71">
        <v>0.5</v>
      </c>
      <c r="F71" s="55">
        <f t="shared" si="13"/>
        <v>0.03</v>
      </c>
    </row>
    <row r="72" spans="2:6">
      <c r="C72" t="s">
        <v>140</v>
      </c>
      <c r="E72">
        <v>12.6</v>
      </c>
      <c r="F72" s="55">
        <f t="shared" si="13"/>
        <v>0.75599999999999989</v>
      </c>
    </row>
    <row r="73" spans="2:6">
      <c r="C73" t="s">
        <v>141</v>
      </c>
      <c r="E73">
        <v>0.3</v>
      </c>
      <c r="F73" s="55">
        <f t="shared" si="13"/>
        <v>1.7999999999999999E-2</v>
      </c>
    </row>
    <row r="75" spans="2:6">
      <c r="B75" t="s">
        <v>331</v>
      </c>
      <c r="C75" s="92" t="s">
        <v>258</v>
      </c>
      <c r="D75" s="93"/>
      <c r="E75" t="s">
        <v>212</v>
      </c>
      <c r="F75" t="s">
        <v>372</v>
      </c>
    </row>
    <row r="76" spans="2:6">
      <c r="C76" t="s">
        <v>142</v>
      </c>
      <c r="E76">
        <v>0.2</v>
      </c>
      <c r="F76" s="55">
        <f t="shared" ref="F76:F81" si="14">$E76*19/100</f>
        <v>3.8000000000000006E-2</v>
      </c>
    </row>
    <row r="77" spans="2:6">
      <c r="C77" t="s">
        <v>119</v>
      </c>
      <c r="E77">
        <v>5.1999999999999998E-2</v>
      </c>
      <c r="F77" s="55">
        <f t="shared" si="14"/>
        <v>9.8799999999999999E-3</v>
      </c>
    </row>
    <row r="78" spans="2:6">
      <c r="C78" t="s">
        <v>118</v>
      </c>
      <c r="E78">
        <v>2.2599999999999998</v>
      </c>
      <c r="F78" s="55">
        <f t="shared" si="14"/>
        <v>0.4294</v>
      </c>
    </row>
    <row r="79" spans="2:6">
      <c r="C79" t="s">
        <v>143</v>
      </c>
      <c r="E79">
        <v>1.06</v>
      </c>
      <c r="F79" s="55">
        <f t="shared" si="14"/>
        <v>0.2014</v>
      </c>
    </row>
    <row r="80" spans="2:6">
      <c r="C80" t="s">
        <v>133</v>
      </c>
      <c r="E80">
        <v>0.33</v>
      </c>
      <c r="F80" s="55">
        <f t="shared" si="14"/>
        <v>6.2700000000000006E-2</v>
      </c>
    </row>
    <row r="81" spans="3:15">
      <c r="C81" t="s">
        <v>120</v>
      </c>
      <c r="E81">
        <v>0</v>
      </c>
      <c r="F81" s="55">
        <f t="shared" si="14"/>
        <v>0</v>
      </c>
    </row>
    <row r="84" spans="3:15">
      <c r="C84" s="252" t="s">
        <v>375</v>
      </c>
      <c r="D84" s="252"/>
    </row>
    <row r="85" spans="3:15">
      <c r="D85" s="7"/>
      <c r="F85" s="55" t="s">
        <v>369</v>
      </c>
      <c r="G85" t="s">
        <v>376</v>
      </c>
      <c r="H85" t="s">
        <v>377</v>
      </c>
      <c r="I85" t="s">
        <v>378</v>
      </c>
      <c r="J85" t="s">
        <v>316</v>
      </c>
      <c r="K85" t="s">
        <v>371</v>
      </c>
      <c r="L85" t="s">
        <v>379</v>
      </c>
      <c r="M85" t="s">
        <v>360</v>
      </c>
      <c r="N85" s="65" t="s">
        <v>155</v>
      </c>
    </row>
    <row r="86" spans="3:15">
      <c r="C86" t="s">
        <v>142</v>
      </c>
      <c r="F86" s="55">
        <v>0.4</v>
      </c>
      <c r="G86" s="55">
        <v>0.77700000000000002</v>
      </c>
      <c r="H86" s="55">
        <v>3.24</v>
      </c>
      <c r="I86" s="55">
        <v>3.3</v>
      </c>
      <c r="J86" s="55">
        <v>4.0000000000000001E-3</v>
      </c>
      <c r="K86" s="55">
        <v>0.6359999999999999</v>
      </c>
      <c r="L86" s="55">
        <v>8.0000000000000002E-3</v>
      </c>
      <c r="M86" s="55">
        <f t="shared" ref="M86:M91" si="15">SUM(F86:L86)</f>
        <v>8.3649999999999984</v>
      </c>
      <c r="N86" s="55">
        <f t="shared" ref="N86:N91" si="16">$M86*100/75</f>
        <v>11.153333333333332</v>
      </c>
    </row>
    <row r="87" spans="3:15">
      <c r="C87" t="s">
        <v>119</v>
      </c>
      <c r="F87" s="55">
        <v>0</v>
      </c>
      <c r="G87" s="55">
        <v>0.252</v>
      </c>
      <c r="H87" s="55">
        <v>1.56</v>
      </c>
      <c r="I87" s="55">
        <v>0.28499999999999998</v>
      </c>
      <c r="J87" s="55">
        <v>0</v>
      </c>
      <c r="K87" s="55">
        <v>0.1938</v>
      </c>
      <c r="L87" s="55">
        <v>0</v>
      </c>
      <c r="M87" s="55">
        <f t="shared" si="15"/>
        <v>2.2907999999999999</v>
      </c>
      <c r="N87" s="55">
        <f t="shared" si="16"/>
        <v>3.0543999999999998</v>
      </c>
    </row>
    <row r="88" spans="3:15">
      <c r="C88" t="s">
        <v>118</v>
      </c>
      <c r="F88" s="55">
        <v>11.625</v>
      </c>
      <c r="G88" s="55">
        <v>0.42</v>
      </c>
      <c r="H88" s="55">
        <v>0.06</v>
      </c>
      <c r="I88" s="55">
        <v>0.15</v>
      </c>
      <c r="J88" s="55">
        <v>2.7999999999999997E-2</v>
      </c>
      <c r="K88" s="55">
        <v>0.20399999999999999</v>
      </c>
      <c r="L88" s="55">
        <v>0.16</v>
      </c>
      <c r="M88" s="55">
        <f t="shared" si="15"/>
        <v>12.647000000000002</v>
      </c>
      <c r="N88" s="55">
        <f t="shared" si="16"/>
        <v>16.862666666666669</v>
      </c>
    </row>
    <row r="89" spans="3:15">
      <c r="C89" t="s">
        <v>143</v>
      </c>
      <c r="F89" s="55">
        <v>0</v>
      </c>
      <c r="G89" s="55">
        <v>0.18900000000000003</v>
      </c>
      <c r="H89" s="55">
        <v>0</v>
      </c>
      <c r="I89" s="55">
        <v>7.0000000000000007E-2</v>
      </c>
      <c r="J89" s="55">
        <v>0</v>
      </c>
      <c r="K89" s="55">
        <v>0.03</v>
      </c>
      <c r="L89" s="55">
        <v>0.11599999999999999</v>
      </c>
      <c r="M89" s="55">
        <f t="shared" si="15"/>
        <v>0.40500000000000003</v>
      </c>
      <c r="N89" s="55">
        <f t="shared" si="16"/>
        <v>0.54</v>
      </c>
    </row>
    <row r="90" spans="3:15">
      <c r="C90" t="s">
        <v>133</v>
      </c>
      <c r="F90" s="55">
        <v>2.0750000000000002</v>
      </c>
      <c r="G90" s="55">
        <v>2.8980000000000001</v>
      </c>
      <c r="H90" s="55">
        <v>2.88</v>
      </c>
      <c r="I90" s="55">
        <v>3.7499999999999999E-2</v>
      </c>
      <c r="J90" s="55">
        <v>2.6000000000000002E-2</v>
      </c>
      <c r="K90" s="55">
        <v>0.75599999999999989</v>
      </c>
      <c r="L90" s="55">
        <v>2.4E-2</v>
      </c>
      <c r="M90" s="55">
        <f t="shared" si="15"/>
        <v>8.6964999999999986</v>
      </c>
      <c r="N90" s="55">
        <f t="shared" si="16"/>
        <v>11.595333333333331</v>
      </c>
    </row>
    <row r="91" spans="3:15">
      <c r="C91" t="s">
        <v>120</v>
      </c>
      <c r="F91" s="55">
        <v>0.32500000000000001</v>
      </c>
      <c r="G91" s="55">
        <v>0.441</v>
      </c>
      <c r="H91" s="55">
        <v>0.24</v>
      </c>
      <c r="I91" s="55">
        <v>2.2499999999999999E-2</v>
      </c>
      <c r="J91" s="55">
        <v>0</v>
      </c>
      <c r="K91" s="55">
        <v>1.7999999999999999E-2</v>
      </c>
      <c r="L91" s="55">
        <v>5.2000000000000005E-2</v>
      </c>
      <c r="M91" s="55">
        <f t="shared" si="15"/>
        <v>1.0985</v>
      </c>
      <c r="N91" s="55">
        <f t="shared" si="16"/>
        <v>1.4646666666666668</v>
      </c>
    </row>
    <row r="94" spans="3:15" ht="43.2">
      <c r="C94" s="132" t="s">
        <v>361</v>
      </c>
      <c r="E94" t="s">
        <v>212</v>
      </c>
      <c r="F94" t="s">
        <v>369</v>
      </c>
      <c r="H94" s="242" t="s">
        <v>216</v>
      </c>
      <c r="I94" s="246" t="s">
        <v>225</v>
      </c>
      <c r="J94" s="70" t="s">
        <v>217</v>
      </c>
      <c r="K94" s="70" t="s">
        <v>226</v>
      </c>
      <c r="L94" s="70" t="s">
        <v>118</v>
      </c>
      <c r="M94" s="70" t="s">
        <v>143</v>
      </c>
      <c r="N94" s="70" t="s">
        <v>227</v>
      </c>
      <c r="O94" s="70" t="s">
        <v>120</v>
      </c>
    </row>
    <row r="95" spans="3:15">
      <c r="C95" t="s">
        <v>142</v>
      </c>
      <c r="E95">
        <v>1.6</v>
      </c>
      <c r="F95" s="55">
        <f t="shared" ref="F95:F100" si="17">$E95*25/100</f>
        <v>0.4</v>
      </c>
      <c r="H95" s="242"/>
      <c r="I95" s="246"/>
      <c r="J95" s="129" t="s">
        <v>218</v>
      </c>
      <c r="K95" s="129" t="s">
        <v>219</v>
      </c>
      <c r="L95" s="129" t="s">
        <v>220</v>
      </c>
      <c r="M95" s="129" t="s">
        <v>221</v>
      </c>
      <c r="N95" s="129" t="s">
        <v>222</v>
      </c>
      <c r="O95" s="129" t="s">
        <v>223</v>
      </c>
    </row>
    <row r="96" spans="3:15">
      <c r="C96" t="s">
        <v>119</v>
      </c>
      <c r="F96" s="55">
        <f t="shared" si="17"/>
        <v>0</v>
      </c>
      <c r="H96" s="242"/>
      <c r="I96" s="116" t="s">
        <v>224</v>
      </c>
      <c r="J96" s="129" t="s">
        <v>224</v>
      </c>
      <c r="K96" s="129" t="s">
        <v>224</v>
      </c>
      <c r="L96" s="129" t="s">
        <v>224</v>
      </c>
      <c r="M96" s="129" t="s">
        <v>224</v>
      </c>
      <c r="N96" s="129" t="s">
        <v>224</v>
      </c>
      <c r="O96" s="129" t="s">
        <v>224</v>
      </c>
    </row>
    <row r="97" spans="3:17" ht="17.399999999999999">
      <c r="C97" t="s">
        <v>118</v>
      </c>
      <c r="E97">
        <v>46.5</v>
      </c>
      <c r="F97" s="55">
        <f t="shared" si="17"/>
        <v>11.625</v>
      </c>
      <c r="H97" s="114" t="s">
        <v>72</v>
      </c>
      <c r="I97" s="3">
        <v>25</v>
      </c>
      <c r="J97" s="3">
        <v>1.6</v>
      </c>
      <c r="K97" s="3"/>
      <c r="L97" s="3">
        <v>46.5</v>
      </c>
      <c r="M97" s="3"/>
      <c r="N97" s="3">
        <v>8.3000000000000007</v>
      </c>
      <c r="O97" s="3">
        <v>1.3</v>
      </c>
    </row>
    <row r="98" spans="3:17" ht="17.399999999999999">
      <c r="C98" t="s">
        <v>143</v>
      </c>
      <c r="F98" s="55">
        <f t="shared" si="17"/>
        <v>0</v>
      </c>
      <c r="H98" s="114" t="s">
        <v>38</v>
      </c>
      <c r="I98" s="3">
        <v>5</v>
      </c>
      <c r="J98" s="3">
        <v>66</v>
      </c>
      <c r="K98" s="3">
        <v>5.7</v>
      </c>
      <c r="L98" s="3">
        <v>3</v>
      </c>
      <c r="M98" s="3">
        <v>1.4</v>
      </c>
      <c r="N98" s="3">
        <v>0.75</v>
      </c>
      <c r="O98" s="3">
        <v>0.45</v>
      </c>
    </row>
    <row r="99" spans="3:17" ht="17.399999999999999">
      <c r="C99" t="s">
        <v>133</v>
      </c>
      <c r="E99">
        <v>8.3000000000000007</v>
      </c>
      <c r="F99" s="55">
        <f t="shared" si="17"/>
        <v>2.0750000000000002</v>
      </c>
      <c r="H99" s="114" t="s">
        <v>12</v>
      </c>
      <c r="I99" s="3">
        <v>2</v>
      </c>
      <c r="J99" s="24">
        <v>0.25</v>
      </c>
      <c r="K99" s="24">
        <v>0</v>
      </c>
      <c r="L99" s="24">
        <v>1.4</v>
      </c>
      <c r="M99" s="24">
        <v>0</v>
      </c>
      <c r="N99" s="24">
        <v>1.3</v>
      </c>
      <c r="O99" s="24">
        <v>0</v>
      </c>
    </row>
    <row r="100" spans="3:17" ht="17.399999999999999">
      <c r="C100" t="s">
        <v>120</v>
      </c>
      <c r="E100">
        <v>1.3</v>
      </c>
      <c r="F100" s="55">
        <f t="shared" si="17"/>
        <v>0.32500000000000001</v>
      </c>
      <c r="H100" s="114" t="s">
        <v>39</v>
      </c>
      <c r="I100" s="3">
        <v>21</v>
      </c>
      <c r="J100" s="24">
        <v>3.7</v>
      </c>
      <c r="K100" s="3">
        <v>1.2</v>
      </c>
      <c r="L100" s="24">
        <v>2</v>
      </c>
      <c r="M100" s="24">
        <v>0.9</v>
      </c>
      <c r="N100" s="24">
        <v>13.8</v>
      </c>
      <c r="O100" s="24">
        <v>2.1</v>
      </c>
    </row>
    <row r="101" spans="3:17" ht="17.399999999999999">
      <c r="H101" s="114" t="s">
        <v>26</v>
      </c>
      <c r="I101" s="3">
        <v>12</v>
      </c>
      <c r="J101" s="24">
        <v>27</v>
      </c>
      <c r="K101" s="3">
        <v>13</v>
      </c>
      <c r="L101" s="24">
        <v>0.5</v>
      </c>
      <c r="M101" s="24">
        <v>0</v>
      </c>
      <c r="N101" s="24">
        <v>24</v>
      </c>
      <c r="O101" s="24">
        <v>2</v>
      </c>
    </row>
    <row r="102" spans="3:17" ht="17.399999999999999">
      <c r="C102" s="67" t="s">
        <v>39</v>
      </c>
      <c r="E102" t="s">
        <v>212</v>
      </c>
      <c r="F102" t="s">
        <v>376</v>
      </c>
      <c r="H102" s="114" t="s">
        <v>14</v>
      </c>
      <c r="I102" s="24">
        <v>6</v>
      </c>
      <c r="J102" s="3">
        <v>10.6</v>
      </c>
      <c r="K102" s="3">
        <v>3.23</v>
      </c>
      <c r="L102" s="3">
        <v>3.4</v>
      </c>
      <c r="M102" s="3">
        <v>0.5</v>
      </c>
      <c r="N102" s="3">
        <v>12.6</v>
      </c>
      <c r="O102" s="3">
        <v>0.3</v>
      </c>
    </row>
    <row r="103" spans="3:17" ht="17.399999999999999">
      <c r="C103" t="s">
        <v>142</v>
      </c>
      <c r="E103">
        <v>3.7</v>
      </c>
      <c r="F103" s="55">
        <f t="shared" ref="F103:F108" si="18">$E103*21/100</f>
        <v>0.77700000000000002</v>
      </c>
      <c r="H103" s="114" t="s">
        <v>55</v>
      </c>
      <c r="I103" s="21">
        <v>4</v>
      </c>
      <c r="J103" s="24">
        <v>0.2</v>
      </c>
      <c r="K103" s="24">
        <v>0</v>
      </c>
      <c r="L103" s="24">
        <v>4</v>
      </c>
      <c r="M103" s="24">
        <v>2.9</v>
      </c>
      <c r="N103" s="24">
        <v>0.6</v>
      </c>
      <c r="O103" s="24">
        <v>0.3</v>
      </c>
    </row>
    <row r="104" spans="3:17">
      <c r="C104" t="s">
        <v>119</v>
      </c>
      <c r="E104">
        <v>1.2</v>
      </c>
      <c r="F104" s="55">
        <f t="shared" si="18"/>
        <v>0.252</v>
      </c>
    </row>
    <row r="105" spans="3:17" ht="43.2">
      <c r="C105" t="s">
        <v>118</v>
      </c>
      <c r="E105">
        <v>2</v>
      </c>
      <c r="F105" s="55">
        <f t="shared" si="18"/>
        <v>0.42</v>
      </c>
      <c r="H105" s="254" t="s">
        <v>0</v>
      </c>
      <c r="I105" s="255" t="s">
        <v>229</v>
      </c>
      <c r="J105" s="103" t="s">
        <v>217</v>
      </c>
      <c r="K105" s="103" t="s">
        <v>226</v>
      </c>
      <c r="L105" s="103" t="s">
        <v>118</v>
      </c>
      <c r="M105" s="103" t="s">
        <v>143</v>
      </c>
      <c r="N105" s="103" t="s">
        <v>227</v>
      </c>
      <c r="O105" s="103" t="s">
        <v>120</v>
      </c>
      <c r="P105" s="191" t="s">
        <v>230</v>
      </c>
      <c r="Q105" s="191"/>
    </row>
    <row r="106" spans="3:17">
      <c r="C106" t="s">
        <v>143</v>
      </c>
      <c r="E106">
        <v>0.9</v>
      </c>
      <c r="F106" s="55">
        <f t="shared" si="18"/>
        <v>0.18900000000000003</v>
      </c>
      <c r="H106" s="254"/>
      <c r="I106" s="255"/>
      <c r="J106" s="115" t="s">
        <v>218</v>
      </c>
      <c r="K106" s="115" t="s">
        <v>219</v>
      </c>
      <c r="L106" s="115" t="s">
        <v>220</v>
      </c>
      <c r="M106" s="115" t="s">
        <v>221</v>
      </c>
      <c r="N106" s="115" t="s">
        <v>222</v>
      </c>
      <c r="O106" s="115" t="s">
        <v>223</v>
      </c>
      <c r="P106" s="115" t="s">
        <v>231</v>
      </c>
      <c r="Q106" s="115" t="s">
        <v>231</v>
      </c>
    </row>
    <row r="107" spans="3:17">
      <c r="C107" t="s">
        <v>133</v>
      </c>
      <c r="E107">
        <v>13.8</v>
      </c>
      <c r="F107" s="55">
        <f t="shared" si="18"/>
        <v>2.8980000000000001</v>
      </c>
      <c r="H107" s="254"/>
      <c r="I107" s="255"/>
      <c r="J107" s="115" t="s">
        <v>224</v>
      </c>
      <c r="K107" s="115" t="s">
        <v>224</v>
      </c>
      <c r="L107" s="115" t="s">
        <v>224</v>
      </c>
      <c r="M107" s="115" t="s">
        <v>224</v>
      </c>
      <c r="N107" s="115" t="s">
        <v>224</v>
      </c>
      <c r="O107" s="115" t="s">
        <v>224</v>
      </c>
      <c r="P107" s="115" t="s">
        <v>232</v>
      </c>
      <c r="Q107" s="115" t="s">
        <v>233</v>
      </c>
    </row>
    <row r="108" spans="3:17" ht="17.399999999999999">
      <c r="C108" t="s">
        <v>120</v>
      </c>
      <c r="E108">
        <v>2.1</v>
      </c>
      <c r="F108" s="55">
        <f t="shared" si="18"/>
        <v>0.441</v>
      </c>
      <c r="H108" s="188" t="s">
        <v>72</v>
      </c>
      <c r="I108" s="188"/>
      <c r="J108">
        <f>$J97*$I97/75</f>
        <v>0.53333333333333333</v>
      </c>
      <c r="K108">
        <f>K97*I97/75</f>
        <v>0</v>
      </c>
      <c r="L108">
        <f>L97*I97/75</f>
        <v>15.5</v>
      </c>
      <c r="M108">
        <f>$M97*$I97/75</f>
        <v>0</v>
      </c>
      <c r="N108">
        <f>$N97*$I97/75</f>
        <v>2.7666666666666671</v>
      </c>
      <c r="O108">
        <f>O97*I97/75</f>
        <v>0.43333333333333335</v>
      </c>
    </row>
    <row r="109" spans="3:17" ht="17.399999999999999">
      <c r="H109" s="188" t="s">
        <v>38</v>
      </c>
      <c r="I109" s="188"/>
      <c r="J109">
        <f t="shared" ref="J109:J114" si="19">$J98*$I98/75</f>
        <v>4.4000000000000004</v>
      </c>
      <c r="K109">
        <f t="shared" ref="K109:K114" si="20">K98*I98/75</f>
        <v>0.38</v>
      </c>
      <c r="L109">
        <f t="shared" ref="L109:L114" si="21">L98*I98/75</f>
        <v>0.2</v>
      </c>
      <c r="M109">
        <f t="shared" ref="M109:M114" si="22">$M98*$I98/75</f>
        <v>9.3333333333333338E-2</v>
      </c>
      <c r="N109">
        <f t="shared" ref="N109:N114" si="23">$N98*$I98/75</f>
        <v>0.05</v>
      </c>
      <c r="O109">
        <f t="shared" ref="O109:O114" si="24">O98*I98/75</f>
        <v>0.03</v>
      </c>
    </row>
    <row r="110" spans="3:17" ht="17.399999999999999">
      <c r="C110" s="67" t="s">
        <v>26</v>
      </c>
      <c r="E110" s="56" t="s">
        <v>212</v>
      </c>
      <c r="F110" t="s">
        <v>377</v>
      </c>
      <c r="H110" s="188" t="s">
        <v>12</v>
      </c>
      <c r="I110" s="188"/>
      <c r="J110">
        <f t="shared" si="19"/>
        <v>6.6666666666666671E-3</v>
      </c>
      <c r="K110">
        <f t="shared" si="20"/>
        <v>0</v>
      </c>
      <c r="L110">
        <f t="shared" si="21"/>
        <v>3.7333333333333329E-2</v>
      </c>
      <c r="M110">
        <f t="shared" si="22"/>
        <v>0</v>
      </c>
      <c r="N110">
        <f t="shared" si="23"/>
        <v>3.4666666666666665E-2</v>
      </c>
      <c r="O110">
        <f t="shared" si="24"/>
        <v>0</v>
      </c>
    </row>
    <row r="111" spans="3:17" ht="17.399999999999999">
      <c r="C111" t="s">
        <v>142</v>
      </c>
      <c r="E111">
        <v>27</v>
      </c>
      <c r="F111">
        <f t="shared" ref="F111:F116" si="25">$E111*12/100</f>
        <v>3.24</v>
      </c>
      <c r="H111" s="188" t="s">
        <v>39</v>
      </c>
      <c r="I111" s="188"/>
      <c r="J111">
        <f t="shared" si="19"/>
        <v>1.036</v>
      </c>
      <c r="K111">
        <f t="shared" si="20"/>
        <v>0.33599999999999997</v>
      </c>
      <c r="L111">
        <f t="shared" si="21"/>
        <v>0.56000000000000005</v>
      </c>
      <c r="M111">
        <f t="shared" si="22"/>
        <v>0.252</v>
      </c>
      <c r="N111">
        <f t="shared" si="23"/>
        <v>3.8640000000000003</v>
      </c>
      <c r="O111">
        <f t="shared" si="24"/>
        <v>0.58799999999999997</v>
      </c>
    </row>
    <row r="112" spans="3:17" ht="17.399999999999999">
      <c r="C112" t="s">
        <v>119</v>
      </c>
      <c r="E112">
        <v>13</v>
      </c>
      <c r="F112">
        <f t="shared" si="25"/>
        <v>1.56</v>
      </c>
      <c r="H112" s="188" t="s">
        <v>26</v>
      </c>
      <c r="I112" s="188"/>
      <c r="J112">
        <f t="shared" si="19"/>
        <v>4.32</v>
      </c>
      <c r="K112">
        <f t="shared" si="20"/>
        <v>2.08</v>
      </c>
      <c r="L112">
        <f t="shared" si="21"/>
        <v>0.08</v>
      </c>
      <c r="M112">
        <f t="shared" si="22"/>
        <v>0</v>
      </c>
      <c r="N112">
        <f t="shared" si="23"/>
        <v>3.84</v>
      </c>
      <c r="O112">
        <f t="shared" si="24"/>
        <v>0.32</v>
      </c>
    </row>
    <row r="113" spans="3:17" ht="17.399999999999999">
      <c r="C113" t="s">
        <v>118</v>
      </c>
      <c r="E113">
        <v>0.5</v>
      </c>
      <c r="F113">
        <f t="shared" si="25"/>
        <v>0.06</v>
      </c>
      <c r="H113" s="188" t="s">
        <v>14</v>
      </c>
      <c r="I113" s="188"/>
      <c r="J113">
        <f t="shared" si="19"/>
        <v>0.84799999999999998</v>
      </c>
      <c r="K113">
        <f t="shared" si="20"/>
        <v>0.25839999999999996</v>
      </c>
      <c r="L113">
        <f t="shared" si="21"/>
        <v>0.27199999999999996</v>
      </c>
      <c r="M113">
        <f t="shared" si="22"/>
        <v>0.04</v>
      </c>
      <c r="N113">
        <f t="shared" si="23"/>
        <v>1.008</v>
      </c>
      <c r="O113">
        <f t="shared" si="24"/>
        <v>2.3999999999999997E-2</v>
      </c>
    </row>
    <row r="114" spans="3:17" ht="17.399999999999999">
      <c r="C114" t="s">
        <v>143</v>
      </c>
      <c r="E114">
        <v>0</v>
      </c>
      <c r="F114">
        <f t="shared" si="25"/>
        <v>0</v>
      </c>
      <c r="H114" s="188" t="s">
        <v>55</v>
      </c>
      <c r="I114" s="188"/>
      <c r="J114">
        <f t="shared" si="19"/>
        <v>1.0666666666666668E-2</v>
      </c>
      <c r="K114">
        <f t="shared" si="20"/>
        <v>0</v>
      </c>
      <c r="L114">
        <f t="shared" si="21"/>
        <v>0.21333333333333335</v>
      </c>
      <c r="M114">
        <f t="shared" si="22"/>
        <v>0.15466666666666667</v>
      </c>
      <c r="N114">
        <f t="shared" si="23"/>
        <v>3.2000000000000001E-2</v>
      </c>
      <c r="O114">
        <f t="shared" si="24"/>
        <v>1.6E-2</v>
      </c>
    </row>
    <row r="115" spans="3:17" ht="33" customHeight="1">
      <c r="C115" t="s">
        <v>133</v>
      </c>
      <c r="E115">
        <v>24</v>
      </c>
      <c r="F115">
        <f t="shared" si="25"/>
        <v>2.88</v>
      </c>
      <c r="H115" s="235" t="s">
        <v>234</v>
      </c>
      <c r="I115" s="235"/>
      <c r="J115" s="75">
        <f t="shared" ref="J115:O115" si="26">SUM(J108:J114)</f>
        <v>11.154666666666669</v>
      </c>
      <c r="K115" s="74">
        <f t="shared" si="26"/>
        <v>3.0544000000000002</v>
      </c>
      <c r="L115" s="75">
        <f t="shared" si="26"/>
        <v>16.862666666666662</v>
      </c>
      <c r="M115" s="74">
        <f t="shared" si="26"/>
        <v>0.54</v>
      </c>
      <c r="N115" s="74">
        <f t="shared" si="26"/>
        <v>11.595333333333333</v>
      </c>
      <c r="O115" s="74">
        <f t="shared" si="26"/>
        <v>1.4113333333333336</v>
      </c>
      <c r="P115" s="75">
        <f>17*N115+37*J115+17*L115</f>
        <v>896.50866666666673</v>
      </c>
      <c r="Q115" s="75">
        <f>4*N115+9*J115+4*L115</f>
        <v>214.22400000000002</v>
      </c>
    </row>
    <row r="116" spans="3:17">
      <c r="C116" t="s">
        <v>120</v>
      </c>
      <c r="E116">
        <v>2</v>
      </c>
      <c r="F116">
        <f t="shared" si="25"/>
        <v>0.24</v>
      </c>
    </row>
    <row r="118" spans="3:17">
      <c r="C118" s="102" t="s">
        <v>38</v>
      </c>
      <c r="E118" t="s">
        <v>212</v>
      </c>
      <c r="F118" t="s">
        <v>378</v>
      </c>
    </row>
    <row r="119" spans="3:17">
      <c r="C119" t="s">
        <v>142</v>
      </c>
      <c r="E119">
        <v>66</v>
      </c>
      <c r="F119">
        <f t="shared" ref="F119:F124" si="27">$E119*5/100</f>
        <v>3.3</v>
      </c>
    </row>
    <row r="120" spans="3:17">
      <c r="C120" t="s">
        <v>119</v>
      </c>
      <c r="E120">
        <v>5.7</v>
      </c>
      <c r="F120">
        <f t="shared" si="27"/>
        <v>0.28499999999999998</v>
      </c>
    </row>
    <row r="121" spans="3:17">
      <c r="C121" t="s">
        <v>118</v>
      </c>
      <c r="E121">
        <v>3</v>
      </c>
      <c r="F121">
        <f t="shared" si="27"/>
        <v>0.15</v>
      </c>
    </row>
    <row r="122" spans="3:17">
      <c r="C122" t="s">
        <v>143</v>
      </c>
      <c r="E122">
        <v>1.4</v>
      </c>
      <c r="F122">
        <f t="shared" si="27"/>
        <v>7.0000000000000007E-2</v>
      </c>
    </row>
    <row r="123" spans="3:17">
      <c r="C123" t="s">
        <v>133</v>
      </c>
      <c r="E123">
        <v>0.75</v>
      </c>
      <c r="F123">
        <f t="shared" si="27"/>
        <v>3.7499999999999999E-2</v>
      </c>
    </row>
    <row r="124" spans="3:17">
      <c r="C124" t="s">
        <v>120</v>
      </c>
      <c r="E124">
        <v>0.45</v>
      </c>
      <c r="F124">
        <f t="shared" si="27"/>
        <v>2.2499999999999999E-2</v>
      </c>
    </row>
    <row r="127" spans="3:17">
      <c r="C127" s="92" t="s">
        <v>149</v>
      </c>
      <c r="D127" s="93"/>
      <c r="E127" t="s">
        <v>212</v>
      </c>
      <c r="F127" t="s">
        <v>316</v>
      </c>
    </row>
    <row r="128" spans="3:17">
      <c r="C128" t="s">
        <v>142</v>
      </c>
      <c r="E128">
        <v>0.2</v>
      </c>
      <c r="F128" s="55">
        <f t="shared" ref="F128:F133" si="28">$E128*2/100</f>
        <v>4.0000000000000001E-3</v>
      </c>
    </row>
    <row r="129" spans="3:6">
      <c r="C129" t="s">
        <v>119</v>
      </c>
      <c r="E129">
        <v>0</v>
      </c>
      <c r="F129" s="55">
        <f t="shared" si="28"/>
        <v>0</v>
      </c>
    </row>
    <row r="130" spans="3:6">
      <c r="C130" t="s">
        <v>118</v>
      </c>
      <c r="E130">
        <v>1.4</v>
      </c>
      <c r="F130" s="55">
        <f t="shared" si="28"/>
        <v>2.7999999999999997E-2</v>
      </c>
    </row>
    <row r="131" spans="3:6">
      <c r="C131" t="s">
        <v>143</v>
      </c>
      <c r="E131">
        <v>0</v>
      </c>
      <c r="F131" s="55">
        <f t="shared" si="28"/>
        <v>0</v>
      </c>
    </row>
    <row r="132" spans="3:6">
      <c r="C132" t="s">
        <v>133</v>
      </c>
      <c r="E132">
        <v>1.3</v>
      </c>
      <c r="F132" s="55">
        <f t="shared" si="28"/>
        <v>2.6000000000000002E-2</v>
      </c>
    </row>
    <row r="133" spans="3:6">
      <c r="C133" t="s">
        <v>120</v>
      </c>
      <c r="E133">
        <v>0</v>
      </c>
      <c r="F133" s="55">
        <f t="shared" si="28"/>
        <v>0</v>
      </c>
    </row>
    <row r="135" spans="3:6">
      <c r="C135" s="64" t="s">
        <v>373</v>
      </c>
      <c r="D135" s="54"/>
      <c r="F135" t="s">
        <v>371</v>
      </c>
    </row>
    <row r="136" spans="3:6">
      <c r="C136" t="s">
        <v>136</v>
      </c>
      <c r="E136">
        <v>10.6</v>
      </c>
      <c r="F136" s="55">
        <f t="shared" ref="F136:F141" si="29">$E136*6/100</f>
        <v>0.6359999999999999</v>
      </c>
    </row>
    <row r="137" spans="3:6">
      <c r="C137" t="s">
        <v>137</v>
      </c>
      <c r="E137">
        <v>3.23</v>
      </c>
      <c r="F137" s="55">
        <f t="shared" si="29"/>
        <v>0.1938</v>
      </c>
    </row>
    <row r="138" spans="3:6">
      <c r="C138" t="s">
        <v>138</v>
      </c>
      <c r="E138">
        <v>3.4</v>
      </c>
      <c r="F138" s="55">
        <f t="shared" si="29"/>
        <v>0.20399999999999999</v>
      </c>
    </row>
    <row r="139" spans="3:6">
      <c r="C139" t="s">
        <v>139</v>
      </c>
      <c r="E139">
        <v>0.5</v>
      </c>
      <c r="F139" s="55">
        <f t="shared" si="29"/>
        <v>0.03</v>
      </c>
    </row>
    <row r="140" spans="3:6">
      <c r="C140" t="s">
        <v>140</v>
      </c>
      <c r="E140">
        <v>12.6</v>
      </c>
      <c r="F140" s="55">
        <f t="shared" si="29"/>
        <v>0.75599999999999989</v>
      </c>
    </row>
    <row r="141" spans="3:6">
      <c r="C141" t="s">
        <v>141</v>
      </c>
      <c r="E141">
        <v>0.3</v>
      </c>
      <c r="F141" s="55">
        <f t="shared" si="29"/>
        <v>1.7999999999999999E-2</v>
      </c>
    </row>
    <row r="143" spans="3:6">
      <c r="C143" s="133" t="s">
        <v>55</v>
      </c>
      <c r="F143" t="s">
        <v>379</v>
      </c>
    </row>
    <row r="144" spans="3:6">
      <c r="C144" t="s">
        <v>142</v>
      </c>
      <c r="E144">
        <v>0.2</v>
      </c>
      <c r="F144">
        <f t="shared" ref="F144:F149" si="30">$E144*4/100</f>
        <v>8.0000000000000002E-3</v>
      </c>
    </row>
    <row r="145" spans="3:6">
      <c r="C145" t="s">
        <v>119</v>
      </c>
      <c r="E145">
        <v>0</v>
      </c>
      <c r="F145">
        <f t="shared" si="30"/>
        <v>0</v>
      </c>
    </row>
    <row r="146" spans="3:6">
      <c r="C146" t="s">
        <v>118</v>
      </c>
      <c r="E146">
        <v>4</v>
      </c>
      <c r="F146">
        <f t="shared" si="30"/>
        <v>0.16</v>
      </c>
    </row>
    <row r="147" spans="3:6">
      <c r="C147" t="s">
        <v>143</v>
      </c>
      <c r="E147">
        <v>2.9</v>
      </c>
      <c r="F147">
        <f t="shared" si="30"/>
        <v>0.11599999999999999</v>
      </c>
    </row>
    <row r="148" spans="3:6">
      <c r="C148" t="s">
        <v>133</v>
      </c>
      <c r="E148">
        <v>0.6</v>
      </c>
      <c r="F148">
        <f t="shared" si="30"/>
        <v>2.4E-2</v>
      </c>
    </row>
    <row r="149" spans="3:6">
      <c r="C149" t="s">
        <v>120</v>
      </c>
      <c r="E149">
        <v>1.3</v>
      </c>
      <c r="F149">
        <f t="shared" si="30"/>
        <v>5.2000000000000005E-2</v>
      </c>
    </row>
  </sheetData>
  <mergeCells count="30">
    <mergeCell ref="P105:Q105"/>
    <mergeCell ref="H115:I115"/>
    <mergeCell ref="H108:I108"/>
    <mergeCell ref="H109:I109"/>
    <mergeCell ref="H110:I110"/>
    <mergeCell ref="H111:I111"/>
    <mergeCell ref="H112:I112"/>
    <mergeCell ref="H113:I113"/>
    <mergeCell ref="H114:I114"/>
    <mergeCell ref="C84:D84"/>
    <mergeCell ref="H94:H96"/>
    <mergeCell ref="I94:I95"/>
    <mergeCell ref="H105:H107"/>
    <mergeCell ref="I105:I107"/>
    <mergeCell ref="H51:I51"/>
    <mergeCell ref="H52:I52"/>
    <mergeCell ref="H53:I53"/>
    <mergeCell ref="H54:I54"/>
    <mergeCell ref="H55:I55"/>
    <mergeCell ref="H46:H48"/>
    <mergeCell ref="I46:I48"/>
    <mergeCell ref="P46:Q46"/>
    <mergeCell ref="H49:I49"/>
    <mergeCell ref="H50:I50"/>
    <mergeCell ref="A1:G1"/>
    <mergeCell ref="A13:G13"/>
    <mergeCell ref="C25:D25"/>
    <mergeCell ref="J35:O35"/>
    <mergeCell ref="H36:H38"/>
    <mergeCell ref="I36:I37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zoomScale="89" zoomScaleNormal="70" zoomScalePageLayoutView="70" workbookViewId="0">
      <selection activeCell="AB8" sqref="AB8"/>
    </sheetView>
  </sheetViews>
  <sheetFormatPr defaultColWidth="11" defaultRowHeight="15.6"/>
  <cols>
    <col min="1" max="1" width="29" bestFit="1" customWidth="1"/>
    <col min="2" max="2" width="29" customWidth="1"/>
    <col min="3" max="3" width="25.796875" bestFit="1" customWidth="1"/>
    <col min="4" max="4" width="12.796875" bestFit="1" customWidth="1"/>
    <col min="5" max="5" width="16.69921875" bestFit="1" customWidth="1"/>
    <col min="6" max="6" width="31.69921875" bestFit="1" customWidth="1"/>
    <col min="7" max="7" width="51.69921875" customWidth="1"/>
    <col min="8" max="8" width="29.19921875" bestFit="1" customWidth="1"/>
    <col min="9" max="9" width="20" customWidth="1"/>
  </cols>
  <sheetData>
    <row r="1" spans="1:9" ht="31.05" customHeight="1">
      <c r="A1" s="223" t="s">
        <v>160</v>
      </c>
      <c r="B1" s="224"/>
      <c r="C1" s="224"/>
      <c r="D1" s="224"/>
      <c r="E1" s="224"/>
      <c r="F1" s="224"/>
      <c r="G1" s="224"/>
      <c r="H1" s="224"/>
      <c r="I1" s="225"/>
    </row>
    <row r="2" spans="1:9" ht="16.05" customHeight="1">
      <c r="A2" s="1" t="s">
        <v>0</v>
      </c>
      <c r="B2" s="1"/>
      <c r="C2" s="1" t="s">
        <v>27</v>
      </c>
      <c r="D2" s="1" t="s">
        <v>4</v>
      </c>
      <c r="E2" s="1" t="s">
        <v>159</v>
      </c>
      <c r="F2" s="8" t="s">
        <v>18</v>
      </c>
      <c r="G2" s="1" t="s">
        <v>5</v>
      </c>
      <c r="H2" s="1" t="s">
        <v>6</v>
      </c>
      <c r="I2" s="1" t="s">
        <v>7</v>
      </c>
    </row>
    <row r="3" spans="1:9" ht="47.4">
      <c r="A3" s="2" t="s">
        <v>2</v>
      </c>
      <c r="B3" s="8"/>
      <c r="C3" s="43" t="s">
        <v>3</v>
      </c>
      <c r="D3" s="21">
        <v>120</v>
      </c>
      <c r="E3" s="21">
        <v>120</v>
      </c>
      <c r="F3" s="58">
        <v>49</v>
      </c>
      <c r="G3" s="4" t="s">
        <v>167</v>
      </c>
      <c r="H3" s="21" t="s">
        <v>83</v>
      </c>
      <c r="I3" s="5" t="s">
        <v>8</v>
      </c>
    </row>
    <row r="4" spans="1:9" ht="17.399999999999999">
      <c r="A4" s="2" t="s">
        <v>12</v>
      </c>
      <c r="B4" s="8"/>
      <c r="C4" s="43"/>
      <c r="D4" s="21">
        <v>6</v>
      </c>
      <c r="E4" s="21">
        <v>6</v>
      </c>
      <c r="F4" s="58">
        <v>3</v>
      </c>
      <c r="G4" s="32"/>
      <c r="H4" s="21"/>
      <c r="I4" s="5"/>
    </row>
    <row r="5" spans="1:9" ht="109.8">
      <c r="A5" s="10" t="s">
        <v>10</v>
      </c>
      <c r="B5" s="42"/>
      <c r="C5" s="43" t="s">
        <v>11</v>
      </c>
      <c r="D5" s="21">
        <v>40</v>
      </c>
      <c r="E5" s="21">
        <v>40</v>
      </c>
      <c r="F5" s="58">
        <v>16</v>
      </c>
      <c r="G5" s="5" t="s">
        <v>197</v>
      </c>
      <c r="H5" s="5" t="s">
        <v>82</v>
      </c>
      <c r="I5" s="21"/>
    </row>
    <row r="6" spans="1:9" ht="17.399999999999999">
      <c r="A6" s="210" t="s">
        <v>54</v>
      </c>
      <c r="B6" s="8" t="s">
        <v>132</v>
      </c>
      <c r="C6" s="12"/>
      <c r="D6" s="212">
        <v>60</v>
      </c>
      <c r="E6" s="212">
        <v>60</v>
      </c>
      <c r="F6" s="228">
        <v>24</v>
      </c>
      <c r="G6" s="44" t="s">
        <v>106</v>
      </c>
      <c r="H6" s="3"/>
      <c r="I6" s="21"/>
    </row>
    <row r="7" spans="1:9" ht="31.8">
      <c r="A7" s="226"/>
      <c r="B7" s="8" t="s">
        <v>56</v>
      </c>
      <c r="C7" s="12" t="s">
        <v>57</v>
      </c>
      <c r="D7" s="227"/>
      <c r="E7" s="227"/>
      <c r="F7" s="229"/>
      <c r="G7" s="5" t="s">
        <v>169</v>
      </c>
      <c r="H7" s="21" t="s">
        <v>58</v>
      </c>
      <c r="I7" s="21"/>
    </row>
    <row r="8" spans="1:9" ht="17.399999999999999">
      <c r="A8" s="211"/>
      <c r="B8" s="8" t="s">
        <v>122</v>
      </c>
      <c r="C8" s="12"/>
      <c r="D8" s="213"/>
      <c r="E8" s="213"/>
      <c r="F8" s="230"/>
      <c r="G8" s="47"/>
      <c r="H8" s="21"/>
      <c r="I8" s="21"/>
    </row>
    <row r="9" spans="1:9" ht="47.4">
      <c r="A9" s="2" t="s">
        <v>55</v>
      </c>
      <c r="B9" s="8"/>
      <c r="C9" s="9" t="s">
        <v>78</v>
      </c>
      <c r="D9" s="21">
        <v>5</v>
      </c>
      <c r="E9" s="21">
        <v>5</v>
      </c>
      <c r="F9" s="58">
        <v>2</v>
      </c>
      <c r="G9" s="5" t="s">
        <v>116</v>
      </c>
      <c r="H9" s="21" t="s">
        <v>44</v>
      </c>
      <c r="I9" s="47"/>
    </row>
    <row r="10" spans="1:9" ht="31.2">
      <c r="A10" s="2" t="s">
        <v>43</v>
      </c>
      <c r="B10" s="8"/>
      <c r="C10" s="43" t="s">
        <v>79</v>
      </c>
      <c r="D10" s="21">
        <v>15</v>
      </c>
      <c r="E10" s="21">
        <v>14</v>
      </c>
      <c r="F10" s="58">
        <v>6</v>
      </c>
      <c r="G10" s="17" t="s">
        <v>117</v>
      </c>
      <c r="H10" s="3" t="s">
        <v>44</v>
      </c>
      <c r="I10" s="48"/>
    </row>
    <row r="11" spans="1:9" ht="43.95" customHeight="1">
      <c r="D11" s="7">
        <f>SUM(D3:D10)</f>
        <v>246</v>
      </c>
      <c r="E11" s="7">
        <f>SUM(E3:E10)</f>
        <v>245</v>
      </c>
      <c r="F11" s="7">
        <f>SUM(F3:F10)</f>
        <v>100</v>
      </c>
      <c r="G11" s="45"/>
    </row>
    <row r="14" spans="1:9">
      <c r="G14" s="56"/>
    </row>
    <row r="23" spans="3:11">
      <c r="F23" s="57"/>
    </row>
    <row r="24" spans="3:11">
      <c r="F24" s="57"/>
    </row>
    <row r="25" spans="3:11">
      <c r="F25" s="57"/>
    </row>
    <row r="26" spans="3:11">
      <c r="F26" s="57"/>
    </row>
    <row r="27" spans="3:11">
      <c r="D27" s="57" t="s">
        <v>205</v>
      </c>
      <c r="E27" t="s">
        <v>411</v>
      </c>
      <c r="F27" t="s">
        <v>206</v>
      </c>
      <c r="G27" t="s">
        <v>409</v>
      </c>
      <c r="H27" t="s">
        <v>406</v>
      </c>
      <c r="I27" t="s">
        <v>407</v>
      </c>
      <c r="J27" t="s">
        <v>154</v>
      </c>
      <c r="K27" s="65" t="s">
        <v>155</v>
      </c>
    </row>
    <row r="28" spans="3:11">
      <c r="C28" s="3" t="s">
        <v>142</v>
      </c>
      <c r="D28" s="3">
        <v>2.2799999999999998</v>
      </c>
      <c r="E28" s="3">
        <v>1.2000000000000002E-2</v>
      </c>
      <c r="F28" s="164">
        <v>20.52</v>
      </c>
      <c r="G28" s="3">
        <v>1.6919999999999999</v>
      </c>
      <c r="H28" s="3">
        <v>1.4999999999999999E-2</v>
      </c>
      <c r="I28" s="3">
        <v>0.03</v>
      </c>
      <c r="J28" s="3">
        <f>SUM(SUM(D28:I28))</f>
        <v>24.548999999999999</v>
      </c>
      <c r="K28" s="3">
        <f>$J28*100/245</f>
        <v>10.02</v>
      </c>
    </row>
    <row r="29" spans="3:11">
      <c r="C29" s="3" t="s">
        <v>119</v>
      </c>
      <c r="D29" s="3">
        <v>0.24</v>
      </c>
      <c r="E29" s="3">
        <v>0</v>
      </c>
      <c r="F29" s="164">
        <v>1.64</v>
      </c>
      <c r="G29" s="3">
        <v>0.40800000000000003</v>
      </c>
      <c r="H29" s="3">
        <v>2.2499999999999998E-3</v>
      </c>
      <c r="I29" s="3">
        <v>7.7999999999999988E-3</v>
      </c>
      <c r="J29" s="3">
        <f t="shared" ref="J29:J33" si="0">SUM(SUM(D29:I29))</f>
        <v>2.2980499999999999</v>
      </c>
      <c r="K29" s="3">
        <f t="shared" ref="K29:K33" si="1">$J29*100/245</f>
        <v>0.93797959183673474</v>
      </c>
    </row>
    <row r="30" spans="3:11">
      <c r="C30" s="3" t="s">
        <v>118</v>
      </c>
      <c r="D30" s="3">
        <v>61.2</v>
      </c>
      <c r="E30" s="3">
        <v>8.3999999999999991E-2</v>
      </c>
      <c r="F30" s="164">
        <v>2</v>
      </c>
      <c r="G30" s="3">
        <v>0.17399999999999999</v>
      </c>
      <c r="H30" s="3">
        <v>0.19500000000000001</v>
      </c>
      <c r="I30" s="3">
        <v>0.33899999999999997</v>
      </c>
      <c r="J30" s="3">
        <f t="shared" si="0"/>
        <v>63.992000000000004</v>
      </c>
      <c r="K30" s="3">
        <f t="shared" si="1"/>
        <v>26.11918367346939</v>
      </c>
    </row>
    <row r="31" spans="3:11">
      <c r="C31" s="3" t="s">
        <v>143</v>
      </c>
      <c r="D31" s="3">
        <v>3.36</v>
      </c>
      <c r="E31" s="3">
        <v>0</v>
      </c>
      <c r="F31" s="164">
        <v>1.2</v>
      </c>
      <c r="G31" s="3">
        <v>4.8000000000000001E-2</v>
      </c>
      <c r="H31" s="3">
        <v>0</v>
      </c>
      <c r="I31" s="3">
        <v>0.159</v>
      </c>
      <c r="J31" s="3">
        <f t="shared" si="0"/>
        <v>4.7669999999999995</v>
      </c>
      <c r="K31" s="3">
        <f t="shared" si="1"/>
        <v>1.9457142857142855</v>
      </c>
    </row>
    <row r="32" spans="3:11">
      <c r="C32" s="3" t="s">
        <v>133</v>
      </c>
      <c r="D32" s="3">
        <v>11.304</v>
      </c>
      <c r="E32" s="3">
        <v>7.8000000000000014E-2</v>
      </c>
      <c r="F32" s="164">
        <v>0.32</v>
      </c>
      <c r="G32" s="3">
        <v>20.574000000000002</v>
      </c>
      <c r="H32" s="3">
        <v>0.04</v>
      </c>
      <c r="I32" s="3">
        <v>4.9500000000000002E-2</v>
      </c>
      <c r="J32" s="3">
        <f t="shared" si="0"/>
        <v>32.365500000000004</v>
      </c>
      <c r="K32" s="3">
        <f t="shared" si="1"/>
        <v>13.210408163265308</v>
      </c>
    </row>
    <row r="33" spans="3:17">
      <c r="C33" s="3" t="s">
        <v>120</v>
      </c>
      <c r="D33" s="3">
        <v>0.73199999999999998</v>
      </c>
      <c r="E33" s="3">
        <v>0</v>
      </c>
      <c r="F33" s="164">
        <v>0.56000000000000005</v>
      </c>
      <c r="G33" s="3">
        <v>0.38400000000000001</v>
      </c>
      <c r="H33" s="3">
        <v>0</v>
      </c>
      <c r="I33" s="3">
        <v>0</v>
      </c>
      <c r="J33" s="3">
        <f t="shared" si="0"/>
        <v>1.6760000000000002</v>
      </c>
      <c r="K33" s="3">
        <f t="shared" si="1"/>
        <v>0.68408163265306132</v>
      </c>
    </row>
    <row r="34" spans="3:17">
      <c r="F34" s="57"/>
    </row>
    <row r="36" spans="3:17">
      <c r="C36" s="67" t="s">
        <v>204</v>
      </c>
      <c r="E36" s="56" t="s">
        <v>212</v>
      </c>
      <c r="F36" s="57" t="s">
        <v>205</v>
      </c>
      <c r="H36" s="69"/>
      <c r="I36" s="69"/>
      <c r="J36" s="199" t="s">
        <v>228</v>
      </c>
      <c r="K36" s="200"/>
      <c r="L36" s="200"/>
      <c r="M36" s="200"/>
      <c r="N36" s="200"/>
      <c r="O36" s="201"/>
    </row>
    <row r="37" spans="3:17" ht="43.2">
      <c r="C37" t="s">
        <v>134</v>
      </c>
      <c r="E37">
        <v>1120</v>
      </c>
      <c r="F37" s="57">
        <f>$E37*120/100</f>
        <v>1344</v>
      </c>
      <c r="H37" s="195" t="s">
        <v>216</v>
      </c>
      <c r="I37" s="197" t="s">
        <v>225</v>
      </c>
      <c r="J37" s="70" t="s">
        <v>217</v>
      </c>
      <c r="K37" s="70" t="s">
        <v>226</v>
      </c>
      <c r="L37" s="70" t="s">
        <v>118</v>
      </c>
      <c r="M37" s="70" t="s">
        <v>143</v>
      </c>
      <c r="N37" s="70" t="s">
        <v>227</v>
      </c>
      <c r="O37" s="70" t="s">
        <v>120</v>
      </c>
    </row>
    <row r="38" spans="3:17">
      <c r="C38" t="s">
        <v>135</v>
      </c>
      <c r="E38">
        <v>269</v>
      </c>
      <c r="F38" s="57">
        <f t="shared" ref="F38:F44" si="2">$E38*120/100</f>
        <v>322.8</v>
      </c>
      <c r="H38" s="195"/>
      <c r="I38" s="198"/>
      <c r="J38" s="156" t="s">
        <v>218</v>
      </c>
      <c r="K38" s="156" t="s">
        <v>219</v>
      </c>
      <c r="L38" s="156" t="s">
        <v>220</v>
      </c>
      <c r="M38" s="156" t="s">
        <v>221</v>
      </c>
      <c r="N38" s="156" t="s">
        <v>222</v>
      </c>
      <c r="O38" s="156" t="s">
        <v>223</v>
      </c>
    </row>
    <row r="39" spans="3:17">
      <c r="C39" t="s">
        <v>142</v>
      </c>
      <c r="E39">
        <v>1.9</v>
      </c>
      <c r="F39" s="57">
        <f t="shared" si="2"/>
        <v>2.2799999999999998</v>
      </c>
      <c r="H39" s="195"/>
      <c r="I39" s="163" t="s">
        <v>224</v>
      </c>
      <c r="J39" s="77" t="s">
        <v>224</v>
      </c>
      <c r="K39" s="77" t="s">
        <v>224</v>
      </c>
      <c r="L39" s="77" t="s">
        <v>224</v>
      </c>
      <c r="M39" s="77" t="s">
        <v>224</v>
      </c>
      <c r="N39" s="77" t="s">
        <v>224</v>
      </c>
      <c r="O39" s="77" t="s">
        <v>224</v>
      </c>
    </row>
    <row r="40" spans="3:17" ht="17.399999999999999">
      <c r="C40" t="s">
        <v>119</v>
      </c>
      <c r="E40">
        <v>0.2</v>
      </c>
      <c r="F40" s="57">
        <f t="shared" si="2"/>
        <v>0.24</v>
      </c>
      <c r="H40" s="153" t="s">
        <v>2</v>
      </c>
      <c r="I40" s="3">
        <v>120</v>
      </c>
      <c r="J40" s="3">
        <v>1.9</v>
      </c>
      <c r="K40" s="3">
        <v>0.2</v>
      </c>
      <c r="L40" s="3">
        <v>51</v>
      </c>
      <c r="M40" s="3">
        <v>2.8</v>
      </c>
      <c r="N40" s="3">
        <v>9.42</v>
      </c>
      <c r="O40" s="3">
        <v>0.61</v>
      </c>
    </row>
    <row r="41" spans="3:17" ht="17.399999999999999">
      <c r="C41" t="s">
        <v>118</v>
      </c>
      <c r="E41">
        <v>51</v>
      </c>
      <c r="F41" s="57">
        <f t="shared" si="2"/>
        <v>61.2</v>
      </c>
      <c r="H41" s="155" t="s">
        <v>12</v>
      </c>
      <c r="I41" s="3">
        <v>6</v>
      </c>
      <c r="J41" s="18">
        <v>0.2</v>
      </c>
      <c r="K41" s="3">
        <v>0</v>
      </c>
      <c r="L41" s="3">
        <v>1.4</v>
      </c>
      <c r="M41" s="3">
        <v>0</v>
      </c>
      <c r="N41" s="3">
        <v>1.3</v>
      </c>
      <c r="O41" s="3">
        <v>0</v>
      </c>
    </row>
    <row r="42" spans="3:17" ht="17.399999999999999">
      <c r="C42" t="s">
        <v>143</v>
      </c>
      <c r="E42">
        <v>2.8</v>
      </c>
      <c r="F42" s="57">
        <f t="shared" si="2"/>
        <v>3.36</v>
      </c>
      <c r="H42" s="154" t="s">
        <v>10</v>
      </c>
      <c r="I42" s="3">
        <v>40</v>
      </c>
      <c r="J42" s="18">
        <v>51.3</v>
      </c>
      <c r="K42" s="18">
        <v>4.0999999999999996</v>
      </c>
      <c r="L42" s="18">
        <v>5</v>
      </c>
      <c r="M42" s="18">
        <v>3</v>
      </c>
      <c r="N42" s="18">
        <v>0.8</v>
      </c>
      <c r="O42" s="18">
        <v>1.4</v>
      </c>
    </row>
    <row r="43" spans="3:17" ht="15.75" customHeight="1">
      <c r="C43" t="s">
        <v>133</v>
      </c>
      <c r="E43">
        <v>9.42</v>
      </c>
      <c r="F43" s="57">
        <f t="shared" si="2"/>
        <v>11.304</v>
      </c>
      <c r="H43" s="158" t="s">
        <v>410</v>
      </c>
      <c r="I43" s="3">
        <v>60</v>
      </c>
      <c r="J43" s="3">
        <v>2.82</v>
      </c>
      <c r="K43" s="3">
        <v>0.68</v>
      </c>
      <c r="L43" s="3">
        <v>0.28999999999999998</v>
      </c>
      <c r="M43" s="3">
        <v>0.08</v>
      </c>
      <c r="N43" s="3">
        <v>34.29</v>
      </c>
      <c r="O43" s="3">
        <v>0.64</v>
      </c>
    </row>
    <row r="44" spans="3:17" ht="17.399999999999999">
      <c r="C44" t="s">
        <v>120</v>
      </c>
      <c r="E44">
        <v>0.61</v>
      </c>
      <c r="F44" s="57">
        <f t="shared" si="2"/>
        <v>0.73199999999999998</v>
      </c>
      <c r="H44" s="153" t="s">
        <v>55</v>
      </c>
      <c r="I44" s="3">
        <v>5</v>
      </c>
      <c r="J44" s="3">
        <v>0.3</v>
      </c>
      <c r="K44" s="3">
        <v>4.4999999999999998E-2</v>
      </c>
      <c r="L44" s="3">
        <v>3.9</v>
      </c>
      <c r="M44" s="3"/>
      <c r="N44" s="3">
        <v>0.8</v>
      </c>
      <c r="O44" s="3"/>
    </row>
    <row r="45" spans="3:17" ht="17.399999999999999">
      <c r="H45" s="153" t="s">
        <v>43</v>
      </c>
      <c r="I45" s="3">
        <v>15</v>
      </c>
      <c r="J45" s="3">
        <v>0.2</v>
      </c>
      <c r="K45" s="3">
        <v>5.1999999999999998E-2</v>
      </c>
      <c r="L45" s="3">
        <v>2.2599999999999998</v>
      </c>
      <c r="M45" s="3">
        <v>1.06</v>
      </c>
      <c r="N45" s="3">
        <v>0.33</v>
      </c>
      <c r="O45" s="3"/>
    </row>
    <row r="47" spans="3:17" ht="43.2">
      <c r="C47" s="64" t="s">
        <v>149</v>
      </c>
      <c r="D47" s="54"/>
      <c r="E47" s="54"/>
      <c r="F47" t="s">
        <v>411</v>
      </c>
      <c r="H47" s="202" t="s">
        <v>0</v>
      </c>
      <c r="I47" s="204" t="s">
        <v>229</v>
      </c>
      <c r="J47" s="70" t="s">
        <v>217</v>
      </c>
      <c r="K47" s="70" t="s">
        <v>226</v>
      </c>
      <c r="L47" s="70" t="s">
        <v>118</v>
      </c>
      <c r="M47" s="70" t="s">
        <v>143</v>
      </c>
      <c r="N47" s="70" t="s">
        <v>227</v>
      </c>
      <c r="O47" s="70" t="s">
        <v>120</v>
      </c>
      <c r="P47" s="191" t="s">
        <v>230</v>
      </c>
      <c r="Q47" s="192"/>
    </row>
    <row r="48" spans="3:17">
      <c r="C48" t="s">
        <v>134</v>
      </c>
      <c r="E48" s="56">
        <v>65</v>
      </c>
      <c r="F48" s="56">
        <f>E48*6/100</f>
        <v>3.9</v>
      </c>
      <c r="H48" s="203"/>
      <c r="I48" s="205"/>
      <c r="J48" s="156" t="s">
        <v>218</v>
      </c>
      <c r="K48" s="156" t="s">
        <v>219</v>
      </c>
      <c r="L48" s="156" t="s">
        <v>220</v>
      </c>
      <c r="M48" s="156" t="s">
        <v>221</v>
      </c>
      <c r="N48" s="156" t="s">
        <v>222</v>
      </c>
      <c r="O48" s="156" t="s">
        <v>223</v>
      </c>
      <c r="P48" s="156" t="s">
        <v>231</v>
      </c>
      <c r="Q48" s="156" t="s">
        <v>231</v>
      </c>
    </row>
    <row r="49" spans="3:17">
      <c r="C49" t="s">
        <v>135</v>
      </c>
      <c r="E49" s="56">
        <v>15</v>
      </c>
      <c r="F49" s="56">
        <f t="shared" ref="F49:F55" si="3">E49*6/100</f>
        <v>0.9</v>
      </c>
      <c r="H49" s="203"/>
      <c r="I49" s="205"/>
      <c r="J49" s="77" t="s">
        <v>224</v>
      </c>
      <c r="K49" s="77" t="s">
        <v>224</v>
      </c>
      <c r="L49" s="77" t="s">
        <v>224</v>
      </c>
      <c r="M49" s="77" t="s">
        <v>224</v>
      </c>
      <c r="N49" s="77" t="s">
        <v>224</v>
      </c>
      <c r="O49" s="77" t="s">
        <v>224</v>
      </c>
      <c r="P49" s="77" t="s">
        <v>232</v>
      </c>
      <c r="Q49" s="77" t="s">
        <v>233</v>
      </c>
    </row>
    <row r="50" spans="3:17" ht="17.399999999999999">
      <c r="C50" t="s">
        <v>142</v>
      </c>
      <c r="E50" s="56">
        <v>0.2</v>
      </c>
      <c r="F50" s="56">
        <f t="shared" si="3"/>
        <v>1.2000000000000002E-2</v>
      </c>
      <c r="H50" s="188" t="s">
        <v>2</v>
      </c>
      <c r="I50" s="188"/>
      <c r="J50" s="3">
        <f>$J40*$I40/245</f>
        <v>0.93061224489795913</v>
      </c>
      <c r="K50" s="3">
        <f>$K40*$I40/245</f>
        <v>9.7959183673469383E-2</v>
      </c>
      <c r="L50" s="3">
        <f>$L40*$I40/245</f>
        <v>24.979591836734695</v>
      </c>
      <c r="M50" s="3">
        <f>$M40*$I40/245</f>
        <v>1.3714285714285714</v>
      </c>
      <c r="N50" s="3">
        <f>$N40*$I40/245</f>
        <v>4.6138775510204084</v>
      </c>
      <c r="O50" s="3">
        <f>$O40*$I40/245</f>
        <v>0.29877551020408166</v>
      </c>
      <c r="P50" s="3"/>
      <c r="Q50" s="3"/>
    </row>
    <row r="51" spans="3:17" ht="17.399999999999999">
      <c r="C51" t="s">
        <v>119</v>
      </c>
      <c r="E51" s="56">
        <v>0</v>
      </c>
      <c r="F51" s="56">
        <f t="shared" si="3"/>
        <v>0</v>
      </c>
      <c r="H51" s="217" t="s">
        <v>12</v>
      </c>
      <c r="I51" s="217"/>
      <c r="J51" s="3">
        <f t="shared" ref="J51:J55" si="4">$J41*$I41/245</f>
        <v>4.89795918367347E-3</v>
      </c>
      <c r="K51" s="3">
        <f t="shared" ref="K51:K55" si="5">$K41*$I41/245</f>
        <v>0</v>
      </c>
      <c r="L51" s="3">
        <f t="shared" ref="L51:L55" si="6">$L41*$I41/245</f>
        <v>3.428571428571428E-2</v>
      </c>
      <c r="M51" s="3">
        <f t="shared" ref="M51:M55" si="7">$M41*$I41/245</f>
        <v>0</v>
      </c>
      <c r="N51" s="3">
        <f t="shared" ref="N51:N55" si="8">$N41*$I41/245</f>
        <v>3.1836734693877551E-2</v>
      </c>
      <c r="O51" s="3">
        <f t="shared" ref="O51:O55" si="9">$O41*$I41/245</f>
        <v>0</v>
      </c>
      <c r="P51" s="3"/>
      <c r="Q51" s="3"/>
    </row>
    <row r="52" spans="3:17" ht="17.399999999999999">
      <c r="C52" t="s">
        <v>118</v>
      </c>
      <c r="E52" s="56">
        <v>1.4</v>
      </c>
      <c r="F52" s="56">
        <f t="shared" si="3"/>
        <v>8.3999999999999991E-2</v>
      </c>
      <c r="H52" s="188" t="s">
        <v>10</v>
      </c>
      <c r="I52" s="188"/>
      <c r="J52" s="3">
        <f t="shared" si="4"/>
        <v>8.3755102040816318</v>
      </c>
      <c r="K52" s="3">
        <f t="shared" si="5"/>
        <v>0.66938775510204085</v>
      </c>
      <c r="L52" s="3">
        <f t="shared" si="6"/>
        <v>0.81632653061224492</v>
      </c>
      <c r="M52" s="3">
        <f t="shared" si="7"/>
        <v>0.48979591836734693</v>
      </c>
      <c r="N52" s="3">
        <f t="shared" si="8"/>
        <v>0.1306122448979592</v>
      </c>
      <c r="O52" s="3">
        <f t="shared" si="9"/>
        <v>0.22857142857142856</v>
      </c>
      <c r="P52" s="3"/>
      <c r="Q52" s="3"/>
    </row>
    <row r="53" spans="3:17">
      <c r="C53" t="s">
        <v>143</v>
      </c>
      <c r="E53" s="56">
        <v>0</v>
      </c>
      <c r="F53" s="56">
        <f t="shared" si="3"/>
        <v>0</v>
      </c>
      <c r="H53" s="218" t="s">
        <v>410</v>
      </c>
      <c r="I53" s="218"/>
      <c r="J53" s="3">
        <f t="shared" si="4"/>
        <v>0.69061224489795914</v>
      </c>
      <c r="K53" s="3">
        <f t="shared" si="5"/>
        <v>0.16653061224489799</v>
      </c>
      <c r="L53" s="3">
        <f t="shared" si="6"/>
        <v>7.1020408163265297E-2</v>
      </c>
      <c r="M53" s="3">
        <f t="shared" si="7"/>
        <v>1.9591836734693877E-2</v>
      </c>
      <c r="N53" s="3">
        <f t="shared" si="8"/>
        <v>8.397551020408164</v>
      </c>
      <c r="O53" s="3">
        <f t="shared" si="9"/>
        <v>0.15673469387755101</v>
      </c>
      <c r="P53" s="3"/>
      <c r="Q53" s="3"/>
    </row>
    <row r="54" spans="3:17" ht="17.399999999999999">
      <c r="C54" t="s">
        <v>133</v>
      </c>
      <c r="E54" s="56">
        <v>1.3</v>
      </c>
      <c r="F54" s="56">
        <f t="shared" si="3"/>
        <v>7.8000000000000014E-2</v>
      </c>
      <c r="H54" s="188" t="s">
        <v>55</v>
      </c>
      <c r="I54" s="188"/>
      <c r="J54" s="3">
        <f t="shared" si="4"/>
        <v>6.1224489795918364E-3</v>
      </c>
      <c r="K54" s="3">
        <f t="shared" si="5"/>
        <v>9.1836734693877546E-4</v>
      </c>
      <c r="L54" s="3">
        <f t="shared" si="6"/>
        <v>7.9591836734693874E-2</v>
      </c>
      <c r="M54" s="3">
        <f t="shared" si="7"/>
        <v>0</v>
      </c>
      <c r="N54" s="3">
        <f t="shared" si="8"/>
        <v>1.6326530612244899E-2</v>
      </c>
      <c r="O54" s="3">
        <f t="shared" si="9"/>
        <v>0</v>
      </c>
      <c r="P54" s="3"/>
      <c r="Q54" s="3"/>
    </row>
    <row r="55" spans="3:17" ht="17.399999999999999">
      <c r="C55" t="s">
        <v>120</v>
      </c>
      <c r="E55" s="56">
        <v>0</v>
      </c>
      <c r="F55" s="56">
        <f t="shared" si="3"/>
        <v>0</v>
      </c>
      <c r="H55" s="188" t="s">
        <v>43</v>
      </c>
      <c r="I55" s="188"/>
      <c r="J55" s="3">
        <f t="shared" si="4"/>
        <v>1.2244897959183673E-2</v>
      </c>
      <c r="K55" s="3">
        <f t="shared" si="5"/>
        <v>3.1836734693877549E-3</v>
      </c>
      <c r="L55" s="3">
        <f t="shared" si="6"/>
        <v>0.1383673469387755</v>
      </c>
      <c r="M55" s="3">
        <f t="shared" si="7"/>
        <v>6.489795918367347E-2</v>
      </c>
      <c r="N55" s="3">
        <f t="shared" si="8"/>
        <v>2.0204081632653061E-2</v>
      </c>
      <c r="O55" s="3">
        <f t="shared" si="9"/>
        <v>0</v>
      </c>
      <c r="P55" s="3"/>
      <c r="Q55" s="3"/>
    </row>
    <row r="56" spans="3:17" ht="33.75" customHeight="1">
      <c r="H56" s="216" t="s">
        <v>234</v>
      </c>
      <c r="I56" s="216"/>
      <c r="J56" s="85">
        <f>SUM(SUM(J50:J55))</f>
        <v>10.02</v>
      </c>
      <c r="K56" s="84">
        <f t="shared" ref="K56:O56" si="10">SUM(SUM(K50:K55))</f>
        <v>0.93797959183673463</v>
      </c>
      <c r="L56" s="85">
        <f t="shared" si="10"/>
        <v>26.119183673469387</v>
      </c>
      <c r="M56" s="84">
        <f t="shared" si="10"/>
        <v>1.9457142857142857</v>
      </c>
      <c r="N56" s="84">
        <f t="shared" si="10"/>
        <v>13.210408163265306</v>
      </c>
      <c r="O56" s="84">
        <f t="shared" si="10"/>
        <v>0.68408163265306121</v>
      </c>
      <c r="P56" s="85">
        <f>17*N56+37*J56+17*L56</f>
        <v>1039.3430612244897</v>
      </c>
      <c r="Q56" s="85">
        <f>4*N56+9*J56+4*L56</f>
        <v>247.49836734693875</v>
      </c>
    </row>
    <row r="57" spans="3:17">
      <c r="Q57" s="90"/>
    </row>
    <row r="58" spans="3:17">
      <c r="C58" s="64" t="s">
        <v>151</v>
      </c>
      <c r="D58" s="54"/>
      <c r="F58" t="s">
        <v>206</v>
      </c>
    </row>
    <row r="59" spans="3:17">
      <c r="C59" t="s">
        <v>134</v>
      </c>
      <c r="E59" s="56">
        <v>2002</v>
      </c>
      <c r="F59" s="57">
        <f>$E59*40/100</f>
        <v>800.8</v>
      </c>
    </row>
    <row r="60" spans="3:17">
      <c r="C60" t="s">
        <v>135</v>
      </c>
      <c r="E60" s="56">
        <v>486</v>
      </c>
      <c r="F60" s="57">
        <f t="shared" ref="F60:F66" si="11">$E60*40/100</f>
        <v>194.4</v>
      </c>
    </row>
    <row r="61" spans="3:17">
      <c r="C61" t="s">
        <v>142</v>
      </c>
      <c r="E61" s="56">
        <v>51.3</v>
      </c>
      <c r="F61" s="57">
        <f t="shared" si="11"/>
        <v>20.52</v>
      </c>
    </row>
    <row r="62" spans="3:17">
      <c r="C62" t="s">
        <v>119</v>
      </c>
      <c r="E62" s="56">
        <v>4.0999999999999996</v>
      </c>
      <c r="F62" s="57">
        <f t="shared" si="11"/>
        <v>1.64</v>
      </c>
    </row>
    <row r="63" spans="3:17">
      <c r="C63" t="s">
        <v>118</v>
      </c>
      <c r="E63" s="56">
        <v>5</v>
      </c>
      <c r="F63" s="57">
        <f t="shared" si="11"/>
        <v>2</v>
      </c>
    </row>
    <row r="64" spans="3:17">
      <c r="C64" t="s">
        <v>143</v>
      </c>
      <c r="E64" s="56">
        <v>3</v>
      </c>
      <c r="F64" s="57">
        <f t="shared" si="11"/>
        <v>1.2</v>
      </c>
    </row>
    <row r="65" spans="3:6">
      <c r="C65" t="s">
        <v>133</v>
      </c>
      <c r="E65" s="56">
        <v>0.8</v>
      </c>
      <c r="F65" s="57">
        <f t="shared" si="11"/>
        <v>0.32</v>
      </c>
    </row>
    <row r="66" spans="3:6">
      <c r="C66" t="s">
        <v>120</v>
      </c>
      <c r="E66" s="56">
        <v>1.4</v>
      </c>
      <c r="F66" s="57">
        <f t="shared" si="11"/>
        <v>0.56000000000000005</v>
      </c>
    </row>
    <row r="69" spans="3:6">
      <c r="C69" t="s">
        <v>132</v>
      </c>
    </row>
    <row r="70" spans="3:6">
      <c r="C70" t="s">
        <v>134</v>
      </c>
    </row>
    <row r="71" spans="3:6">
      <c r="C71" t="s">
        <v>135</v>
      </c>
    </row>
    <row r="72" spans="3:6">
      <c r="C72" t="s">
        <v>142</v>
      </c>
      <c r="E72">
        <v>1.2</v>
      </c>
    </row>
    <row r="73" spans="3:6">
      <c r="C73" t="s">
        <v>119</v>
      </c>
      <c r="E73">
        <v>0.38</v>
      </c>
    </row>
    <row r="74" spans="3:6">
      <c r="C74" t="s">
        <v>118</v>
      </c>
    </row>
    <row r="75" spans="3:6">
      <c r="C75" t="s">
        <v>143</v>
      </c>
    </row>
    <row r="76" spans="3:6">
      <c r="C76" t="s">
        <v>133</v>
      </c>
      <c r="E76">
        <v>22.8</v>
      </c>
    </row>
    <row r="77" spans="3:6">
      <c r="C77" t="s">
        <v>120</v>
      </c>
      <c r="E77">
        <v>0.13</v>
      </c>
    </row>
    <row r="80" spans="3:6">
      <c r="C80" t="s">
        <v>213</v>
      </c>
    </row>
    <row r="81" spans="3:5">
      <c r="C81" t="s">
        <v>134</v>
      </c>
    </row>
    <row r="82" spans="3:5">
      <c r="C82" t="s">
        <v>135</v>
      </c>
    </row>
    <row r="83" spans="3:5">
      <c r="C83" t="s">
        <v>142</v>
      </c>
      <c r="E83">
        <v>9.6999999999999993</v>
      </c>
    </row>
    <row r="84" spans="3:5">
      <c r="C84" t="s">
        <v>119</v>
      </c>
      <c r="E84">
        <v>0.8</v>
      </c>
    </row>
    <row r="85" spans="3:5">
      <c r="C85" t="s">
        <v>118</v>
      </c>
      <c r="E85">
        <v>28.7</v>
      </c>
    </row>
    <row r="86" spans="3:5">
      <c r="C86" t="s">
        <v>143</v>
      </c>
      <c r="E86">
        <v>7.5</v>
      </c>
    </row>
    <row r="87" spans="3:5">
      <c r="C87" t="s">
        <v>133</v>
      </c>
      <c r="E87">
        <v>9.3000000000000007</v>
      </c>
    </row>
    <row r="88" spans="3:5">
      <c r="C88" t="s">
        <v>120</v>
      </c>
      <c r="E88">
        <v>44</v>
      </c>
    </row>
    <row r="91" spans="3:5">
      <c r="C91" t="s">
        <v>214</v>
      </c>
    </row>
    <row r="92" spans="3:5">
      <c r="C92" t="s">
        <v>134</v>
      </c>
      <c r="E92">
        <v>3400</v>
      </c>
    </row>
    <row r="93" spans="3:5">
      <c r="C93" t="s">
        <v>135</v>
      </c>
      <c r="E93">
        <v>829</v>
      </c>
    </row>
    <row r="94" spans="3:5">
      <c r="C94" t="s">
        <v>142</v>
      </c>
      <c r="E94">
        <v>92</v>
      </c>
    </row>
    <row r="95" spans="3:5">
      <c r="C95" t="s">
        <v>119</v>
      </c>
      <c r="E95">
        <v>10</v>
      </c>
    </row>
    <row r="96" spans="3:5">
      <c r="C96" t="s">
        <v>118</v>
      </c>
      <c r="E96">
        <v>0</v>
      </c>
    </row>
    <row r="97" spans="2:6">
      <c r="C97" t="s">
        <v>143</v>
      </c>
      <c r="E97">
        <v>0</v>
      </c>
    </row>
    <row r="98" spans="2:6">
      <c r="C98" t="s">
        <v>133</v>
      </c>
      <c r="E98">
        <v>0</v>
      </c>
    </row>
    <row r="99" spans="2:6">
      <c r="C99" t="s">
        <v>120</v>
      </c>
      <c r="E99">
        <v>0</v>
      </c>
    </row>
    <row r="102" spans="2:6">
      <c r="C102" s="66" t="s">
        <v>55</v>
      </c>
      <c r="E102" t="s">
        <v>212</v>
      </c>
      <c r="F102" t="s">
        <v>406</v>
      </c>
    </row>
    <row r="103" spans="2:6">
      <c r="C103" t="s">
        <v>142</v>
      </c>
      <c r="E103">
        <v>0.3</v>
      </c>
      <c r="F103">
        <f>$E103*5/100</f>
        <v>1.4999999999999999E-2</v>
      </c>
    </row>
    <row r="104" spans="2:6">
      <c r="C104" t="s">
        <v>119</v>
      </c>
      <c r="E104">
        <v>4.4999999999999998E-2</v>
      </c>
      <c r="F104">
        <f t="shared" ref="F104:F108" si="12">$E104*5/100</f>
        <v>2.2499999999999998E-3</v>
      </c>
    </row>
    <row r="105" spans="2:6">
      <c r="C105" t="s">
        <v>118</v>
      </c>
      <c r="E105">
        <v>3.9</v>
      </c>
      <c r="F105">
        <f t="shared" si="12"/>
        <v>0.19500000000000001</v>
      </c>
    </row>
    <row r="106" spans="2:6">
      <c r="C106" t="s">
        <v>143</v>
      </c>
      <c r="F106">
        <f t="shared" si="12"/>
        <v>0</v>
      </c>
    </row>
    <row r="107" spans="2:6">
      <c r="C107" t="s">
        <v>133</v>
      </c>
      <c r="E107">
        <v>0.8</v>
      </c>
      <c r="F107">
        <f t="shared" si="12"/>
        <v>0.04</v>
      </c>
    </row>
    <row r="108" spans="2:6">
      <c r="C108" t="s">
        <v>120</v>
      </c>
      <c r="F108">
        <f t="shared" si="12"/>
        <v>0</v>
      </c>
    </row>
    <row r="111" spans="2:6">
      <c r="B111" t="s">
        <v>331</v>
      </c>
      <c r="C111" s="66" t="s">
        <v>43</v>
      </c>
      <c r="E111" t="s">
        <v>212</v>
      </c>
      <c r="F111" t="s">
        <v>407</v>
      </c>
    </row>
    <row r="112" spans="2:6">
      <c r="C112" t="s">
        <v>142</v>
      </c>
      <c r="E112">
        <v>0.2</v>
      </c>
      <c r="F112">
        <f>$E112*15/100</f>
        <v>0.03</v>
      </c>
    </row>
    <row r="113" spans="3:8">
      <c r="C113" t="s">
        <v>119</v>
      </c>
      <c r="E113">
        <v>5.1999999999999998E-2</v>
      </c>
      <c r="F113">
        <f t="shared" ref="F113:F117" si="13">$E113*15/100</f>
        <v>7.7999999999999988E-3</v>
      </c>
    </row>
    <row r="114" spans="3:8">
      <c r="C114" t="s">
        <v>118</v>
      </c>
      <c r="E114">
        <v>2.2599999999999998</v>
      </c>
      <c r="F114">
        <f t="shared" si="13"/>
        <v>0.33899999999999997</v>
      </c>
    </row>
    <row r="115" spans="3:8">
      <c r="C115" t="s">
        <v>143</v>
      </c>
      <c r="E115">
        <v>1.06</v>
      </c>
      <c r="F115">
        <f t="shared" si="13"/>
        <v>0.159</v>
      </c>
    </row>
    <row r="116" spans="3:8">
      <c r="C116" t="s">
        <v>133</v>
      </c>
      <c r="E116">
        <v>0.33</v>
      </c>
      <c r="F116">
        <f t="shared" si="13"/>
        <v>4.9500000000000002E-2</v>
      </c>
    </row>
    <row r="117" spans="3:8">
      <c r="C117" t="s">
        <v>120</v>
      </c>
      <c r="E117">
        <v>0</v>
      </c>
      <c r="F117">
        <f t="shared" si="13"/>
        <v>0</v>
      </c>
    </row>
    <row r="120" spans="3:8">
      <c r="C120" s="128" t="s">
        <v>408</v>
      </c>
    </row>
    <row r="121" spans="3:8" ht="28.8">
      <c r="C121" s="117" t="s">
        <v>0</v>
      </c>
      <c r="D121" s="117" t="s">
        <v>334</v>
      </c>
      <c r="E121" s="117" t="s">
        <v>336</v>
      </c>
      <c r="F121" s="118" t="s">
        <v>339</v>
      </c>
      <c r="G121" s="119" t="s">
        <v>340</v>
      </c>
      <c r="H121" s="120" t="s">
        <v>341</v>
      </c>
    </row>
    <row r="122" spans="3:8" ht="17.399999999999999">
      <c r="C122" s="157" t="s">
        <v>132</v>
      </c>
      <c r="D122" s="3"/>
      <c r="E122" s="3">
        <v>1500</v>
      </c>
      <c r="F122" s="3">
        <v>1500</v>
      </c>
      <c r="G122" s="3"/>
      <c r="H122" s="3"/>
    </row>
    <row r="123" spans="3:8" ht="17.399999999999999">
      <c r="C123" s="157" t="s">
        <v>56</v>
      </c>
      <c r="D123" s="3"/>
      <c r="E123" s="3">
        <v>10</v>
      </c>
      <c r="F123" s="3">
        <v>10</v>
      </c>
      <c r="G123" s="3"/>
      <c r="H123" s="3"/>
    </row>
    <row r="124" spans="3:8" ht="17.399999999999999">
      <c r="C124" s="157" t="s">
        <v>122</v>
      </c>
      <c r="D124" s="3"/>
      <c r="E124" s="3">
        <v>10</v>
      </c>
      <c r="F124" s="3">
        <v>10</v>
      </c>
      <c r="G124" s="3"/>
      <c r="H124" s="3"/>
    </row>
    <row r="125" spans="3:8">
      <c r="C125" s="121" t="s">
        <v>342</v>
      </c>
      <c r="D125" s="122"/>
      <c r="E125" s="122"/>
      <c r="F125" s="123">
        <f>SUM(F117:F124)</f>
        <v>1520</v>
      </c>
      <c r="G125" s="3"/>
      <c r="H125" s="3"/>
    </row>
    <row r="126" spans="3:8">
      <c r="C126" s="124" t="s">
        <v>337</v>
      </c>
      <c r="D126" s="125"/>
      <c r="E126" s="125"/>
      <c r="F126" s="125"/>
      <c r="G126" s="125">
        <v>1000</v>
      </c>
      <c r="H126" s="3"/>
    </row>
    <row r="127" spans="3:8">
      <c r="C127" s="120" t="s">
        <v>341</v>
      </c>
      <c r="D127" s="126" t="s">
        <v>338</v>
      </c>
      <c r="E127" s="126"/>
      <c r="F127" s="126"/>
      <c r="G127" s="126"/>
      <c r="H127" s="127">
        <f>G126/F125</f>
        <v>0.65789473684210531</v>
      </c>
    </row>
    <row r="128" spans="3:8">
      <c r="G128" t="s">
        <v>343</v>
      </c>
    </row>
    <row r="130" spans="3:12">
      <c r="C130" s="69"/>
      <c r="D130" s="69"/>
      <c r="E130" s="199" t="s">
        <v>228</v>
      </c>
      <c r="F130" s="200"/>
      <c r="G130" s="200"/>
      <c r="H130" s="200"/>
      <c r="I130" s="200"/>
      <c r="J130" s="201"/>
    </row>
    <row r="131" spans="3:12">
      <c r="C131" s="195" t="s">
        <v>216</v>
      </c>
      <c r="D131" s="197" t="s">
        <v>225</v>
      </c>
      <c r="E131" s="70" t="s">
        <v>217</v>
      </c>
      <c r="F131" s="70" t="s">
        <v>226</v>
      </c>
      <c r="G131" s="70" t="s">
        <v>118</v>
      </c>
      <c r="H131" s="70" t="s">
        <v>143</v>
      </c>
      <c r="I131" s="70" t="s">
        <v>227</v>
      </c>
      <c r="J131" s="70" t="s">
        <v>120</v>
      </c>
    </row>
    <row r="132" spans="3:12">
      <c r="C132" s="195"/>
      <c r="D132" s="198"/>
      <c r="E132" s="156" t="s">
        <v>218</v>
      </c>
      <c r="F132" s="156" t="s">
        <v>219</v>
      </c>
      <c r="G132" s="156" t="s">
        <v>220</v>
      </c>
      <c r="H132" s="156" t="s">
        <v>221</v>
      </c>
      <c r="I132" s="156" t="s">
        <v>222</v>
      </c>
      <c r="J132" s="156" t="s">
        <v>223</v>
      </c>
    </row>
    <row r="133" spans="3:12" ht="16.2" thickBot="1">
      <c r="C133" s="196"/>
      <c r="D133" s="163" t="s">
        <v>224</v>
      </c>
      <c r="E133" s="77" t="s">
        <v>224</v>
      </c>
      <c r="F133" s="77" t="s">
        <v>224</v>
      </c>
      <c r="G133" s="77" t="s">
        <v>224</v>
      </c>
      <c r="H133" s="77" t="s">
        <v>224</v>
      </c>
      <c r="I133" s="77" t="s">
        <v>224</v>
      </c>
      <c r="J133" s="77" t="s">
        <v>224</v>
      </c>
    </row>
    <row r="134" spans="3:12" ht="17.399999999999999">
      <c r="C134" s="157" t="s">
        <v>132</v>
      </c>
      <c r="D134" s="3">
        <v>1500</v>
      </c>
      <c r="E134" s="3">
        <v>1.2</v>
      </c>
      <c r="F134" s="3">
        <v>0.38</v>
      </c>
      <c r="G134" s="3"/>
      <c r="H134" s="3"/>
      <c r="I134" s="3">
        <v>22.8</v>
      </c>
      <c r="J134" s="3">
        <v>0.13</v>
      </c>
    </row>
    <row r="135" spans="3:12" ht="17.399999999999999">
      <c r="C135" s="157" t="s">
        <v>56</v>
      </c>
      <c r="D135" s="3">
        <v>10</v>
      </c>
      <c r="E135" s="3">
        <v>9.6999999999999993</v>
      </c>
      <c r="F135" s="3">
        <v>0.8</v>
      </c>
      <c r="G135" s="3">
        <v>28.7</v>
      </c>
      <c r="H135" s="3">
        <v>7.5</v>
      </c>
      <c r="I135" s="3">
        <v>9.3000000000000007</v>
      </c>
      <c r="J135" s="3">
        <v>44</v>
      </c>
    </row>
    <row r="136" spans="3:12" ht="17.399999999999999">
      <c r="C136" s="157" t="s">
        <v>122</v>
      </c>
      <c r="D136" s="3">
        <v>10</v>
      </c>
      <c r="E136" s="3">
        <v>92</v>
      </c>
      <c r="F136" s="3">
        <v>10</v>
      </c>
      <c r="G136" s="3"/>
      <c r="H136" s="3"/>
      <c r="I136" s="3"/>
      <c r="J136" s="3"/>
    </row>
    <row r="139" spans="3:12">
      <c r="C139" s="221" t="s">
        <v>0</v>
      </c>
      <c r="D139" s="222" t="s">
        <v>229</v>
      </c>
      <c r="E139" s="70" t="s">
        <v>217</v>
      </c>
      <c r="F139" s="70" t="s">
        <v>226</v>
      </c>
      <c r="G139" s="70" t="s">
        <v>118</v>
      </c>
      <c r="H139" s="70" t="s">
        <v>143</v>
      </c>
      <c r="I139" s="70" t="s">
        <v>227</v>
      </c>
      <c r="J139" s="70" t="s">
        <v>120</v>
      </c>
      <c r="K139" s="219" t="s">
        <v>230</v>
      </c>
      <c r="L139" s="219"/>
    </row>
    <row r="140" spans="3:12">
      <c r="C140" s="221"/>
      <c r="D140" s="222"/>
      <c r="E140" s="156" t="s">
        <v>218</v>
      </c>
      <c r="F140" s="156" t="s">
        <v>219</v>
      </c>
      <c r="G140" s="156" t="s">
        <v>220</v>
      </c>
      <c r="H140" s="156" t="s">
        <v>221</v>
      </c>
      <c r="I140" s="156" t="s">
        <v>222</v>
      </c>
      <c r="J140" s="156" t="s">
        <v>223</v>
      </c>
      <c r="K140" s="156" t="s">
        <v>231</v>
      </c>
      <c r="L140" s="156" t="s">
        <v>231</v>
      </c>
    </row>
    <row r="141" spans="3:12">
      <c r="C141" s="221"/>
      <c r="D141" s="222"/>
      <c r="E141" s="156" t="s">
        <v>224</v>
      </c>
      <c r="F141" s="156" t="s">
        <v>224</v>
      </c>
      <c r="G141" s="156" t="s">
        <v>224</v>
      </c>
      <c r="H141" s="156" t="s">
        <v>224</v>
      </c>
      <c r="I141" s="156" t="s">
        <v>224</v>
      </c>
      <c r="J141" s="156" t="s">
        <v>224</v>
      </c>
      <c r="K141" s="156" t="s">
        <v>232</v>
      </c>
      <c r="L141" s="156" t="s">
        <v>233</v>
      </c>
    </row>
    <row r="142" spans="3:12" ht="17.399999999999999">
      <c r="C142" s="220" t="s">
        <v>132</v>
      </c>
      <c r="D142" s="220"/>
      <c r="E142" s="3">
        <f>$E134*$D134/1000</f>
        <v>1.8</v>
      </c>
      <c r="F142" s="3">
        <f>$F134*$D134/1000</f>
        <v>0.56999999999999995</v>
      </c>
      <c r="G142" s="3">
        <f>$G134*$D134/1000</f>
        <v>0</v>
      </c>
      <c r="H142" s="3">
        <f>$H134*$D134/1000</f>
        <v>0</v>
      </c>
      <c r="I142" s="3">
        <f>$I134*$D134/1000</f>
        <v>34.200000000000003</v>
      </c>
      <c r="J142" s="3">
        <f>$J134*$D134/1000</f>
        <v>0.19500000000000001</v>
      </c>
    </row>
    <row r="143" spans="3:12" ht="17.399999999999999">
      <c r="C143" s="220" t="s">
        <v>56</v>
      </c>
      <c r="D143" s="220"/>
      <c r="E143" s="3">
        <f t="shared" ref="E143:E144" si="14">$E135*$D135/1000</f>
        <v>9.7000000000000003E-2</v>
      </c>
      <c r="F143" s="3">
        <f t="shared" ref="F143:F144" si="15">$F135*$D135/1000</f>
        <v>8.0000000000000002E-3</v>
      </c>
      <c r="G143" s="3">
        <f t="shared" ref="G143:G144" si="16">$G135*$D135/1000</f>
        <v>0.28699999999999998</v>
      </c>
      <c r="H143" s="3">
        <f t="shared" ref="H143:H144" si="17">$H135*$D135/1000</f>
        <v>7.4999999999999997E-2</v>
      </c>
      <c r="I143" s="3">
        <f t="shared" ref="I143:I144" si="18">$I135*$D135/1000</f>
        <v>9.2999999999999999E-2</v>
      </c>
      <c r="J143" s="3">
        <f t="shared" ref="J143:J144" si="19">$J135*$D135/1000</f>
        <v>0.44</v>
      </c>
    </row>
    <row r="144" spans="3:12" ht="17.399999999999999">
      <c r="C144" s="220" t="s">
        <v>122</v>
      </c>
      <c r="D144" s="220"/>
      <c r="E144" s="3">
        <f t="shared" si="14"/>
        <v>0.92</v>
      </c>
      <c r="F144" s="3">
        <f t="shared" si="15"/>
        <v>0.1</v>
      </c>
      <c r="G144" s="3">
        <f t="shared" si="16"/>
        <v>0</v>
      </c>
      <c r="H144" s="3">
        <f t="shared" si="17"/>
        <v>0</v>
      </c>
      <c r="I144" s="3">
        <f t="shared" si="18"/>
        <v>0</v>
      </c>
      <c r="J144" s="3">
        <f t="shared" si="19"/>
        <v>0</v>
      </c>
    </row>
    <row r="145" spans="3:10" ht="31.5" customHeight="1">
      <c r="C145" s="216" t="s">
        <v>234</v>
      </c>
      <c r="D145" s="216"/>
      <c r="E145" s="78">
        <f>SUM(SUM(E142:E144))</f>
        <v>2.8170000000000002</v>
      </c>
      <c r="F145" s="78">
        <f t="shared" ref="F145:J145" si="20">SUM(SUM(F142:F144))</f>
        <v>0.67799999999999994</v>
      </c>
      <c r="G145" s="78">
        <f t="shared" si="20"/>
        <v>0.28699999999999998</v>
      </c>
      <c r="H145" s="78">
        <f t="shared" si="20"/>
        <v>7.4999999999999997E-2</v>
      </c>
      <c r="I145" s="78">
        <f t="shared" si="20"/>
        <v>34.293000000000006</v>
      </c>
      <c r="J145" s="78">
        <f t="shared" si="20"/>
        <v>0.63500000000000001</v>
      </c>
    </row>
    <row r="147" spans="3:10">
      <c r="C147" s="66" t="s">
        <v>408</v>
      </c>
      <c r="D147" t="s">
        <v>212</v>
      </c>
      <c r="E147" t="s">
        <v>409</v>
      </c>
    </row>
    <row r="148" spans="3:10">
      <c r="C148" t="s">
        <v>142</v>
      </c>
      <c r="D148">
        <v>2.82</v>
      </c>
      <c r="E148">
        <f>$D148*60/100</f>
        <v>1.6919999999999999</v>
      </c>
    </row>
    <row r="149" spans="3:10">
      <c r="C149" t="s">
        <v>119</v>
      </c>
      <c r="D149">
        <v>0.68</v>
      </c>
      <c r="E149">
        <f t="shared" ref="E149:E153" si="21">$D149*60/100</f>
        <v>0.40800000000000003</v>
      </c>
    </row>
    <row r="150" spans="3:10">
      <c r="C150" t="s">
        <v>118</v>
      </c>
      <c r="D150">
        <v>0.28999999999999998</v>
      </c>
      <c r="E150">
        <f t="shared" si="21"/>
        <v>0.17399999999999999</v>
      </c>
    </row>
    <row r="151" spans="3:10">
      <c r="C151" t="s">
        <v>143</v>
      </c>
      <c r="D151">
        <v>0.08</v>
      </c>
      <c r="E151">
        <f t="shared" si="21"/>
        <v>4.8000000000000001E-2</v>
      </c>
    </row>
    <row r="152" spans="3:10">
      <c r="C152" t="s">
        <v>133</v>
      </c>
      <c r="D152">
        <v>34.29</v>
      </c>
      <c r="E152">
        <f t="shared" si="21"/>
        <v>20.574000000000002</v>
      </c>
    </row>
    <row r="153" spans="3:10">
      <c r="C153" t="s">
        <v>120</v>
      </c>
      <c r="D153">
        <v>0.64</v>
      </c>
      <c r="E153">
        <f t="shared" si="21"/>
        <v>0.38400000000000001</v>
      </c>
    </row>
  </sheetData>
  <mergeCells count="28">
    <mergeCell ref="A1:I1"/>
    <mergeCell ref="A6:A8"/>
    <mergeCell ref="D6:D8"/>
    <mergeCell ref="F6:F8"/>
    <mergeCell ref="E6:E8"/>
    <mergeCell ref="E130:J130"/>
    <mergeCell ref="C131:C133"/>
    <mergeCell ref="D131:D132"/>
    <mergeCell ref="C139:C141"/>
    <mergeCell ref="D139:D141"/>
    <mergeCell ref="K139:L139"/>
    <mergeCell ref="C142:D142"/>
    <mergeCell ref="C143:D143"/>
    <mergeCell ref="C144:D144"/>
    <mergeCell ref="C145:D145"/>
    <mergeCell ref="J36:O36"/>
    <mergeCell ref="H37:H39"/>
    <mergeCell ref="I37:I38"/>
    <mergeCell ref="H47:H49"/>
    <mergeCell ref="I47:I49"/>
    <mergeCell ref="H54:I54"/>
    <mergeCell ref="H55:I55"/>
    <mergeCell ref="H56:I56"/>
    <mergeCell ref="P47:Q47"/>
    <mergeCell ref="H50:I50"/>
    <mergeCell ref="H51:I51"/>
    <mergeCell ref="H52:I52"/>
    <mergeCell ref="H53:I53"/>
  </mergeCells>
  <phoneticPr fontId="2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="70" zoomScaleNormal="70" zoomScalePageLayoutView="70" workbookViewId="0">
      <selection activeCell="M28" sqref="M28"/>
    </sheetView>
  </sheetViews>
  <sheetFormatPr defaultColWidth="11" defaultRowHeight="15.6"/>
  <cols>
    <col min="1" max="1" width="29" bestFit="1" customWidth="1"/>
    <col min="2" max="2" width="29" customWidth="1"/>
    <col min="3" max="3" width="21.796875" customWidth="1"/>
    <col min="4" max="4" width="12.796875" bestFit="1" customWidth="1"/>
    <col min="5" max="5" width="16.796875" bestFit="1" customWidth="1"/>
    <col min="6" max="6" width="13.296875" bestFit="1" customWidth="1"/>
    <col min="7" max="7" width="51.69921875" customWidth="1"/>
    <col min="8" max="8" width="25.796875" bestFit="1" customWidth="1"/>
    <col min="9" max="9" width="20" customWidth="1"/>
  </cols>
  <sheetData>
    <row r="1" spans="1:9" ht="31.05" customHeight="1">
      <c r="A1" s="207" t="s">
        <v>111</v>
      </c>
      <c r="B1" s="208"/>
      <c r="C1" s="208"/>
      <c r="D1" s="208"/>
      <c r="E1" s="208"/>
      <c r="F1" s="208"/>
      <c r="G1" s="208"/>
      <c r="H1" s="208"/>
      <c r="I1" s="209"/>
    </row>
    <row r="2" spans="1:9" ht="16.05" customHeight="1">
      <c r="A2" s="1" t="s">
        <v>0</v>
      </c>
      <c r="B2" s="1"/>
      <c r="C2" s="1" t="s">
        <v>27</v>
      </c>
      <c r="D2" s="1" t="s">
        <v>4</v>
      </c>
      <c r="E2" s="1" t="s">
        <v>161</v>
      </c>
      <c r="F2" s="143" t="s">
        <v>18</v>
      </c>
      <c r="G2" s="1" t="s">
        <v>5</v>
      </c>
      <c r="H2" s="1" t="s">
        <v>6</v>
      </c>
      <c r="I2" s="1" t="s">
        <v>7</v>
      </c>
    </row>
    <row r="3" spans="1:9" ht="47.4">
      <c r="A3" s="136" t="s">
        <v>2</v>
      </c>
      <c r="B3" s="143"/>
      <c r="C3" s="144" t="s">
        <v>3</v>
      </c>
      <c r="D3" s="3">
        <v>120</v>
      </c>
      <c r="E3" s="3">
        <v>120</v>
      </c>
      <c r="F3" s="24">
        <v>47</v>
      </c>
      <c r="G3" s="4" t="s">
        <v>167</v>
      </c>
      <c r="H3" s="3" t="s">
        <v>83</v>
      </c>
      <c r="I3" s="6" t="s">
        <v>8</v>
      </c>
    </row>
    <row r="4" spans="1:9" ht="109.8">
      <c r="A4" s="137" t="s">
        <v>10</v>
      </c>
      <c r="B4" s="11"/>
      <c r="C4" s="144" t="s">
        <v>11</v>
      </c>
      <c r="D4" s="3">
        <v>35</v>
      </c>
      <c r="E4" s="3">
        <v>33</v>
      </c>
      <c r="F4" s="24">
        <v>13</v>
      </c>
      <c r="G4" s="5" t="s">
        <v>197</v>
      </c>
      <c r="H4" s="6" t="s">
        <v>82</v>
      </c>
      <c r="I4" s="3"/>
    </row>
    <row r="5" spans="1:9" ht="16.05" customHeight="1">
      <c r="A5" s="136" t="s">
        <v>12</v>
      </c>
      <c r="B5" s="143"/>
      <c r="C5" s="144"/>
      <c r="D5" s="3">
        <v>20</v>
      </c>
      <c r="E5" s="3">
        <v>18</v>
      </c>
      <c r="F5" s="24">
        <v>7</v>
      </c>
      <c r="G5" s="31"/>
      <c r="H5" s="3"/>
      <c r="I5" s="3"/>
    </row>
    <row r="6" spans="1:9" ht="16.05" customHeight="1">
      <c r="A6" s="210" t="s">
        <v>29</v>
      </c>
      <c r="B6" s="143" t="s">
        <v>132</v>
      </c>
      <c r="C6" s="144"/>
      <c r="D6" s="231">
        <v>45</v>
      </c>
      <c r="E6" s="139"/>
      <c r="F6" s="214">
        <v>17</v>
      </c>
      <c r="G6" s="24"/>
      <c r="H6" s="3"/>
      <c r="I6" s="3"/>
    </row>
    <row r="7" spans="1:9" ht="47.4">
      <c r="A7" s="226"/>
      <c r="B7" s="143" t="s">
        <v>107</v>
      </c>
      <c r="C7" s="144" t="s">
        <v>32</v>
      </c>
      <c r="D7" s="232"/>
      <c r="E7" s="140"/>
      <c r="F7" s="234"/>
      <c r="G7" s="6" t="s">
        <v>33</v>
      </c>
      <c r="H7" s="3"/>
      <c r="I7" s="3"/>
    </row>
    <row r="8" spans="1:9" ht="78.599999999999994">
      <c r="A8" s="226"/>
      <c r="B8" s="143" t="s">
        <v>30</v>
      </c>
      <c r="C8" s="144" t="s">
        <v>11</v>
      </c>
      <c r="D8" s="232"/>
      <c r="E8" s="140"/>
      <c r="F8" s="234"/>
      <c r="G8" s="6" t="s">
        <v>34</v>
      </c>
      <c r="H8" s="3"/>
      <c r="I8" s="3"/>
    </row>
    <row r="9" spans="1:9" ht="63">
      <c r="A9" s="226"/>
      <c r="B9" s="143" t="s">
        <v>31</v>
      </c>
      <c r="C9" s="144" t="s">
        <v>388</v>
      </c>
      <c r="D9" s="232"/>
      <c r="E9" s="140"/>
      <c r="F9" s="234"/>
      <c r="G9" s="15" t="s">
        <v>80</v>
      </c>
      <c r="H9" s="3"/>
      <c r="I9" s="3"/>
    </row>
    <row r="10" spans="1:9" ht="17.399999999999999">
      <c r="A10" s="211"/>
      <c r="B10" s="143" t="s">
        <v>122</v>
      </c>
      <c r="C10" s="145" t="s">
        <v>123</v>
      </c>
      <c r="D10" s="233"/>
      <c r="E10" s="141">
        <v>44</v>
      </c>
      <c r="F10" s="215"/>
      <c r="G10" s="59"/>
      <c r="H10" s="3"/>
      <c r="I10" s="3"/>
    </row>
    <row r="11" spans="1:9" ht="17.399999999999999">
      <c r="A11" s="136" t="s">
        <v>13</v>
      </c>
      <c r="B11" s="143"/>
      <c r="C11" s="9"/>
      <c r="D11" s="3">
        <v>24</v>
      </c>
      <c r="E11" s="3">
        <v>22</v>
      </c>
      <c r="F11" s="24">
        <v>9</v>
      </c>
      <c r="G11" s="33"/>
      <c r="H11" s="3"/>
      <c r="I11" s="3"/>
    </row>
    <row r="12" spans="1:9" ht="16.05" customHeight="1">
      <c r="A12" s="136" t="s">
        <v>35</v>
      </c>
      <c r="B12" s="143"/>
      <c r="C12" s="3"/>
      <c r="D12" s="3">
        <v>20</v>
      </c>
      <c r="E12" s="3">
        <v>18</v>
      </c>
      <c r="F12" s="24">
        <v>7</v>
      </c>
      <c r="G12" s="31"/>
      <c r="H12" s="3"/>
      <c r="I12" s="3"/>
    </row>
    <row r="13" spans="1:9" ht="43.95" customHeight="1">
      <c r="D13">
        <f>SUM(D3:D12)</f>
        <v>264</v>
      </c>
      <c r="E13">
        <f>SUM(E3:E12)</f>
        <v>255</v>
      </c>
      <c r="F13">
        <f>SUM(F3:F12)</f>
        <v>100</v>
      </c>
      <c r="G13" t="s">
        <v>108</v>
      </c>
    </row>
    <row r="27" spans="3:13">
      <c r="F27" t="s">
        <v>205</v>
      </c>
      <c r="G27" t="s">
        <v>381</v>
      </c>
      <c r="H27" t="s">
        <v>382</v>
      </c>
      <c r="I27" t="s">
        <v>380</v>
      </c>
      <c r="J27" t="s">
        <v>251</v>
      </c>
      <c r="K27" t="s">
        <v>384</v>
      </c>
      <c r="L27" t="s">
        <v>154</v>
      </c>
      <c r="M27" s="65" t="s">
        <v>155</v>
      </c>
    </row>
    <row r="28" spans="3:13">
      <c r="C28" t="s">
        <v>142</v>
      </c>
      <c r="F28" s="55">
        <v>2.2799999999999998</v>
      </c>
      <c r="G28" s="55">
        <v>16.928999999999998</v>
      </c>
      <c r="H28" s="55">
        <v>3.6000000000000004E-2</v>
      </c>
      <c r="I28" s="55">
        <v>3.7179999999999995</v>
      </c>
      <c r="J28" s="55">
        <v>4.4000000000000004E-2</v>
      </c>
      <c r="K28" s="55">
        <v>5.3999999999999992E-2</v>
      </c>
      <c r="L28" s="55">
        <f t="shared" ref="L28:L33" si="0">SUM(F28:K28)</f>
        <v>23.061</v>
      </c>
      <c r="M28" s="55">
        <f t="shared" ref="M28:M33" si="1">$L28*100/255</f>
        <v>9.0435294117647054</v>
      </c>
    </row>
    <row r="29" spans="3:13">
      <c r="C29" t="s">
        <v>119</v>
      </c>
      <c r="F29" s="55">
        <v>0.24</v>
      </c>
      <c r="G29" s="55">
        <v>1.3529999999999998</v>
      </c>
      <c r="H29" s="55">
        <v>0</v>
      </c>
      <c r="I29" s="55">
        <v>0.5676000000000001</v>
      </c>
      <c r="J29" s="55">
        <v>0</v>
      </c>
      <c r="K29" s="55">
        <v>0</v>
      </c>
      <c r="L29" s="55">
        <f t="shared" si="0"/>
        <v>2.1605999999999996</v>
      </c>
      <c r="M29" s="55">
        <f t="shared" si="1"/>
        <v>0.84729411764705875</v>
      </c>
    </row>
    <row r="30" spans="3:13">
      <c r="C30" t="s">
        <v>118</v>
      </c>
      <c r="F30" s="55">
        <v>61.2</v>
      </c>
      <c r="G30" s="55">
        <v>1.65</v>
      </c>
      <c r="H30" s="55">
        <v>0.252</v>
      </c>
      <c r="I30" s="55">
        <v>0.84920000000000007</v>
      </c>
      <c r="J30" s="55">
        <v>0.68200000000000005</v>
      </c>
      <c r="K30" s="55">
        <v>0.46800000000000003</v>
      </c>
      <c r="L30" s="55">
        <f t="shared" si="0"/>
        <v>65.101200000000006</v>
      </c>
      <c r="M30" s="55">
        <f t="shared" si="1"/>
        <v>25.529882352941179</v>
      </c>
    </row>
    <row r="31" spans="3:13">
      <c r="C31" t="s">
        <v>143</v>
      </c>
      <c r="F31" s="55">
        <v>3.36</v>
      </c>
      <c r="G31" s="55">
        <v>0.99</v>
      </c>
      <c r="H31" s="55">
        <v>0</v>
      </c>
      <c r="I31" s="55">
        <v>0.59840000000000004</v>
      </c>
      <c r="J31" s="55">
        <v>0</v>
      </c>
      <c r="K31" s="55">
        <v>0</v>
      </c>
      <c r="L31" s="55">
        <f t="shared" si="0"/>
        <v>4.9483999999999995</v>
      </c>
      <c r="M31" s="55">
        <f t="shared" si="1"/>
        <v>1.9405490196078428</v>
      </c>
    </row>
    <row r="32" spans="3:13">
      <c r="C32" t="s">
        <v>133</v>
      </c>
      <c r="F32" s="55">
        <v>11.3</v>
      </c>
      <c r="G32" s="55">
        <v>0.26400000000000001</v>
      </c>
      <c r="H32" s="55">
        <v>0.23400000000000001</v>
      </c>
      <c r="I32" s="55">
        <v>15.193200000000001</v>
      </c>
      <c r="J32" s="55">
        <v>0.19800000000000001</v>
      </c>
      <c r="K32" s="55">
        <v>0.16200000000000001</v>
      </c>
      <c r="L32" s="55">
        <f t="shared" si="0"/>
        <v>27.351199999999999</v>
      </c>
      <c r="M32" s="55">
        <f t="shared" si="1"/>
        <v>10.725960784313726</v>
      </c>
    </row>
    <row r="33" spans="3:17">
      <c r="C33" t="s">
        <v>120</v>
      </c>
      <c r="F33" s="55">
        <v>0.73</v>
      </c>
      <c r="G33" s="55">
        <v>0.46199999999999997</v>
      </c>
      <c r="H33" s="55">
        <v>0</v>
      </c>
      <c r="I33" s="55">
        <v>0.53679999999999994</v>
      </c>
      <c r="J33" s="55">
        <v>0</v>
      </c>
      <c r="K33" s="55">
        <v>0</v>
      </c>
      <c r="L33" s="55">
        <f t="shared" si="0"/>
        <v>1.7287999999999999</v>
      </c>
      <c r="M33" s="55">
        <f t="shared" si="1"/>
        <v>0.67796078431372542</v>
      </c>
    </row>
    <row r="35" spans="3:17">
      <c r="C35" s="67" t="s">
        <v>204</v>
      </c>
      <c r="E35" s="56" t="s">
        <v>212</v>
      </c>
      <c r="F35" s="57" t="s">
        <v>205</v>
      </c>
      <c r="H35" s="69"/>
      <c r="I35" s="69"/>
      <c r="J35" s="199" t="s">
        <v>228</v>
      </c>
      <c r="K35" s="200"/>
      <c r="L35" s="200"/>
      <c r="M35" s="200"/>
      <c r="N35" s="200"/>
      <c r="O35" s="201"/>
    </row>
    <row r="36" spans="3:17" ht="43.2">
      <c r="C36" t="s">
        <v>134</v>
      </c>
      <c r="E36">
        <v>1120</v>
      </c>
      <c r="F36" s="57">
        <f t="shared" ref="F36:F43" si="2">$E36*120/100</f>
        <v>1344</v>
      </c>
      <c r="H36" s="195" t="s">
        <v>216</v>
      </c>
      <c r="I36" s="197" t="s">
        <v>225</v>
      </c>
      <c r="J36" s="70" t="s">
        <v>217</v>
      </c>
      <c r="K36" s="70" t="s">
        <v>226</v>
      </c>
      <c r="L36" s="70" t="s">
        <v>118</v>
      </c>
      <c r="M36" s="70" t="s">
        <v>143</v>
      </c>
      <c r="N36" s="70" t="s">
        <v>227</v>
      </c>
      <c r="O36" s="70" t="s">
        <v>120</v>
      </c>
    </row>
    <row r="37" spans="3:17">
      <c r="C37" t="s">
        <v>135</v>
      </c>
      <c r="E37">
        <v>269</v>
      </c>
      <c r="F37" s="57">
        <f t="shared" si="2"/>
        <v>322.8</v>
      </c>
      <c r="H37" s="195"/>
      <c r="I37" s="198"/>
      <c r="J37" s="142" t="s">
        <v>218</v>
      </c>
      <c r="K37" s="142" t="s">
        <v>219</v>
      </c>
      <c r="L37" s="142" t="s">
        <v>220</v>
      </c>
      <c r="M37" s="142" t="s">
        <v>221</v>
      </c>
      <c r="N37" s="142" t="s">
        <v>222</v>
      </c>
      <c r="O37" s="142" t="s">
        <v>223</v>
      </c>
    </row>
    <row r="38" spans="3:17" ht="16.2" thickBot="1">
      <c r="C38" t="s">
        <v>142</v>
      </c>
      <c r="E38">
        <v>1.9</v>
      </c>
      <c r="F38" s="57">
        <f t="shared" si="2"/>
        <v>2.2799999999999998</v>
      </c>
      <c r="H38" s="195"/>
      <c r="I38" s="72" t="s">
        <v>224</v>
      </c>
      <c r="J38" s="77" t="s">
        <v>224</v>
      </c>
      <c r="K38" s="77" t="s">
        <v>224</v>
      </c>
      <c r="L38" s="77" t="s">
        <v>224</v>
      </c>
      <c r="M38" s="77" t="s">
        <v>224</v>
      </c>
      <c r="N38" s="77" t="s">
        <v>224</v>
      </c>
      <c r="O38" s="77" t="s">
        <v>224</v>
      </c>
    </row>
    <row r="39" spans="3:17" ht="17.399999999999999">
      <c r="C39" t="s">
        <v>119</v>
      </c>
      <c r="E39">
        <v>0.2</v>
      </c>
      <c r="F39" s="57">
        <f t="shared" si="2"/>
        <v>0.24</v>
      </c>
      <c r="H39" s="136" t="s">
        <v>2</v>
      </c>
      <c r="I39" s="3">
        <v>120</v>
      </c>
      <c r="J39" s="3">
        <v>1.9</v>
      </c>
      <c r="K39" s="3">
        <v>0.2</v>
      </c>
      <c r="L39" s="3">
        <v>51</v>
      </c>
      <c r="M39" s="3">
        <v>2.8</v>
      </c>
      <c r="N39" s="3">
        <v>9.42</v>
      </c>
      <c r="O39" s="3">
        <v>0.61</v>
      </c>
    </row>
    <row r="40" spans="3:17" ht="34.799999999999997">
      <c r="C40" t="s">
        <v>118</v>
      </c>
      <c r="E40">
        <v>51</v>
      </c>
      <c r="F40" s="57">
        <f t="shared" si="2"/>
        <v>61.2</v>
      </c>
      <c r="H40" s="137" t="s">
        <v>10</v>
      </c>
      <c r="I40" s="3">
        <v>33</v>
      </c>
      <c r="J40" s="18">
        <v>51.3</v>
      </c>
      <c r="K40" s="18">
        <v>4.0999999999999996</v>
      </c>
      <c r="L40" s="18">
        <v>5</v>
      </c>
      <c r="M40" s="18">
        <v>3</v>
      </c>
      <c r="N40" s="18">
        <v>0.8</v>
      </c>
      <c r="O40" s="18">
        <v>1.4</v>
      </c>
    </row>
    <row r="41" spans="3:17" ht="17.399999999999999">
      <c r="C41" t="s">
        <v>143</v>
      </c>
      <c r="E41">
        <v>2.8</v>
      </c>
      <c r="F41" s="57">
        <f t="shared" si="2"/>
        <v>3.36</v>
      </c>
      <c r="H41" s="136" t="s">
        <v>12</v>
      </c>
      <c r="I41" s="3">
        <v>18</v>
      </c>
      <c r="J41" s="18">
        <v>0.2</v>
      </c>
      <c r="K41" s="3">
        <v>0</v>
      </c>
      <c r="L41" s="3">
        <v>1.4</v>
      </c>
      <c r="M41" s="3">
        <v>0</v>
      </c>
      <c r="N41" s="3">
        <v>1.3</v>
      </c>
      <c r="O41" s="3">
        <v>0</v>
      </c>
    </row>
    <row r="42" spans="3:17" ht="16.05" customHeight="1">
      <c r="C42" t="s">
        <v>133</v>
      </c>
      <c r="E42">
        <v>9.42</v>
      </c>
      <c r="F42" s="57">
        <f t="shared" si="2"/>
        <v>11.304</v>
      </c>
      <c r="H42" s="138" t="s">
        <v>29</v>
      </c>
      <c r="I42" s="101">
        <v>44</v>
      </c>
      <c r="J42" s="3">
        <v>8.4499999999999993</v>
      </c>
      <c r="K42" s="3">
        <v>1.29</v>
      </c>
      <c r="L42" s="3">
        <v>1.93</v>
      </c>
      <c r="M42" s="3">
        <v>1.36</v>
      </c>
      <c r="N42" s="3">
        <v>34.53</v>
      </c>
      <c r="O42" s="3">
        <v>1.22</v>
      </c>
    </row>
    <row r="43" spans="3:17" ht="16.05" customHeight="1">
      <c r="C43" t="s">
        <v>120</v>
      </c>
      <c r="E43">
        <v>0.61</v>
      </c>
      <c r="F43" s="57">
        <f t="shared" si="2"/>
        <v>0.73199999999999998</v>
      </c>
      <c r="H43" s="136" t="s">
        <v>13</v>
      </c>
      <c r="I43" s="3">
        <v>22</v>
      </c>
      <c r="J43" s="24">
        <v>0.2</v>
      </c>
      <c r="K43" s="3"/>
      <c r="L43" s="24">
        <v>3.1</v>
      </c>
      <c r="M43" s="3"/>
      <c r="N43" s="24">
        <v>0.9</v>
      </c>
      <c r="O43" s="3"/>
    </row>
    <row r="44" spans="3:17" ht="17.399999999999999">
      <c r="H44" s="136" t="s">
        <v>35</v>
      </c>
      <c r="I44" s="3">
        <v>18</v>
      </c>
      <c r="J44" s="24">
        <v>0.3</v>
      </c>
      <c r="K44" s="3"/>
      <c r="L44" s="24">
        <v>2.6</v>
      </c>
      <c r="M44" s="3"/>
      <c r="N44" s="24">
        <v>0.9</v>
      </c>
      <c r="O44" s="3"/>
    </row>
    <row r="46" spans="3:17" ht="16.05" customHeight="1">
      <c r="C46" s="64" t="s">
        <v>151</v>
      </c>
      <c r="D46" s="54"/>
      <c r="F46" t="s">
        <v>381</v>
      </c>
      <c r="H46" s="202" t="s">
        <v>0</v>
      </c>
      <c r="I46" s="204" t="s">
        <v>229</v>
      </c>
      <c r="J46" s="70" t="s">
        <v>217</v>
      </c>
      <c r="K46" s="70" t="s">
        <v>226</v>
      </c>
      <c r="L46" s="70" t="s">
        <v>118</v>
      </c>
      <c r="M46" s="70" t="s">
        <v>143</v>
      </c>
      <c r="N46" s="70" t="s">
        <v>227</v>
      </c>
      <c r="O46" s="70" t="s">
        <v>120</v>
      </c>
      <c r="P46" s="191" t="s">
        <v>230</v>
      </c>
      <c r="Q46" s="192"/>
    </row>
    <row r="47" spans="3:17">
      <c r="C47" t="s">
        <v>134</v>
      </c>
      <c r="E47" s="56">
        <v>2002</v>
      </c>
      <c r="F47" s="57">
        <f>$E47*33/100</f>
        <v>660.66</v>
      </c>
      <c r="H47" s="203"/>
      <c r="I47" s="205"/>
      <c r="J47" s="142" t="s">
        <v>218</v>
      </c>
      <c r="K47" s="142" t="s">
        <v>219</v>
      </c>
      <c r="L47" s="142" t="s">
        <v>220</v>
      </c>
      <c r="M47" s="142" t="s">
        <v>221</v>
      </c>
      <c r="N47" s="142" t="s">
        <v>222</v>
      </c>
      <c r="O47" s="142" t="s">
        <v>223</v>
      </c>
      <c r="P47" s="142" t="s">
        <v>231</v>
      </c>
      <c r="Q47" s="142" t="s">
        <v>231</v>
      </c>
    </row>
    <row r="48" spans="3:17">
      <c r="C48" t="s">
        <v>135</v>
      </c>
      <c r="E48" s="56">
        <v>486</v>
      </c>
      <c r="F48" s="57">
        <f t="shared" ref="F48:F54" si="3">$E48*33/100</f>
        <v>160.38</v>
      </c>
      <c r="H48" s="203"/>
      <c r="I48" s="205"/>
      <c r="J48" s="77" t="s">
        <v>224</v>
      </c>
      <c r="K48" s="77" t="s">
        <v>224</v>
      </c>
      <c r="L48" s="77" t="s">
        <v>224</v>
      </c>
      <c r="M48" s="77" t="s">
        <v>224</v>
      </c>
      <c r="N48" s="77" t="s">
        <v>224</v>
      </c>
      <c r="O48" s="77" t="s">
        <v>224</v>
      </c>
      <c r="P48" s="77" t="s">
        <v>232</v>
      </c>
      <c r="Q48" s="77" t="s">
        <v>233</v>
      </c>
    </row>
    <row r="49" spans="3:17" ht="17.399999999999999">
      <c r="C49" t="s">
        <v>142</v>
      </c>
      <c r="E49" s="56">
        <v>51.3</v>
      </c>
      <c r="F49" s="57">
        <f t="shared" si="3"/>
        <v>16.928999999999998</v>
      </c>
      <c r="H49" s="188" t="s">
        <v>2</v>
      </c>
      <c r="I49" s="188"/>
      <c r="J49" s="3">
        <f t="shared" ref="J49:J54" si="4">$J39*$I39/255</f>
        <v>0.89411764705882357</v>
      </c>
      <c r="K49" s="3">
        <f t="shared" ref="K49:K54" si="5">$K39*$I39/255</f>
        <v>9.4117647058823528E-2</v>
      </c>
      <c r="L49" s="3">
        <f t="shared" ref="L49:L54" si="6">$L39*$I39/255</f>
        <v>24</v>
      </c>
      <c r="M49" s="3">
        <f t="shared" ref="M49:M54" si="7">$M39*$I39/255</f>
        <v>1.3176470588235294</v>
      </c>
      <c r="N49" s="3">
        <f t="shared" ref="N49:N54" si="8">$N39*$I39/255</f>
        <v>4.4329411764705888</v>
      </c>
      <c r="O49" s="3">
        <f t="shared" ref="O49:O54" si="9">$O39*$I39/255</f>
        <v>0.28705882352941176</v>
      </c>
      <c r="P49" s="3"/>
      <c r="Q49" s="3"/>
    </row>
    <row r="50" spans="3:17" ht="34.049999999999997" customHeight="1">
      <c r="C50" t="s">
        <v>119</v>
      </c>
      <c r="E50" s="56">
        <v>4.0999999999999996</v>
      </c>
      <c r="F50" s="57">
        <f t="shared" si="3"/>
        <v>1.3529999999999998</v>
      </c>
      <c r="H50" s="217" t="s">
        <v>10</v>
      </c>
      <c r="I50" s="217"/>
      <c r="J50" s="3">
        <f t="shared" si="4"/>
        <v>6.6388235294117646</v>
      </c>
      <c r="K50" s="3">
        <f t="shared" si="5"/>
        <v>0.53058823529411758</v>
      </c>
      <c r="L50" s="3">
        <f t="shared" si="6"/>
        <v>0.6470588235294118</v>
      </c>
      <c r="M50" s="3">
        <f t="shared" si="7"/>
        <v>0.38823529411764707</v>
      </c>
      <c r="N50" s="3">
        <f t="shared" si="8"/>
        <v>0.1035294117647059</v>
      </c>
      <c r="O50" s="3">
        <f t="shared" si="9"/>
        <v>0.18117647058823527</v>
      </c>
      <c r="P50" s="3"/>
      <c r="Q50" s="3"/>
    </row>
    <row r="51" spans="3:17" ht="17.399999999999999">
      <c r="C51" t="s">
        <v>118</v>
      </c>
      <c r="E51" s="56">
        <v>5</v>
      </c>
      <c r="F51" s="57">
        <f t="shared" si="3"/>
        <v>1.65</v>
      </c>
      <c r="H51" s="188" t="s">
        <v>12</v>
      </c>
      <c r="I51" s="188"/>
      <c r="J51" s="3">
        <f t="shared" si="4"/>
        <v>1.411764705882353E-2</v>
      </c>
      <c r="K51" s="3">
        <f t="shared" si="5"/>
        <v>0</v>
      </c>
      <c r="L51" s="3">
        <f t="shared" si="6"/>
        <v>9.8823529411764699E-2</v>
      </c>
      <c r="M51" s="3">
        <f t="shared" si="7"/>
        <v>0</v>
      </c>
      <c r="N51" s="3">
        <f t="shared" si="8"/>
        <v>9.1764705882352943E-2</v>
      </c>
      <c r="O51" s="3">
        <f t="shared" si="9"/>
        <v>0</v>
      </c>
      <c r="P51" s="3"/>
      <c r="Q51" s="3"/>
    </row>
    <row r="52" spans="3:17">
      <c r="C52" t="s">
        <v>143</v>
      </c>
      <c r="E52" s="56">
        <v>3</v>
      </c>
      <c r="F52" s="57">
        <f t="shared" si="3"/>
        <v>0.99</v>
      </c>
      <c r="H52" s="218" t="s">
        <v>29</v>
      </c>
      <c r="I52" s="218"/>
      <c r="J52" s="3">
        <f t="shared" si="4"/>
        <v>1.4580392156862743</v>
      </c>
      <c r="K52" s="3">
        <f t="shared" si="5"/>
        <v>0.22258823529411767</v>
      </c>
      <c r="L52" s="3">
        <f t="shared" si="6"/>
        <v>0.33301960784313728</v>
      </c>
      <c r="M52" s="3">
        <f t="shared" si="7"/>
        <v>0.23466666666666669</v>
      </c>
      <c r="N52" s="3">
        <f t="shared" si="8"/>
        <v>5.958117647058824</v>
      </c>
      <c r="O52" s="3">
        <f t="shared" si="9"/>
        <v>0.21050980392156862</v>
      </c>
      <c r="P52" s="3"/>
      <c r="Q52" s="3"/>
    </row>
    <row r="53" spans="3:17" ht="17.399999999999999">
      <c r="C53" t="s">
        <v>133</v>
      </c>
      <c r="E53" s="56">
        <v>0.8</v>
      </c>
      <c r="F53" s="57">
        <f t="shared" si="3"/>
        <v>0.26400000000000001</v>
      </c>
      <c r="H53" s="188" t="s">
        <v>13</v>
      </c>
      <c r="I53" s="188"/>
      <c r="J53" s="3">
        <f t="shared" si="4"/>
        <v>1.7254901960784316E-2</v>
      </c>
      <c r="K53" s="3">
        <f t="shared" si="5"/>
        <v>0</v>
      </c>
      <c r="L53" s="3">
        <f t="shared" si="6"/>
        <v>0.26745098039215687</v>
      </c>
      <c r="M53" s="3">
        <f t="shared" si="7"/>
        <v>0</v>
      </c>
      <c r="N53" s="3">
        <f t="shared" si="8"/>
        <v>7.7647058823529416E-2</v>
      </c>
      <c r="O53" s="3">
        <f t="shared" si="9"/>
        <v>0</v>
      </c>
      <c r="P53" s="3"/>
      <c r="Q53" s="3"/>
    </row>
    <row r="54" spans="3:17" ht="17.399999999999999">
      <c r="C54" t="s">
        <v>120</v>
      </c>
      <c r="E54" s="56">
        <v>1.4</v>
      </c>
      <c r="F54" s="57">
        <f t="shared" si="3"/>
        <v>0.46199999999999997</v>
      </c>
      <c r="H54" s="188" t="s">
        <v>35</v>
      </c>
      <c r="I54" s="188"/>
      <c r="J54" s="3">
        <f t="shared" si="4"/>
        <v>2.1176470588235293E-2</v>
      </c>
      <c r="K54" s="3">
        <f t="shared" si="5"/>
        <v>0</v>
      </c>
      <c r="L54" s="3">
        <f t="shared" si="6"/>
        <v>0.18352941176470589</v>
      </c>
      <c r="M54" s="3">
        <f t="shared" si="7"/>
        <v>0</v>
      </c>
      <c r="N54" s="3">
        <f t="shared" si="8"/>
        <v>6.3529411764705876E-2</v>
      </c>
      <c r="O54" s="3">
        <f t="shared" si="9"/>
        <v>0</v>
      </c>
      <c r="P54" s="3"/>
      <c r="Q54" s="3"/>
    </row>
    <row r="55" spans="3:17" ht="31.95" customHeight="1">
      <c r="H55" s="189" t="s">
        <v>234</v>
      </c>
      <c r="I55" s="190"/>
      <c r="J55" s="85">
        <f t="shared" ref="J55:O55" si="10">SUM(J49:J54)</f>
        <v>9.0435294117647054</v>
      </c>
      <c r="K55" s="84">
        <f t="shared" si="10"/>
        <v>0.84729411764705875</v>
      </c>
      <c r="L55" s="85">
        <f t="shared" si="10"/>
        <v>25.529882352941176</v>
      </c>
      <c r="M55" s="84">
        <f t="shared" si="10"/>
        <v>1.9405490196078432</v>
      </c>
      <c r="N55" s="84">
        <f t="shared" si="10"/>
        <v>10.727529411764708</v>
      </c>
      <c r="O55" s="84">
        <f t="shared" si="10"/>
        <v>0.67874509803921568</v>
      </c>
      <c r="P55" s="85">
        <f>17*N55+37*J55+17*L55</f>
        <v>950.98658823529422</v>
      </c>
      <c r="Q55" s="85">
        <f>4*N55+9*J55+4*L55</f>
        <v>226.42141176470591</v>
      </c>
    </row>
    <row r="57" spans="3:17">
      <c r="C57" s="64" t="s">
        <v>149</v>
      </c>
      <c r="D57" s="54"/>
      <c r="E57" s="54"/>
      <c r="F57" t="s">
        <v>382</v>
      </c>
    </row>
    <row r="58" spans="3:17">
      <c r="C58" t="s">
        <v>134</v>
      </c>
      <c r="E58" s="56">
        <v>65</v>
      </c>
      <c r="F58" s="56">
        <f>E58*18/100</f>
        <v>11.7</v>
      </c>
    </row>
    <row r="59" spans="3:17">
      <c r="C59" t="s">
        <v>135</v>
      </c>
      <c r="E59" s="56">
        <v>15</v>
      </c>
      <c r="F59" s="56">
        <f t="shared" ref="F59:F65" si="11">E59*18/100</f>
        <v>2.7</v>
      </c>
    </row>
    <row r="60" spans="3:17">
      <c r="C60" t="s">
        <v>142</v>
      </c>
      <c r="E60" s="56">
        <v>0.2</v>
      </c>
      <c r="F60" s="56">
        <f t="shared" si="11"/>
        <v>3.6000000000000004E-2</v>
      </c>
    </row>
    <row r="61" spans="3:17">
      <c r="C61" t="s">
        <v>119</v>
      </c>
      <c r="E61" s="56">
        <v>0</v>
      </c>
      <c r="F61" s="56">
        <f t="shared" si="11"/>
        <v>0</v>
      </c>
    </row>
    <row r="62" spans="3:17">
      <c r="C62" t="s">
        <v>118</v>
      </c>
      <c r="E62" s="56">
        <v>1.4</v>
      </c>
      <c r="F62" s="56">
        <f t="shared" si="11"/>
        <v>0.252</v>
      </c>
    </row>
    <row r="63" spans="3:17">
      <c r="C63" t="s">
        <v>143</v>
      </c>
      <c r="E63" s="56">
        <v>0</v>
      </c>
      <c r="F63" s="56">
        <f t="shared" si="11"/>
        <v>0</v>
      </c>
    </row>
    <row r="64" spans="3:17">
      <c r="C64" t="s">
        <v>133</v>
      </c>
      <c r="E64" s="56">
        <v>1.3</v>
      </c>
      <c r="F64" s="56">
        <f t="shared" si="11"/>
        <v>0.23400000000000001</v>
      </c>
    </row>
    <row r="65" spans="2:13">
      <c r="C65" t="s">
        <v>120</v>
      </c>
      <c r="E65" s="56">
        <v>0</v>
      </c>
      <c r="F65" s="56">
        <f t="shared" si="11"/>
        <v>0</v>
      </c>
    </row>
    <row r="68" spans="2:13">
      <c r="B68" t="s">
        <v>344</v>
      </c>
      <c r="C68" s="66" t="s">
        <v>132</v>
      </c>
      <c r="H68" s="128" t="s">
        <v>29</v>
      </c>
    </row>
    <row r="69" spans="2:13" ht="57.6">
      <c r="C69" t="s">
        <v>134</v>
      </c>
      <c r="H69" s="117" t="s">
        <v>0</v>
      </c>
      <c r="I69" s="117" t="s">
        <v>334</v>
      </c>
      <c r="J69" s="117" t="s">
        <v>336</v>
      </c>
      <c r="K69" s="118" t="s">
        <v>339</v>
      </c>
      <c r="L69" s="119" t="s">
        <v>340</v>
      </c>
      <c r="M69" s="120" t="s">
        <v>341</v>
      </c>
    </row>
    <row r="70" spans="2:13" ht="17.399999999999999">
      <c r="C70" t="s">
        <v>135</v>
      </c>
      <c r="H70" s="143" t="s">
        <v>132</v>
      </c>
      <c r="I70" s="3"/>
      <c r="J70" s="3">
        <v>1500</v>
      </c>
      <c r="K70" s="3">
        <v>1500</v>
      </c>
      <c r="L70" s="3"/>
      <c r="M70" s="3"/>
    </row>
    <row r="71" spans="2:13" ht="17.399999999999999">
      <c r="C71" t="s">
        <v>142</v>
      </c>
      <c r="E71">
        <v>1.2</v>
      </c>
      <c r="H71" s="143" t="s">
        <v>107</v>
      </c>
      <c r="I71" s="3"/>
      <c r="J71" s="3">
        <v>60</v>
      </c>
      <c r="K71" s="3">
        <v>60</v>
      </c>
      <c r="L71" s="3"/>
      <c r="M71" s="3"/>
    </row>
    <row r="72" spans="2:13" ht="17.399999999999999">
      <c r="C72" t="s">
        <v>119</v>
      </c>
      <c r="E72">
        <v>0.38</v>
      </c>
      <c r="H72" s="143" t="s">
        <v>30</v>
      </c>
      <c r="I72" s="3"/>
      <c r="J72" s="3">
        <v>20</v>
      </c>
      <c r="K72" s="3">
        <v>20</v>
      </c>
      <c r="L72" s="3"/>
      <c r="M72" s="3"/>
    </row>
    <row r="73" spans="2:13" ht="17.399999999999999">
      <c r="C73" t="s">
        <v>118</v>
      </c>
      <c r="H73" s="143" t="s">
        <v>31</v>
      </c>
      <c r="I73" s="3"/>
      <c r="J73" s="3">
        <v>20</v>
      </c>
      <c r="K73" s="3">
        <v>20</v>
      </c>
      <c r="L73" s="3"/>
      <c r="M73" s="3"/>
    </row>
    <row r="74" spans="2:13" ht="94.2">
      <c r="C74" t="s">
        <v>143</v>
      </c>
      <c r="H74" s="143" t="s">
        <v>122</v>
      </c>
      <c r="I74" s="6" t="s">
        <v>335</v>
      </c>
      <c r="J74" s="3">
        <v>70</v>
      </c>
      <c r="K74" s="3">
        <v>70</v>
      </c>
      <c r="L74" s="3"/>
      <c r="M74" s="3"/>
    </row>
    <row r="75" spans="2:13">
      <c r="C75" t="s">
        <v>133</v>
      </c>
      <c r="E75">
        <v>22.8</v>
      </c>
      <c r="H75" s="121" t="s">
        <v>342</v>
      </c>
      <c r="I75" s="122"/>
      <c r="J75" s="122"/>
      <c r="K75" s="123">
        <f>SUM(K67:K74)</f>
        <v>1670</v>
      </c>
      <c r="L75" s="3"/>
      <c r="M75" s="3"/>
    </row>
    <row r="76" spans="2:13">
      <c r="C76" t="s">
        <v>120</v>
      </c>
      <c r="E76">
        <v>0.13</v>
      </c>
      <c r="H76" s="124" t="s">
        <v>337</v>
      </c>
      <c r="I76" s="125"/>
      <c r="J76" s="125"/>
      <c r="K76" s="125"/>
      <c r="L76" s="125">
        <v>1000</v>
      </c>
      <c r="M76" s="3"/>
    </row>
    <row r="77" spans="2:13">
      <c r="H77" s="120" t="s">
        <v>341</v>
      </c>
      <c r="I77" s="126" t="s">
        <v>338</v>
      </c>
      <c r="J77" s="126"/>
      <c r="K77" s="126"/>
      <c r="L77" s="126"/>
      <c r="M77" s="127">
        <f>L76/K75</f>
        <v>0.59880239520958078</v>
      </c>
    </row>
    <row r="78" spans="2:13">
      <c r="J78" t="s">
        <v>343</v>
      </c>
    </row>
    <row r="79" spans="2:13">
      <c r="C79" s="66" t="s">
        <v>107</v>
      </c>
    </row>
    <row r="80" spans="2:13">
      <c r="C80" t="s">
        <v>134</v>
      </c>
      <c r="E80">
        <v>347</v>
      </c>
    </row>
    <row r="81" spans="3:17">
      <c r="C81" t="s">
        <v>135</v>
      </c>
      <c r="E81">
        <v>83</v>
      </c>
      <c r="H81" s="69"/>
      <c r="I81" s="69"/>
      <c r="J81" s="199" t="s">
        <v>228</v>
      </c>
      <c r="K81" s="200"/>
      <c r="L81" s="200"/>
      <c r="M81" s="200"/>
      <c r="N81" s="200"/>
      <c r="O81" s="201"/>
    </row>
    <row r="82" spans="3:17" ht="43.2">
      <c r="C82" t="s">
        <v>142</v>
      </c>
      <c r="E82">
        <v>0.24</v>
      </c>
      <c r="H82" s="195" t="s">
        <v>216</v>
      </c>
      <c r="I82" s="197" t="s">
        <v>225</v>
      </c>
      <c r="J82" s="70" t="s">
        <v>217</v>
      </c>
      <c r="K82" s="70" t="s">
        <v>226</v>
      </c>
      <c r="L82" s="70" t="s">
        <v>118</v>
      </c>
      <c r="M82" s="70" t="s">
        <v>143</v>
      </c>
      <c r="N82" s="70" t="s">
        <v>227</v>
      </c>
      <c r="O82" s="70" t="s">
        <v>120</v>
      </c>
    </row>
    <row r="83" spans="3:17">
      <c r="C83" t="s">
        <v>119</v>
      </c>
      <c r="E83">
        <v>0.09</v>
      </c>
      <c r="H83" s="195"/>
      <c r="I83" s="198"/>
      <c r="J83" s="142" t="s">
        <v>218</v>
      </c>
      <c r="K83" s="142" t="s">
        <v>219</v>
      </c>
      <c r="L83" s="142" t="s">
        <v>220</v>
      </c>
      <c r="M83" s="142" t="s">
        <v>221</v>
      </c>
      <c r="N83" s="142" t="s">
        <v>222</v>
      </c>
      <c r="O83" s="142" t="s">
        <v>223</v>
      </c>
    </row>
    <row r="84" spans="3:17" ht="16.2" thickBot="1">
      <c r="C84" t="s">
        <v>118</v>
      </c>
      <c r="E84">
        <v>16</v>
      </c>
      <c r="H84" s="196"/>
      <c r="I84" s="72" t="s">
        <v>224</v>
      </c>
      <c r="J84" s="77" t="s">
        <v>224</v>
      </c>
      <c r="K84" s="77" t="s">
        <v>224</v>
      </c>
      <c r="L84" s="77" t="s">
        <v>224</v>
      </c>
      <c r="M84" s="77" t="s">
        <v>224</v>
      </c>
      <c r="N84" s="77" t="s">
        <v>224</v>
      </c>
      <c r="O84" s="77" t="s">
        <v>224</v>
      </c>
    </row>
    <row r="85" spans="3:17" ht="17.399999999999999">
      <c r="C85" t="s">
        <v>143</v>
      </c>
      <c r="E85">
        <v>14.8</v>
      </c>
      <c r="H85" s="143" t="s">
        <v>132</v>
      </c>
      <c r="I85" s="3">
        <v>1500</v>
      </c>
      <c r="J85" s="3">
        <v>1.2</v>
      </c>
      <c r="K85" s="3">
        <v>0.38</v>
      </c>
      <c r="L85" s="3"/>
      <c r="M85" s="3"/>
      <c r="N85" s="3">
        <v>22.8</v>
      </c>
      <c r="O85" s="3">
        <v>0.13</v>
      </c>
    </row>
    <row r="86" spans="3:17" ht="17.399999999999999">
      <c r="C86" t="s">
        <v>133</v>
      </c>
      <c r="E86">
        <v>2.2000000000000002</v>
      </c>
      <c r="H86" s="143" t="s">
        <v>107</v>
      </c>
      <c r="I86" s="3">
        <v>60</v>
      </c>
      <c r="J86" s="3">
        <v>0.24</v>
      </c>
      <c r="K86" s="3">
        <v>0.09</v>
      </c>
      <c r="L86" s="3">
        <v>16</v>
      </c>
      <c r="M86" s="3">
        <v>14.8</v>
      </c>
      <c r="N86" s="3">
        <v>2.2000000000000002</v>
      </c>
      <c r="O86" s="3">
        <v>1.67</v>
      </c>
    </row>
    <row r="87" spans="3:17" ht="17.399999999999999">
      <c r="C87" t="s">
        <v>120</v>
      </c>
      <c r="E87">
        <v>1.67</v>
      </c>
      <c r="H87" s="143" t="s">
        <v>30</v>
      </c>
      <c r="I87" s="3">
        <v>20</v>
      </c>
      <c r="J87" s="3">
        <v>0.1</v>
      </c>
      <c r="K87" s="3"/>
      <c r="L87" s="3">
        <v>20</v>
      </c>
      <c r="M87" s="3">
        <v>16.2</v>
      </c>
      <c r="N87" s="3">
        <v>0.7</v>
      </c>
      <c r="O87" s="3">
        <v>2.1</v>
      </c>
    </row>
    <row r="88" spans="3:17" ht="17.399999999999999">
      <c r="H88" s="143" t="s">
        <v>31</v>
      </c>
      <c r="I88" s="3">
        <v>20</v>
      </c>
      <c r="J88" s="3">
        <v>9.6999999999999993</v>
      </c>
      <c r="K88" s="3">
        <v>0.8</v>
      </c>
      <c r="L88" s="3">
        <v>28.7</v>
      </c>
      <c r="M88" s="3">
        <v>7.5</v>
      </c>
      <c r="N88" s="3">
        <v>9.3000000000000007</v>
      </c>
      <c r="O88" s="3">
        <v>44</v>
      </c>
    </row>
    <row r="89" spans="3:17" ht="17.399999999999999">
      <c r="H89" s="143" t="s">
        <v>122</v>
      </c>
      <c r="I89" s="3">
        <v>70</v>
      </c>
      <c r="J89" s="3">
        <v>92</v>
      </c>
      <c r="K89" s="3">
        <v>10</v>
      </c>
      <c r="L89" s="3"/>
      <c r="M89" s="3"/>
      <c r="N89" s="3"/>
      <c r="O89" s="3"/>
    </row>
    <row r="90" spans="3:17">
      <c r="C90" s="66" t="s">
        <v>30</v>
      </c>
    </row>
    <row r="91" spans="3:17" ht="43.2">
      <c r="C91" t="s">
        <v>134</v>
      </c>
      <c r="E91">
        <v>374</v>
      </c>
      <c r="H91" s="221" t="s">
        <v>0</v>
      </c>
      <c r="I91" s="222" t="s">
        <v>229</v>
      </c>
      <c r="J91" s="70" t="s">
        <v>217</v>
      </c>
      <c r="K91" s="70" t="s">
        <v>226</v>
      </c>
      <c r="L91" s="70" t="s">
        <v>118</v>
      </c>
      <c r="M91" s="70" t="s">
        <v>143</v>
      </c>
      <c r="N91" s="70" t="s">
        <v>227</v>
      </c>
      <c r="O91" s="70" t="s">
        <v>120</v>
      </c>
      <c r="P91" s="219" t="s">
        <v>230</v>
      </c>
      <c r="Q91" s="219"/>
    </row>
    <row r="92" spans="3:17">
      <c r="C92" t="s">
        <v>135</v>
      </c>
      <c r="E92">
        <v>88</v>
      </c>
      <c r="H92" s="221"/>
      <c r="I92" s="222"/>
      <c r="J92" s="142" t="s">
        <v>218</v>
      </c>
      <c r="K92" s="142" t="s">
        <v>219</v>
      </c>
      <c r="L92" s="142" t="s">
        <v>220</v>
      </c>
      <c r="M92" s="142" t="s">
        <v>221</v>
      </c>
      <c r="N92" s="142" t="s">
        <v>222</v>
      </c>
      <c r="O92" s="142" t="s">
        <v>223</v>
      </c>
      <c r="P92" s="142" t="s">
        <v>231</v>
      </c>
      <c r="Q92" s="142" t="s">
        <v>231</v>
      </c>
    </row>
    <row r="93" spans="3:17">
      <c r="C93" t="s">
        <v>142</v>
      </c>
      <c r="E93">
        <v>0.1</v>
      </c>
      <c r="H93" s="221"/>
      <c r="I93" s="222"/>
      <c r="J93" s="142" t="s">
        <v>224</v>
      </c>
      <c r="K93" s="142" t="s">
        <v>224</v>
      </c>
      <c r="L93" s="142" t="s">
        <v>224</v>
      </c>
      <c r="M93" s="142" t="s">
        <v>224</v>
      </c>
      <c r="N93" s="142" t="s">
        <v>224</v>
      </c>
      <c r="O93" s="142" t="s">
        <v>224</v>
      </c>
      <c r="P93" s="142" t="s">
        <v>232</v>
      </c>
      <c r="Q93" s="142" t="s">
        <v>233</v>
      </c>
    </row>
    <row r="94" spans="3:17" ht="17.399999999999999">
      <c r="C94" t="s">
        <v>119</v>
      </c>
      <c r="E94">
        <v>0</v>
      </c>
      <c r="H94" s="220" t="s">
        <v>132</v>
      </c>
      <c r="I94" s="220"/>
      <c r="J94" s="3">
        <f>$J85*$I85/1000</f>
        <v>1.8</v>
      </c>
      <c r="K94" s="3">
        <f>$K85*$I85/1000</f>
        <v>0.56999999999999995</v>
      </c>
      <c r="L94" s="3">
        <f>$L85*$I85/1000</f>
        <v>0</v>
      </c>
      <c r="M94" s="3">
        <f>$M85*$I85/1000</f>
        <v>0</v>
      </c>
      <c r="N94" s="3">
        <f>N85*I85/1000</f>
        <v>34.200000000000003</v>
      </c>
      <c r="O94" s="3">
        <f>O85*I85/1000</f>
        <v>0.19500000000000001</v>
      </c>
      <c r="P94" s="3"/>
      <c r="Q94" s="3"/>
    </row>
    <row r="95" spans="3:17" ht="17.399999999999999">
      <c r="C95" t="s">
        <v>118</v>
      </c>
      <c r="E95">
        <v>20</v>
      </c>
      <c r="H95" s="220" t="s">
        <v>107</v>
      </c>
      <c r="I95" s="220"/>
      <c r="J95" s="3">
        <f>$J86*$I86/1000</f>
        <v>1.4399999999999998E-2</v>
      </c>
      <c r="K95" s="3">
        <f>$K86*$I86/1000</f>
        <v>5.3999999999999994E-3</v>
      </c>
      <c r="L95" s="3">
        <f>$L86*$I86/1000</f>
        <v>0.96</v>
      </c>
      <c r="M95" s="3">
        <f>$M86*$I86/1000</f>
        <v>0.88800000000000001</v>
      </c>
      <c r="N95" s="3">
        <f>N86*I86/1000</f>
        <v>0.13200000000000001</v>
      </c>
      <c r="O95" s="3">
        <f>O86*I86/1000</f>
        <v>0.10019999999999998</v>
      </c>
      <c r="P95" s="3"/>
      <c r="Q95" s="3"/>
    </row>
    <row r="96" spans="3:17" ht="17.399999999999999">
      <c r="C96" t="s">
        <v>143</v>
      </c>
      <c r="E96">
        <v>16.2</v>
      </c>
      <c r="H96" s="220" t="s">
        <v>30</v>
      </c>
      <c r="I96" s="220"/>
      <c r="J96" s="3">
        <f>$J87*$I87/1000</f>
        <v>2E-3</v>
      </c>
      <c r="K96" s="3">
        <f>$K87*$I87/1000</f>
        <v>0</v>
      </c>
      <c r="L96" s="3">
        <f>$L87*$I87/1000</f>
        <v>0.4</v>
      </c>
      <c r="M96" s="3">
        <f>$M87*$I87/1000</f>
        <v>0.32400000000000001</v>
      </c>
      <c r="N96" s="3">
        <f>N87*I87/1000</f>
        <v>1.4E-2</v>
      </c>
      <c r="O96" s="3">
        <f>O87*I87/1000</f>
        <v>4.2000000000000003E-2</v>
      </c>
      <c r="P96" s="3"/>
      <c r="Q96" s="3"/>
    </row>
    <row r="97" spans="3:17" ht="17.399999999999999">
      <c r="C97" t="s">
        <v>133</v>
      </c>
      <c r="E97">
        <v>0.7</v>
      </c>
      <c r="H97" s="220" t="s">
        <v>31</v>
      </c>
      <c r="I97" s="220"/>
      <c r="J97" s="3">
        <f>$J88*$I88/1000</f>
        <v>0.19400000000000001</v>
      </c>
      <c r="K97" s="3">
        <f>$K88*$I88/1000</f>
        <v>1.6E-2</v>
      </c>
      <c r="L97" s="3">
        <f>$L88*$I88/1000</f>
        <v>0.57399999999999995</v>
      </c>
      <c r="M97" s="3">
        <f>$M88*$I88/1000</f>
        <v>0.15</v>
      </c>
      <c r="N97" s="3">
        <f>N88*I88/1000</f>
        <v>0.186</v>
      </c>
      <c r="O97" s="3">
        <f>O88*I88/1000</f>
        <v>0.88</v>
      </c>
      <c r="P97" s="3"/>
      <c r="Q97" s="3"/>
    </row>
    <row r="98" spans="3:17" ht="17.399999999999999">
      <c r="C98" t="s">
        <v>120</v>
      </c>
      <c r="E98">
        <v>2.1</v>
      </c>
      <c r="H98" s="220" t="s">
        <v>122</v>
      </c>
      <c r="I98" s="220"/>
      <c r="J98" s="3">
        <f>$J89*$I89/1000</f>
        <v>6.44</v>
      </c>
      <c r="K98" s="3">
        <f>$K89*$I89/1000</f>
        <v>0.7</v>
      </c>
      <c r="L98" s="3">
        <f>$L89*$I89/1000</f>
        <v>0</v>
      </c>
      <c r="M98" s="3">
        <f>$M89*$I89/1000</f>
        <v>0</v>
      </c>
      <c r="N98" s="3">
        <f>N89*I89/1000</f>
        <v>0</v>
      </c>
      <c r="O98" s="3">
        <f>O89*I89/1000</f>
        <v>0</v>
      </c>
      <c r="P98" s="3"/>
      <c r="Q98" s="3"/>
    </row>
    <row r="99" spans="3:17" ht="33" customHeight="1">
      <c r="H99" s="235" t="s">
        <v>234</v>
      </c>
      <c r="I99" s="235"/>
      <c r="J99" s="78">
        <f t="shared" ref="J99:O99" si="12">SUM(J94:J98)</f>
        <v>8.4504000000000001</v>
      </c>
      <c r="K99" s="78">
        <f t="shared" si="12"/>
        <v>1.2913999999999999</v>
      </c>
      <c r="L99" s="78">
        <f t="shared" si="12"/>
        <v>1.9339999999999997</v>
      </c>
      <c r="M99" s="78">
        <f t="shared" si="12"/>
        <v>1.3619999999999999</v>
      </c>
      <c r="N99" s="78">
        <f t="shared" si="12"/>
        <v>34.532000000000004</v>
      </c>
      <c r="O99" s="78">
        <f t="shared" si="12"/>
        <v>1.2172000000000001</v>
      </c>
      <c r="P99" s="3"/>
      <c r="Q99" s="3"/>
    </row>
    <row r="101" spans="3:17">
      <c r="C101" s="133" t="s">
        <v>31</v>
      </c>
    </row>
    <row r="102" spans="3:17">
      <c r="C102" t="s">
        <v>134</v>
      </c>
      <c r="H102" s="102" t="s">
        <v>29</v>
      </c>
      <c r="I102" t="s">
        <v>212</v>
      </c>
      <c r="J102" t="s">
        <v>383</v>
      </c>
    </row>
    <row r="103" spans="3:17">
      <c r="C103" t="s">
        <v>135</v>
      </c>
      <c r="H103" t="s">
        <v>142</v>
      </c>
      <c r="I103">
        <v>8.4499999999999993</v>
      </c>
      <c r="J103">
        <f t="shared" ref="J103:J108" si="13">$I103*44/100</f>
        <v>3.7179999999999995</v>
      </c>
    </row>
    <row r="104" spans="3:17">
      <c r="C104" t="s">
        <v>142</v>
      </c>
      <c r="E104">
        <v>9.6999999999999993</v>
      </c>
      <c r="H104" t="s">
        <v>119</v>
      </c>
      <c r="I104">
        <v>1.29</v>
      </c>
      <c r="J104">
        <f t="shared" si="13"/>
        <v>0.5676000000000001</v>
      </c>
    </row>
    <row r="105" spans="3:17">
      <c r="C105" t="s">
        <v>119</v>
      </c>
      <c r="E105">
        <v>0.8</v>
      </c>
      <c r="H105" t="s">
        <v>118</v>
      </c>
      <c r="I105">
        <v>1.93</v>
      </c>
      <c r="J105">
        <f t="shared" si="13"/>
        <v>0.84920000000000007</v>
      </c>
    </row>
    <row r="106" spans="3:17">
      <c r="C106" t="s">
        <v>118</v>
      </c>
      <c r="E106">
        <v>28.7</v>
      </c>
      <c r="H106" t="s">
        <v>143</v>
      </c>
      <c r="I106">
        <v>1.36</v>
      </c>
      <c r="J106">
        <f t="shared" si="13"/>
        <v>0.59840000000000004</v>
      </c>
    </row>
    <row r="107" spans="3:17">
      <c r="C107" t="s">
        <v>143</v>
      </c>
      <c r="E107">
        <v>7.5</v>
      </c>
      <c r="H107" t="s">
        <v>133</v>
      </c>
      <c r="I107">
        <v>34.53</v>
      </c>
      <c r="J107">
        <f t="shared" si="13"/>
        <v>15.193200000000001</v>
      </c>
    </row>
    <row r="108" spans="3:17">
      <c r="C108" t="s">
        <v>133</v>
      </c>
      <c r="E108">
        <v>9.3000000000000007</v>
      </c>
      <c r="H108" t="s">
        <v>120</v>
      </c>
      <c r="I108">
        <v>1.22</v>
      </c>
      <c r="J108">
        <f t="shared" si="13"/>
        <v>0.53679999999999994</v>
      </c>
    </row>
    <row r="109" spans="3:17">
      <c r="C109" t="s">
        <v>120</v>
      </c>
      <c r="E109">
        <v>44</v>
      </c>
    </row>
    <row r="112" spans="3:17">
      <c r="C112" s="66" t="s">
        <v>214</v>
      </c>
    </row>
    <row r="113" spans="3:6">
      <c r="C113" t="s">
        <v>134</v>
      </c>
      <c r="E113">
        <v>3400</v>
      </c>
    </row>
    <row r="114" spans="3:6">
      <c r="C114" t="s">
        <v>135</v>
      </c>
      <c r="E114">
        <v>829</v>
      </c>
    </row>
    <row r="115" spans="3:6">
      <c r="C115" t="s">
        <v>142</v>
      </c>
      <c r="E115">
        <v>92</v>
      </c>
    </row>
    <row r="116" spans="3:6">
      <c r="C116" t="s">
        <v>119</v>
      </c>
      <c r="E116">
        <v>10</v>
      </c>
    </row>
    <row r="117" spans="3:6">
      <c r="C117" t="s">
        <v>118</v>
      </c>
      <c r="E117">
        <v>0</v>
      </c>
    </row>
    <row r="118" spans="3:6">
      <c r="C118" t="s">
        <v>143</v>
      </c>
      <c r="E118">
        <v>0</v>
      </c>
    </row>
    <row r="119" spans="3:6">
      <c r="C119" t="s">
        <v>133</v>
      </c>
      <c r="E119">
        <v>0</v>
      </c>
    </row>
    <row r="120" spans="3:6">
      <c r="C120" t="s">
        <v>120</v>
      </c>
      <c r="E120">
        <v>0</v>
      </c>
    </row>
    <row r="123" spans="3:6">
      <c r="C123" s="64" t="s">
        <v>144</v>
      </c>
      <c r="D123" s="54"/>
      <c r="E123" s="134" t="s">
        <v>212</v>
      </c>
      <c r="F123" t="s">
        <v>385</v>
      </c>
    </row>
    <row r="124" spans="3:6">
      <c r="C124" t="s">
        <v>142</v>
      </c>
      <c r="E124" s="56">
        <v>0.2</v>
      </c>
      <c r="F124" s="56">
        <f t="shared" ref="F124:F129" si="14">$E124*22/100</f>
        <v>4.4000000000000004E-2</v>
      </c>
    </row>
    <row r="125" spans="3:6">
      <c r="C125" t="s">
        <v>119</v>
      </c>
      <c r="E125" s="56"/>
      <c r="F125" s="56">
        <f t="shared" si="14"/>
        <v>0</v>
      </c>
    </row>
    <row r="126" spans="3:6">
      <c r="C126" t="s">
        <v>118</v>
      </c>
      <c r="E126" s="56">
        <v>3.1</v>
      </c>
      <c r="F126" s="56">
        <f t="shared" si="14"/>
        <v>0.68200000000000005</v>
      </c>
    </row>
    <row r="127" spans="3:6">
      <c r="C127" t="s">
        <v>143</v>
      </c>
      <c r="E127" s="56"/>
      <c r="F127" s="56">
        <f t="shared" si="14"/>
        <v>0</v>
      </c>
    </row>
    <row r="128" spans="3:6">
      <c r="C128" t="s">
        <v>133</v>
      </c>
      <c r="E128" s="56">
        <v>0.9</v>
      </c>
      <c r="F128" s="56">
        <f t="shared" si="14"/>
        <v>0.19800000000000001</v>
      </c>
    </row>
    <row r="129" spans="2:6">
      <c r="C129" t="s">
        <v>120</v>
      </c>
      <c r="E129" s="49"/>
      <c r="F129" s="56">
        <f t="shared" si="14"/>
        <v>0</v>
      </c>
    </row>
    <row r="132" spans="2:6">
      <c r="B132" t="s">
        <v>215</v>
      </c>
      <c r="C132" s="66" t="s">
        <v>35</v>
      </c>
      <c r="E132" t="s">
        <v>212</v>
      </c>
      <c r="F132" t="s">
        <v>384</v>
      </c>
    </row>
    <row r="133" spans="2:6">
      <c r="C133" t="s">
        <v>142</v>
      </c>
      <c r="E133" s="68">
        <v>0.3</v>
      </c>
      <c r="F133">
        <f t="shared" ref="F133:F138" si="15">$E133*18/100</f>
        <v>5.3999999999999992E-2</v>
      </c>
    </row>
    <row r="134" spans="2:6">
      <c r="C134" t="s">
        <v>119</v>
      </c>
      <c r="E134" s="68"/>
      <c r="F134">
        <f t="shared" si="15"/>
        <v>0</v>
      </c>
    </row>
    <row r="135" spans="2:6">
      <c r="C135" t="s">
        <v>118</v>
      </c>
      <c r="E135" s="87">
        <v>2.6</v>
      </c>
      <c r="F135">
        <f t="shared" si="15"/>
        <v>0.46800000000000003</v>
      </c>
    </row>
    <row r="136" spans="2:6">
      <c r="C136" t="s">
        <v>143</v>
      </c>
      <c r="E136" s="68"/>
      <c r="F136">
        <f t="shared" si="15"/>
        <v>0</v>
      </c>
    </row>
    <row r="137" spans="2:6">
      <c r="C137" t="s">
        <v>133</v>
      </c>
      <c r="E137" s="68">
        <v>0.9</v>
      </c>
      <c r="F137">
        <f t="shared" si="15"/>
        <v>0.16200000000000001</v>
      </c>
    </row>
    <row r="138" spans="2:6">
      <c r="C138" t="s">
        <v>120</v>
      </c>
      <c r="E138" s="68">
        <v>0</v>
      </c>
      <c r="F138">
        <f t="shared" si="15"/>
        <v>0</v>
      </c>
    </row>
  </sheetData>
  <mergeCells count="29">
    <mergeCell ref="H97:I97"/>
    <mergeCell ref="H98:I98"/>
    <mergeCell ref="H99:I99"/>
    <mergeCell ref="H91:H93"/>
    <mergeCell ref="I91:I93"/>
    <mergeCell ref="H95:I95"/>
    <mergeCell ref="H96:I96"/>
    <mergeCell ref="P46:Q46"/>
    <mergeCell ref="H49:I49"/>
    <mergeCell ref="H50:I50"/>
    <mergeCell ref="P91:Q91"/>
    <mergeCell ref="H94:I94"/>
    <mergeCell ref="J81:O81"/>
    <mergeCell ref="H52:I52"/>
    <mergeCell ref="H53:I53"/>
    <mergeCell ref="H54:I54"/>
    <mergeCell ref="H55:I55"/>
    <mergeCell ref="H82:H84"/>
    <mergeCell ref="I82:I83"/>
    <mergeCell ref="J35:O35"/>
    <mergeCell ref="H36:H38"/>
    <mergeCell ref="I36:I37"/>
    <mergeCell ref="H51:I51"/>
    <mergeCell ref="A1:I1"/>
    <mergeCell ref="A6:A10"/>
    <mergeCell ref="D6:D10"/>
    <mergeCell ref="F6:F10"/>
    <mergeCell ref="H46:H48"/>
    <mergeCell ref="I46:I4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Normal="70" zoomScalePageLayoutView="70" workbookViewId="0">
      <selection activeCell="K103" sqref="K103"/>
    </sheetView>
  </sheetViews>
  <sheetFormatPr defaultColWidth="11" defaultRowHeight="15.6"/>
  <cols>
    <col min="1" max="1" width="29" bestFit="1" customWidth="1"/>
    <col min="2" max="2" width="29" customWidth="1"/>
    <col min="3" max="3" width="21.796875" customWidth="1"/>
    <col min="4" max="4" width="12.796875" bestFit="1" customWidth="1"/>
    <col min="5" max="5" width="16.796875" bestFit="1" customWidth="1"/>
    <col min="6" max="6" width="31.69921875" bestFit="1" customWidth="1"/>
    <col min="7" max="7" width="51.69921875" customWidth="1"/>
    <col min="8" max="8" width="25.796875" bestFit="1" customWidth="1"/>
    <col min="9" max="9" width="20" customWidth="1"/>
  </cols>
  <sheetData>
    <row r="1" spans="1:9" ht="31.05" customHeight="1">
      <c r="A1" s="207" t="s">
        <v>404</v>
      </c>
      <c r="B1" s="208"/>
      <c r="C1" s="208"/>
      <c r="D1" s="208"/>
      <c r="E1" s="208"/>
      <c r="F1" s="208"/>
      <c r="G1" s="208"/>
      <c r="H1" s="208"/>
      <c r="I1" s="209"/>
    </row>
    <row r="2" spans="1:9" ht="16.05" customHeight="1">
      <c r="A2" s="1" t="s">
        <v>0</v>
      </c>
      <c r="B2" s="1"/>
      <c r="C2" s="1" t="s">
        <v>27</v>
      </c>
      <c r="D2" s="1" t="s">
        <v>4</v>
      </c>
      <c r="E2" s="1" t="s">
        <v>405</v>
      </c>
      <c r="F2" s="8" t="s">
        <v>18</v>
      </c>
      <c r="G2" s="1" t="s">
        <v>5</v>
      </c>
      <c r="H2" s="1" t="s">
        <v>6</v>
      </c>
      <c r="I2" s="1" t="s">
        <v>7</v>
      </c>
    </row>
    <row r="3" spans="1:9" ht="47.4">
      <c r="A3" s="2" t="s">
        <v>2</v>
      </c>
      <c r="B3" s="8"/>
      <c r="C3" s="37" t="s">
        <v>3</v>
      </c>
      <c r="D3" s="3">
        <v>80</v>
      </c>
      <c r="E3" s="3">
        <v>80</v>
      </c>
      <c r="F3" s="152">
        <v>64</v>
      </c>
      <c r="G3" s="4" t="s">
        <v>167</v>
      </c>
      <c r="H3" s="3" t="s">
        <v>83</v>
      </c>
      <c r="I3" s="6" t="s">
        <v>8</v>
      </c>
    </row>
    <row r="4" spans="1:9" ht="109.8">
      <c r="A4" s="14" t="s">
        <v>10</v>
      </c>
      <c r="B4" s="11"/>
      <c r="C4" s="37" t="s">
        <v>11</v>
      </c>
      <c r="D4" s="3">
        <v>15</v>
      </c>
      <c r="E4" s="3">
        <v>7</v>
      </c>
      <c r="F4" s="152">
        <v>6</v>
      </c>
      <c r="G4" s="5" t="s">
        <v>197</v>
      </c>
      <c r="H4" s="6" t="s">
        <v>82</v>
      </c>
      <c r="I4" s="3"/>
    </row>
    <row r="5" spans="1:9" ht="16.05" customHeight="1">
      <c r="A5" s="2" t="s">
        <v>12</v>
      </c>
      <c r="B5" s="8"/>
      <c r="C5" s="37"/>
      <c r="D5" s="3">
        <v>15</v>
      </c>
      <c r="E5" s="3">
        <v>7</v>
      </c>
      <c r="F5" s="152">
        <v>6</v>
      </c>
      <c r="G5" s="31"/>
      <c r="H5" s="3"/>
      <c r="I5" s="3"/>
    </row>
    <row r="6" spans="1:9" ht="16.05" customHeight="1">
      <c r="A6" s="210" t="s">
        <v>29</v>
      </c>
      <c r="B6" s="8" t="s">
        <v>132</v>
      </c>
      <c r="C6" s="37"/>
      <c r="D6" s="231">
        <v>30</v>
      </c>
      <c r="E6" s="26"/>
      <c r="F6" s="236">
        <v>15</v>
      </c>
      <c r="G6" s="24"/>
      <c r="H6" s="3"/>
      <c r="I6" s="3"/>
    </row>
    <row r="7" spans="1:9" ht="17.399999999999999">
      <c r="A7" s="226"/>
      <c r="B7" s="8"/>
      <c r="C7" s="37"/>
      <c r="D7" s="232"/>
      <c r="E7" s="27"/>
      <c r="F7" s="237"/>
      <c r="G7" s="6"/>
      <c r="H7" s="3"/>
      <c r="I7" s="3"/>
    </row>
    <row r="8" spans="1:9" ht="17.399999999999999">
      <c r="A8" s="226"/>
      <c r="B8" s="8"/>
      <c r="C8" s="37"/>
      <c r="D8" s="232"/>
      <c r="E8" s="27"/>
      <c r="F8" s="237"/>
      <c r="G8" s="6"/>
      <c r="H8" s="3"/>
      <c r="I8" s="3"/>
    </row>
    <row r="9" spans="1:9" ht="63">
      <c r="A9" s="226"/>
      <c r="B9" s="8" t="s">
        <v>31</v>
      </c>
      <c r="C9" s="37" t="s">
        <v>388</v>
      </c>
      <c r="D9" s="232"/>
      <c r="E9" s="27"/>
      <c r="F9" s="237"/>
      <c r="G9" s="15" t="s">
        <v>80</v>
      </c>
      <c r="H9" s="3"/>
      <c r="I9" s="3"/>
    </row>
    <row r="10" spans="1:9" ht="17.399999999999999">
      <c r="A10" s="211"/>
      <c r="B10" s="8" t="s">
        <v>122</v>
      </c>
      <c r="C10" s="145" t="s">
        <v>123</v>
      </c>
      <c r="D10" s="233"/>
      <c r="E10" s="28">
        <v>20</v>
      </c>
      <c r="F10" s="238"/>
      <c r="G10" s="59"/>
      <c r="H10" s="3"/>
      <c r="I10" s="3"/>
    </row>
    <row r="11" spans="1:9" ht="17.399999999999999">
      <c r="A11" s="2" t="s">
        <v>13</v>
      </c>
      <c r="B11" s="8"/>
      <c r="C11" s="9"/>
      <c r="D11" s="3">
        <v>15</v>
      </c>
      <c r="E11" s="3">
        <v>7</v>
      </c>
      <c r="F11" s="152">
        <v>6</v>
      </c>
      <c r="G11" s="33"/>
      <c r="H11" s="3"/>
      <c r="I11" s="3"/>
    </row>
    <row r="12" spans="1:9" ht="16.05" customHeight="1">
      <c r="A12" s="2" t="s">
        <v>35</v>
      </c>
      <c r="B12" s="8"/>
      <c r="C12" s="3"/>
      <c r="D12" s="3">
        <v>10</v>
      </c>
      <c r="E12" s="3">
        <v>4</v>
      </c>
      <c r="F12" s="152">
        <v>3</v>
      </c>
      <c r="G12" s="31"/>
      <c r="H12" s="3"/>
      <c r="I12" s="3"/>
    </row>
    <row r="13" spans="1:9" ht="43.95" customHeight="1">
      <c r="D13">
        <f>SUM(D3:D12)</f>
        <v>165</v>
      </c>
      <c r="E13">
        <f>SUM(E3:E12)</f>
        <v>125</v>
      </c>
      <c r="F13">
        <f>SUM(F3:F12)</f>
        <v>100</v>
      </c>
      <c r="G13" t="s">
        <v>108</v>
      </c>
    </row>
    <row r="27" spans="3:13">
      <c r="F27" t="s">
        <v>396</v>
      </c>
      <c r="G27" t="s">
        <v>397</v>
      </c>
      <c r="H27" t="s">
        <v>398</v>
      </c>
      <c r="I27" t="s">
        <v>401</v>
      </c>
      <c r="J27" t="s">
        <v>402</v>
      </c>
      <c r="K27" t="s">
        <v>400</v>
      </c>
      <c r="L27" t="s">
        <v>154</v>
      </c>
      <c r="M27" s="65" t="s">
        <v>155</v>
      </c>
    </row>
    <row r="28" spans="3:13">
      <c r="C28" t="s">
        <v>142</v>
      </c>
      <c r="F28" s="55">
        <v>1.52</v>
      </c>
      <c r="G28" s="55">
        <v>7.6950000000000003</v>
      </c>
      <c r="H28" s="55">
        <v>0.03</v>
      </c>
      <c r="I28" s="55">
        <v>2.5289999999999999</v>
      </c>
      <c r="J28" s="55">
        <v>0.03</v>
      </c>
      <c r="K28" s="55">
        <v>0.03</v>
      </c>
      <c r="L28" s="55">
        <f t="shared" ref="L28:L33" si="0">SUM(F28:K28)</f>
        <v>11.833999999999998</v>
      </c>
      <c r="M28" s="55">
        <f>$L28*100/125</f>
        <v>9.4671999999999983</v>
      </c>
    </row>
    <row r="29" spans="3:13">
      <c r="C29" t="s">
        <v>119</v>
      </c>
      <c r="F29" s="55">
        <v>0.16</v>
      </c>
      <c r="G29" s="55">
        <v>0.61499999999999988</v>
      </c>
      <c r="H29" s="55">
        <v>0</v>
      </c>
      <c r="I29" s="55">
        <v>0.38700000000000001</v>
      </c>
      <c r="J29" s="55">
        <v>0</v>
      </c>
      <c r="K29" s="55">
        <v>0</v>
      </c>
      <c r="L29" s="55">
        <f t="shared" si="0"/>
        <v>1.1619999999999999</v>
      </c>
      <c r="M29" s="55">
        <f t="shared" ref="M29:M33" si="1">$L29*100/125</f>
        <v>0.92959999999999987</v>
      </c>
    </row>
    <row r="30" spans="3:13">
      <c r="C30" t="s">
        <v>118</v>
      </c>
      <c r="F30" s="55">
        <v>40.799999999999997</v>
      </c>
      <c r="G30" s="55">
        <v>0.75</v>
      </c>
      <c r="H30" s="55">
        <v>0.21</v>
      </c>
      <c r="I30" s="55">
        <v>0.17099999999999999</v>
      </c>
      <c r="J30" s="55">
        <v>0.46500000000000002</v>
      </c>
      <c r="K30" s="55">
        <v>0.26</v>
      </c>
      <c r="L30" s="55">
        <f t="shared" si="0"/>
        <v>42.655999999999999</v>
      </c>
      <c r="M30" s="55">
        <f t="shared" si="1"/>
        <v>34.124799999999993</v>
      </c>
    </row>
    <row r="31" spans="3:13">
      <c r="C31" t="s">
        <v>143</v>
      </c>
      <c r="F31" s="55">
        <v>2.2400000000000002</v>
      </c>
      <c r="G31" s="55">
        <v>0.45</v>
      </c>
      <c r="H31" s="55">
        <v>0</v>
      </c>
      <c r="I31" s="55">
        <v>4.4999999999999998E-2</v>
      </c>
      <c r="J31" s="55">
        <v>0</v>
      </c>
      <c r="K31" s="55">
        <v>0</v>
      </c>
      <c r="L31" s="55">
        <f t="shared" si="0"/>
        <v>2.7350000000000003</v>
      </c>
      <c r="M31" s="55">
        <f t="shared" si="1"/>
        <v>2.1880000000000006</v>
      </c>
    </row>
    <row r="32" spans="3:13">
      <c r="C32" t="s">
        <v>133</v>
      </c>
      <c r="F32" s="55">
        <v>7.5360000000000005</v>
      </c>
      <c r="G32" s="55">
        <v>0.12</v>
      </c>
      <c r="H32" s="55">
        <v>0.19500000000000001</v>
      </c>
      <c r="I32" s="55">
        <v>10.317</v>
      </c>
      <c r="J32" s="55">
        <v>0.13500000000000001</v>
      </c>
      <c r="K32" s="55">
        <v>0.09</v>
      </c>
      <c r="L32" s="55">
        <f t="shared" si="0"/>
        <v>18.393000000000001</v>
      </c>
      <c r="M32" s="55">
        <f t="shared" si="1"/>
        <v>14.714400000000001</v>
      </c>
    </row>
    <row r="33" spans="3:17">
      <c r="C33" t="s">
        <v>120</v>
      </c>
      <c r="F33" s="55">
        <v>0.48799999999999999</v>
      </c>
      <c r="G33" s="55">
        <v>0.21</v>
      </c>
      <c r="H33" s="55">
        <v>0</v>
      </c>
      <c r="I33" s="55">
        <v>0.32400000000000007</v>
      </c>
      <c r="J33" s="55">
        <v>0</v>
      </c>
      <c r="K33" s="55">
        <v>0</v>
      </c>
      <c r="L33" s="55">
        <f t="shared" si="0"/>
        <v>1.022</v>
      </c>
      <c r="M33" s="55">
        <f t="shared" si="1"/>
        <v>0.81759999999999999</v>
      </c>
    </row>
    <row r="35" spans="3:17">
      <c r="C35" s="67" t="s">
        <v>204</v>
      </c>
      <c r="E35" s="56" t="s">
        <v>212</v>
      </c>
      <c r="F35" s="57" t="s">
        <v>396</v>
      </c>
      <c r="H35" s="69"/>
      <c r="I35" s="69"/>
      <c r="J35" s="199" t="s">
        <v>228</v>
      </c>
      <c r="K35" s="200"/>
      <c r="L35" s="200"/>
      <c r="M35" s="200"/>
      <c r="N35" s="200"/>
      <c r="O35" s="201"/>
    </row>
    <row r="36" spans="3:17" ht="43.2">
      <c r="C36" t="s">
        <v>134</v>
      </c>
      <c r="E36">
        <v>1120</v>
      </c>
      <c r="F36" s="57">
        <f>$E36*80/100</f>
        <v>896</v>
      </c>
      <c r="H36" s="195" t="s">
        <v>216</v>
      </c>
      <c r="I36" s="197" t="s">
        <v>225</v>
      </c>
      <c r="J36" s="70" t="s">
        <v>217</v>
      </c>
      <c r="K36" s="70" t="s">
        <v>226</v>
      </c>
      <c r="L36" s="70" t="s">
        <v>118</v>
      </c>
      <c r="M36" s="70" t="s">
        <v>143</v>
      </c>
      <c r="N36" s="70" t="s">
        <v>227</v>
      </c>
      <c r="O36" s="70" t="s">
        <v>120</v>
      </c>
    </row>
    <row r="37" spans="3:17">
      <c r="C37" t="s">
        <v>135</v>
      </c>
      <c r="E37">
        <v>269</v>
      </c>
      <c r="F37" s="57">
        <f t="shared" ref="F37:F43" si="2">$E37*80/100</f>
        <v>215.2</v>
      </c>
      <c r="H37" s="195"/>
      <c r="I37" s="198"/>
      <c r="J37" s="129" t="s">
        <v>218</v>
      </c>
      <c r="K37" s="129" t="s">
        <v>219</v>
      </c>
      <c r="L37" s="129" t="s">
        <v>220</v>
      </c>
      <c r="M37" s="129" t="s">
        <v>221</v>
      </c>
      <c r="N37" s="129" t="s">
        <v>222</v>
      </c>
      <c r="O37" s="129" t="s">
        <v>223</v>
      </c>
    </row>
    <row r="38" spans="3:17" ht="16.2" thickBot="1">
      <c r="C38" t="s">
        <v>142</v>
      </c>
      <c r="E38">
        <v>1.9</v>
      </c>
      <c r="F38" s="57">
        <f t="shared" si="2"/>
        <v>1.52</v>
      </c>
      <c r="H38" s="195"/>
      <c r="I38" s="72" t="s">
        <v>224</v>
      </c>
      <c r="J38" s="77" t="s">
        <v>224</v>
      </c>
      <c r="K38" s="77" t="s">
        <v>224</v>
      </c>
      <c r="L38" s="77" t="s">
        <v>224</v>
      </c>
      <c r="M38" s="77" t="s">
        <v>224</v>
      </c>
      <c r="N38" s="77" t="s">
        <v>224</v>
      </c>
      <c r="O38" s="77" t="s">
        <v>224</v>
      </c>
    </row>
    <row r="39" spans="3:17" ht="17.399999999999999">
      <c r="C39" t="s">
        <v>119</v>
      </c>
      <c r="E39">
        <v>0.2</v>
      </c>
      <c r="F39" s="57">
        <f t="shared" si="2"/>
        <v>0.16</v>
      </c>
      <c r="H39" s="114" t="s">
        <v>2</v>
      </c>
      <c r="I39" s="3">
        <v>80</v>
      </c>
      <c r="J39" s="3">
        <v>1.9</v>
      </c>
      <c r="K39" s="3">
        <v>0.2</v>
      </c>
      <c r="L39" s="3">
        <v>51</v>
      </c>
      <c r="M39" s="3">
        <v>2.8</v>
      </c>
      <c r="N39" s="3">
        <v>9.42</v>
      </c>
      <c r="O39" s="3">
        <v>0.61</v>
      </c>
    </row>
    <row r="40" spans="3:17" ht="34.799999999999997">
      <c r="C40" t="s">
        <v>118</v>
      </c>
      <c r="E40">
        <v>51</v>
      </c>
      <c r="F40" s="57">
        <f t="shared" si="2"/>
        <v>40.799999999999997</v>
      </c>
      <c r="H40" s="14" t="s">
        <v>10</v>
      </c>
      <c r="I40" s="3">
        <v>15</v>
      </c>
      <c r="J40" s="18">
        <v>51.3</v>
      </c>
      <c r="K40" s="18">
        <v>4.0999999999999996</v>
      </c>
      <c r="L40" s="18">
        <v>5</v>
      </c>
      <c r="M40" s="18">
        <v>3</v>
      </c>
      <c r="N40" s="18">
        <v>0.8</v>
      </c>
      <c r="O40" s="18">
        <v>1.4</v>
      </c>
    </row>
    <row r="41" spans="3:17" ht="17.399999999999999">
      <c r="C41" t="s">
        <v>143</v>
      </c>
      <c r="E41">
        <v>2.8</v>
      </c>
      <c r="F41" s="57">
        <f t="shared" si="2"/>
        <v>2.2400000000000002</v>
      </c>
      <c r="H41" s="114" t="s">
        <v>12</v>
      </c>
      <c r="I41" s="3">
        <v>15</v>
      </c>
      <c r="J41" s="18">
        <v>0.2</v>
      </c>
      <c r="K41" s="3">
        <v>0</v>
      </c>
      <c r="L41" s="3">
        <v>1.4</v>
      </c>
      <c r="M41" s="3">
        <v>0</v>
      </c>
      <c r="N41" s="3">
        <v>1.3</v>
      </c>
      <c r="O41" s="3">
        <v>0</v>
      </c>
    </row>
    <row r="42" spans="3:17" ht="16.05" customHeight="1">
      <c r="C42" t="s">
        <v>133</v>
      </c>
      <c r="E42">
        <v>9.42</v>
      </c>
      <c r="F42" s="57">
        <f t="shared" si="2"/>
        <v>7.5360000000000005</v>
      </c>
      <c r="H42" s="135" t="s">
        <v>29</v>
      </c>
      <c r="I42" s="101">
        <v>30</v>
      </c>
      <c r="J42" s="3">
        <v>8.43</v>
      </c>
      <c r="K42" s="3">
        <v>1.29</v>
      </c>
      <c r="L42" s="3">
        <v>0.56999999999999995</v>
      </c>
      <c r="M42" s="3">
        <v>0.15</v>
      </c>
      <c r="N42" s="3">
        <v>34.39</v>
      </c>
      <c r="O42" s="3">
        <v>1.08</v>
      </c>
    </row>
    <row r="43" spans="3:17" ht="16.05" customHeight="1">
      <c r="C43" t="s">
        <v>120</v>
      </c>
      <c r="E43">
        <v>0.61</v>
      </c>
      <c r="F43" s="57">
        <f t="shared" si="2"/>
        <v>0.48799999999999999</v>
      </c>
      <c r="H43" s="114" t="s">
        <v>13</v>
      </c>
      <c r="I43" s="3">
        <v>15</v>
      </c>
      <c r="J43" s="24">
        <v>0.2</v>
      </c>
      <c r="K43" s="3"/>
      <c r="L43" s="24">
        <v>3.1</v>
      </c>
      <c r="M43" s="3"/>
      <c r="N43" s="24">
        <v>0.9</v>
      </c>
      <c r="O43" s="3"/>
    </row>
    <row r="44" spans="3:17" ht="17.399999999999999">
      <c r="H44" s="114" t="s">
        <v>35</v>
      </c>
      <c r="I44" s="3">
        <v>10</v>
      </c>
      <c r="J44" s="24">
        <v>0.3</v>
      </c>
      <c r="K44" s="3"/>
      <c r="L44" s="24">
        <v>2.6</v>
      </c>
      <c r="M44" s="3"/>
      <c r="N44" s="24">
        <v>0.9</v>
      </c>
      <c r="O44" s="3"/>
    </row>
    <row r="46" spans="3:17" ht="16.05" customHeight="1">
      <c r="C46" s="64" t="s">
        <v>151</v>
      </c>
      <c r="D46" s="54"/>
      <c r="F46" t="s">
        <v>397</v>
      </c>
      <c r="H46" s="202" t="s">
        <v>0</v>
      </c>
      <c r="I46" s="204" t="s">
        <v>229</v>
      </c>
      <c r="J46" s="70" t="s">
        <v>217</v>
      </c>
      <c r="K46" s="70" t="s">
        <v>226</v>
      </c>
      <c r="L46" s="70" t="s">
        <v>118</v>
      </c>
      <c r="M46" s="70" t="s">
        <v>143</v>
      </c>
      <c r="N46" s="70" t="s">
        <v>227</v>
      </c>
      <c r="O46" s="70" t="s">
        <v>120</v>
      </c>
      <c r="P46" s="191" t="s">
        <v>230</v>
      </c>
      <c r="Q46" s="192"/>
    </row>
    <row r="47" spans="3:17">
      <c r="C47" t="s">
        <v>134</v>
      </c>
      <c r="E47" s="56">
        <v>2002</v>
      </c>
      <c r="F47" s="57">
        <f>$E47*15/100</f>
        <v>300.3</v>
      </c>
      <c r="H47" s="203"/>
      <c r="I47" s="205"/>
      <c r="J47" s="129" t="s">
        <v>218</v>
      </c>
      <c r="K47" s="129" t="s">
        <v>219</v>
      </c>
      <c r="L47" s="129" t="s">
        <v>220</v>
      </c>
      <c r="M47" s="129" t="s">
        <v>221</v>
      </c>
      <c r="N47" s="129" t="s">
        <v>222</v>
      </c>
      <c r="O47" s="129" t="s">
        <v>223</v>
      </c>
      <c r="P47" s="129" t="s">
        <v>231</v>
      </c>
      <c r="Q47" s="129" t="s">
        <v>231</v>
      </c>
    </row>
    <row r="48" spans="3:17">
      <c r="C48" t="s">
        <v>135</v>
      </c>
      <c r="E48" s="56">
        <v>486</v>
      </c>
      <c r="F48" s="57">
        <f t="shared" ref="F48:F54" si="3">$E48*15/100</f>
        <v>72.900000000000006</v>
      </c>
      <c r="H48" s="203"/>
      <c r="I48" s="205"/>
      <c r="J48" s="77" t="s">
        <v>224</v>
      </c>
      <c r="K48" s="77" t="s">
        <v>224</v>
      </c>
      <c r="L48" s="77" t="s">
        <v>224</v>
      </c>
      <c r="M48" s="77" t="s">
        <v>224</v>
      </c>
      <c r="N48" s="77" t="s">
        <v>224</v>
      </c>
      <c r="O48" s="77" t="s">
        <v>224</v>
      </c>
      <c r="P48" s="77" t="s">
        <v>232</v>
      </c>
      <c r="Q48" s="77" t="s">
        <v>233</v>
      </c>
    </row>
    <row r="49" spans="3:17" ht="17.399999999999999">
      <c r="C49" t="s">
        <v>142</v>
      </c>
      <c r="E49" s="56">
        <v>51.3</v>
      </c>
      <c r="F49" s="57">
        <f t="shared" si="3"/>
        <v>7.6950000000000003</v>
      </c>
      <c r="H49" s="188" t="s">
        <v>2</v>
      </c>
      <c r="I49" s="188"/>
      <c r="J49" s="78">
        <f>$J39*$I39/125</f>
        <v>1.216</v>
      </c>
      <c r="K49" s="78">
        <f>$K39*$I39/125</f>
        <v>0.128</v>
      </c>
      <c r="L49" s="78">
        <f>$L39*$I39/125</f>
        <v>32.64</v>
      </c>
      <c r="M49" s="78">
        <f>$M39*$I39/125</f>
        <v>1.792</v>
      </c>
      <c r="N49" s="78">
        <f>$N39*$I39/125</f>
        <v>6.0288000000000004</v>
      </c>
      <c r="O49" s="78">
        <f>$O39*$I39/125</f>
        <v>0.39039999999999997</v>
      </c>
      <c r="P49" s="3"/>
      <c r="Q49" s="3"/>
    </row>
    <row r="50" spans="3:17" ht="34.049999999999997" customHeight="1">
      <c r="C50" t="s">
        <v>119</v>
      </c>
      <c r="E50" s="56">
        <v>4.0999999999999996</v>
      </c>
      <c r="F50" s="57">
        <f t="shared" si="3"/>
        <v>0.61499999999999988</v>
      </c>
      <c r="H50" s="217" t="s">
        <v>10</v>
      </c>
      <c r="I50" s="217"/>
      <c r="J50" s="78">
        <f t="shared" ref="J50:J54" si="4">$J40*$I40/125</f>
        <v>6.1559999999999997</v>
      </c>
      <c r="K50" s="78">
        <f t="shared" ref="K50:K54" si="5">$K40*$I40/125</f>
        <v>0.49199999999999994</v>
      </c>
      <c r="L50" s="78">
        <f t="shared" ref="L50:L54" si="6">$L40*$I40/125</f>
        <v>0.6</v>
      </c>
      <c r="M50" s="78">
        <f t="shared" ref="M50:M54" si="7">$M40*$I40/125</f>
        <v>0.36</v>
      </c>
      <c r="N50" s="78">
        <f t="shared" ref="N50:N54" si="8">$N40*$I40/125</f>
        <v>9.6000000000000002E-2</v>
      </c>
      <c r="O50" s="78">
        <f t="shared" ref="O50:O54" si="9">$O40*$I40/125</f>
        <v>0.16800000000000001</v>
      </c>
      <c r="P50" s="3"/>
      <c r="Q50" s="3"/>
    </row>
    <row r="51" spans="3:17" ht="17.399999999999999">
      <c r="C51" t="s">
        <v>118</v>
      </c>
      <c r="E51" s="56">
        <v>5</v>
      </c>
      <c r="F51" s="57">
        <f t="shared" si="3"/>
        <v>0.75</v>
      </c>
      <c r="H51" s="188" t="s">
        <v>12</v>
      </c>
      <c r="I51" s="188"/>
      <c r="J51" s="78">
        <f t="shared" si="4"/>
        <v>2.4E-2</v>
      </c>
      <c r="K51" s="78">
        <f t="shared" si="5"/>
        <v>0</v>
      </c>
      <c r="L51" s="78">
        <f t="shared" si="6"/>
        <v>0.16800000000000001</v>
      </c>
      <c r="M51" s="78">
        <f t="shared" si="7"/>
        <v>0</v>
      </c>
      <c r="N51" s="78">
        <f t="shared" si="8"/>
        <v>0.156</v>
      </c>
      <c r="O51" s="78">
        <f t="shared" si="9"/>
        <v>0</v>
      </c>
      <c r="P51" s="3"/>
      <c r="Q51" s="3"/>
    </row>
    <row r="52" spans="3:17">
      <c r="C52" t="s">
        <v>143</v>
      </c>
      <c r="E52" s="56">
        <v>3</v>
      </c>
      <c r="F52" s="57">
        <f t="shared" si="3"/>
        <v>0.45</v>
      </c>
      <c r="H52" s="218" t="s">
        <v>29</v>
      </c>
      <c r="I52" s="218"/>
      <c r="J52" s="78">
        <f t="shared" si="4"/>
        <v>2.0231999999999997</v>
      </c>
      <c r="K52" s="78">
        <f t="shared" si="5"/>
        <v>0.30960000000000004</v>
      </c>
      <c r="L52" s="78">
        <f t="shared" si="6"/>
        <v>0.13679999999999998</v>
      </c>
      <c r="M52" s="78">
        <f t="shared" si="7"/>
        <v>3.5999999999999997E-2</v>
      </c>
      <c r="N52" s="78">
        <f t="shared" si="8"/>
        <v>8.2536000000000005</v>
      </c>
      <c r="O52" s="78">
        <f t="shared" si="9"/>
        <v>0.25920000000000004</v>
      </c>
      <c r="P52" s="3"/>
      <c r="Q52" s="3"/>
    </row>
    <row r="53" spans="3:17" ht="17.399999999999999">
      <c r="C53" t="s">
        <v>133</v>
      </c>
      <c r="E53" s="56">
        <v>0.8</v>
      </c>
      <c r="F53" s="57">
        <f t="shared" si="3"/>
        <v>0.12</v>
      </c>
      <c r="H53" s="188" t="s">
        <v>13</v>
      </c>
      <c r="I53" s="188"/>
      <c r="J53" s="78">
        <f t="shared" si="4"/>
        <v>2.4E-2</v>
      </c>
      <c r="K53" s="78">
        <f t="shared" si="5"/>
        <v>0</v>
      </c>
      <c r="L53" s="78">
        <f t="shared" si="6"/>
        <v>0.372</v>
      </c>
      <c r="M53" s="78">
        <f t="shared" si="7"/>
        <v>0</v>
      </c>
      <c r="N53" s="78">
        <f t="shared" si="8"/>
        <v>0.108</v>
      </c>
      <c r="O53" s="78">
        <f t="shared" si="9"/>
        <v>0</v>
      </c>
      <c r="P53" s="3"/>
      <c r="Q53" s="3"/>
    </row>
    <row r="54" spans="3:17" ht="17.399999999999999">
      <c r="C54" t="s">
        <v>120</v>
      </c>
      <c r="E54" s="56">
        <v>1.4</v>
      </c>
      <c r="F54" s="57">
        <f t="shared" si="3"/>
        <v>0.21</v>
      </c>
      <c r="H54" s="188" t="s">
        <v>35</v>
      </c>
      <c r="I54" s="188"/>
      <c r="J54" s="78">
        <f t="shared" si="4"/>
        <v>2.4E-2</v>
      </c>
      <c r="K54" s="78">
        <f t="shared" si="5"/>
        <v>0</v>
      </c>
      <c r="L54" s="78">
        <f t="shared" si="6"/>
        <v>0.20799999999999999</v>
      </c>
      <c r="M54" s="78">
        <f t="shared" si="7"/>
        <v>0</v>
      </c>
      <c r="N54" s="78">
        <f t="shared" si="8"/>
        <v>7.1999999999999995E-2</v>
      </c>
      <c r="O54" s="78">
        <f t="shared" si="9"/>
        <v>0</v>
      </c>
      <c r="P54" s="3"/>
      <c r="Q54" s="3"/>
    </row>
    <row r="55" spans="3:17" ht="31.95" customHeight="1">
      <c r="H55" s="189" t="s">
        <v>234</v>
      </c>
      <c r="I55" s="190"/>
      <c r="J55" s="85">
        <f t="shared" ref="J55:O55" si="10">SUM(J49:J54)</f>
        <v>9.4671999999999983</v>
      </c>
      <c r="K55" s="84">
        <f t="shared" si="10"/>
        <v>0.92959999999999998</v>
      </c>
      <c r="L55" s="85">
        <f t="shared" si="10"/>
        <v>34.1248</v>
      </c>
      <c r="M55" s="84">
        <f t="shared" si="10"/>
        <v>2.1880000000000002</v>
      </c>
      <c r="N55" s="84">
        <f t="shared" si="10"/>
        <v>14.714400000000001</v>
      </c>
      <c r="O55" s="84">
        <f t="shared" si="10"/>
        <v>0.8176000000000001</v>
      </c>
      <c r="P55" s="85">
        <f>17*N55+37*J55+17*L55</f>
        <v>1180.5527999999999</v>
      </c>
      <c r="Q55" s="85">
        <f>4*N55+9*J55+4*L55</f>
        <v>280.5616</v>
      </c>
    </row>
    <row r="57" spans="3:17">
      <c r="C57" s="64" t="s">
        <v>149</v>
      </c>
      <c r="D57" s="54"/>
      <c r="E57" s="54"/>
      <c r="F57" t="s">
        <v>398</v>
      </c>
    </row>
    <row r="58" spans="3:17">
      <c r="C58" t="s">
        <v>134</v>
      </c>
      <c r="E58" s="56">
        <v>65</v>
      </c>
      <c r="F58" s="56">
        <f>E58*15/100</f>
        <v>9.75</v>
      </c>
    </row>
    <row r="59" spans="3:17">
      <c r="C59" t="s">
        <v>135</v>
      </c>
      <c r="E59" s="56">
        <v>15</v>
      </c>
      <c r="F59" s="56">
        <f t="shared" ref="F59:F65" si="11">E59*15/100</f>
        <v>2.25</v>
      </c>
    </row>
    <row r="60" spans="3:17">
      <c r="C60" t="s">
        <v>142</v>
      </c>
      <c r="E60" s="56">
        <v>0.2</v>
      </c>
      <c r="F60" s="56">
        <f t="shared" si="11"/>
        <v>0.03</v>
      </c>
    </row>
    <row r="61" spans="3:17">
      <c r="C61" t="s">
        <v>119</v>
      </c>
      <c r="E61" s="56">
        <v>0</v>
      </c>
      <c r="F61" s="56">
        <f t="shared" si="11"/>
        <v>0</v>
      </c>
    </row>
    <row r="62" spans="3:17">
      <c r="C62" t="s">
        <v>118</v>
      </c>
      <c r="E62" s="56">
        <v>1.4</v>
      </c>
      <c r="F62" s="56">
        <f t="shared" si="11"/>
        <v>0.21</v>
      </c>
    </row>
    <row r="63" spans="3:17">
      <c r="C63" t="s">
        <v>143</v>
      </c>
      <c r="E63" s="56">
        <v>0</v>
      </c>
      <c r="F63" s="56">
        <f t="shared" si="11"/>
        <v>0</v>
      </c>
    </row>
    <row r="64" spans="3:17">
      <c r="C64" t="s">
        <v>133</v>
      </c>
      <c r="E64" s="56">
        <v>1.3</v>
      </c>
      <c r="F64" s="56">
        <f t="shared" si="11"/>
        <v>0.19500000000000001</v>
      </c>
    </row>
    <row r="65" spans="2:13">
      <c r="C65" t="s">
        <v>120</v>
      </c>
      <c r="E65" s="56">
        <v>0</v>
      </c>
      <c r="F65" s="56">
        <f t="shared" si="11"/>
        <v>0</v>
      </c>
    </row>
    <row r="68" spans="2:13">
      <c r="B68" t="s">
        <v>344</v>
      </c>
      <c r="C68" s="66" t="s">
        <v>132</v>
      </c>
      <c r="H68" s="128" t="s">
        <v>29</v>
      </c>
    </row>
    <row r="69" spans="2:13" ht="57.6">
      <c r="C69" t="s">
        <v>134</v>
      </c>
      <c r="H69" s="117" t="s">
        <v>0</v>
      </c>
      <c r="I69" s="117" t="s">
        <v>334</v>
      </c>
      <c r="J69" s="117" t="s">
        <v>336</v>
      </c>
      <c r="K69" s="118" t="s">
        <v>339</v>
      </c>
      <c r="L69" s="119" t="s">
        <v>340</v>
      </c>
      <c r="M69" s="120" t="s">
        <v>341</v>
      </c>
    </row>
    <row r="70" spans="2:13" ht="17.399999999999999">
      <c r="C70" t="s">
        <v>135</v>
      </c>
      <c r="H70" s="8" t="s">
        <v>132</v>
      </c>
      <c r="I70" s="3"/>
      <c r="J70" s="3">
        <v>1500</v>
      </c>
      <c r="K70" s="3">
        <v>1500</v>
      </c>
      <c r="L70" s="3"/>
      <c r="M70" s="3"/>
    </row>
    <row r="71" spans="2:13" ht="17.399999999999999">
      <c r="C71" t="s">
        <v>142</v>
      </c>
      <c r="E71">
        <v>1.2</v>
      </c>
      <c r="H71" s="8"/>
      <c r="I71" s="3"/>
      <c r="J71" s="3"/>
      <c r="K71" s="3"/>
      <c r="L71" s="3"/>
      <c r="M71" s="3"/>
    </row>
    <row r="72" spans="2:13" ht="17.399999999999999">
      <c r="C72" t="s">
        <v>119</v>
      </c>
      <c r="E72">
        <v>0.38</v>
      </c>
      <c r="H72" s="8"/>
      <c r="I72" s="3"/>
      <c r="J72" s="3"/>
      <c r="K72" s="3"/>
      <c r="L72" s="3"/>
      <c r="M72" s="3"/>
    </row>
    <row r="73" spans="2:13" ht="17.399999999999999">
      <c r="C73" t="s">
        <v>118</v>
      </c>
      <c r="H73" s="8" t="s">
        <v>31</v>
      </c>
      <c r="I73" s="3"/>
      <c r="J73" s="3">
        <v>20</v>
      </c>
      <c r="K73" s="3">
        <v>20</v>
      </c>
      <c r="L73" s="3"/>
      <c r="M73" s="3"/>
    </row>
    <row r="74" spans="2:13" ht="94.2">
      <c r="C74" t="s">
        <v>143</v>
      </c>
      <c r="H74" s="8" t="s">
        <v>122</v>
      </c>
      <c r="I74" s="6" t="s">
        <v>335</v>
      </c>
      <c r="J74" s="3">
        <v>70</v>
      </c>
      <c r="K74" s="3">
        <v>70</v>
      </c>
      <c r="L74" s="3"/>
      <c r="M74" s="3"/>
    </row>
    <row r="75" spans="2:13">
      <c r="C75" t="s">
        <v>133</v>
      </c>
      <c r="E75">
        <v>22.8</v>
      </c>
      <c r="H75" s="121" t="s">
        <v>342</v>
      </c>
      <c r="I75" s="122"/>
      <c r="J75" s="122"/>
      <c r="K75" s="123">
        <f>SUM(K67:K74)</f>
        <v>1590</v>
      </c>
      <c r="L75" s="3"/>
      <c r="M75" s="3"/>
    </row>
    <row r="76" spans="2:13">
      <c r="C76" t="s">
        <v>120</v>
      </c>
      <c r="E76">
        <v>0.13</v>
      </c>
      <c r="H76" s="124" t="s">
        <v>337</v>
      </c>
      <c r="I76" s="125"/>
      <c r="J76" s="125"/>
      <c r="K76" s="125"/>
      <c r="L76" s="125">
        <v>1000</v>
      </c>
      <c r="M76" s="3"/>
    </row>
    <row r="77" spans="2:13">
      <c r="H77" s="120" t="s">
        <v>341</v>
      </c>
      <c r="I77" s="126" t="s">
        <v>338</v>
      </c>
      <c r="J77" s="126"/>
      <c r="K77" s="126"/>
      <c r="L77" s="126"/>
      <c r="M77" s="127">
        <f>L76/K75</f>
        <v>0.62893081761006286</v>
      </c>
    </row>
    <row r="78" spans="2:13">
      <c r="J78" t="s">
        <v>343</v>
      </c>
    </row>
    <row r="79" spans="2:13">
      <c r="C79" s="66" t="s">
        <v>107</v>
      </c>
    </row>
    <row r="80" spans="2:13">
      <c r="C80" t="s">
        <v>134</v>
      </c>
      <c r="E80">
        <v>347</v>
      </c>
    </row>
    <row r="81" spans="3:17">
      <c r="C81" t="s">
        <v>135</v>
      </c>
      <c r="E81">
        <v>83</v>
      </c>
      <c r="H81" s="69"/>
      <c r="I81" s="69"/>
      <c r="J81" s="199" t="s">
        <v>228</v>
      </c>
      <c r="K81" s="200"/>
      <c r="L81" s="200"/>
      <c r="M81" s="200"/>
      <c r="N81" s="200"/>
      <c r="O81" s="201"/>
    </row>
    <row r="82" spans="3:17" ht="43.2">
      <c r="C82" t="s">
        <v>142</v>
      </c>
      <c r="E82">
        <v>0.24</v>
      </c>
      <c r="H82" s="195" t="s">
        <v>216</v>
      </c>
      <c r="I82" s="197" t="s">
        <v>225</v>
      </c>
      <c r="J82" s="70" t="s">
        <v>217</v>
      </c>
      <c r="K82" s="70" t="s">
        <v>226</v>
      </c>
      <c r="L82" s="70" t="s">
        <v>118</v>
      </c>
      <c r="M82" s="70" t="s">
        <v>143</v>
      </c>
      <c r="N82" s="70" t="s">
        <v>227</v>
      </c>
      <c r="O82" s="70" t="s">
        <v>120</v>
      </c>
    </row>
    <row r="83" spans="3:17">
      <c r="C83" t="s">
        <v>119</v>
      </c>
      <c r="E83">
        <v>0.09</v>
      </c>
      <c r="H83" s="195"/>
      <c r="I83" s="198"/>
      <c r="J83" s="71" t="s">
        <v>218</v>
      </c>
      <c r="K83" s="71" t="s">
        <v>219</v>
      </c>
      <c r="L83" s="71" t="s">
        <v>220</v>
      </c>
      <c r="M83" s="71" t="s">
        <v>221</v>
      </c>
      <c r="N83" s="71" t="s">
        <v>222</v>
      </c>
      <c r="O83" s="71" t="s">
        <v>223</v>
      </c>
    </row>
    <row r="84" spans="3:17" ht="16.2" thickBot="1">
      <c r="C84" t="s">
        <v>118</v>
      </c>
      <c r="E84">
        <v>16</v>
      </c>
      <c r="H84" s="196"/>
      <c r="I84" s="72" t="s">
        <v>224</v>
      </c>
      <c r="J84" s="77" t="s">
        <v>224</v>
      </c>
      <c r="K84" s="77" t="s">
        <v>224</v>
      </c>
      <c r="L84" s="77" t="s">
        <v>224</v>
      </c>
      <c r="M84" s="77" t="s">
        <v>224</v>
      </c>
      <c r="N84" s="77" t="s">
        <v>224</v>
      </c>
      <c r="O84" s="77" t="s">
        <v>224</v>
      </c>
    </row>
    <row r="85" spans="3:17" ht="17.399999999999999">
      <c r="C85" t="s">
        <v>143</v>
      </c>
      <c r="E85">
        <v>14.8</v>
      </c>
      <c r="H85" s="8" t="s">
        <v>132</v>
      </c>
      <c r="I85" s="3">
        <v>1500</v>
      </c>
      <c r="J85" s="3">
        <v>1.2</v>
      </c>
      <c r="K85" s="3">
        <v>0.38</v>
      </c>
      <c r="L85" s="3"/>
      <c r="M85" s="3"/>
      <c r="N85" s="3">
        <v>22.8</v>
      </c>
      <c r="O85" s="3">
        <v>0.13</v>
      </c>
    </row>
    <row r="86" spans="3:17" ht="17.399999999999999">
      <c r="C86" t="s">
        <v>133</v>
      </c>
      <c r="E86">
        <v>2.2000000000000002</v>
      </c>
      <c r="H86" s="8"/>
      <c r="I86" s="3"/>
      <c r="J86" s="3"/>
      <c r="K86" s="3"/>
      <c r="L86" s="3"/>
      <c r="M86" s="3"/>
      <c r="N86" s="3"/>
      <c r="O86" s="3"/>
    </row>
    <row r="87" spans="3:17" ht="17.399999999999999">
      <c r="C87" t="s">
        <v>120</v>
      </c>
      <c r="E87">
        <v>1.67</v>
      </c>
      <c r="H87" s="8"/>
      <c r="I87" s="3"/>
      <c r="J87" s="3"/>
      <c r="K87" s="3"/>
      <c r="L87" s="3"/>
      <c r="M87" s="3"/>
      <c r="N87" s="3"/>
      <c r="O87" s="3"/>
    </row>
    <row r="88" spans="3:17" ht="17.399999999999999">
      <c r="H88" s="8" t="s">
        <v>31</v>
      </c>
      <c r="I88" s="3">
        <v>20</v>
      </c>
      <c r="J88" s="3">
        <v>9.6999999999999993</v>
      </c>
      <c r="K88" s="3">
        <v>0.8</v>
      </c>
      <c r="L88" s="3">
        <v>28.7</v>
      </c>
      <c r="M88" s="3">
        <v>7.5</v>
      </c>
      <c r="N88" s="3">
        <v>9.3000000000000007</v>
      </c>
      <c r="O88" s="3">
        <v>44</v>
      </c>
    </row>
    <row r="89" spans="3:17" ht="17.399999999999999">
      <c r="H89" s="8" t="s">
        <v>122</v>
      </c>
      <c r="I89" s="3">
        <v>70</v>
      </c>
      <c r="J89" s="3">
        <v>92</v>
      </c>
      <c r="K89" s="3">
        <v>10</v>
      </c>
      <c r="L89" s="3"/>
      <c r="M89" s="3"/>
      <c r="N89" s="3"/>
      <c r="O89" s="3"/>
    </row>
    <row r="90" spans="3:17">
      <c r="C90" s="66" t="s">
        <v>30</v>
      </c>
    </row>
    <row r="91" spans="3:17" ht="43.2">
      <c r="C91" t="s">
        <v>134</v>
      </c>
      <c r="E91">
        <v>374</v>
      </c>
      <c r="H91" s="221" t="s">
        <v>0</v>
      </c>
      <c r="I91" s="222" t="s">
        <v>229</v>
      </c>
      <c r="J91" s="70" t="s">
        <v>217</v>
      </c>
      <c r="K91" s="70" t="s">
        <v>226</v>
      </c>
      <c r="L91" s="70" t="s">
        <v>118</v>
      </c>
      <c r="M91" s="70" t="s">
        <v>143</v>
      </c>
      <c r="N91" s="70" t="s">
        <v>227</v>
      </c>
      <c r="O91" s="70" t="s">
        <v>120</v>
      </c>
      <c r="P91" s="219" t="s">
        <v>230</v>
      </c>
      <c r="Q91" s="219"/>
    </row>
    <row r="92" spans="3:17">
      <c r="C92" t="s">
        <v>135</v>
      </c>
      <c r="E92">
        <v>88</v>
      </c>
      <c r="H92" s="221"/>
      <c r="I92" s="222"/>
      <c r="J92" s="71" t="s">
        <v>218</v>
      </c>
      <c r="K92" s="71" t="s">
        <v>219</v>
      </c>
      <c r="L92" s="71" t="s">
        <v>220</v>
      </c>
      <c r="M92" s="71" t="s">
        <v>221</v>
      </c>
      <c r="N92" s="71" t="s">
        <v>222</v>
      </c>
      <c r="O92" s="71" t="s">
        <v>223</v>
      </c>
      <c r="P92" s="71" t="s">
        <v>231</v>
      </c>
      <c r="Q92" s="71" t="s">
        <v>231</v>
      </c>
    </row>
    <row r="93" spans="3:17">
      <c r="C93" t="s">
        <v>142</v>
      </c>
      <c r="E93">
        <v>0.1</v>
      </c>
      <c r="H93" s="221"/>
      <c r="I93" s="222"/>
      <c r="J93" s="71" t="s">
        <v>224</v>
      </c>
      <c r="K93" s="71" t="s">
        <v>224</v>
      </c>
      <c r="L93" s="71" t="s">
        <v>224</v>
      </c>
      <c r="M93" s="71" t="s">
        <v>224</v>
      </c>
      <c r="N93" s="71" t="s">
        <v>224</v>
      </c>
      <c r="O93" s="71" t="s">
        <v>224</v>
      </c>
      <c r="P93" s="71" t="s">
        <v>232</v>
      </c>
      <c r="Q93" s="71" t="s">
        <v>233</v>
      </c>
    </row>
    <row r="94" spans="3:17" ht="17.399999999999999">
      <c r="C94" t="s">
        <v>119</v>
      </c>
      <c r="E94">
        <v>0</v>
      </c>
      <c r="H94" s="220" t="s">
        <v>132</v>
      </c>
      <c r="I94" s="220"/>
      <c r="J94" s="3">
        <f>$J85*$I85/1000</f>
        <v>1.8</v>
      </c>
      <c r="K94" s="3">
        <f>$K85*$I85/1000</f>
        <v>0.56999999999999995</v>
      </c>
      <c r="L94" s="3">
        <f>$L85*$I85/1000</f>
        <v>0</v>
      </c>
      <c r="M94" s="3">
        <f>$M85*$I85/1000</f>
        <v>0</v>
      </c>
      <c r="N94" s="3">
        <f>N85*I85/1000</f>
        <v>34.200000000000003</v>
      </c>
      <c r="O94" s="3">
        <f>O85*I85/1000</f>
        <v>0.19500000000000001</v>
      </c>
      <c r="P94" s="3"/>
      <c r="Q94" s="3"/>
    </row>
    <row r="95" spans="3:17" ht="17.399999999999999">
      <c r="C95" t="s">
        <v>118</v>
      </c>
      <c r="E95">
        <v>20</v>
      </c>
      <c r="H95" s="220"/>
      <c r="I95" s="220"/>
      <c r="J95" s="3"/>
      <c r="K95" s="3"/>
      <c r="L95" s="3"/>
      <c r="M95" s="3"/>
      <c r="N95" s="3"/>
      <c r="O95" s="3"/>
      <c r="P95" s="3"/>
      <c r="Q95" s="3"/>
    </row>
    <row r="96" spans="3:17" ht="17.399999999999999">
      <c r="C96" t="s">
        <v>143</v>
      </c>
      <c r="E96">
        <v>16.2</v>
      </c>
      <c r="H96" s="220"/>
      <c r="I96" s="220"/>
      <c r="J96" s="3"/>
      <c r="K96" s="3"/>
      <c r="L96" s="3"/>
      <c r="M96" s="3"/>
      <c r="N96" s="3"/>
      <c r="O96" s="3"/>
      <c r="P96" s="3"/>
      <c r="Q96" s="3"/>
    </row>
    <row r="97" spans="3:17" ht="17.399999999999999">
      <c r="C97" t="s">
        <v>133</v>
      </c>
      <c r="E97">
        <v>0.7</v>
      </c>
      <c r="H97" s="220" t="s">
        <v>31</v>
      </c>
      <c r="I97" s="220"/>
      <c r="J97" s="3">
        <f>$J88*$I88/1000</f>
        <v>0.19400000000000001</v>
      </c>
      <c r="K97" s="3">
        <f>$K88*$I88/1000</f>
        <v>1.6E-2</v>
      </c>
      <c r="L97" s="3">
        <f>$L88*$I88/1000</f>
        <v>0.57399999999999995</v>
      </c>
      <c r="M97" s="3">
        <f>$M88*$I88/1000</f>
        <v>0.15</v>
      </c>
      <c r="N97" s="3">
        <f>N88*I88/1000</f>
        <v>0.186</v>
      </c>
      <c r="O97" s="3">
        <f>O88*I88/1000</f>
        <v>0.88</v>
      </c>
      <c r="P97" s="3"/>
      <c r="Q97" s="3"/>
    </row>
    <row r="98" spans="3:17" ht="17.399999999999999">
      <c r="C98" t="s">
        <v>120</v>
      </c>
      <c r="E98">
        <v>2.1</v>
      </c>
      <c r="H98" s="220" t="s">
        <v>122</v>
      </c>
      <c r="I98" s="220"/>
      <c r="J98" s="3">
        <f>$J89*$I89/1000</f>
        <v>6.44</v>
      </c>
      <c r="K98" s="3">
        <f>$K89*$I89/1000</f>
        <v>0.7</v>
      </c>
      <c r="L98" s="3">
        <f>$L89*$I89/1000</f>
        <v>0</v>
      </c>
      <c r="M98" s="3">
        <f>$M89*$I89/1000</f>
        <v>0</v>
      </c>
      <c r="N98" s="3">
        <f>N89*I89/1000</f>
        <v>0</v>
      </c>
      <c r="O98" s="3">
        <f>O89*I89/1000</f>
        <v>0</v>
      </c>
      <c r="P98" s="3"/>
      <c r="Q98" s="3"/>
    </row>
    <row r="99" spans="3:17" ht="33" customHeight="1">
      <c r="H99" s="235" t="s">
        <v>234</v>
      </c>
      <c r="I99" s="235"/>
      <c r="J99" s="78">
        <f t="shared" ref="J99:O99" si="12">SUM(J94:J98)</f>
        <v>8.4340000000000011</v>
      </c>
      <c r="K99" s="78">
        <f t="shared" si="12"/>
        <v>1.286</v>
      </c>
      <c r="L99" s="78">
        <f t="shared" si="12"/>
        <v>0.57399999999999995</v>
      </c>
      <c r="M99" s="78">
        <f t="shared" si="12"/>
        <v>0.15</v>
      </c>
      <c r="N99" s="78">
        <f t="shared" si="12"/>
        <v>34.386000000000003</v>
      </c>
      <c r="O99" s="78">
        <f t="shared" si="12"/>
        <v>1.075</v>
      </c>
      <c r="P99" s="3"/>
      <c r="Q99" s="3"/>
    </row>
    <row r="101" spans="3:17">
      <c r="C101" s="133" t="s">
        <v>31</v>
      </c>
    </row>
    <row r="102" spans="3:17">
      <c r="C102" t="s">
        <v>134</v>
      </c>
      <c r="H102" s="102" t="s">
        <v>29</v>
      </c>
      <c r="I102" t="s">
        <v>212</v>
      </c>
      <c r="J102" t="s">
        <v>403</v>
      </c>
    </row>
    <row r="103" spans="3:17">
      <c r="C103" t="s">
        <v>135</v>
      </c>
      <c r="H103" t="s">
        <v>142</v>
      </c>
      <c r="I103">
        <v>8.43</v>
      </c>
      <c r="J103">
        <f t="shared" ref="J103:J108" si="13">$I103*30/100</f>
        <v>2.5289999999999999</v>
      </c>
    </row>
    <row r="104" spans="3:17">
      <c r="C104" t="s">
        <v>142</v>
      </c>
      <c r="E104">
        <v>9.6999999999999993</v>
      </c>
      <c r="H104" t="s">
        <v>119</v>
      </c>
      <c r="I104">
        <v>1.29</v>
      </c>
      <c r="J104">
        <f t="shared" si="13"/>
        <v>0.38700000000000001</v>
      </c>
    </row>
    <row r="105" spans="3:17">
      <c r="C105" t="s">
        <v>119</v>
      </c>
      <c r="E105">
        <v>0.8</v>
      </c>
      <c r="H105" t="s">
        <v>118</v>
      </c>
      <c r="I105">
        <v>0.56999999999999995</v>
      </c>
      <c r="J105">
        <f t="shared" si="13"/>
        <v>0.17099999999999999</v>
      </c>
    </row>
    <row r="106" spans="3:17">
      <c r="C106" t="s">
        <v>118</v>
      </c>
      <c r="E106">
        <v>28.7</v>
      </c>
      <c r="H106" t="s">
        <v>143</v>
      </c>
      <c r="I106">
        <v>0.15</v>
      </c>
      <c r="J106">
        <f t="shared" si="13"/>
        <v>4.4999999999999998E-2</v>
      </c>
    </row>
    <row r="107" spans="3:17">
      <c r="C107" t="s">
        <v>143</v>
      </c>
      <c r="E107">
        <v>7.5</v>
      </c>
      <c r="H107" t="s">
        <v>133</v>
      </c>
      <c r="I107">
        <v>34.39</v>
      </c>
      <c r="J107">
        <f t="shared" si="13"/>
        <v>10.317</v>
      </c>
    </row>
    <row r="108" spans="3:17">
      <c r="C108" t="s">
        <v>133</v>
      </c>
      <c r="E108">
        <v>9.3000000000000007</v>
      </c>
      <c r="H108" t="s">
        <v>120</v>
      </c>
      <c r="I108">
        <v>1.08</v>
      </c>
      <c r="J108">
        <f t="shared" si="13"/>
        <v>0.32400000000000007</v>
      </c>
    </row>
    <row r="109" spans="3:17">
      <c r="C109" t="s">
        <v>120</v>
      </c>
      <c r="E109">
        <v>44</v>
      </c>
    </row>
    <row r="112" spans="3:17">
      <c r="C112" s="66" t="s">
        <v>214</v>
      </c>
    </row>
    <row r="113" spans="3:6">
      <c r="C113" t="s">
        <v>134</v>
      </c>
      <c r="E113">
        <v>3400</v>
      </c>
    </row>
    <row r="114" spans="3:6">
      <c r="C114" t="s">
        <v>135</v>
      </c>
      <c r="E114">
        <v>829</v>
      </c>
    </row>
    <row r="115" spans="3:6">
      <c r="C115" t="s">
        <v>142</v>
      </c>
      <c r="E115">
        <v>92</v>
      </c>
    </row>
    <row r="116" spans="3:6">
      <c r="C116" t="s">
        <v>119</v>
      </c>
      <c r="E116">
        <v>10</v>
      </c>
    </row>
    <row r="117" spans="3:6">
      <c r="C117" t="s">
        <v>118</v>
      </c>
      <c r="E117">
        <v>0</v>
      </c>
    </row>
    <row r="118" spans="3:6">
      <c r="C118" t="s">
        <v>143</v>
      </c>
      <c r="E118">
        <v>0</v>
      </c>
    </row>
    <row r="119" spans="3:6">
      <c r="C119" t="s">
        <v>133</v>
      </c>
      <c r="E119">
        <v>0</v>
      </c>
    </row>
    <row r="120" spans="3:6">
      <c r="C120" t="s">
        <v>120</v>
      </c>
      <c r="E120">
        <v>0</v>
      </c>
    </row>
    <row r="123" spans="3:6">
      <c r="C123" s="64" t="s">
        <v>144</v>
      </c>
      <c r="D123" s="54"/>
      <c r="E123" s="134" t="s">
        <v>212</v>
      </c>
      <c r="F123" t="s">
        <v>399</v>
      </c>
    </row>
    <row r="124" spans="3:6">
      <c r="C124" t="s">
        <v>142</v>
      </c>
      <c r="E124" s="56">
        <v>0.2</v>
      </c>
      <c r="F124" s="56">
        <f t="shared" ref="F124:F129" si="14">$E124*15/100</f>
        <v>0.03</v>
      </c>
    </row>
    <row r="125" spans="3:6">
      <c r="C125" t="s">
        <v>119</v>
      </c>
      <c r="E125" s="56"/>
      <c r="F125" s="56">
        <f t="shared" si="14"/>
        <v>0</v>
      </c>
    </row>
    <row r="126" spans="3:6">
      <c r="C126" t="s">
        <v>118</v>
      </c>
      <c r="E126" s="56">
        <v>3.1</v>
      </c>
      <c r="F126" s="56">
        <f t="shared" si="14"/>
        <v>0.46500000000000002</v>
      </c>
    </row>
    <row r="127" spans="3:6">
      <c r="C127" t="s">
        <v>143</v>
      </c>
      <c r="E127" s="56"/>
      <c r="F127" s="56">
        <f t="shared" si="14"/>
        <v>0</v>
      </c>
    </row>
    <row r="128" spans="3:6">
      <c r="C128" t="s">
        <v>133</v>
      </c>
      <c r="E128" s="56">
        <v>0.9</v>
      </c>
      <c r="F128" s="56">
        <f t="shared" si="14"/>
        <v>0.13500000000000001</v>
      </c>
    </row>
    <row r="129" spans="2:6">
      <c r="C129" t="s">
        <v>120</v>
      </c>
      <c r="E129" s="49"/>
      <c r="F129" s="56">
        <f t="shared" si="14"/>
        <v>0</v>
      </c>
    </row>
    <row r="132" spans="2:6">
      <c r="B132" t="s">
        <v>215</v>
      </c>
      <c r="C132" s="66" t="s">
        <v>35</v>
      </c>
      <c r="E132" t="s">
        <v>212</v>
      </c>
      <c r="F132" t="s">
        <v>400</v>
      </c>
    </row>
    <row r="133" spans="2:6">
      <c r="C133" t="s">
        <v>142</v>
      </c>
      <c r="E133" s="68">
        <v>0.3</v>
      </c>
      <c r="F133">
        <f t="shared" ref="F133:F138" si="15">$E133*10/100</f>
        <v>0.03</v>
      </c>
    </row>
    <row r="134" spans="2:6">
      <c r="C134" t="s">
        <v>119</v>
      </c>
      <c r="E134" s="68"/>
      <c r="F134">
        <f t="shared" si="15"/>
        <v>0</v>
      </c>
    </row>
    <row r="135" spans="2:6">
      <c r="C135" t="s">
        <v>118</v>
      </c>
      <c r="E135" s="87">
        <v>2.6</v>
      </c>
      <c r="F135">
        <f t="shared" si="15"/>
        <v>0.26</v>
      </c>
    </row>
    <row r="136" spans="2:6">
      <c r="C136" t="s">
        <v>143</v>
      </c>
      <c r="E136" s="68"/>
      <c r="F136">
        <f t="shared" si="15"/>
        <v>0</v>
      </c>
    </row>
    <row r="137" spans="2:6">
      <c r="C137" t="s">
        <v>133</v>
      </c>
      <c r="E137" s="68">
        <v>0.9</v>
      </c>
      <c r="F137">
        <f t="shared" si="15"/>
        <v>0.09</v>
      </c>
    </row>
    <row r="138" spans="2:6">
      <c r="C138" t="s">
        <v>120</v>
      </c>
      <c r="E138" s="68">
        <v>0</v>
      </c>
      <c r="F138">
        <f t="shared" si="15"/>
        <v>0</v>
      </c>
    </row>
  </sheetData>
  <mergeCells count="29">
    <mergeCell ref="P46:Q46"/>
    <mergeCell ref="H55:I55"/>
    <mergeCell ref="H49:I49"/>
    <mergeCell ref="H50:I50"/>
    <mergeCell ref="H51:I51"/>
    <mergeCell ref="H52:I52"/>
    <mergeCell ref="H53:I53"/>
    <mergeCell ref="H54:I54"/>
    <mergeCell ref="A1:I1"/>
    <mergeCell ref="D6:D10"/>
    <mergeCell ref="F6:F10"/>
    <mergeCell ref="A6:A10"/>
    <mergeCell ref="J81:O81"/>
    <mergeCell ref="J35:O35"/>
    <mergeCell ref="H36:H38"/>
    <mergeCell ref="I36:I37"/>
    <mergeCell ref="H46:H48"/>
    <mergeCell ref="I46:I48"/>
    <mergeCell ref="H82:H84"/>
    <mergeCell ref="I82:I83"/>
    <mergeCell ref="H91:H93"/>
    <mergeCell ref="I91:I93"/>
    <mergeCell ref="P91:Q91"/>
    <mergeCell ref="H99:I99"/>
    <mergeCell ref="H94:I94"/>
    <mergeCell ref="H95:I95"/>
    <mergeCell ref="H96:I96"/>
    <mergeCell ref="H97:I97"/>
    <mergeCell ref="H98:I98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106" zoomScaleNormal="70" zoomScalePageLayoutView="70" workbookViewId="0">
      <selection activeCell="B6" sqref="B6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17.19921875" bestFit="1" customWidth="1"/>
    <col min="5" max="5" width="13.296875" bestFit="1" customWidth="1"/>
    <col min="6" max="6" width="51.69921875" customWidth="1"/>
    <col min="7" max="7" width="23.19921875" bestFit="1" customWidth="1"/>
    <col min="8" max="8" width="28.796875" bestFit="1" customWidth="1"/>
    <col min="9" max="9" width="37.69921875" bestFit="1" customWidth="1"/>
    <col min="10" max="10" width="32.796875" bestFit="1" customWidth="1"/>
    <col min="11" max="11" width="19.69921875" bestFit="1" customWidth="1"/>
  </cols>
  <sheetData>
    <row r="1" spans="1:8" ht="31.05" customHeight="1">
      <c r="A1" s="193" t="s">
        <v>162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158</v>
      </c>
      <c r="E2" s="8" t="s">
        <v>18</v>
      </c>
      <c r="F2" s="1" t="s">
        <v>5</v>
      </c>
      <c r="G2" s="1" t="s">
        <v>6</v>
      </c>
      <c r="H2" s="1" t="s">
        <v>7</v>
      </c>
    </row>
    <row r="3" spans="1:8" ht="47.4">
      <c r="A3" s="2" t="s">
        <v>2</v>
      </c>
      <c r="B3" s="37" t="s">
        <v>3</v>
      </c>
      <c r="C3" s="3">
        <v>120</v>
      </c>
      <c r="D3" s="3">
        <v>120</v>
      </c>
      <c r="E3" s="24">
        <v>49</v>
      </c>
      <c r="F3" s="4" t="s">
        <v>9</v>
      </c>
      <c r="G3" s="3" t="s">
        <v>83</v>
      </c>
      <c r="H3" s="3" t="s">
        <v>8</v>
      </c>
    </row>
    <row r="4" spans="1:8" ht="109.8">
      <c r="A4" s="2" t="s">
        <v>10</v>
      </c>
      <c r="B4" s="37" t="s">
        <v>11</v>
      </c>
      <c r="C4" s="3">
        <v>35</v>
      </c>
      <c r="D4" s="3">
        <v>34</v>
      </c>
      <c r="E4" s="24">
        <v>14</v>
      </c>
      <c r="F4" s="5" t="s">
        <v>197</v>
      </c>
      <c r="G4" s="6" t="s">
        <v>82</v>
      </c>
      <c r="H4" s="3"/>
    </row>
    <row r="5" spans="1:8" ht="16.05" customHeight="1">
      <c r="A5" s="2" t="s">
        <v>12</v>
      </c>
      <c r="B5" s="37"/>
      <c r="C5" s="3">
        <v>20</v>
      </c>
      <c r="D5" s="3">
        <v>19</v>
      </c>
      <c r="E5" s="24">
        <v>8</v>
      </c>
      <c r="F5" s="31"/>
      <c r="G5" s="3"/>
      <c r="H5" s="3"/>
    </row>
    <row r="6" spans="1:8" ht="78.599999999999994">
      <c r="A6" s="2" t="s">
        <v>81</v>
      </c>
      <c r="B6" s="12" t="s">
        <v>25</v>
      </c>
      <c r="C6" s="3">
        <v>36</v>
      </c>
      <c r="D6" s="3">
        <v>35</v>
      </c>
      <c r="E6" s="24">
        <v>14</v>
      </c>
      <c r="F6" s="6" t="s">
        <v>37</v>
      </c>
      <c r="G6" s="3"/>
      <c r="H6" s="3"/>
    </row>
    <row r="7" spans="1:8" ht="47.4">
      <c r="A7" s="2" t="s">
        <v>26</v>
      </c>
      <c r="B7" s="9" t="s">
        <v>28</v>
      </c>
      <c r="C7" s="3">
        <v>16</v>
      </c>
      <c r="D7" s="3">
        <v>16</v>
      </c>
      <c r="E7" s="24">
        <v>6</v>
      </c>
      <c r="F7" s="6" t="s">
        <v>77</v>
      </c>
      <c r="G7" s="3" t="s">
        <v>17</v>
      </c>
      <c r="H7" s="3"/>
    </row>
    <row r="8" spans="1:8" ht="17.399999999999999">
      <c r="A8" s="2" t="s">
        <v>112</v>
      </c>
      <c r="B8" s="37"/>
      <c r="C8" s="3">
        <v>22</v>
      </c>
      <c r="D8" s="3">
        <v>21</v>
      </c>
      <c r="E8" s="24">
        <v>9</v>
      </c>
      <c r="F8" s="5"/>
      <c r="G8" s="3"/>
      <c r="H8" s="3"/>
    </row>
    <row r="9" spans="1:8" ht="43.95" customHeight="1">
      <c r="C9">
        <f>SUM(C3:C8)</f>
        <v>249</v>
      </c>
      <c r="D9">
        <f>SUM(D3:D8)</f>
        <v>245</v>
      </c>
      <c r="E9" s="90">
        <f>SUM(E3:E8)</f>
        <v>100</v>
      </c>
      <c r="F9" s="46" t="s">
        <v>156</v>
      </c>
    </row>
    <row r="22" spans="3:13">
      <c r="E22" s="7"/>
    </row>
    <row r="23" spans="3:13">
      <c r="F23" t="s">
        <v>205</v>
      </c>
      <c r="G23" t="s">
        <v>246</v>
      </c>
      <c r="H23" t="s">
        <v>150</v>
      </c>
      <c r="I23" t="s">
        <v>247</v>
      </c>
      <c r="J23" t="s">
        <v>248</v>
      </c>
      <c r="K23" t="s">
        <v>255</v>
      </c>
      <c r="L23" t="s">
        <v>154</v>
      </c>
      <c r="M23" s="65" t="s">
        <v>155</v>
      </c>
    </row>
    <row r="24" spans="3:13">
      <c r="C24" t="s">
        <v>134</v>
      </c>
      <c r="F24">
        <v>1344</v>
      </c>
      <c r="G24" s="55"/>
      <c r="H24" s="55">
        <v>13</v>
      </c>
      <c r="I24" s="55"/>
      <c r="J24" s="55"/>
    </row>
    <row r="25" spans="3:13">
      <c r="C25" t="s">
        <v>135</v>
      </c>
      <c r="F25">
        <v>322.8</v>
      </c>
      <c r="G25" s="55"/>
      <c r="H25" s="55">
        <v>3</v>
      </c>
      <c r="I25" s="55"/>
      <c r="J25" s="55"/>
    </row>
    <row r="26" spans="3:13">
      <c r="C26" t="s">
        <v>142</v>
      </c>
      <c r="F26">
        <v>2.2799999999999998</v>
      </c>
      <c r="G26" s="55">
        <v>17.954999999999998</v>
      </c>
      <c r="H26" s="55">
        <v>0.04</v>
      </c>
      <c r="I26" s="55">
        <v>0.57600000000000007</v>
      </c>
      <c r="J26" s="55">
        <v>4.32</v>
      </c>
      <c r="K26" s="55">
        <v>2.226</v>
      </c>
      <c r="L26" s="55">
        <f t="shared" ref="L26:L31" si="0">SUM(F26:K26)</f>
        <v>27.396999999999998</v>
      </c>
      <c r="M26" s="55">
        <f t="shared" ref="M26:M31" si="1">$L26*100/245</f>
        <v>11.182448979591836</v>
      </c>
    </row>
    <row r="27" spans="3:13">
      <c r="C27" t="s">
        <v>119</v>
      </c>
      <c r="F27">
        <v>0.24</v>
      </c>
      <c r="G27" s="55">
        <v>1.4350000000000001</v>
      </c>
      <c r="H27" s="55">
        <v>0</v>
      </c>
      <c r="I27" s="55">
        <v>0.21599999999999997</v>
      </c>
      <c r="J27" s="55">
        <v>2.08</v>
      </c>
      <c r="K27" s="55">
        <v>0.67830000000000001</v>
      </c>
      <c r="L27" s="55">
        <f t="shared" si="0"/>
        <v>4.6493000000000002</v>
      </c>
      <c r="M27" s="55">
        <f t="shared" si="1"/>
        <v>1.8976734693877551</v>
      </c>
    </row>
    <row r="28" spans="3:13">
      <c r="C28" t="s">
        <v>118</v>
      </c>
      <c r="F28">
        <v>61.2</v>
      </c>
      <c r="G28" s="55">
        <v>1.75</v>
      </c>
      <c r="H28" s="55">
        <v>0.28000000000000003</v>
      </c>
      <c r="I28" s="55">
        <v>1.224</v>
      </c>
      <c r="J28" s="55">
        <v>0.08</v>
      </c>
      <c r="K28" s="55">
        <v>0.71399999999999997</v>
      </c>
      <c r="L28" s="55">
        <f t="shared" si="0"/>
        <v>65.248000000000005</v>
      </c>
      <c r="M28" s="55">
        <f t="shared" si="1"/>
        <v>26.631836734693877</v>
      </c>
    </row>
    <row r="29" spans="3:13">
      <c r="C29" t="s">
        <v>143</v>
      </c>
      <c r="F29">
        <v>3.36</v>
      </c>
      <c r="G29" s="55">
        <v>1.05</v>
      </c>
      <c r="H29" s="55">
        <v>0</v>
      </c>
      <c r="I29" s="55">
        <v>0.18</v>
      </c>
      <c r="J29" s="55">
        <v>0</v>
      </c>
      <c r="K29" s="55">
        <v>0.105</v>
      </c>
      <c r="L29" s="55">
        <f t="shared" si="0"/>
        <v>4.6950000000000003</v>
      </c>
      <c r="M29" s="55">
        <f t="shared" si="1"/>
        <v>1.916326530612245</v>
      </c>
    </row>
    <row r="30" spans="3:13">
      <c r="C30" t="s">
        <v>133</v>
      </c>
      <c r="F30">
        <v>11.3</v>
      </c>
      <c r="G30" s="55">
        <v>0.28000000000000003</v>
      </c>
      <c r="H30" s="55">
        <v>0.26</v>
      </c>
      <c r="I30" s="55">
        <v>5.04</v>
      </c>
      <c r="J30" s="55">
        <v>3.84</v>
      </c>
      <c r="K30" s="55">
        <v>2.6459999999999995</v>
      </c>
      <c r="L30" s="55">
        <f t="shared" si="0"/>
        <v>23.366</v>
      </c>
      <c r="M30" s="55">
        <f t="shared" si="1"/>
        <v>9.5371428571428574</v>
      </c>
    </row>
    <row r="31" spans="3:13">
      <c r="C31" t="s">
        <v>120</v>
      </c>
      <c r="F31">
        <v>0.73</v>
      </c>
      <c r="G31" s="55">
        <v>0.49</v>
      </c>
      <c r="H31" s="55">
        <v>0</v>
      </c>
      <c r="I31" s="55">
        <v>1.1160000000000001</v>
      </c>
      <c r="J31" s="55">
        <v>0.32</v>
      </c>
      <c r="K31" s="55">
        <v>6.3E-2</v>
      </c>
      <c r="L31" s="55">
        <f t="shared" si="0"/>
        <v>2.7190000000000003</v>
      </c>
      <c r="M31" s="55">
        <f t="shared" si="1"/>
        <v>1.1097959183673471</v>
      </c>
    </row>
    <row r="34" spans="3:17">
      <c r="C34" s="67" t="s">
        <v>204</v>
      </c>
      <c r="E34" t="s">
        <v>212</v>
      </c>
      <c r="F34" t="s">
        <v>205</v>
      </c>
      <c r="H34" s="69"/>
      <c r="I34" s="69"/>
      <c r="J34" s="199" t="s">
        <v>228</v>
      </c>
      <c r="K34" s="200"/>
      <c r="L34" s="200"/>
      <c r="M34" s="200"/>
      <c r="N34" s="200"/>
      <c r="O34" s="201"/>
    </row>
    <row r="35" spans="3:17" ht="28.8">
      <c r="C35" t="s">
        <v>134</v>
      </c>
      <c r="E35">
        <v>1120</v>
      </c>
      <c r="F35">
        <v>1344</v>
      </c>
      <c r="H35" s="195" t="s">
        <v>216</v>
      </c>
      <c r="I35" s="197" t="s">
        <v>225</v>
      </c>
      <c r="J35" s="70" t="s">
        <v>217</v>
      </c>
      <c r="K35" s="70" t="s">
        <v>226</v>
      </c>
      <c r="L35" s="70" t="s">
        <v>118</v>
      </c>
      <c r="M35" s="70" t="s">
        <v>143</v>
      </c>
      <c r="N35" s="70" t="s">
        <v>227</v>
      </c>
      <c r="O35" s="70" t="s">
        <v>120</v>
      </c>
    </row>
    <row r="36" spans="3:17">
      <c r="C36" t="s">
        <v>135</v>
      </c>
      <c r="E36">
        <v>269</v>
      </c>
      <c r="F36">
        <v>322.8</v>
      </c>
      <c r="H36" s="195"/>
      <c r="I36" s="198"/>
      <c r="J36" s="71" t="s">
        <v>218</v>
      </c>
      <c r="K36" s="71" t="s">
        <v>219</v>
      </c>
      <c r="L36" s="71" t="s">
        <v>220</v>
      </c>
      <c r="M36" s="71" t="s">
        <v>221</v>
      </c>
      <c r="N36" s="71" t="s">
        <v>222</v>
      </c>
      <c r="O36" s="71" t="s">
        <v>223</v>
      </c>
    </row>
    <row r="37" spans="3:17" ht="16.2" thickBot="1">
      <c r="C37" t="s">
        <v>142</v>
      </c>
      <c r="E37">
        <v>1.9</v>
      </c>
      <c r="F37">
        <v>2.2799999999999998</v>
      </c>
      <c r="H37" s="196"/>
      <c r="I37" s="72" t="s">
        <v>224</v>
      </c>
      <c r="J37" s="77" t="s">
        <v>224</v>
      </c>
      <c r="K37" s="77" t="s">
        <v>224</v>
      </c>
      <c r="L37" s="77" t="s">
        <v>224</v>
      </c>
      <c r="M37" s="77" t="s">
        <v>224</v>
      </c>
      <c r="N37" s="77" t="s">
        <v>224</v>
      </c>
      <c r="O37" s="77" t="s">
        <v>224</v>
      </c>
    </row>
    <row r="38" spans="3:17" ht="17.399999999999999">
      <c r="C38" t="s">
        <v>119</v>
      </c>
      <c r="E38">
        <v>0.2</v>
      </c>
      <c r="F38">
        <v>0.24</v>
      </c>
      <c r="H38" s="73" t="s">
        <v>2</v>
      </c>
      <c r="I38" s="3">
        <v>120</v>
      </c>
      <c r="J38" s="3">
        <v>1.9</v>
      </c>
      <c r="K38" s="3">
        <v>0.2</v>
      </c>
      <c r="L38" s="3">
        <v>51</v>
      </c>
      <c r="M38" s="3">
        <v>2.8</v>
      </c>
      <c r="N38" s="3">
        <v>9.42</v>
      </c>
      <c r="O38" s="3">
        <v>0.61</v>
      </c>
    </row>
    <row r="39" spans="3:17" ht="17.399999999999999">
      <c r="C39" t="s">
        <v>118</v>
      </c>
      <c r="E39">
        <v>51</v>
      </c>
      <c r="F39">
        <v>61.2</v>
      </c>
      <c r="H39" s="73" t="s">
        <v>10</v>
      </c>
      <c r="I39" s="3">
        <v>35</v>
      </c>
      <c r="J39" s="18">
        <v>51.3</v>
      </c>
      <c r="K39" s="18">
        <v>4.0999999999999996</v>
      </c>
      <c r="L39" s="18">
        <v>5</v>
      </c>
      <c r="M39" s="18">
        <v>3</v>
      </c>
      <c r="N39" s="18">
        <v>0.8</v>
      </c>
      <c r="O39" s="18">
        <v>1.4</v>
      </c>
    </row>
    <row r="40" spans="3:17" ht="17.399999999999999">
      <c r="C40" t="s">
        <v>143</v>
      </c>
      <c r="E40">
        <v>2.8</v>
      </c>
      <c r="F40">
        <v>3.36</v>
      </c>
      <c r="H40" s="73" t="s">
        <v>12</v>
      </c>
      <c r="I40" s="3">
        <v>20</v>
      </c>
      <c r="J40" s="18">
        <v>0.2</v>
      </c>
      <c r="K40" s="3">
        <v>0</v>
      </c>
      <c r="L40" s="3">
        <v>1.4</v>
      </c>
      <c r="M40" s="3">
        <v>0</v>
      </c>
      <c r="N40" s="3">
        <v>1.3</v>
      </c>
      <c r="O40" s="3">
        <v>0</v>
      </c>
    </row>
    <row r="41" spans="3:17" ht="17.399999999999999">
      <c r="C41" t="s">
        <v>133</v>
      </c>
      <c r="E41">
        <v>9.42</v>
      </c>
      <c r="F41">
        <v>11.304</v>
      </c>
      <c r="H41" s="73" t="s">
        <v>81</v>
      </c>
      <c r="I41" s="3">
        <v>36</v>
      </c>
      <c r="J41" s="3">
        <v>1.6</v>
      </c>
      <c r="K41" s="3">
        <v>0.6</v>
      </c>
      <c r="L41" s="3">
        <v>3.4</v>
      </c>
      <c r="M41" s="3">
        <v>0.5</v>
      </c>
      <c r="N41" s="3">
        <v>14</v>
      </c>
      <c r="O41" s="3">
        <v>3.1</v>
      </c>
    </row>
    <row r="42" spans="3:17" ht="17.399999999999999">
      <c r="C42" t="s">
        <v>120</v>
      </c>
      <c r="E42">
        <v>0.61</v>
      </c>
      <c r="F42">
        <v>0.73199999999999998</v>
      </c>
      <c r="H42" s="73" t="s">
        <v>26</v>
      </c>
      <c r="I42" s="3">
        <v>16</v>
      </c>
      <c r="J42" s="3">
        <v>27</v>
      </c>
      <c r="K42" s="78">
        <v>13</v>
      </c>
      <c r="L42" s="3">
        <v>0.5</v>
      </c>
      <c r="M42" s="3">
        <v>0</v>
      </c>
      <c r="N42" s="3">
        <v>24</v>
      </c>
      <c r="O42" s="3">
        <v>2</v>
      </c>
    </row>
    <row r="43" spans="3:17" ht="17.399999999999999">
      <c r="H43" s="73" t="s">
        <v>112</v>
      </c>
      <c r="I43" s="3">
        <v>22</v>
      </c>
      <c r="J43" s="3">
        <v>10.6</v>
      </c>
      <c r="K43" s="3">
        <v>3.23</v>
      </c>
      <c r="L43" s="3">
        <v>3.4</v>
      </c>
      <c r="M43" s="3">
        <v>0.5</v>
      </c>
      <c r="N43" s="3">
        <v>12.6</v>
      </c>
      <c r="O43" s="3">
        <v>0.3</v>
      </c>
    </row>
    <row r="45" spans="3:17">
      <c r="C45" s="64" t="s">
        <v>151</v>
      </c>
      <c r="D45" s="54"/>
      <c r="F45" t="s">
        <v>246</v>
      </c>
    </row>
    <row r="46" spans="3:17" ht="28.8">
      <c r="C46" t="s">
        <v>134</v>
      </c>
      <c r="E46" s="56">
        <v>2002</v>
      </c>
      <c r="H46" s="202" t="s">
        <v>0</v>
      </c>
      <c r="I46" s="204" t="s">
        <v>229</v>
      </c>
      <c r="J46" s="70" t="s">
        <v>217</v>
      </c>
      <c r="K46" s="70" t="s">
        <v>226</v>
      </c>
      <c r="L46" s="70" t="s">
        <v>118</v>
      </c>
      <c r="M46" s="70" t="s">
        <v>143</v>
      </c>
      <c r="N46" s="70" t="s">
        <v>227</v>
      </c>
      <c r="O46" s="70" t="s">
        <v>120</v>
      </c>
      <c r="P46" s="191" t="s">
        <v>230</v>
      </c>
      <c r="Q46" s="192"/>
    </row>
    <row r="47" spans="3:17">
      <c r="C47" t="s">
        <v>135</v>
      </c>
      <c r="E47" s="56">
        <v>486</v>
      </c>
      <c r="H47" s="203"/>
      <c r="I47" s="205"/>
      <c r="J47" s="71" t="s">
        <v>218</v>
      </c>
      <c r="K47" s="71" t="s">
        <v>219</v>
      </c>
      <c r="L47" s="71" t="s">
        <v>220</v>
      </c>
      <c r="M47" s="71" t="s">
        <v>221</v>
      </c>
      <c r="N47" s="71" t="s">
        <v>222</v>
      </c>
      <c r="O47" s="71" t="s">
        <v>223</v>
      </c>
      <c r="P47" s="71" t="s">
        <v>231</v>
      </c>
      <c r="Q47" s="71" t="s">
        <v>231</v>
      </c>
    </row>
    <row r="48" spans="3:17">
      <c r="C48" t="s">
        <v>142</v>
      </c>
      <c r="E48" s="56">
        <v>51.3</v>
      </c>
      <c r="F48" s="88">
        <f t="shared" ref="F48:F53" si="2">$E48*35/100</f>
        <v>17.954999999999998</v>
      </c>
      <c r="H48" s="203"/>
      <c r="I48" s="205"/>
      <c r="J48" s="77" t="s">
        <v>224</v>
      </c>
      <c r="K48" s="77" t="s">
        <v>224</v>
      </c>
      <c r="L48" s="77" t="s">
        <v>224</v>
      </c>
      <c r="M48" s="77" t="s">
        <v>224</v>
      </c>
      <c r="N48" s="77" t="s">
        <v>224</v>
      </c>
      <c r="O48" s="77" t="s">
        <v>224</v>
      </c>
      <c r="P48" s="77" t="s">
        <v>232</v>
      </c>
      <c r="Q48" s="77" t="s">
        <v>233</v>
      </c>
    </row>
    <row r="49" spans="3:17" ht="17.399999999999999">
      <c r="C49" t="s">
        <v>119</v>
      </c>
      <c r="E49" s="56">
        <v>4.0999999999999996</v>
      </c>
      <c r="F49" s="88">
        <f t="shared" si="2"/>
        <v>1.4350000000000001</v>
      </c>
      <c r="H49" s="240" t="s">
        <v>2</v>
      </c>
      <c r="I49" s="241"/>
      <c r="J49" s="78">
        <f t="shared" ref="J49:J54" si="3">$J38*$I38/245</f>
        <v>0.93061224489795913</v>
      </c>
      <c r="K49" s="78">
        <f t="shared" ref="K49:K54" si="4">$K38*$I38/245</f>
        <v>9.7959183673469383E-2</v>
      </c>
      <c r="L49" s="78">
        <f t="shared" ref="L49:L54" si="5">L38*I38/245</f>
        <v>24.979591836734695</v>
      </c>
      <c r="M49" s="78">
        <f t="shared" ref="M49:M54" si="6">M38*I38/245</f>
        <v>1.3714285714285714</v>
      </c>
      <c r="N49" s="78">
        <f t="shared" ref="N49:N54" si="7">N38*I38/245</f>
        <v>4.6138775510204084</v>
      </c>
      <c r="O49" s="78">
        <f t="shared" ref="O49:O54" si="8">O38*I38/245</f>
        <v>0.29877551020408166</v>
      </c>
      <c r="P49" s="3"/>
      <c r="Q49" s="3"/>
    </row>
    <row r="50" spans="3:17" ht="17.399999999999999">
      <c r="C50" t="s">
        <v>118</v>
      </c>
      <c r="E50" s="56">
        <v>5</v>
      </c>
      <c r="F50" s="88">
        <f t="shared" si="2"/>
        <v>1.75</v>
      </c>
      <c r="H50" s="240" t="s">
        <v>10</v>
      </c>
      <c r="I50" s="241"/>
      <c r="J50" s="78">
        <f t="shared" si="3"/>
        <v>7.3285714285714283</v>
      </c>
      <c r="K50" s="78">
        <f t="shared" si="4"/>
        <v>0.58571428571428574</v>
      </c>
      <c r="L50" s="78">
        <f t="shared" si="5"/>
        <v>0.7142857142857143</v>
      </c>
      <c r="M50" s="78">
        <f t="shared" si="6"/>
        <v>0.42857142857142855</v>
      </c>
      <c r="N50" s="78">
        <f t="shared" si="7"/>
        <v>0.11428571428571428</v>
      </c>
      <c r="O50" s="78">
        <f t="shared" si="8"/>
        <v>0.2</v>
      </c>
      <c r="P50" s="3"/>
      <c r="Q50" s="3"/>
    </row>
    <row r="51" spans="3:17" ht="17.399999999999999">
      <c r="C51" t="s">
        <v>143</v>
      </c>
      <c r="E51" s="56">
        <v>3</v>
      </c>
      <c r="F51" s="88">
        <f t="shared" si="2"/>
        <v>1.05</v>
      </c>
      <c r="H51" s="240" t="s">
        <v>12</v>
      </c>
      <c r="I51" s="241"/>
      <c r="J51" s="78">
        <f t="shared" si="3"/>
        <v>1.6326530612244899E-2</v>
      </c>
      <c r="K51" s="78">
        <f t="shared" si="4"/>
        <v>0</v>
      </c>
      <c r="L51" s="78">
        <f t="shared" si="5"/>
        <v>0.11428571428571428</v>
      </c>
      <c r="M51" s="78">
        <f t="shared" si="6"/>
        <v>0</v>
      </c>
      <c r="N51" s="78">
        <f t="shared" si="7"/>
        <v>0.10612244897959183</v>
      </c>
      <c r="O51" s="78">
        <f t="shared" si="8"/>
        <v>0</v>
      </c>
      <c r="P51" s="3"/>
      <c r="Q51" s="3"/>
    </row>
    <row r="52" spans="3:17" ht="17.399999999999999">
      <c r="C52" t="s">
        <v>133</v>
      </c>
      <c r="E52" s="56">
        <v>0.8</v>
      </c>
      <c r="F52" s="88">
        <f t="shared" si="2"/>
        <v>0.28000000000000003</v>
      </c>
      <c r="H52" s="240" t="s">
        <v>81</v>
      </c>
      <c r="I52" s="241"/>
      <c r="J52" s="78">
        <f t="shared" si="3"/>
        <v>0.23510204081632655</v>
      </c>
      <c r="K52" s="78">
        <f t="shared" si="4"/>
        <v>8.8163265306122438E-2</v>
      </c>
      <c r="L52" s="78">
        <f t="shared" si="5"/>
        <v>0.49959183673469382</v>
      </c>
      <c r="M52" s="78">
        <f t="shared" si="6"/>
        <v>7.3469387755102047E-2</v>
      </c>
      <c r="N52" s="78">
        <f t="shared" si="7"/>
        <v>2.0571428571428569</v>
      </c>
      <c r="O52" s="78">
        <f t="shared" si="8"/>
        <v>0.45551020408163267</v>
      </c>
      <c r="P52" s="3"/>
      <c r="Q52" s="3"/>
    </row>
    <row r="53" spans="3:17" ht="17.399999999999999">
      <c r="C53" t="s">
        <v>120</v>
      </c>
      <c r="E53" s="56">
        <v>1.4</v>
      </c>
      <c r="F53" s="88">
        <f t="shared" si="2"/>
        <v>0.49</v>
      </c>
      <c r="H53" s="240" t="s">
        <v>26</v>
      </c>
      <c r="I53" s="241"/>
      <c r="J53" s="78">
        <f t="shared" si="3"/>
        <v>1.763265306122449</v>
      </c>
      <c r="K53" s="78">
        <f t="shared" si="4"/>
        <v>0.84897959183673466</v>
      </c>
      <c r="L53" s="78">
        <f t="shared" si="5"/>
        <v>3.2653061224489799E-2</v>
      </c>
      <c r="M53" s="78">
        <f t="shared" si="6"/>
        <v>0</v>
      </c>
      <c r="N53" s="78">
        <f t="shared" si="7"/>
        <v>1.5673469387755101</v>
      </c>
      <c r="O53" s="78">
        <f t="shared" si="8"/>
        <v>0.1306122448979592</v>
      </c>
      <c r="P53" s="3"/>
      <c r="Q53" s="3"/>
    </row>
    <row r="54" spans="3:17" ht="17.399999999999999">
      <c r="H54" s="240" t="s">
        <v>112</v>
      </c>
      <c r="I54" s="241"/>
      <c r="J54" s="78">
        <f t="shared" si="3"/>
        <v>0.95183673469387753</v>
      </c>
      <c r="K54" s="78">
        <f t="shared" si="4"/>
        <v>0.29004081632653061</v>
      </c>
      <c r="L54" s="78">
        <f t="shared" si="5"/>
        <v>0.30530612244897959</v>
      </c>
      <c r="M54" s="78">
        <f t="shared" si="6"/>
        <v>4.4897959183673466E-2</v>
      </c>
      <c r="N54" s="78">
        <f t="shared" si="7"/>
        <v>1.1314285714285715</v>
      </c>
      <c r="O54" s="78">
        <f t="shared" si="8"/>
        <v>2.6938775510204079E-2</v>
      </c>
      <c r="P54" s="3"/>
      <c r="Q54" s="3"/>
    </row>
    <row r="55" spans="3:17">
      <c r="H55" s="189" t="s">
        <v>234</v>
      </c>
      <c r="I55" s="190"/>
      <c r="J55" s="85">
        <f t="shared" ref="J55:O55" si="9">SUM(J49:J54)</f>
        <v>11.225714285714284</v>
      </c>
      <c r="K55" s="84">
        <f t="shared" si="9"/>
        <v>1.9108571428571428</v>
      </c>
      <c r="L55" s="85">
        <f t="shared" si="9"/>
        <v>26.645714285714288</v>
      </c>
      <c r="M55" s="84">
        <f t="shared" si="9"/>
        <v>1.9183673469387756</v>
      </c>
      <c r="N55" s="84">
        <f t="shared" si="9"/>
        <v>9.5902040816326526</v>
      </c>
      <c r="O55" s="84">
        <f t="shared" si="9"/>
        <v>1.1118367346938778</v>
      </c>
      <c r="P55" s="85">
        <f>17*N55+37*J55+17*L55</f>
        <v>1031.3620408163265</v>
      </c>
      <c r="Q55" s="85">
        <f>4*N55+9*J55+4*L55</f>
        <v>245.97510204081635</v>
      </c>
    </row>
    <row r="56" spans="3:17">
      <c r="C56" s="67" t="s">
        <v>149</v>
      </c>
      <c r="F56" t="s">
        <v>150</v>
      </c>
    </row>
    <row r="57" spans="3:17">
      <c r="C57" t="s">
        <v>134</v>
      </c>
      <c r="E57">
        <v>65</v>
      </c>
      <c r="F57">
        <v>13</v>
      </c>
    </row>
    <row r="58" spans="3:17">
      <c r="C58" t="s">
        <v>135</v>
      </c>
      <c r="E58">
        <v>15</v>
      </c>
      <c r="F58">
        <v>3</v>
      </c>
    </row>
    <row r="59" spans="3:17">
      <c r="C59" t="s">
        <v>142</v>
      </c>
      <c r="E59">
        <v>0.2</v>
      </c>
      <c r="F59">
        <v>0.04</v>
      </c>
    </row>
    <row r="60" spans="3:17">
      <c r="C60" t="s">
        <v>119</v>
      </c>
      <c r="E60">
        <v>0</v>
      </c>
      <c r="F60">
        <v>0</v>
      </c>
    </row>
    <row r="61" spans="3:17">
      <c r="C61" t="s">
        <v>118</v>
      </c>
      <c r="E61">
        <v>1.4</v>
      </c>
      <c r="F61">
        <v>0.28000000000000003</v>
      </c>
    </row>
    <row r="62" spans="3:17">
      <c r="C62" t="s">
        <v>143</v>
      </c>
      <c r="E62">
        <v>0</v>
      </c>
      <c r="F62">
        <v>0</v>
      </c>
    </row>
    <row r="63" spans="3:17">
      <c r="C63" t="s">
        <v>133</v>
      </c>
      <c r="E63">
        <v>1.3</v>
      </c>
      <c r="F63">
        <v>0.26</v>
      </c>
    </row>
    <row r="64" spans="3:17">
      <c r="C64" t="s">
        <v>120</v>
      </c>
      <c r="E64">
        <v>0</v>
      </c>
      <c r="F64">
        <v>0</v>
      </c>
    </row>
    <row r="67" spans="3:6">
      <c r="C67" s="67" t="s">
        <v>81</v>
      </c>
      <c r="F67" t="s">
        <v>247</v>
      </c>
    </row>
    <row r="68" spans="3:6">
      <c r="C68" t="s">
        <v>142</v>
      </c>
      <c r="E68">
        <v>1.6</v>
      </c>
      <c r="F68" s="55">
        <f t="shared" ref="F68:F73" si="10">$E68*36/100</f>
        <v>0.57600000000000007</v>
      </c>
    </row>
    <row r="69" spans="3:6">
      <c r="C69" t="s">
        <v>119</v>
      </c>
      <c r="E69">
        <v>0.6</v>
      </c>
      <c r="F69" s="55">
        <f t="shared" si="10"/>
        <v>0.21599999999999997</v>
      </c>
    </row>
    <row r="70" spans="3:6">
      <c r="C70" t="s">
        <v>118</v>
      </c>
      <c r="E70">
        <v>3.4</v>
      </c>
      <c r="F70" s="55">
        <f t="shared" si="10"/>
        <v>1.224</v>
      </c>
    </row>
    <row r="71" spans="3:6">
      <c r="C71" t="s">
        <v>143</v>
      </c>
      <c r="E71">
        <v>0.5</v>
      </c>
      <c r="F71" s="55">
        <f t="shared" si="10"/>
        <v>0.18</v>
      </c>
    </row>
    <row r="72" spans="3:6">
      <c r="C72" t="s">
        <v>133</v>
      </c>
      <c r="E72">
        <v>14</v>
      </c>
      <c r="F72" s="55">
        <f t="shared" si="10"/>
        <v>5.04</v>
      </c>
    </row>
    <row r="73" spans="3:6">
      <c r="C73" t="s">
        <v>120</v>
      </c>
      <c r="E73">
        <v>3.1</v>
      </c>
      <c r="F73" s="55">
        <f t="shared" si="10"/>
        <v>1.1160000000000001</v>
      </c>
    </row>
    <row r="76" spans="3:6">
      <c r="C76" s="67" t="s">
        <v>26</v>
      </c>
      <c r="F76" t="s">
        <v>248</v>
      </c>
    </row>
    <row r="77" spans="3:6">
      <c r="C77" t="s">
        <v>134</v>
      </c>
      <c r="E77">
        <v>1438</v>
      </c>
    </row>
    <row r="78" spans="3:6">
      <c r="C78" t="s">
        <v>135</v>
      </c>
      <c r="E78">
        <v>347</v>
      </c>
    </row>
    <row r="79" spans="3:6">
      <c r="C79" t="s">
        <v>142</v>
      </c>
      <c r="E79">
        <v>27</v>
      </c>
      <c r="F79">
        <f t="shared" ref="F79:F84" si="11">$E79*16/100</f>
        <v>4.32</v>
      </c>
    </row>
    <row r="80" spans="3:6">
      <c r="C80" t="s">
        <v>119</v>
      </c>
      <c r="E80">
        <v>13</v>
      </c>
      <c r="F80">
        <f t="shared" si="11"/>
        <v>2.08</v>
      </c>
    </row>
    <row r="81" spans="3:6">
      <c r="C81" t="s">
        <v>118</v>
      </c>
      <c r="E81">
        <v>0.5</v>
      </c>
      <c r="F81">
        <f t="shared" si="11"/>
        <v>0.08</v>
      </c>
    </row>
    <row r="82" spans="3:6">
      <c r="C82" t="s">
        <v>143</v>
      </c>
      <c r="E82">
        <v>0</v>
      </c>
      <c r="F82">
        <f t="shared" si="11"/>
        <v>0</v>
      </c>
    </row>
    <row r="83" spans="3:6">
      <c r="C83" t="s">
        <v>133</v>
      </c>
      <c r="E83">
        <v>24</v>
      </c>
      <c r="F83">
        <f t="shared" si="11"/>
        <v>3.84</v>
      </c>
    </row>
    <row r="84" spans="3:6">
      <c r="C84" t="s">
        <v>120</v>
      </c>
      <c r="E84">
        <v>2</v>
      </c>
      <c r="F84">
        <f t="shared" si="11"/>
        <v>0.32</v>
      </c>
    </row>
    <row r="87" spans="3:6">
      <c r="C87" s="94" t="s">
        <v>257</v>
      </c>
      <c r="F87" t="s">
        <v>255</v>
      </c>
    </row>
    <row r="88" spans="3:6">
      <c r="C88" t="s">
        <v>134</v>
      </c>
    </row>
    <row r="89" spans="3:6">
      <c r="C89" t="s">
        <v>135</v>
      </c>
    </row>
    <row r="90" spans="3:6">
      <c r="C90" t="s">
        <v>142</v>
      </c>
      <c r="E90">
        <v>10.6</v>
      </c>
      <c r="F90" s="55">
        <f t="shared" ref="F90:F95" si="12">$E90*21/100</f>
        <v>2.226</v>
      </c>
    </row>
    <row r="91" spans="3:6">
      <c r="C91" t="s">
        <v>119</v>
      </c>
      <c r="E91">
        <v>3.23</v>
      </c>
      <c r="F91" s="55">
        <f t="shared" si="12"/>
        <v>0.67830000000000001</v>
      </c>
    </row>
    <row r="92" spans="3:6">
      <c r="C92" t="s">
        <v>118</v>
      </c>
      <c r="E92">
        <v>3.4</v>
      </c>
      <c r="F92" s="55">
        <f t="shared" si="12"/>
        <v>0.71399999999999997</v>
      </c>
    </row>
    <row r="93" spans="3:6">
      <c r="C93" t="s">
        <v>143</v>
      </c>
      <c r="E93">
        <v>0.5</v>
      </c>
      <c r="F93" s="55">
        <f t="shared" si="12"/>
        <v>0.105</v>
      </c>
    </row>
    <row r="94" spans="3:6">
      <c r="C94" t="s">
        <v>133</v>
      </c>
      <c r="E94">
        <v>12.6</v>
      </c>
      <c r="F94" s="55">
        <f t="shared" si="12"/>
        <v>2.6459999999999995</v>
      </c>
    </row>
    <row r="95" spans="3:6">
      <c r="C95" t="s">
        <v>120</v>
      </c>
      <c r="E95">
        <v>0.3</v>
      </c>
      <c r="F95" s="55">
        <f t="shared" si="12"/>
        <v>6.3E-2</v>
      </c>
    </row>
  </sheetData>
  <mergeCells count="14">
    <mergeCell ref="H53:I53"/>
    <mergeCell ref="H54:I54"/>
    <mergeCell ref="H55:I55"/>
    <mergeCell ref="P46:Q46"/>
    <mergeCell ref="H49:I49"/>
    <mergeCell ref="H50:I50"/>
    <mergeCell ref="H51:I51"/>
    <mergeCell ref="H52:I52"/>
    <mergeCell ref="A1:H1"/>
    <mergeCell ref="J34:O34"/>
    <mergeCell ref="H35:H37"/>
    <mergeCell ref="I35:I36"/>
    <mergeCell ref="H46:H48"/>
    <mergeCell ref="I46:I48"/>
  </mergeCells>
  <phoneticPr fontId="2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1"/>
  <sheetViews>
    <sheetView topLeftCell="D16" zoomScale="70" zoomScaleNormal="70" zoomScalePageLayoutView="70" workbookViewId="0">
      <selection activeCell="F21" sqref="F21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16.69921875" bestFit="1" customWidth="1"/>
    <col min="5" max="5" width="13.296875" bestFit="1" customWidth="1"/>
    <col min="6" max="6" width="47.19921875" customWidth="1"/>
    <col min="7" max="7" width="19.69921875" customWidth="1"/>
    <col min="8" max="8" width="29.19921875" customWidth="1"/>
    <col min="9" max="9" width="18.69921875" customWidth="1"/>
    <col min="10" max="10" width="17.19921875" customWidth="1"/>
    <col min="11" max="11" width="18.5" customWidth="1"/>
  </cols>
  <sheetData>
    <row r="1" spans="1:8" ht="31.05" customHeight="1">
      <c r="A1" s="193" t="s">
        <v>431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416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78.599999999999994">
      <c r="A3" s="2" t="s">
        <v>415</v>
      </c>
      <c r="B3" s="37" t="s">
        <v>3</v>
      </c>
      <c r="C3" s="3">
        <v>80</v>
      </c>
      <c r="D3" s="3"/>
      <c r="E3" s="3"/>
      <c r="F3" s="6" t="s">
        <v>417</v>
      </c>
      <c r="G3" s="68" t="s">
        <v>418</v>
      </c>
      <c r="H3" s="21" t="s">
        <v>8</v>
      </c>
    </row>
    <row r="4" spans="1:8" ht="109.8">
      <c r="A4" s="2" t="s">
        <v>38</v>
      </c>
      <c r="B4" s="37" t="s">
        <v>389</v>
      </c>
      <c r="C4" s="3">
        <v>25</v>
      </c>
      <c r="D4" s="3"/>
      <c r="E4" s="3"/>
      <c r="F4" s="5" t="s">
        <v>430</v>
      </c>
      <c r="G4" s="6" t="s">
        <v>86</v>
      </c>
      <c r="H4" s="3"/>
    </row>
    <row r="5" spans="1:8" ht="63">
      <c r="A5" s="2" t="s">
        <v>39</v>
      </c>
      <c r="B5" s="12" t="s">
        <v>40</v>
      </c>
      <c r="C5" s="3">
        <v>14</v>
      </c>
      <c r="D5" s="3"/>
      <c r="E5" s="3"/>
      <c r="F5" s="6" t="s">
        <v>85</v>
      </c>
      <c r="G5" s="3"/>
      <c r="H5" s="3"/>
    </row>
    <row r="6" spans="1:8" ht="63">
      <c r="A6" s="165" t="s">
        <v>414</v>
      </c>
      <c r="B6" s="12" t="s">
        <v>419</v>
      </c>
      <c r="C6" s="3">
        <v>14</v>
      </c>
      <c r="D6" s="3"/>
      <c r="E6" s="3"/>
      <c r="F6" s="6" t="s">
        <v>420</v>
      </c>
      <c r="G6" s="3" t="s">
        <v>17</v>
      </c>
      <c r="H6" s="3"/>
    </row>
    <row r="7" spans="1:8" ht="31.2">
      <c r="A7" s="2" t="s">
        <v>55</v>
      </c>
      <c r="B7" s="43" t="s">
        <v>421</v>
      </c>
      <c r="C7" s="3">
        <v>10</v>
      </c>
      <c r="D7" s="3"/>
      <c r="E7" s="3"/>
      <c r="F7" s="17" t="s">
        <v>422</v>
      </c>
      <c r="G7" s="3"/>
      <c r="H7" s="21"/>
    </row>
    <row r="8" spans="1:8" ht="43.95" customHeight="1">
      <c r="C8">
        <f>SUM(C3:C7)</f>
        <v>143</v>
      </c>
      <c r="D8">
        <f>SUM(D3:D7)</f>
        <v>0</v>
      </c>
      <c r="E8">
        <f>SUM(E3:E7)</f>
        <v>0</v>
      </c>
      <c r="F8" s="46"/>
    </row>
    <row r="21" spans="3:15">
      <c r="F21" t="s">
        <v>424</v>
      </c>
      <c r="G21" t="s">
        <v>425</v>
      </c>
      <c r="H21" t="s">
        <v>427</v>
      </c>
      <c r="I21" t="s">
        <v>428</v>
      </c>
      <c r="K21" t="s">
        <v>429</v>
      </c>
      <c r="L21" t="s">
        <v>154</v>
      </c>
      <c r="M21" s="65" t="s">
        <v>155</v>
      </c>
    </row>
    <row r="22" spans="3:15">
      <c r="C22" t="s">
        <v>142</v>
      </c>
      <c r="F22">
        <v>2.8</v>
      </c>
      <c r="G22">
        <v>16.5</v>
      </c>
      <c r="H22" s="55">
        <v>3.64</v>
      </c>
      <c r="I22" s="55">
        <v>0.51800000000000002</v>
      </c>
      <c r="J22" s="55"/>
      <c r="K22" s="55">
        <v>0.02</v>
      </c>
      <c r="L22" s="55">
        <f t="shared" ref="L22:L27" si="0">SUM(F22:K22)</f>
        <v>23.478000000000002</v>
      </c>
      <c r="M22" s="55">
        <f>$L22*100/143</f>
        <v>16.418181818181818</v>
      </c>
    </row>
    <row r="23" spans="3:15">
      <c r="C23" t="s">
        <v>119</v>
      </c>
      <c r="F23">
        <v>0.32</v>
      </c>
      <c r="G23">
        <v>1.425</v>
      </c>
      <c r="H23" s="55">
        <v>1.68</v>
      </c>
      <c r="I23" s="55">
        <v>0.16800000000000001</v>
      </c>
      <c r="J23" s="55"/>
      <c r="K23" s="55">
        <v>0</v>
      </c>
      <c r="L23" s="55">
        <f t="shared" si="0"/>
        <v>3.593</v>
      </c>
      <c r="M23" s="55">
        <f t="shared" ref="M23:M27" si="1">$L23*100/143</f>
        <v>2.5125874125874126</v>
      </c>
    </row>
    <row r="24" spans="3:15">
      <c r="C24" t="s">
        <v>118</v>
      </c>
      <c r="F24">
        <v>36.799999999999997</v>
      </c>
      <c r="G24">
        <v>8</v>
      </c>
      <c r="H24" s="55">
        <v>9.799999999999999E-2</v>
      </c>
      <c r="I24" s="55">
        <v>0.28000000000000003</v>
      </c>
      <c r="J24" s="55"/>
      <c r="K24" s="55">
        <v>0.61</v>
      </c>
      <c r="L24" s="55">
        <f t="shared" si="0"/>
        <v>45.787999999999997</v>
      </c>
      <c r="M24" s="55">
        <f t="shared" si="1"/>
        <v>32.019580419580414</v>
      </c>
    </row>
    <row r="25" spans="3:15">
      <c r="C25" t="s">
        <v>143</v>
      </c>
      <c r="F25">
        <v>1.44</v>
      </c>
      <c r="G25">
        <v>0.35</v>
      </c>
      <c r="H25" s="55">
        <v>0</v>
      </c>
      <c r="I25" s="55">
        <v>0.126</v>
      </c>
      <c r="J25" s="55"/>
      <c r="K25" s="55">
        <v>0.48</v>
      </c>
      <c r="L25" s="55">
        <f t="shared" si="0"/>
        <v>2.3959999999999999</v>
      </c>
      <c r="M25" s="55">
        <f t="shared" si="1"/>
        <v>1.6755244755244756</v>
      </c>
    </row>
    <row r="26" spans="3:15">
      <c r="C26" t="s">
        <v>133</v>
      </c>
      <c r="F26">
        <v>7.68</v>
      </c>
      <c r="G26">
        <v>0.1875</v>
      </c>
      <c r="H26" s="55">
        <v>3.64</v>
      </c>
      <c r="I26" s="55">
        <v>1.9320000000000002</v>
      </c>
      <c r="J26" s="55"/>
      <c r="K26" s="55">
        <v>0.08</v>
      </c>
      <c r="L26" s="55">
        <f t="shared" si="0"/>
        <v>13.519500000000001</v>
      </c>
      <c r="M26" s="55">
        <f t="shared" si="1"/>
        <v>9.4541958041958036</v>
      </c>
    </row>
    <row r="27" spans="3:15">
      <c r="C27" t="s">
        <v>120</v>
      </c>
      <c r="F27">
        <v>1.2</v>
      </c>
      <c r="G27">
        <v>0.1125</v>
      </c>
      <c r="H27" s="55">
        <v>0.16800000000000001</v>
      </c>
      <c r="I27" s="55">
        <v>0.29400000000000004</v>
      </c>
      <c r="J27" s="55"/>
      <c r="K27" s="55">
        <v>0.1</v>
      </c>
      <c r="L27" s="55">
        <f t="shared" si="0"/>
        <v>1.8745000000000001</v>
      </c>
      <c r="M27" s="55">
        <f t="shared" si="1"/>
        <v>1.310839160839161</v>
      </c>
    </row>
    <row r="30" spans="3:15">
      <c r="C30" s="64" t="s">
        <v>423</v>
      </c>
      <c r="D30" s="93"/>
      <c r="E30" t="s">
        <v>212</v>
      </c>
      <c r="F30" t="s">
        <v>424</v>
      </c>
      <c r="H30" s="69"/>
      <c r="I30" s="69"/>
      <c r="J30" s="199" t="s">
        <v>228</v>
      </c>
      <c r="K30" s="200"/>
      <c r="L30" s="200"/>
      <c r="M30" s="200"/>
      <c r="N30" s="200"/>
      <c r="O30" s="201"/>
    </row>
    <row r="31" spans="3:15" ht="28.8">
      <c r="C31" t="s">
        <v>142</v>
      </c>
      <c r="E31">
        <v>3.5</v>
      </c>
      <c r="F31" s="55">
        <f>80*$E31/100</f>
        <v>2.8</v>
      </c>
      <c r="H31" s="195" t="s">
        <v>216</v>
      </c>
      <c r="I31" s="197" t="s">
        <v>225</v>
      </c>
      <c r="J31" s="70" t="s">
        <v>217</v>
      </c>
      <c r="K31" s="70" t="s">
        <v>226</v>
      </c>
      <c r="L31" s="70" t="s">
        <v>118</v>
      </c>
      <c r="M31" s="70" t="s">
        <v>143</v>
      </c>
      <c r="N31" s="70" t="s">
        <v>227</v>
      </c>
      <c r="O31" s="70" t="s">
        <v>120</v>
      </c>
    </row>
    <row r="32" spans="3:15">
      <c r="C32" t="s">
        <v>119</v>
      </c>
      <c r="E32">
        <v>0.4</v>
      </c>
      <c r="F32" s="55">
        <f t="shared" ref="F32:F36" si="2">80*$E32/100</f>
        <v>0.32</v>
      </c>
      <c r="H32" s="195"/>
      <c r="I32" s="198"/>
      <c r="J32" s="71" t="s">
        <v>218</v>
      </c>
      <c r="K32" s="71" t="s">
        <v>219</v>
      </c>
      <c r="L32" s="71" t="s">
        <v>220</v>
      </c>
      <c r="M32" s="71" t="s">
        <v>221</v>
      </c>
      <c r="N32" s="71" t="s">
        <v>222</v>
      </c>
      <c r="O32" s="71" t="s">
        <v>223</v>
      </c>
    </row>
    <row r="33" spans="3:17" ht="16.2" thickBot="1">
      <c r="C33" t="s">
        <v>118</v>
      </c>
      <c r="E33">
        <v>46</v>
      </c>
      <c r="F33" s="55">
        <f t="shared" si="2"/>
        <v>36.799999999999997</v>
      </c>
      <c r="H33" s="196"/>
      <c r="I33" s="72" t="s">
        <v>224</v>
      </c>
      <c r="J33" s="77" t="s">
        <v>224</v>
      </c>
      <c r="K33" s="77" t="s">
        <v>224</v>
      </c>
      <c r="L33" s="77" t="s">
        <v>224</v>
      </c>
      <c r="M33" s="77" t="s">
        <v>224</v>
      </c>
      <c r="N33" s="77" t="s">
        <v>224</v>
      </c>
      <c r="O33" s="77" t="s">
        <v>224</v>
      </c>
    </row>
    <row r="34" spans="3:17" ht="17.399999999999999">
      <c r="C34" t="s">
        <v>143</v>
      </c>
      <c r="E34">
        <v>1.8</v>
      </c>
      <c r="F34" s="55">
        <f t="shared" si="2"/>
        <v>1.44</v>
      </c>
      <c r="H34" s="73" t="s">
        <v>415</v>
      </c>
      <c r="I34" s="3">
        <v>80</v>
      </c>
      <c r="J34" s="3">
        <v>3.5</v>
      </c>
      <c r="K34" s="3">
        <v>0.4</v>
      </c>
      <c r="L34" s="3">
        <v>46</v>
      </c>
      <c r="M34" s="3">
        <v>1.8</v>
      </c>
      <c r="N34" s="3">
        <v>9.6</v>
      </c>
      <c r="O34" s="3">
        <v>1.5</v>
      </c>
      <c r="P34" s="90"/>
    </row>
    <row r="35" spans="3:17" ht="17.399999999999999">
      <c r="C35" t="s">
        <v>133</v>
      </c>
      <c r="E35">
        <v>9.6</v>
      </c>
      <c r="F35" s="55">
        <f t="shared" si="2"/>
        <v>7.68</v>
      </c>
      <c r="H35" s="73" t="s">
        <v>38</v>
      </c>
      <c r="I35" s="3">
        <v>25</v>
      </c>
      <c r="J35" s="24">
        <v>66</v>
      </c>
      <c r="K35" s="3">
        <v>5.7</v>
      </c>
      <c r="L35" s="3">
        <v>32</v>
      </c>
      <c r="M35" s="3">
        <v>1.4</v>
      </c>
      <c r="N35" s="3">
        <v>0.75</v>
      </c>
      <c r="O35" s="3">
        <v>0.45</v>
      </c>
    </row>
    <row r="36" spans="3:17" ht="17.399999999999999">
      <c r="C36" t="s">
        <v>120</v>
      </c>
      <c r="E36">
        <v>1.5</v>
      </c>
      <c r="F36" s="55">
        <f t="shared" si="2"/>
        <v>1.2</v>
      </c>
      <c r="H36" s="73" t="s">
        <v>414</v>
      </c>
      <c r="I36" s="3">
        <v>14</v>
      </c>
      <c r="J36" s="18">
        <v>26</v>
      </c>
      <c r="K36" s="3">
        <v>12</v>
      </c>
      <c r="L36" s="3">
        <v>0.7</v>
      </c>
      <c r="M36" s="3">
        <v>0</v>
      </c>
      <c r="N36" s="3">
        <v>26</v>
      </c>
      <c r="O36" s="3">
        <v>1.2</v>
      </c>
    </row>
    <row r="37" spans="3:17" ht="17.399999999999999">
      <c r="H37" s="73" t="s">
        <v>39</v>
      </c>
      <c r="I37" s="3">
        <v>14</v>
      </c>
      <c r="J37" s="3">
        <v>3.7</v>
      </c>
      <c r="K37" s="3">
        <v>1.2</v>
      </c>
      <c r="L37" s="3">
        <v>2</v>
      </c>
      <c r="M37" s="3">
        <v>0.9</v>
      </c>
      <c r="N37" s="3">
        <v>13.8</v>
      </c>
      <c r="O37" s="3">
        <v>2.1</v>
      </c>
    </row>
    <row r="38" spans="3:17" ht="17.399999999999999">
      <c r="H38" s="73"/>
      <c r="I38" s="3"/>
      <c r="J38" s="3"/>
      <c r="K38" s="3"/>
      <c r="L38" s="3"/>
      <c r="M38" s="3"/>
      <c r="N38" s="3"/>
      <c r="O38" s="3"/>
    </row>
    <row r="39" spans="3:17" ht="17.399999999999999">
      <c r="C39" s="102" t="s">
        <v>38</v>
      </c>
      <c r="E39" t="s">
        <v>212</v>
      </c>
      <c r="F39" t="s">
        <v>425</v>
      </c>
      <c r="H39" s="73" t="s">
        <v>55</v>
      </c>
      <c r="I39" s="3">
        <v>10</v>
      </c>
      <c r="J39" s="3">
        <v>0.2</v>
      </c>
      <c r="K39" s="3">
        <v>0</v>
      </c>
      <c r="L39" s="3">
        <v>6.1</v>
      </c>
      <c r="M39" s="3">
        <v>4.8</v>
      </c>
      <c r="N39" s="3">
        <v>0.8</v>
      </c>
      <c r="O39" s="3">
        <v>1</v>
      </c>
    </row>
    <row r="40" spans="3:17">
      <c r="C40" t="s">
        <v>142</v>
      </c>
      <c r="E40">
        <v>66</v>
      </c>
      <c r="F40">
        <f>$E40*25/100</f>
        <v>16.5</v>
      </c>
    </row>
    <row r="41" spans="3:17" ht="28.8">
      <c r="C41" t="s">
        <v>119</v>
      </c>
      <c r="E41">
        <v>5.7</v>
      </c>
      <c r="F41">
        <f t="shared" ref="F41:F45" si="3">$E41*25/100</f>
        <v>1.425</v>
      </c>
      <c r="H41" s="202" t="s">
        <v>0</v>
      </c>
      <c r="I41" s="204" t="s">
        <v>229</v>
      </c>
      <c r="J41" s="70" t="s">
        <v>217</v>
      </c>
      <c r="K41" s="70" t="s">
        <v>226</v>
      </c>
      <c r="L41" s="70" t="s">
        <v>118</v>
      </c>
      <c r="M41" s="70" t="s">
        <v>143</v>
      </c>
      <c r="N41" s="70" t="s">
        <v>227</v>
      </c>
      <c r="O41" s="70" t="s">
        <v>120</v>
      </c>
      <c r="P41" s="191" t="s">
        <v>230</v>
      </c>
      <c r="Q41" s="192"/>
    </row>
    <row r="42" spans="3:17">
      <c r="C42" t="s">
        <v>118</v>
      </c>
      <c r="E42">
        <v>32</v>
      </c>
      <c r="F42">
        <f t="shared" si="3"/>
        <v>8</v>
      </c>
      <c r="H42" s="203"/>
      <c r="I42" s="205"/>
      <c r="J42" s="71" t="s">
        <v>218</v>
      </c>
      <c r="K42" s="71" t="s">
        <v>219</v>
      </c>
      <c r="L42" s="71" t="s">
        <v>220</v>
      </c>
      <c r="M42" s="71" t="s">
        <v>221</v>
      </c>
      <c r="N42" s="71" t="s">
        <v>222</v>
      </c>
      <c r="O42" s="71" t="s">
        <v>223</v>
      </c>
      <c r="P42" s="71" t="s">
        <v>231</v>
      </c>
      <c r="Q42" s="71" t="s">
        <v>231</v>
      </c>
    </row>
    <row r="43" spans="3:17">
      <c r="C43" t="s">
        <v>143</v>
      </c>
      <c r="E43">
        <v>1.4</v>
      </c>
      <c r="F43">
        <f t="shared" si="3"/>
        <v>0.35</v>
      </c>
      <c r="H43" s="203"/>
      <c r="I43" s="205"/>
      <c r="J43" s="77" t="s">
        <v>224</v>
      </c>
      <c r="K43" s="77" t="s">
        <v>224</v>
      </c>
      <c r="L43" s="77" t="s">
        <v>224</v>
      </c>
      <c r="M43" s="77" t="s">
        <v>224</v>
      </c>
      <c r="N43" s="77" t="s">
        <v>224</v>
      </c>
      <c r="O43" s="77" t="s">
        <v>224</v>
      </c>
      <c r="P43" s="77" t="s">
        <v>232</v>
      </c>
      <c r="Q43" s="77" t="s">
        <v>233</v>
      </c>
    </row>
    <row r="44" spans="3:17" ht="17.399999999999999">
      <c r="C44" t="s">
        <v>133</v>
      </c>
      <c r="E44">
        <v>0.75</v>
      </c>
      <c r="F44">
        <f t="shared" si="3"/>
        <v>0.1875</v>
      </c>
      <c r="H44" s="188" t="s">
        <v>415</v>
      </c>
      <c r="I44" s="188"/>
      <c r="J44" s="78">
        <f>$J34*$I34/143</f>
        <v>1.9580419580419581</v>
      </c>
      <c r="K44" s="78">
        <f>$K34*$I34/143</f>
        <v>0.22377622377622378</v>
      </c>
      <c r="L44" s="78">
        <f>$L34*$I34/143</f>
        <v>25.734265734265733</v>
      </c>
      <c r="M44" s="78">
        <f>$M34*$I34/143</f>
        <v>1.0069930069930071</v>
      </c>
      <c r="N44" s="78">
        <f>N34*I34/143</f>
        <v>5.3706293706293708</v>
      </c>
      <c r="O44" s="78">
        <f>O34*I34/143</f>
        <v>0.83916083916083917</v>
      </c>
      <c r="P44" s="3"/>
      <c r="Q44" s="3"/>
    </row>
    <row r="45" spans="3:17" ht="17.399999999999999">
      <c r="C45" t="s">
        <v>120</v>
      </c>
      <c r="E45">
        <v>0.45</v>
      </c>
      <c r="F45">
        <f t="shared" si="3"/>
        <v>0.1125</v>
      </c>
      <c r="H45" s="188" t="s">
        <v>38</v>
      </c>
      <c r="I45" s="188"/>
      <c r="J45" s="78">
        <f t="shared" ref="J45:J49" si="4">$J35*$I35/143</f>
        <v>11.538461538461538</v>
      </c>
      <c r="K45" s="78">
        <f t="shared" ref="K45:K49" si="5">$K35*$I35/143</f>
        <v>0.99650349650349646</v>
      </c>
      <c r="L45" s="78">
        <f t="shared" ref="L45:L49" si="6">$L35*$I35/143</f>
        <v>5.5944055944055942</v>
      </c>
      <c r="M45" s="78">
        <f t="shared" ref="M45:M49" si="7">$M35*$I35/143</f>
        <v>0.24475524475524477</v>
      </c>
      <c r="N45" s="78">
        <f t="shared" ref="N45:N49" si="8">N35*I35/143</f>
        <v>0.13111888111888112</v>
      </c>
      <c r="O45" s="78">
        <f t="shared" ref="O45:O49" si="9">O35*I35/143</f>
        <v>7.8671328671328672E-2</v>
      </c>
      <c r="P45" s="3"/>
      <c r="Q45" s="3"/>
    </row>
    <row r="46" spans="3:17" ht="17.399999999999999">
      <c r="H46" s="188" t="s">
        <v>12</v>
      </c>
      <c r="I46" s="188"/>
      <c r="J46" s="78">
        <f t="shared" si="4"/>
        <v>2.5454545454545454</v>
      </c>
      <c r="K46" s="78">
        <f t="shared" si="5"/>
        <v>1.1748251748251748</v>
      </c>
      <c r="L46" s="78">
        <f t="shared" si="6"/>
        <v>6.853146853146852E-2</v>
      </c>
      <c r="M46" s="78">
        <f t="shared" si="7"/>
        <v>0</v>
      </c>
      <c r="N46" s="78">
        <f t="shared" si="8"/>
        <v>2.5454545454545454</v>
      </c>
      <c r="O46" s="78">
        <f t="shared" si="9"/>
        <v>0.11748251748251749</v>
      </c>
      <c r="P46" s="3"/>
      <c r="Q46" s="3"/>
    </row>
    <row r="47" spans="3:17" ht="17.399999999999999">
      <c r="H47" s="188" t="s">
        <v>39</v>
      </c>
      <c r="I47" s="188"/>
      <c r="J47" s="78">
        <f t="shared" si="4"/>
        <v>0.36223776223776227</v>
      </c>
      <c r="K47" s="78">
        <f t="shared" si="5"/>
        <v>0.11748251748251749</v>
      </c>
      <c r="L47" s="78">
        <f t="shared" si="6"/>
        <v>0.19580419580419581</v>
      </c>
      <c r="M47" s="78">
        <f t="shared" si="7"/>
        <v>8.8111888111888109E-2</v>
      </c>
      <c r="N47" s="78">
        <f t="shared" si="8"/>
        <v>1.3510489510489512</v>
      </c>
      <c r="O47" s="78">
        <f t="shared" si="9"/>
        <v>0.20559440559440562</v>
      </c>
      <c r="P47" s="3"/>
      <c r="Q47" s="3"/>
    </row>
    <row r="48" spans="3:17" ht="17.399999999999999">
      <c r="C48" s="64" t="s">
        <v>426</v>
      </c>
      <c r="D48" s="93"/>
      <c r="E48" t="s">
        <v>212</v>
      </c>
      <c r="F48" t="s">
        <v>427</v>
      </c>
      <c r="H48" s="188"/>
      <c r="I48" s="188"/>
      <c r="J48" s="78">
        <f t="shared" si="4"/>
        <v>0</v>
      </c>
      <c r="K48" s="78">
        <f t="shared" si="5"/>
        <v>0</v>
      </c>
      <c r="L48" s="78">
        <f t="shared" si="6"/>
        <v>0</v>
      </c>
      <c r="M48" s="78">
        <f t="shared" si="7"/>
        <v>0</v>
      </c>
      <c r="N48" s="78">
        <f t="shared" si="8"/>
        <v>0</v>
      </c>
      <c r="O48" s="78">
        <f t="shared" si="9"/>
        <v>0</v>
      </c>
      <c r="P48" s="3"/>
      <c r="Q48" s="3"/>
    </row>
    <row r="49" spans="3:17" ht="17.399999999999999">
      <c r="C49" t="s">
        <v>142</v>
      </c>
      <c r="E49">
        <v>26</v>
      </c>
      <c r="F49" s="55">
        <f>$E49*14/100</f>
        <v>3.64</v>
      </c>
      <c r="H49" s="188" t="s">
        <v>55</v>
      </c>
      <c r="I49" s="188"/>
      <c r="J49" s="78">
        <f t="shared" si="4"/>
        <v>1.3986013986013986E-2</v>
      </c>
      <c r="K49" s="78">
        <f t="shared" si="5"/>
        <v>0</v>
      </c>
      <c r="L49" s="78">
        <f t="shared" si="6"/>
        <v>0.42657342657342656</v>
      </c>
      <c r="M49" s="78">
        <f t="shared" si="7"/>
        <v>0.33566433566433568</v>
      </c>
      <c r="N49" s="78">
        <f t="shared" si="8"/>
        <v>5.5944055944055944E-2</v>
      </c>
      <c r="O49" s="78">
        <f t="shared" si="9"/>
        <v>6.9930069930069935E-2</v>
      </c>
      <c r="P49" s="3"/>
      <c r="Q49" s="3"/>
    </row>
    <row r="50" spans="3:17" ht="31.5" customHeight="1">
      <c r="C50" t="s">
        <v>119</v>
      </c>
      <c r="E50">
        <v>12</v>
      </c>
      <c r="F50" s="55">
        <f t="shared" ref="F50:F54" si="10">$E50*14/100</f>
        <v>1.68</v>
      </c>
      <c r="H50" s="189" t="s">
        <v>234</v>
      </c>
      <c r="I50" s="190"/>
      <c r="J50" s="85">
        <f t="shared" ref="J50:O50" si="11">SUM(J44:J49)</f>
        <v>16.418181818181818</v>
      </c>
      <c r="K50" s="84">
        <f t="shared" si="11"/>
        <v>2.5125874125874126</v>
      </c>
      <c r="L50" s="85">
        <f t="shared" si="11"/>
        <v>32.019580419580414</v>
      </c>
      <c r="M50" s="84">
        <f t="shared" si="11"/>
        <v>1.6755244755244756</v>
      </c>
      <c r="N50" s="84">
        <f t="shared" si="11"/>
        <v>9.4541958041958054</v>
      </c>
      <c r="O50" s="84">
        <f t="shared" si="11"/>
        <v>1.310839160839161</v>
      </c>
      <c r="P50" s="85">
        <f>17*N50+37*J50+17*L50</f>
        <v>1312.5269230769231</v>
      </c>
      <c r="Q50" s="85">
        <f>4*N50+9*J50+4*L50</f>
        <v>313.6587412587412</v>
      </c>
    </row>
    <row r="51" spans="3:17">
      <c r="C51" t="s">
        <v>118</v>
      </c>
      <c r="E51">
        <v>0.7</v>
      </c>
      <c r="F51" s="55">
        <f t="shared" si="10"/>
        <v>9.799999999999999E-2</v>
      </c>
    </row>
    <row r="52" spans="3:17">
      <c r="C52" t="s">
        <v>143</v>
      </c>
      <c r="E52">
        <v>0</v>
      </c>
      <c r="F52" s="55">
        <f t="shared" si="10"/>
        <v>0</v>
      </c>
    </row>
    <row r="53" spans="3:17">
      <c r="C53" t="s">
        <v>133</v>
      </c>
      <c r="E53">
        <v>26</v>
      </c>
      <c r="F53" s="55">
        <f t="shared" si="10"/>
        <v>3.64</v>
      </c>
    </row>
    <row r="54" spans="3:17">
      <c r="C54" t="s">
        <v>120</v>
      </c>
      <c r="E54">
        <v>1.2</v>
      </c>
      <c r="F54" s="55">
        <f t="shared" si="10"/>
        <v>0.16800000000000001</v>
      </c>
    </row>
    <row r="57" spans="3:17">
      <c r="C57" s="92" t="s">
        <v>256</v>
      </c>
      <c r="D57" s="93"/>
      <c r="E57" t="s">
        <v>212</v>
      </c>
      <c r="F57" t="s">
        <v>428</v>
      </c>
    </row>
    <row r="58" spans="3:17">
      <c r="C58" t="s">
        <v>142</v>
      </c>
      <c r="E58">
        <v>3.7</v>
      </c>
      <c r="F58" s="55">
        <f>$E58*14/100</f>
        <v>0.51800000000000002</v>
      </c>
    </row>
    <row r="59" spans="3:17">
      <c r="C59" t="s">
        <v>119</v>
      </c>
      <c r="E59">
        <v>1.2</v>
      </c>
      <c r="F59" s="55">
        <f t="shared" ref="F59:F63" si="12">$E59*14/100</f>
        <v>0.16800000000000001</v>
      </c>
    </row>
    <row r="60" spans="3:17">
      <c r="C60" t="s">
        <v>118</v>
      </c>
      <c r="E60">
        <v>2</v>
      </c>
      <c r="F60" s="55">
        <f t="shared" si="12"/>
        <v>0.28000000000000003</v>
      </c>
    </row>
    <row r="61" spans="3:17">
      <c r="C61" t="s">
        <v>143</v>
      </c>
      <c r="E61">
        <v>0.9</v>
      </c>
      <c r="F61" s="55">
        <f t="shared" si="12"/>
        <v>0.126</v>
      </c>
    </row>
    <row r="62" spans="3:17">
      <c r="C62" t="s">
        <v>133</v>
      </c>
      <c r="E62">
        <v>13.8</v>
      </c>
      <c r="F62" s="55">
        <f t="shared" si="12"/>
        <v>1.9320000000000002</v>
      </c>
    </row>
    <row r="63" spans="3:17">
      <c r="C63" t="s">
        <v>120</v>
      </c>
      <c r="E63">
        <v>2.1</v>
      </c>
      <c r="F63" s="55">
        <f t="shared" si="12"/>
        <v>0.29400000000000004</v>
      </c>
    </row>
    <row r="66" spans="3:6">
      <c r="C66" s="92"/>
      <c r="D66" s="93"/>
    </row>
    <row r="67" spans="3:6">
      <c r="F67" s="55"/>
    </row>
    <row r="68" spans="3:6">
      <c r="F68" s="55"/>
    </row>
    <row r="69" spans="3:6">
      <c r="F69" s="55"/>
    </row>
    <row r="70" spans="3:6">
      <c r="F70" s="55"/>
    </row>
    <row r="71" spans="3:6">
      <c r="F71" s="55"/>
    </row>
    <row r="72" spans="3:6">
      <c r="F72" s="55"/>
    </row>
    <row r="75" spans="3:6">
      <c r="C75" s="64" t="s">
        <v>459</v>
      </c>
      <c r="D75" s="93"/>
      <c r="E75" t="s">
        <v>212</v>
      </c>
      <c r="F75" t="s">
        <v>429</v>
      </c>
    </row>
    <row r="76" spans="3:6">
      <c r="C76" t="s">
        <v>142</v>
      </c>
      <c r="E76">
        <v>0.2</v>
      </c>
      <c r="F76" s="55">
        <f>$E76*10/100</f>
        <v>0.02</v>
      </c>
    </row>
    <row r="77" spans="3:6">
      <c r="C77" t="s">
        <v>119</v>
      </c>
      <c r="E77">
        <v>0</v>
      </c>
      <c r="F77" s="55">
        <f t="shared" ref="F77:F81" si="13">$E77*10/100</f>
        <v>0</v>
      </c>
    </row>
    <row r="78" spans="3:6">
      <c r="C78" t="s">
        <v>118</v>
      </c>
      <c r="E78">
        <v>6.1</v>
      </c>
      <c r="F78" s="55">
        <f t="shared" si="13"/>
        <v>0.61</v>
      </c>
    </row>
    <row r="79" spans="3:6">
      <c r="C79" t="s">
        <v>143</v>
      </c>
      <c r="E79">
        <v>4.8</v>
      </c>
      <c r="F79" s="55">
        <f t="shared" si="13"/>
        <v>0.48</v>
      </c>
    </row>
    <row r="80" spans="3:6">
      <c r="C80" t="s">
        <v>133</v>
      </c>
      <c r="E80">
        <v>0.8</v>
      </c>
      <c r="F80" s="55">
        <f t="shared" si="13"/>
        <v>0.08</v>
      </c>
    </row>
    <row r="81" spans="3:6">
      <c r="C81" t="s">
        <v>120</v>
      </c>
      <c r="E81">
        <v>1</v>
      </c>
      <c r="F81" s="55">
        <f t="shared" si="13"/>
        <v>0.1</v>
      </c>
    </row>
  </sheetData>
  <mergeCells count="14">
    <mergeCell ref="J30:O30"/>
    <mergeCell ref="H31:H33"/>
    <mergeCell ref="I31:I32"/>
    <mergeCell ref="A1:H1"/>
    <mergeCell ref="H41:H43"/>
    <mergeCell ref="I41:I43"/>
    <mergeCell ref="H48:I48"/>
    <mergeCell ref="H49:I49"/>
    <mergeCell ref="H50:I50"/>
    <mergeCell ref="P41:Q41"/>
    <mergeCell ref="H44:I44"/>
    <mergeCell ref="H45:I45"/>
    <mergeCell ref="H46:I46"/>
    <mergeCell ref="H47:I47"/>
  </mergeCells>
  <phoneticPr fontId="2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9"/>
  <sheetViews>
    <sheetView topLeftCell="A13" zoomScale="55" zoomScaleNormal="55" zoomScalePageLayoutView="70" workbookViewId="0">
      <selection activeCell="H98" sqref="H98"/>
    </sheetView>
  </sheetViews>
  <sheetFormatPr defaultColWidth="11" defaultRowHeight="15.6"/>
  <cols>
    <col min="1" max="1" width="29" bestFit="1" customWidth="1"/>
    <col min="2" max="2" width="20.796875" bestFit="1" customWidth="1"/>
    <col min="3" max="3" width="27.796875" bestFit="1" customWidth="1"/>
    <col min="4" max="4" width="22.19921875" customWidth="1"/>
    <col min="5" max="5" width="25.09765625" customWidth="1"/>
    <col min="6" max="6" width="12.796875" customWidth="1"/>
    <col min="7" max="7" width="19.69921875" customWidth="1"/>
    <col min="8" max="8" width="29.19921875" customWidth="1"/>
    <col min="9" max="9" width="23.796875" customWidth="1"/>
    <col min="10" max="10" width="17.19921875" customWidth="1"/>
    <col min="11" max="11" width="18.5" customWidth="1"/>
  </cols>
  <sheetData>
    <row r="1" spans="1:8" ht="31.05" customHeight="1">
      <c r="A1" s="193" t="s">
        <v>439</v>
      </c>
      <c r="B1" s="239"/>
      <c r="C1" s="239"/>
      <c r="D1" s="239"/>
      <c r="E1" s="239"/>
      <c r="F1" s="239"/>
      <c r="G1" s="239"/>
      <c r="H1" s="239"/>
    </row>
    <row r="2" spans="1:8" ht="16.05" customHeight="1">
      <c r="A2" s="1" t="s">
        <v>0</v>
      </c>
      <c r="B2" s="1" t="s">
        <v>1</v>
      </c>
      <c r="C2" s="1" t="s">
        <v>4</v>
      </c>
      <c r="D2" s="1" t="s">
        <v>416</v>
      </c>
      <c r="E2" s="1" t="s">
        <v>18</v>
      </c>
      <c r="F2" s="1" t="s">
        <v>5</v>
      </c>
      <c r="G2" s="1" t="s">
        <v>6</v>
      </c>
      <c r="H2" s="1" t="s">
        <v>7</v>
      </c>
    </row>
    <row r="3" spans="1:8" ht="187.8">
      <c r="A3" s="166" t="s">
        <v>415</v>
      </c>
      <c r="B3" s="168" t="s">
        <v>3</v>
      </c>
      <c r="C3" s="3">
        <v>80</v>
      </c>
      <c r="D3" s="3"/>
      <c r="E3" s="3"/>
      <c r="F3" s="6" t="s">
        <v>417</v>
      </c>
      <c r="G3" s="68" t="s">
        <v>418</v>
      </c>
      <c r="H3" s="21" t="s">
        <v>8</v>
      </c>
    </row>
    <row r="4" spans="1:8" ht="409.6">
      <c r="A4" s="166" t="s">
        <v>10</v>
      </c>
      <c r="B4" s="168" t="s">
        <v>11</v>
      </c>
      <c r="C4" s="3">
        <v>25</v>
      </c>
      <c r="D4" s="3"/>
      <c r="E4" s="24"/>
      <c r="F4" s="5" t="s">
        <v>438</v>
      </c>
      <c r="G4" s="6" t="s">
        <v>82</v>
      </c>
      <c r="H4" s="3"/>
    </row>
    <row r="5" spans="1:8" ht="359.4">
      <c r="A5" s="166" t="s">
        <v>74</v>
      </c>
      <c r="B5" s="12" t="s">
        <v>105</v>
      </c>
      <c r="C5" s="3">
        <v>20</v>
      </c>
      <c r="D5" s="3"/>
      <c r="E5" s="97"/>
      <c r="F5" s="30" t="s">
        <v>131</v>
      </c>
      <c r="G5" s="3"/>
      <c r="H5" s="3"/>
    </row>
    <row r="6" spans="1:8" ht="17.399999999999999">
      <c r="A6" s="166"/>
      <c r="B6" s="12"/>
      <c r="C6" s="3"/>
      <c r="D6" s="3"/>
      <c r="E6" s="3"/>
      <c r="F6" s="6"/>
      <c r="G6" s="3"/>
      <c r="H6" s="3"/>
    </row>
    <row r="7" spans="1:8" ht="151.19999999999999">
      <c r="A7" s="166" t="s">
        <v>43</v>
      </c>
      <c r="B7" s="43" t="s">
        <v>421</v>
      </c>
      <c r="C7" s="3">
        <v>10</v>
      </c>
      <c r="D7" s="3"/>
      <c r="E7" s="3"/>
      <c r="F7" s="17" t="s">
        <v>434</v>
      </c>
      <c r="G7" s="3"/>
      <c r="H7" s="21"/>
    </row>
    <row r="8" spans="1:8" ht="43.95" customHeight="1">
      <c r="C8">
        <f>SUM(C3:C7)</f>
        <v>135</v>
      </c>
      <c r="D8">
        <f>SUM(D3:D7)</f>
        <v>0</v>
      </c>
      <c r="E8">
        <f>SUM(E3:E7)</f>
        <v>0</v>
      </c>
      <c r="F8" s="46"/>
    </row>
    <row r="21" spans="3:15">
      <c r="F21" t="s">
        <v>424</v>
      </c>
      <c r="G21" t="s">
        <v>437</v>
      </c>
      <c r="H21" t="s">
        <v>432</v>
      </c>
      <c r="K21" t="s">
        <v>433</v>
      </c>
      <c r="L21" t="s">
        <v>154</v>
      </c>
      <c r="M21" s="65" t="s">
        <v>155</v>
      </c>
    </row>
    <row r="22" spans="3:15">
      <c r="C22" t="s">
        <v>142</v>
      </c>
      <c r="F22">
        <v>2.8</v>
      </c>
      <c r="G22">
        <v>12.68</v>
      </c>
      <c r="H22" s="55">
        <v>7.08</v>
      </c>
      <c r="I22" s="55"/>
      <c r="J22" s="55"/>
      <c r="K22" s="55">
        <v>2.8000000000000004E-2</v>
      </c>
      <c r="L22" s="55">
        <f t="shared" ref="L22:L27" si="0">SUM(F22:K22)</f>
        <v>22.588000000000001</v>
      </c>
      <c r="M22" s="55">
        <f>$L22*100/135</f>
        <v>16.731851851851854</v>
      </c>
    </row>
    <row r="23" spans="3:15">
      <c r="C23" t="s">
        <v>119</v>
      </c>
      <c r="F23">
        <v>0.32</v>
      </c>
      <c r="G23">
        <v>8.3324999999999996</v>
      </c>
      <c r="H23" s="55">
        <v>0</v>
      </c>
      <c r="I23" s="55"/>
      <c r="J23" s="55"/>
      <c r="K23" s="55">
        <v>0</v>
      </c>
      <c r="L23" s="55">
        <f t="shared" si="0"/>
        <v>8.6524999999999999</v>
      </c>
      <c r="M23" s="55">
        <f t="shared" ref="M23:M27" si="1">$L23*100/135</f>
        <v>6.409259259259259</v>
      </c>
    </row>
    <row r="24" spans="3:15">
      <c r="C24" t="s">
        <v>118</v>
      </c>
      <c r="F24">
        <v>36.799999999999997</v>
      </c>
      <c r="G24">
        <v>1.2849999999999999</v>
      </c>
      <c r="H24" s="55">
        <v>0.04</v>
      </c>
      <c r="I24" s="55"/>
      <c r="J24" s="55"/>
      <c r="K24" s="55">
        <v>0.16800000000000001</v>
      </c>
      <c r="L24" s="55">
        <f t="shared" si="0"/>
        <v>38.292999999999992</v>
      </c>
      <c r="M24" s="55">
        <f t="shared" si="1"/>
        <v>28.36518518518518</v>
      </c>
    </row>
    <row r="25" spans="3:15">
      <c r="C25" t="s">
        <v>143</v>
      </c>
      <c r="F25">
        <v>1.44</v>
      </c>
      <c r="G25">
        <v>1.175</v>
      </c>
      <c r="H25" s="55">
        <v>0</v>
      </c>
      <c r="I25" s="55"/>
      <c r="J25" s="55"/>
      <c r="K25" s="55">
        <v>0.14000000000000001</v>
      </c>
      <c r="L25" s="55">
        <f t="shared" si="0"/>
        <v>2.7550000000000003</v>
      </c>
      <c r="M25" s="55">
        <f t="shared" si="1"/>
        <v>2.0407407407407412</v>
      </c>
    </row>
    <row r="26" spans="3:15">
      <c r="C26" t="s">
        <v>133</v>
      </c>
      <c r="F26">
        <v>7.68</v>
      </c>
      <c r="G26">
        <v>0.47249999999999998</v>
      </c>
      <c r="H26" s="55">
        <v>5.48</v>
      </c>
      <c r="I26" s="55"/>
      <c r="J26" s="55"/>
      <c r="K26" s="55">
        <v>8.4000000000000005E-2</v>
      </c>
      <c r="L26" s="55">
        <f t="shared" si="0"/>
        <v>13.7165</v>
      </c>
      <c r="M26" s="55">
        <f t="shared" si="1"/>
        <v>10.160370370370371</v>
      </c>
    </row>
    <row r="27" spans="3:15">
      <c r="C27" t="s">
        <v>120</v>
      </c>
      <c r="F27">
        <v>1.2</v>
      </c>
      <c r="G27">
        <v>0.30499999999999999</v>
      </c>
      <c r="H27" s="55">
        <v>0</v>
      </c>
      <c r="I27" s="55"/>
      <c r="J27" s="55"/>
      <c r="K27" s="55">
        <v>0.126</v>
      </c>
      <c r="L27" s="55">
        <f t="shared" si="0"/>
        <v>1.6309999999999998</v>
      </c>
      <c r="M27" s="55">
        <f t="shared" si="1"/>
        <v>1.208148148148148</v>
      </c>
    </row>
    <row r="30" spans="3:15">
      <c r="C30" s="64" t="s">
        <v>423</v>
      </c>
      <c r="D30" s="93"/>
      <c r="E30" t="s">
        <v>212</v>
      </c>
      <c r="F30" t="s">
        <v>424</v>
      </c>
      <c r="H30" s="69"/>
      <c r="I30" s="69"/>
      <c r="J30" s="199" t="s">
        <v>228</v>
      </c>
      <c r="K30" s="200"/>
      <c r="L30" s="200"/>
      <c r="M30" s="200"/>
      <c r="N30" s="200"/>
      <c r="O30" s="201"/>
    </row>
    <row r="31" spans="3:15" ht="28.8">
      <c r="C31" t="s">
        <v>142</v>
      </c>
      <c r="E31">
        <v>3.5</v>
      </c>
      <c r="F31" s="55">
        <f>80*$E31/100</f>
        <v>2.8</v>
      </c>
      <c r="H31" s="195" t="s">
        <v>216</v>
      </c>
      <c r="I31" s="197" t="s">
        <v>225</v>
      </c>
      <c r="J31" s="70" t="s">
        <v>217</v>
      </c>
      <c r="K31" s="70" t="s">
        <v>226</v>
      </c>
      <c r="L31" s="70" t="s">
        <v>118</v>
      </c>
      <c r="M31" s="70" t="s">
        <v>143</v>
      </c>
      <c r="N31" s="70" t="s">
        <v>227</v>
      </c>
      <c r="O31" s="70" t="s">
        <v>120</v>
      </c>
    </row>
    <row r="32" spans="3:15">
      <c r="C32" t="s">
        <v>119</v>
      </c>
      <c r="E32">
        <v>0.4</v>
      </c>
      <c r="F32" s="55">
        <f t="shared" ref="F32:F36" si="2">80*$E32/100</f>
        <v>0.32</v>
      </c>
      <c r="H32" s="195"/>
      <c r="I32" s="198"/>
      <c r="J32" s="167" t="s">
        <v>218</v>
      </c>
      <c r="K32" s="167" t="s">
        <v>219</v>
      </c>
      <c r="L32" s="167" t="s">
        <v>220</v>
      </c>
      <c r="M32" s="167" t="s">
        <v>221</v>
      </c>
      <c r="N32" s="167" t="s">
        <v>222</v>
      </c>
      <c r="O32" s="167" t="s">
        <v>223</v>
      </c>
    </row>
    <row r="33" spans="3:17" ht="16.2" thickBot="1">
      <c r="C33" t="s">
        <v>118</v>
      </c>
      <c r="E33">
        <v>46</v>
      </c>
      <c r="F33" s="55">
        <f t="shared" si="2"/>
        <v>36.799999999999997</v>
      </c>
      <c r="H33" s="196"/>
      <c r="I33" s="72" t="s">
        <v>224</v>
      </c>
      <c r="J33" s="77" t="s">
        <v>224</v>
      </c>
      <c r="K33" s="77" t="s">
        <v>224</v>
      </c>
      <c r="L33" s="77" t="s">
        <v>224</v>
      </c>
      <c r="M33" s="77" t="s">
        <v>224</v>
      </c>
      <c r="N33" s="77" t="s">
        <v>224</v>
      </c>
      <c r="O33" s="77" t="s">
        <v>224</v>
      </c>
    </row>
    <row r="34" spans="3:17" ht="17.399999999999999">
      <c r="C34" t="s">
        <v>143</v>
      </c>
      <c r="E34">
        <v>1.8</v>
      </c>
      <c r="F34" s="55">
        <f t="shared" si="2"/>
        <v>1.44</v>
      </c>
      <c r="H34" s="166" t="s">
        <v>415</v>
      </c>
      <c r="I34" s="3">
        <v>80</v>
      </c>
      <c r="J34" s="3">
        <v>3.5</v>
      </c>
      <c r="K34" s="3">
        <v>0.4</v>
      </c>
      <c r="L34" s="3">
        <v>46</v>
      </c>
      <c r="M34" s="3">
        <v>1.8</v>
      </c>
      <c r="N34" s="3">
        <v>9.6</v>
      </c>
      <c r="O34" s="3">
        <v>1.5</v>
      </c>
      <c r="P34" s="90"/>
    </row>
    <row r="35" spans="3:17" ht="17.399999999999999">
      <c r="C35" t="s">
        <v>133</v>
      </c>
      <c r="E35">
        <v>9.6</v>
      </c>
      <c r="F35" s="55">
        <f t="shared" si="2"/>
        <v>7.68</v>
      </c>
      <c r="H35" s="166" t="s">
        <v>436</v>
      </c>
      <c r="I35" s="3">
        <v>25</v>
      </c>
      <c r="J35" s="24">
        <v>50.72</v>
      </c>
      <c r="K35" s="24">
        <v>33.33</v>
      </c>
      <c r="L35" s="24">
        <v>5.14</v>
      </c>
      <c r="M35" s="24">
        <v>4.7</v>
      </c>
      <c r="N35" s="24">
        <v>1.89</v>
      </c>
      <c r="O35" s="24">
        <v>1.22</v>
      </c>
    </row>
    <row r="36" spans="3:17" ht="17.399999999999999">
      <c r="C36" t="s">
        <v>120</v>
      </c>
      <c r="E36">
        <v>1.5</v>
      </c>
      <c r="F36" s="55">
        <f t="shared" si="2"/>
        <v>1.2</v>
      </c>
      <c r="H36" s="166" t="s">
        <v>74</v>
      </c>
      <c r="I36" s="3">
        <v>20</v>
      </c>
      <c r="J36" s="3">
        <v>35.4</v>
      </c>
      <c r="K36" s="3"/>
      <c r="L36" s="3">
        <v>0.2</v>
      </c>
      <c r="M36" s="3"/>
      <c r="N36" s="3">
        <v>27.4</v>
      </c>
      <c r="O36" s="3"/>
    </row>
    <row r="37" spans="3:17" ht="17.399999999999999">
      <c r="H37" s="166"/>
      <c r="I37" s="3"/>
      <c r="J37" s="3"/>
      <c r="K37" s="3"/>
      <c r="L37" s="3"/>
      <c r="M37" s="3"/>
      <c r="N37" s="3"/>
      <c r="O37" s="3"/>
    </row>
    <row r="38" spans="3:17" ht="17.399999999999999">
      <c r="H38" s="166"/>
      <c r="I38" s="3"/>
      <c r="J38" s="3"/>
      <c r="K38" s="3"/>
      <c r="L38" s="3"/>
      <c r="M38" s="3"/>
      <c r="N38" s="3"/>
      <c r="O38" s="3"/>
    </row>
    <row r="39" spans="3:17" ht="17.399999999999999">
      <c r="C39" s="102" t="s">
        <v>10</v>
      </c>
      <c r="E39" t="s">
        <v>212</v>
      </c>
      <c r="F39" t="s">
        <v>435</v>
      </c>
      <c r="H39" s="166" t="s">
        <v>43</v>
      </c>
      <c r="I39" s="3">
        <v>10</v>
      </c>
      <c r="J39" s="3">
        <v>0.2</v>
      </c>
      <c r="K39" s="3">
        <v>0</v>
      </c>
      <c r="L39" s="3">
        <v>1.2</v>
      </c>
      <c r="M39" s="3">
        <v>1</v>
      </c>
      <c r="N39" s="3">
        <v>0.6</v>
      </c>
      <c r="O39" s="3">
        <v>0.9</v>
      </c>
    </row>
    <row r="40" spans="3:17">
      <c r="C40" t="s">
        <v>142</v>
      </c>
      <c r="E40">
        <v>50.72</v>
      </c>
      <c r="F40">
        <f>$E40*25/100</f>
        <v>12.68</v>
      </c>
    </row>
    <row r="41" spans="3:17" ht="28.8">
      <c r="C41" t="s">
        <v>119</v>
      </c>
      <c r="E41">
        <v>33.33</v>
      </c>
      <c r="F41">
        <f t="shared" ref="F41:F45" si="3">$E41*25/100</f>
        <v>8.3324999999999996</v>
      </c>
      <c r="H41" s="202" t="s">
        <v>0</v>
      </c>
      <c r="I41" s="204" t="s">
        <v>229</v>
      </c>
      <c r="J41" s="70" t="s">
        <v>217</v>
      </c>
      <c r="K41" s="70" t="s">
        <v>226</v>
      </c>
      <c r="L41" s="70" t="s">
        <v>118</v>
      </c>
      <c r="M41" s="70" t="s">
        <v>143</v>
      </c>
      <c r="N41" s="70" t="s">
        <v>227</v>
      </c>
      <c r="O41" s="70" t="s">
        <v>120</v>
      </c>
      <c r="P41" s="191" t="s">
        <v>230</v>
      </c>
      <c r="Q41" s="192"/>
    </row>
    <row r="42" spans="3:17">
      <c r="C42" t="s">
        <v>118</v>
      </c>
      <c r="E42">
        <v>5.14</v>
      </c>
      <c r="F42">
        <f t="shared" si="3"/>
        <v>1.2849999999999999</v>
      </c>
      <c r="H42" s="203"/>
      <c r="I42" s="205"/>
      <c r="J42" s="167" t="s">
        <v>218</v>
      </c>
      <c r="K42" s="167" t="s">
        <v>219</v>
      </c>
      <c r="L42" s="167" t="s">
        <v>220</v>
      </c>
      <c r="M42" s="167" t="s">
        <v>221</v>
      </c>
      <c r="N42" s="167" t="s">
        <v>222</v>
      </c>
      <c r="O42" s="167" t="s">
        <v>223</v>
      </c>
      <c r="P42" s="167" t="s">
        <v>231</v>
      </c>
      <c r="Q42" s="167" t="s">
        <v>231</v>
      </c>
    </row>
    <row r="43" spans="3:17">
      <c r="C43" t="s">
        <v>143</v>
      </c>
      <c r="E43">
        <v>4.7</v>
      </c>
      <c r="F43">
        <f t="shared" si="3"/>
        <v>1.175</v>
      </c>
      <c r="H43" s="203"/>
      <c r="I43" s="205"/>
      <c r="J43" s="77" t="s">
        <v>224</v>
      </c>
      <c r="K43" s="77" t="s">
        <v>224</v>
      </c>
      <c r="L43" s="77" t="s">
        <v>224</v>
      </c>
      <c r="M43" s="77" t="s">
        <v>224</v>
      </c>
      <c r="N43" s="77" t="s">
        <v>224</v>
      </c>
      <c r="O43" s="77" t="s">
        <v>224</v>
      </c>
      <c r="P43" s="77" t="s">
        <v>232</v>
      </c>
      <c r="Q43" s="77" t="s">
        <v>233</v>
      </c>
    </row>
    <row r="44" spans="3:17" ht="17.399999999999999">
      <c r="C44" t="s">
        <v>133</v>
      </c>
      <c r="E44">
        <v>1.89</v>
      </c>
      <c r="F44">
        <f t="shared" si="3"/>
        <v>0.47249999999999998</v>
      </c>
      <c r="H44" s="188" t="s">
        <v>415</v>
      </c>
      <c r="I44" s="188"/>
      <c r="J44" s="78">
        <f>$J34*$I34/135</f>
        <v>2.074074074074074</v>
      </c>
      <c r="K44" s="78">
        <f>$K34*$I34/135</f>
        <v>0.23703703703703705</v>
      </c>
      <c r="L44" s="78">
        <f>$L34*$I34/135</f>
        <v>27.25925925925926</v>
      </c>
      <c r="M44" s="78">
        <f>$M34*$I34/135</f>
        <v>1.0666666666666667</v>
      </c>
      <c r="N44" s="78">
        <f>N34*I34/135</f>
        <v>5.6888888888888891</v>
      </c>
      <c r="O44" s="78">
        <f>O34*I34/135</f>
        <v>0.88888888888888884</v>
      </c>
      <c r="P44" s="3"/>
      <c r="Q44" s="3"/>
    </row>
    <row r="45" spans="3:17" ht="17.399999999999999">
      <c r="C45" t="s">
        <v>120</v>
      </c>
      <c r="E45">
        <v>1.22</v>
      </c>
      <c r="F45">
        <f t="shared" si="3"/>
        <v>0.30499999999999999</v>
      </c>
      <c r="H45" s="240" t="s">
        <v>436</v>
      </c>
      <c r="I45" s="241"/>
      <c r="J45" s="78">
        <f t="shared" ref="J45:J49" si="4">$J35*$I35/135</f>
        <v>9.3925925925925924</v>
      </c>
      <c r="K45" s="78">
        <f t="shared" ref="K45:K49" si="5">$K35*$I35/135</f>
        <v>6.1722222222222225</v>
      </c>
      <c r="L45" s="78">
        <f t="shared" ref="L45:L49" si="6">$L35*$I35/135</f>
        <v>0.95185185185185184</v>
      </c>
      <c r="M45" s="78">
        <f t="shared" ref="M45:M49" si="7">$M35*$I35/135</f>
        <v>0.87037037037037035</v>
      </c>
      <c r="N45" s="78">
        <f t="shared" ref="N45:N49" si="8">N35*I35/135</f>
        <v>0.35</v>
      </c>
      <c r="O45" s="78">
        <f t="shared" ref="O45:O49" si="9">O35*I35/135</f>
        <v>0.22592592592592592</v>
      </c>
      <c r="P45" s="3"/>
      <c r="Q45" s="3"/>
    </row>
    <row r="46" spans="3:17" ht="17.399999999999999">
      <c r="H46" s="240" t="s">
        <v>74</v>
      </c>
      <c r="I46" s="241"/>
      <c r="J46" s="78">
        <f t="shared" si="4"/>
        <v>5.2444444444444445</v>
      </c>
      <c r="K46" s="78">
        <f t="shared" si="5"/>
        <v>0</v>
      </c>
      <c r="L46" s="78">
        <f t="shared" si="6"/>
        <v>2.9629629629629631E-2</v>
      </c>
      <c r="M46" s="78">
        <f t="shared" si="7"/>
        <v>0</v>
      </c>
      <c r="N46" s="78">
        <f t="shared" si="8"/>
        <v>4.0592592592592593</v>
      </c>
      <c r="O46" s="78">
        <f t="shared" si="9"/>
        <v>0</v>
      </c>
      <c r="P46" s="3"/>
      <c r="Q46" s="3"/>
    </row>
    <row r="47" spans="3:17" ht="17.399999999999999">
      <c r="H47" s="188"/>
      <c r="I47" s="188"/>
      <c r="J47" s="78">
        <f t="shared" si="4"/>
        <v>0</v>
      </c>
      <c r="K47" s="78">
        <f t="shared" si="5"/>
        <v>0</v>
      </c>
      <c r="L47" s="78">
        <f t="shared" si="6"/>
        <v>0</v>
      </c>
      <c r="M47" s="78">
        <f t="shared" si="7"/>
        <v>0</v>
      </c>
      <c r="N47" s="78">
        <f t="shared" si="8"/>
        <v>0</v>
      </c>
      <c r="O47" s="78">
        <f t="shared" si="9"/>
        <v>0</v>
      </c>
      <c r="P47" s="3"/>
      <c r="Q47" s="3"/>
    </row>
    <row r="48" spans="3:17" ht="17.399999999999999">
      <c r="C48" s="64" t="s">
        <v>74</v>
      </c>
      <c r="D48" s="93"/>
      <c r="E48" t="s">
        <v>212</v>
      </c>
      <c r="F48" t="s">
        <v>432</v>
      </c>
      <c r="H48" s="188"/>
      <c r="I48" s="188"/>
      <c r="J48" s="78">
        <f t="shared" si="4"/>
        <v>0</v>
      </c>
      <c r="K48" s="78">
        <f t="shared" si="5"/>
        <v>0</v>
      </c>
      <c r="L48" s="78">
        <f t="shared" si="6"/>
        <v>0</v>
      </c>
      <c r="M48" s="78">
        <f t="shared" si="7"/>
        <v>0</v>
      </c>
      <c r="N48" s="78">
        <f t="shared" si="8"/>
        <v>0</v>
      </c>
      <c r="O48" s="78">
        <f t="shared" si="9"/>
        <v>0</v>
      </c>
      <c r="P48" s="3"/>
      <c r="Q48" s="3"/>
    </row>
    <row r="49" spans="3:17" ht="17.399999999999999">
      <c r="C49" t="s">
        <v>142</v>
      </c>
      <c r="E49">
        <v>35.4</v>
      </c>
      <c r="F49" s="55">
        <f>$E49*20/100</f>
        <v>7.08</v>
      </c>
      <c r="H49" s="188" t="s">
        <v>43</v>
      </c>
      <c r="I49" s="188"/>
      <c r="J49" s="78">
        <f t="shared" si="4"/>
        <v>1.4814814814814815E-2</v>
      </c>
      <c r="K49" s="78">
        <f t="shared" si="5"/>
        <v>0</v>
      </c>
      <c r="L49" s="78">
        <f t="shared" si="6"/>
        <v>8.8888888888888892E-2</v>
      </c>
      <c r="M49" s="78">
        <f t="shared" si="7"/>
        <v>7.407407407407407E-2</v>
      </c>
      <c r="N49" s="78">
        <f t="shared" si="8"/>
        <v>4.4444444444444446E-2</v>
      </c>
      <c r="O49" s="78">
        <f t="shared" si="9"/>
        <v>6.6666666666666666E-2</v>
      </c>
      <c r="P49" s="3"/>
      <c r="Q49" s="3"/>
    </row>
    <row r="50" spans="3:17" ht="31.5" customHeight="1">
      <c r="C50" t="s">
        <v>119</v>
      </c>
      <c r="F50" s="55">
        <f t="shared" ref="F50:F54" si="10">$E50*20/100</f>
        <v>0</v>
      </c>
      <c r="H50" s="189" t="s">
        <v>234</v>
      </c>
      <c r="I50" s="190"/>
      <c r="J50" s="85">
        <f t="shared" ref="J50:O50" si="11">SUM(J44:J49)</f>
        <v>16.725925925925928</v>
      </c>
      <c r="K50" s="84">
        <f t="shared" si="11"/>
        <v>6.4092592592592599</v>
      </c>
      <c r="L50" s="85">
        <f t="shared" si="11"/>
        <v>28.329629629629629</v>
      </c>
      <c r="M50" s="84">
        <f t="shared" si="11"/>
        <v>2.0111111111111111</v>
      </c>
      <c r="N50" s="84">
        <f t="shared" si="11"/>
        <v>10.142592592592592</v>
      </c>
      <c r="O50" s="84">
        <f t="shared" si="11"/>
        <v>1.1814814814814814</v>
      </c>
      <c r="P50" s="85">
        <f>17*N50+37*J50+17*L50</f>
        <v>1272.8870370370371</v>
      </c>
      <c r="Q50" s="85">
        <f>4*N50+9*J50+4*L50</f>
        <v>304.42222222222222</v>
      </c>
    </row>
    <row r="51" spans="3:17">
      <c r="C51" t="s">
        <v>118</v>
      </c>
      <c r="E51">
        <v>0.2</v>
      </c>
      <c r="F51" s="55">
        <f t="shared" si="10"/>
        <v>0.04</v>
      </c>
    </row>
    <row r="52" spans="3:17">
      <c r="C52" t="s">
        <v>143</v>
      </c>
      <c r="F52" s="55">
        <f t="shared" si="10"/>
        <v>0</v>
      </c>
    </row>
    <row r="53" spans="3:17">
      <c r="C53" t="s">
        <v>133</v>
      </c>
      <c r="E53">
        <v>27.4</v>
      </c>
      <c r="F53" s="55">
        <f t="shared" si="10"/>
        <v>5.48</v>
      </c>
    </row>
    <row r="54" spans="3:17">
      <c r="C54" t="s">
        <v>120</v>
      </c>
      <c r="F54" s="55">
        <f t="shared" si="10"/>
        <v>0</v>
      </c>
    </row>
    <row r="57" spans="3:17">
      <c r="C57" s="64" t="s">
        <v>258</v>
      </c>
      <c r="D57" s="93"/>
      <c r="E57" t="s">
        <v>212</v>
      </c>
      <c r="F57" t="s">
        <v>428</v>
      </c>
    </row>
    <row r="58" spans="3:17">
      <c r="C58" t="s">
        <v>142</v>
      </c>
      <c r="E58">
        <v>0.2</v>
      </c>
      <c r="F58" s="55">
        <f>$E58*14/100</f>
        <v>2.8000000000000004E-2</v>
      </c>
    </row>
    <row r="59" spans="3:17">
      <c r="C59" t="s">
        <v>119</v>
      </c>
      <c r="E59">
        <v>0</v>
      </c>
      <c r="F59" s="55">
        <f t="shared" ref="F59:F63" si="12">$E59*14/100</f>
        <v>0</v>
      </c>
    </row>
    <row r="60" spans="3:17">
      <c r="C60" t="s">
        <v>118</v>
      </c>
      <c r="E60">
        <v>1.2</v>
      </c>
      <c r="F60" s="55">
        <f t="shared" si="12"/>
        <v>0.16800000000000001</v>
      </c>
    </row>
    <row r="61" spans="3:17">
      <c r="C61" t="s">
        <v>143</v>
      </c>
      <c r="E61">
        <v>1</v>
      </c>
      <c r="F61" s="55">
        <f t="shared" si="12"/>
        <v>0.14000000000000001</v>
      </c>
    </row>
    <row r="62" spans="3:17">
      <c r="C62" t="s">
        <v>133</v>
      </c>
      <c r="E62">
        <v>0.6</v>
      </c>
      <c r="F62" s="55">
        <f t="shared" si="12"/>
        <v>8.4000000000000005E-2</v>
      </c>
    </row>
    <row r="63" spans="3:17">
      <c r="C63" t="s">
        <v>120</v>
      </c>
      <c r="E63">
        <v>0.9</v>
      </c>
      <c r="F63" s="55">
        <f t="shared" si="12"/>
        <v>0.126</v>
      </c>
    </row>
    <row r="66" spans="3:6">
      <c r="C66" s="92"/>
      <c r="D66" s="93"/>
    </row>
    <row r="67" spans="3:6">
      <c r="F67" s="55"/>
    </row>
    <row r="68" spans="3:6">
      <c r="F68" s="55"/>
    </row>
    <row r="69" spans="3:6">
      <c r="F69" s="55"/>
    </row>
    <row r="70" spans="3:6">
      <c r="F70" s="55"/>
    </row>
    <row r="71" spans="3:6">
      <c r="F71" s="55"/>
    </row>
    <row r="72" spans="3:6">
      <c r="F72" s="55"/>
    </row>
    <row r="75" spans="3:6">
      <c r="C75" s="64"/>
      <c r="D75" s="93"/>
    </row>
    <row r="76" spans="3:6">
      <c r="F76" s="55"/>
    </row>
    <row r="77" spans="3:6">
      <c r="F77" s="55"/>
    </row>
    <row r="78" spans="3:6">
      <c r="F78" s="55"/>
    </row>
    <row r="79" spans="3:6">
      <c r="F79" s="55"/>
    </row>
    <row r="80" spans="3:6">
      <c r="F80" s="55"/>
    </row>
    <row r="81" spans="3:6">
      <c r="F81" s="55"/>
    </row>
    <row r="89" spans="3:6">
      <c r="C89" s="64"/>
      <c r="D89" s="93"/>
    </row>
  </sheetData>
  <mergeCells count="14">
    <mergeCell ref="A1:H1"/>
    <mergeCell ref="J30:O30"/>
    <mergeCell ref="H31:H33"/>
    <mergeCell ref="I31:I32"/>
    <mergeCell ref="H41:H43"/>
    <mergeCell ref="I41:I43"/>
    <mergeCell ref="H49:I49"/>
    <mergeCell ref="H50:I50"/>
    <mergeCell ref="P41:Q41"/>
    <mergeCell ref="H44:I44"/>
    <mergeCell ref="H45:I45"/>
    <mergeCell ref="H46:I46"/>
    <mergeCell ref="H47:I47"/>
    <mergeCell ref="H48:I4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52</vt:i4>
      </vt:variant>
    </vt:vector>
  </HeadingPairs>
  <TitlesOfParts>
    <vt:vector size="86" baseType="lpstr">
      <vt:lpstr>SÚHRN</vt:lpstr>
      <vt:lpstr>Cammembert s vajíčkom</vt:lpstr>
      <vt:lpstr>Bageta Debrecínka</vt:lpstr>
      <vt:lpstr>Bageta Grilované mäso</vt:lpstr>
      <vt:lpstr>Bageta Kurací gyros</vt:lpstr>
      <vt:lpstr>Sendič Kurací gyros</vt:lpstr>
      <vt:lpstr>Bageta Moravia</vt:lpstr>
      <vt:lpstr>Bageta Šunka, Syr</vt:lpstr>
      <vt:lpstr>Bageta Salámová</vt:lpstr>
      <vt:lpstr>Bageta Syr</vt:lpstr>
      <vt:lpstr>Bageta Syr_veľká</vt:lpstr>
      <vt:lpstr>Bageta  Šunka, Syr_veľká</vt:lpstr>
      <vt:lpstr>Kuracie Nugetky</vt:lpstr>
      <vt:lpstr>Kuracie Sote, Cestoviny</vt:lpstr>
      <vt:lpstr>Kuracie Sote, Ryza</vt:lpstr>
      <vt:lpstr>Bravcove medailonky</vt:lpstr>
      <vt:lpstr>Sheet1</vt:lpstr>
      <vt:lpstr>Croissant s mozzarellou</vt:lpstr>
      <vt:lpstr>Croissant syrový</vt:lpstr>
      <vt:lpstr>Croissant šunkovo syrový</vt:lpstr>
      <vt:lpstr>Kornbageta syrová</vt:lpstr>
      <vt:lpstr>Kornbageta syrová RYAN</vt:lpstr>
      <vt:lpstr>Panini Bacon S.</vt:lpstr>
      <vt:lpstr>Panini Bacon T.</vt:lpstr>
      <vt:lpstr>Panini Mozzarella S.</vt:lpstr>
      <vt:lpstr>Panini Mozzarella T.</vt:lpstr>
      <vt:lpstr>Panini Šunka Syr S.</vt:lpstr>
      <vt:lpstr>Panini Šunka Syr T.</vt:lpstr>
      <vt:lpstr>Panini Tuniak S.</vt:lpstr>
      <vt:lpstr>Panini Tuniak T.</vt:lpstr>
      <vt:lpstr>Panini Prosciutto S.</vt:lpstr>
      <vt:lpstr>Panini Prosciutto T.</vt:lpstr>
      <vt:lpstr>Chlebíček s moravským mäsom</vt:lpstr>
      <vt:lpstr>Chlebíček so salámou, Šunka syr</vt:lpstr>
      <vt:lpstr>'Bravcove medailonky'!Celkova_Hmot</vt:lpstr>
      <vt:lpstr>'Kuracie Sote, Cestoviny'!Celkova_Hmot</vt:lpstr>
      <vt:lpstr>'Kuracie Sote, Ryza'!Celkova_Hmot</vt:lpstr>
      <vt:lpstr>Celkova_Hmot</vt:lpstr>
      <vt:lpstr>'Bravcove medailonky'!CHK</vt:lpstr>
      <vt:lpstr>'Kuracie Sote, Cestoviny'!CHK</vt:lpstr>
      <vt:lpstr>'Kuracie Sote, Ryza'!CHK</vt:lpstr>
      <vt:lpstr>CHK</vt:lpstr>
      <vt:lpstr>'Bravcove medailonky'!const</vt:lpstr>
      <vt:lpstr>'Kuracie Sote, Cestoviny'!const</vt:lpstr>
      <vt:lpstr>'Kuracie Sote, Ryza'!const</vt:lpstr>
      <vt:lpstr>const</vt:lpstr>
      <vt:lpstr>'Bravcove medailonky'!Hmotnost_Produktu</vt:lpstr>
      <vt:lpstr>'Kuracie Sote, Cestoviny'!Hmotnost_Produktu</vt:lpstr>
      <vt:lpstr>'Kuracie Sote, Ryza'!Hmotnost_Produktu</vt:lpstr>
      <vt:lpstr>Hmotnost_Produktu</vt:lpstr>
      <vt:lpstr>'Bravcove medailonky'!J</vt:lpstr>
      <vt:lpstr>'Kuracie Sote, Cestoviny'!J</vt:lpstr>
      <vt:lpstr>'Kuracie Sote, Ryza'!J</vt:lpstr>
      <vt:lpstr>J</vt:lpstr>
      <vt:lpstr>'Bravcove medailonky'!K</vt:lpstr>
      <vt:lpstr>'Kuracie Sote, Cestoviny'!K</vt:lpstr>
      <vt:lpstr>'Kuracie Sote, Ryza'!K</vt:lpstr>
      <vt:lpstr>K</vt:lpstr>
      <vt:lpstr>'Bravcove medailonky'!M</vt:lpstr>
      <vt:lpstr>'Kuracie Sote, Cestoviny'!M</vt:lpstr>
      <vt:lpstr>'Kuracie Sote, Ryza'!M</vt:lpstr>
      <vt:lpstr>M</vt:lpstr>
      <vt:lpstr>'Bravcove medailonky'!N</vt:lpstr>
      <vt:lpstr>'Kuracie Sote, Cestoviny'!N</vt:lpstr>
      <vt:lpstr>'Kuracie Sote, Ryza'!N</vt:lpstr>
      <vt:lpstr>N</vt:lpstr>
      <vt:lpstr>'Bravcove medailonky'!U</vt:lpstr>
      <vt:lpstr>'Kuracie Sote, Cestoviny'!U</vt:lpstr>
      <vt:lpstr>'Kuracie Sote, Ryza'!U</vt:lpstr>
      <vt:lpstr>U</vt:lpstr>
      <vt:lpstr>'Bravcove medailonky'!W</vt:lpstr>
      <vt:lpstr>'Kuracie Sote, Cestoviny'!W</vt:lpstr>
      <vt:lpstr>'Kuracie Sote, Ryza'!W</vt:lpstr>
      <vt:lpstr>W</vt:lpstr>
      <vt:lpstr>'Bravcove medailonky'!X</vt:lpstr>
      <vt:lpstr>'Kuracie Sote, Cestoviny'!X</vt:lpstr>
      <vt:lpstr>'Kuracie Sote, Ryza'!X</vt:lpstr>
      <vt:lpstr>X</vt:lpstr>
      <vt:lpstr>'Bravcove medailonky'!Y</vt:lpstr>
      <vt:lpstr>'Kuracie Sote, Cestoviny'!Y</vt:lpstr>
      <vt:lpstr>'Kuracie Sote, Ryza'!Y</vt:lpstr>
      <vt:lpstr>Y</vt:lpstr>
      <vt:lpstr>'Bravcove medailonky'!Z</vt:lpstr>
      <vt:lpstr>'Kuracie Sote, Cestoviny'!Z</vt:lpstr>
      <vt:lpstr>'Kuracie Sote, Ryza'!Z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Toth</cp:lastModifiedBy>
  <cp:lastPrinted>2016-09-29T09:29:34Z</cp:lastPrinted>
  <dcterms:created xsi:type="dcterms:W3CDTF">2016-09-21T11:09:34Z</dcterms:created>
  <dcterms:modified xsi:type="dcterms:W3CDTF">2017-06-18T12:18:44Z</dcterms:modified>
</cp:coreProperties>
</file>