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<sst xmlns="http://schemas.openxmlformats.org/spreadsheetml/2006/main" count="1" uniqueCount="1">
  <si>
    <t>https://en.wikipedia.org/wiki/Demographics_of_India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</si>
</sst>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1F1F1F"/>
      <name val="&quot;Source Sans Pro&quot;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3" xfId="0" applyFont="1" applyNumberFormat="1"/>
    <xf borderId="0" fillId="0" fontId="2" numFmtId="10" xfId="0" applyFont="1" applyNumberFormat="1"/>
    <xf borderId="0" fillId="0" fontId="2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Demographics_of_India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IFERROR(__xludf.DUMMYFUNCTION("IMPORTHTML(""http://en.wikipedia.org/wiki/Demographics_of_India"",""table"",1)"),"Demographics of India")</f>
        <v>Demographics of India</v>
      </c>
      <c r="B1" s="2"/>
      <c r="F1" s="3" t="s">
        <v>0</v>
      </c>
    </row>
    <row r="2">
      <c r="A2" s="2" t="str">
        <f>IFERROR(__xludf.DUMMYFUNCTION("""COMPUTED_VALUE"""),"India population pyramid in 2020")</f>
        <v>India population pyramid in 2020</v>
      </c>
      <c r="B2" s="2"/>
    </row>
    <row r="3">
      <c r="A3" s="2" t="str">
        <f>IFERROR(__xludf.DUMMYFUNCTION("""COMPUTED_VALUE"""),"Population")</f>
        <v>Population</v>
      </c>
      <c r="B3" s="2" t="str">
        <f>IFERROR(__xludf.DUMMYFUNCTION("""COMPUTED_VALUE"""),"1,407,563,842[1] (2021 est.)")</f>
        <v>1,407,563,842[1] (2021 est.)</v>
      </c>
    </row>
    <row r="4">
      <c r="A4" s="2" t="str">
        <f>IFERROR(__xludf.DUMMYFUNCTION("""COMPUTED_VALUE"""),"Density")</f>
        <v>Density</v>
      </c>
      <c r="B4" s="2" t="str">
        <f>IFERROR(__xludf.DUMMYFUNCTION("""COMPUTED_VALUE"""),"473.42 people per.km2 (2021 est.)[2]")</f>
        <v>473.42 people per.km2 (2021 est.)[2]</v>
      </c>
    </row>
    <row r="5">
      <c r="A5" s="2" t="str">
        <f>IFERROR(__xludf.DUMMYFUNCTION("""COMPUTED_VALUE"""),"Growth rate")</f>
        <v>Growth rate</v>
      </c>
      <c r="B5" s="2" t="str">
        <f>IFERROR(__xludf.DUMMYFUNCTION("""COMPUTED_VALUE"""),"0.68% (2021 est.)[3]")</f>
        <v>0.68% (2021 est.)[3]</v>
      </c>
    </row>
    <row r="6">
      <c r="A6" s="2" t="str">
        <f>IFERROR(__xludf.DUMMYFUNCTION("""COMPUTED_VALUE"""),"Birth rate")</f>
        <v>Birth rate</v>
      </c>
      <c r="B6" s="2" t="str">
        <f>IFERROR(__xludf.DUMMYFUNCTION("""COMPUTED_VALUE"""),"16.42 births/1,000 population (2021 est.)[4]")</f>
        <v>16.42 births/1,000 population (2021 est.)[4]</v>
      </c>
    </row>
    <row r="7">
      <c r="A7" s="2" t="str">
        <f>IFERROR(__xludf.DUMMYFUNCTION("""COMPUTED_VALUE"""),"Death rate")</f>
        <v>Death rate</v>
      </c>
      <c r="B7" s="2" t="str">
        <f>IFERROR(__xludf.DUMMYFUNCTION("""COMPUTED_VALUE"""),"9.45 deaths/1,000 population (2021 est.)[5]")</f>
        <v>9.45 deaths/1,000 population (2021 est.)[5]</v>
      </c>
    </row>
    <row r="8">
      <c r="A8" s="2" t="str">
        <f>IFERROR(__xludf.DUMMYFUNCTION("""COMPUTED_VALUE"""),"Life expectancy")</f>
        <v>Life expectancy</v>
      </c>
      <c r="B8" s="2" t="str">
        <f>IFERROR(__xludf.DUMMYFUNCTION("""COMPUTED_VALUE"""),"67.2 years (2021 est.)[6]")</f>
        <v>67.2 years (2021 est.)[6]</v>
      </c>
    </row>
    <row r="9">
      <c r="A9" s="2" t="str">
        <f>IFERROR(__xludf.DUMMYFUNCTION("""COMPUTED_VALUE"""),"• male")</f>
        <v>• male</v>
      </c>
      <c r="B9" s="2" t="str">
        <f>IFERROR(__xludf.DUMMYFUNCTION("""COMPUTED_VALUE"""),"65.8 years (2021 est.)")</f>
        <v>65.8 years (2021 est.)</v>
      </c>
    </row>
    <row r="10">
      <c r="A10" s="2" t="str">
        <f>IFERROR(__xludf.DUMMYFUNCTION("""COMPUTED_VALUE"""),"• female")</f>
        <v>• female</v>
      </c>
      <c r="B10" s="2" t="str">
        <f>IFERROR(__xludf.DUMMYFUNCTION("""COMPUTED_VALUE"""),"68.9 years (2020 est.)")</f>
        <v>68.9 years (2020 est.)</v>
      </c>
    </row>
    <row r="11">
      <c r="A11" s="2" t="str">
        <f>IFERROR(__xludf.DUMMYFUNCTION("""COMPUTED_VALUE"""),"Fertility rate")</f>
        <v>Fertility rate</v>
      </c>
      <c r="B11" s="2" t="str">
        <f>IFERROR(__xludf.DUMMYFUNCTION("""COMPUTED_VALUE"""),"2.03 children born per woman (2021)[7]")</f>
        <v>2.03 children born per woman (2021)[7]</v>
      </c>
    </row>
    <row r="12">
      <c r="A12" s="2" t="str">
        <f>IFERROR(__xludf.DUMMYFUNCTION("""COMPUTED_VALUE"""),"Infant mortality rate")</f>
        <v>Infant mortality rate</v>
      </c>
      <c r="B12" s="2" t="str">
        <f>IFERROR(__xludf.DUMMYFUNCTION("""COMPUTED_VALUE"""),"29.94 deaths/1,000 live births (2018)[8]")</f>
        <v>29.94 deaths/1,000 live births (2018)[8]</v>
      </c>
    </row>
    <row r="13">
      <c r="A13" s="2" t="str">
        <f>IFERROR(__xludf.DUMMYFUNCTION("""COMPUTED_VALUE"""),"Age structure")</f>
        <v>Age structure</v>
      </c>
      <c r="B13" s="2"/>
    </row>
    <row r="14">
      <c r="A14" s="2" t="str">
        <f>IFERROR(__xludf.DUMMYFUNCTION("""COMPUTED_VALUE"""),"0–14 years")</f>
        <v>0–14 years</v>
      </c>
      <c r="B14" s="2" t="str">
        <f>IFERROR(__xludf.DUMMYFUNCTION("""COMPUTED_VALUE"""),"28.6% (male 190,075,427/female 172,799,553)[9]")</f>
        <v>28.6% (male 190,075,427/female 172,799,553)[9]</v>
      </c>
    </row>
    <row r="15">
      <c r="A15" s="2" t="str">
        <f>IFERROR(__xludf.DUMMYFUNCTION("""COMPUTED_VALUE"""),"15–64 years")</f>
        <v>15–64 years</v>
      </c>
      <c r="B15" s="2" t="str">
        <f>IFERROR(__xludf.DUMMYFUNCTION("""COMPUTED_VALUE"""),"63.6% (male 381,446,079/female 359,802,209) (2009 est.)")</f>
        <v>63.6% (male 381,446,079/female 359,802,209) (2009 est.)</v>
      </c>
    </row>
    <row r="16">
      <c r="A16" s="2" t="str">
        <f>IFERROR(__xludf.DUMMYFUNCTION("""COMPUTED_VALUE"""),"65 and over")</f>
        <v>65 and over</v>
      </c>
      <c r="B16" s="2" t="str">
        <f>IFERROR(__xludf.DUMMYFUNCTION("""COMPUTED_VALUE"""),"5.3% (male 29,364,920/female 32,591,030) (2009 est.)")</f>
        <v>5.3% (male 29,364,920/female 32,591,030) (2009 est.)</v>
      </c>
    </row>
    <row r="17">
      <c r="A17" s="2" t="str">
        <f>IFERROR(__xludf.DUMMYFUNCTION("""COMPUTED_VALUE"""),"Sex ratio")</f>
        <v>Sex ratio</v>
      </c>
      <c r="B17" s="2"/>
    </row>
    <row r="18">
      <c r="A18" s="2" t="str">
        <f>IFERROR(__xludf.DUMMYFUNCTION("""COMPUTED_VALUE"""),"Total")</f>
        <v>Total</v>
      </c>
      <c r="B18" s="2" t="str">
        <f>IFERROR(__xludf.DUMMYFUNCTION("""COMPUTED_VALUE"""),"1.079 male(s)/female (2020)[10]")</f>
        <v>1.079 male(s)/female (2020)[10]</v>
      </c>
    </row>
    <row r="19">
      <c r="A19" s="2" t="str">
        <f>IFERROR(__xludf.DUMMYFUNCTION("""COMPUTED_VALUE"""),"At birth")</f>
        <v>At birth</v>
      </c>
      <c r="B19" s="2" t="str">
        <f>IFERROR(__xludf.DUMMYFUNCTION("""COMPUTED_VALUE"""),"1.11 male(s)/female (2020)[10]")</f>
        <v>1.11 male(s)/female (2020)[10]</v>
      </c>
    </row>
    <row r="20">
      <c r="A20" s="2" t="str">
        <f>IFERROR(__xludf.DUMMYFUNCTION("""COMPUTED_VALUE"""),"Under 15")</f>
        <v>Under 15</v>
      </c>
      <c r="B20" s="2" t="str">
        <f>IFERROR(__xludf.DUMMYFUNCTION("""COMPUTED_VALUE"""),"0–14 years: 1.13 male(s)/female (2020)[10]")</f>
        <v>0–14 years: 1.13 male(s)/female (2020)[10]</v>
      </c>
    </row>
    <row r="21">
      <c r="A21" s="2" t="str">
        <f>IFERROR(__xludf.DUMMYFUNCTION("""COMPUTED_VALUE"""),"15–64 years")</f>
        <v>15–64 years</v>
      </c>
      <c r="B21" s="2" t="str">
        <f>IFERROR(__xludf.DUMMYFUNCTION("""COMPUTED_VALUE"""),"1.06 male(s)/female (2009 est.)")</f>
        <v>1.06 male(s)/female (2009 est.)</v>
      </c>
    </row>
    <row r="22">
      <c r="A22" s="2" t="str">
        <f>IFERROR(__xludf.DUMMYFUNCTION("""COMPUTED_VALUE"""),"65 and over")</f>
        <v>65 and over</v>
      </c>
      <c r="B22" s="2" t="str">
        <f>IFERROR(__xludf.DUMMYFUNCTION("""COMPUTED_VALUE"""),"0.89 male(s)/female (2020)[10]")</f>
        <v>0.89 male(s)/female (2020)[10]</v>
      </c>
    </row>
    <row r="23">
      <c r="A23" s="2" t="str">
        <f>IFERROR(__xludf.DUMMYFUNCTION("""COMPUTED_VALUE"""),"Nationality")</f>
        <v>Nationality</v>
      </c>
      <c r="B23" s="2"/>
    </row>
    <row r="24">
      <c r="A24" s="2" t="str">
        <f>IFERROR(__xludf.DUMMYFUNCTION("""COMPUTED_VALUE"""),"Major ethnic")</f>
        <v>Major ethnic</v>
      </c>
      <c r="B24" s="2" t="str">
        <f>IFERROR(__xludf.DUMMYFUNCTION("""COMPUTED_VALUE"""),"See Ethnic groups of India")</f>
        <v>See Ethnic groups of India</v>
      </c>
    </row>
    <row r="25">
      <c r="A25" s="2" t="str">
        <f>IFERROR(__xludf.DUMMYFUNCTION("""COMPUTED_VALUE"""),"Language")</f>
        <v>Language</v>
      </c>
      <c r="B25" s="2"/>
    </row>
    <row r="26">
      <c r="A26" s="2" t="str">
        <f>IFERROR(__xludf.DUMMYFUNCTION("""COMPUTED_VALUE"""),"Official")</f>
        <v>Official</v>
      </c>
      <c r="B26" s="2" t="str">
        <f>IFERROR(__xludf.DUMMYFUNCTION("""COMPUTED_VALUE"""),"See Languages of India")</f>
        <v>See Languages of India</v>
      </c>
    </row>
    <row r="27">
      <c r="A27" s="2" t="str">
        <f>IFERROR(__xludf.DUMMYFUNCTION("""COMPUTED_VALUE"""),"Spoken")</f>
        <v>Spoken</v>
      </c>
      <c r="B27" s="2" t="str">
        <f>IFERROR(__xludf.DUMMYFUNCTION("""COMPUTED_VALUE"""),"- Hindi 43.6%[note 1]
   - Bengali 8%
   - Marathi 6.9%
   - Telugu 6.8%
   - Tamil 6.7%
   - Gujarati 4.6%
   - Urdu 10%
   - Kannada 3.6%
   - Odia 3.1%
   - Malayalam 2.9%
   - Punjabi 2.5%
   - Assamese 1.3%
   - Maithili 1.1%
   - other 5.6%
   - (20"&amp;"11)[10]")</f>
        <v>- Hindi 43.6%[note 1]
   - Bengali 8%
   - Marathi 6.9%
   - Telugu 6.8%
   - Tamil 6.7%
   - Gujarati 4.6%
   - Urdu 10%
   - Kannada 3.6%
   - Odia 3.1%
   - Malayalam 2.9%
   - Punjabi 2.5%
   - Assamese 1.3%
   - Maithili 1.1%
   - other 5.6%
   - (2011)[10]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IFERROR(__xludf.DUMMYFUNCTION("IMPORTHTML(""http://en.wikipedia.org/wiki/Demographics_of_India"",""table"",2)"),"Year")</f>
        <v>Year</v>
      </c>
      <c r="B1" s="2" t="str">
        <f>IFERROR(__xludf.DUMMYFUNCTION("""COMPUTED_VALUE"""),"Aggregate average")</f>
        <v>Aggregate average</v>
      </c>
      <c r="C1" s="2"/>
      <c r="D1" s="2" t="str">
        <f>IFERROR(__xludf.DUMMYFUNCTION("""COMPUTED_VALUE"""),"Period")</f>
        <v>Period</v>
      </c>
      <c r="E1" s="2" t="str">
        <f>IFERROR(__xludf.DUMMYFUNCTION("""COMPUTED_VALUE"""),"Average 
 % growth 
/ century")</f>
        <v>Average 
 % growth 
/ century</v>
      </c>
    </row>
    <row r="2">
      <c r="A2" s="2"/>
      <c r="B2" s="2" t="str">
        <f>IFERROR(__xludf.DUMMYFUNCTION("""COMPUTED_VALUE"""),"Population")</f>
        <v>Population</v>
      </c>
      <c r="C2" s="2" t="str">
        <f>IFERROR(__xludf.DUMMYFUNCTION("""COMPUTED_VALUE"""),"% of World population")</f>
        <v>% of World population</v>
      </c>
      <c r="D2" s="2"/>
      <c r="E2" s="2"/>
    </row>
    <row r="3">
      <c r="A3" s="2" t="str">
        <f>IFERROR(__xludf.DUMMYFUNCTION("""COMPUTED_VALUE"""),"10,000 BC")</f>
        <v>10,000 BC</v>
      </c>
      <c r="B3" s="4">
        <f>IFERROR(__xludf.DUMMYFUNCTION("""COMPUTED_VALUE"""),1000.0)</f>
        <v>1000</v>
      </c>
      <c r="C3" s="5">
        <f>IFERROR(__xludf.DUMMYFUNCTION("""COMPUTED_VALUE"""),0.0083)</f>
        <v>0.0083</v>
      </c>
      <c r="D3" s="2" t="str">
        <f>IFERROR(__xludf.DUMMYFUNCTION("""COMPUTED_VALUE"""),"Stone Age")</f>
        <v>Stone Age</v>
      </c>
      <c r="E3" s="2">
        <f>IFERROR(__xludf.DUMMYFUNCTION("""COMPUTED_VALUE"""),30.28)</f>
        <v>30.28</v>
      </c>
    </row>
    <row r="4">
      <c r="A4" s="2" t="str">
        <f>IFERROR(__xludf.DUMMYFUNCTION("""COMPUTED_VALUE"""),"4000 BC")</f>
        <v>4000 BC</v>
      </c>
      <c r="B4" s="4">
        <f>IFERROR(__xludf.DUMMYFUNCTION("""COMPUTED_VALUE"""),1000000.0)</f>
        <v>1000000</v>
      </c>
      <c r="C4" s="5">
        <f>IFERROR(__xludf.DUMMYFUNCTION("""COMPUTED_VALUE"""),0.3083)</f>
        <v>0.3083</v>
      </c>
      <c r="D4" s="2"/>
      <c r="E4" s="2"/>
    </row>
    <row r="5">
      <c r="A5" s="2" t="str">
        <f>IFERROR(__xludf.DUMMYFUNCTION("""COMPUTED_VALUE"""),"2000 BC")</f>
        <v>2000 BC</v>
      </c>
      <c r="B5" s="4">
        <f>IFERROR(__xludf.DUMMYFUNCTION("""COMPUTED_VALUE"""),1.3E7)</f>
        <v>13000000</v>
      </c>
      <c r="C5" s="5">
        <f>IFERROR(__xludf.DUMMYFUNCTION("""COMPUTED_VALUE"""),0.37143)</f>
        <v>0.37143</v>
      </c>
      <c r="D5" s="2" t="str">
        <f>IFERROR(__xludf.DUMMYFUNCTION("""COMPUTED_VALUE"""),"Bronze Age")</f>
        <v>Bronze Age</v>
      </c>
      <c r="E5" s="2">
        <f>IFERROR(__xludf.DUMMYFUNCTION("""COMPUTED_VALUE"""),26.25)</f>
        <v>26.25</v>
      </c>
    </row>
    <row r="6">
      <c r="A6" s="2" t="str">
        <f>IFERROR(__xludf.DUMMYFUNCTION("""COMPUTED_VALUE"""),"500 BC")</f>
        <v>500 BC</v>
      </c>
      <c r="B6" s="4">
        <f>IFERROR(__xludf.DUMMYFUNCTION("""COMPUTED_VALUE"""),8.34E7)</f>
        <v>83400000</v>
      </c>
      <c r="C6" s="5">
        <f>IFERROR(__xludf.DUMMYFUNCTION("""COMPUTED_VALUE"""),0.417)</f>
        <v>0.417</v>
      </c>
      <c r="D6" s="2" t="str">
        <f>IFERROR(__xludf.DUMMYFUNCTION("""COMPUTED_VALUE"""),"Iron Age")</f>
        <v>Iron Age</v>
      </c>
      <c r="E6" s="2"/>
    </row>
    <row r="7">
      <c r="A7" s="2" t="str">
        <f>IFERROR(__xludf.DUMMYFUNCTION("""COMPUTED_VALUE"""),"400 BC")</f>
        <v>400 BC</v>
      </c>
      <c r="B7" s="4">
        <f>IFERROR(__xludf.DUMMYFUNCTION("""COMPUTED_VALUE"""),1.026E8)</f>
        <v>102600000</v>
      </c>
      <c r="C7" s="5">
        <f>IFERROR(__xludf.DUMMYFUNCTION("""COMPUTED_VALUE"""),0.4396)</f>
        <v>0.4396</v>
      </c>
      <c r="D7" s="2"/>
      <c r="E7" s="2"/>
    </row>
    <row r="8">
      <c r="A8" s="2" t="str">
        <f>IFERROR(__xludf.DUMMYFUNCTION("""COMPUTED_VALUE"""),"200 BC")</f>
        <v>200 BC</v>
      </c>
      <c r="B8" s="4">
        <f>IFERROR(__xludf.DUMMYFUNCTION("""COMPUTED_VALUE"""),1.429E8)</f>
        <v>142900000</v>
      </c>
      <c r="C8" s="5">
        <f>IFERROR(__xludf.DUMMYFUNCTION("""COMPUTED_VALUE"""),0.4763)</f>
        <v>0.4763</v>
      </c>
      <c r="D8" s="2" t="str">
        <f>IFERROR(__xludf.DUMMYFUNCTION("""COMPUTED_VALUE"""),"Maurya era")</f>
        <v>Maurya era</v>
      </c>
      <c r="E8" s="2"/>
    </row>
    <row r="9">
      <c r="A9" s="2" t="str">
        <f>IFERROR(__xludf.DUMMYFUNCTION("""COMPUTED_VALUE"""),"1 AD")</f>
        <v>1 AD</v>
      </c>
      <c r="B9" s="4">
        <f>IFERROR(__xludf.DUMMYFUNCTION("""COMPUTED_VALUE"""),1.667E8)</f>
        <v>166700000</v>
      </c>
      <c r="C9" s="5">
        <f>IFERROR(__xludf.DUMMYFUNCTION("""COMPUTED_VALUE"""),0.3556)</f>
        <v>0.3556</v>
      </c>
      <c r="D9" s="2" t="str">
        <f>IFERROR(__xludf.DUMMYFUNCTION("""COMPUTED_VALUE"""),"Classical 
era")</f>
        <v>Classical 
era</v>
      </c>
      <c r="E9" s="2"/>
    </row>
    <row r="10">
      <c r="A10" s="2">
        <f>IFERROR(__xludf.DUMMYFUNCTION("""COMPUTED_VALUE"""),200.0)</f>
        <v>200</v>
      </c>
      <c r="B10" s="4">
        <f>IFERROR(__xludf.DUMMYFUNCTION("""COMPUTED_VALUE"""),2.0E8)</f>
        <v>200000000</v>
      </c>
      <c r="C10" s="5">
        <f>IFERROR(__xludf.DUMMYFUNCTION("""COMPUTED_VALUE"""),0.3615)</f>
        <v>0.3615</v>
      </c>
      <c r="D10" s="2"/>
      <c r="E10" s="2"/>
    </row>
    <row r="11">
      <c r="A11" s="2">
        <f>IFERROR(__xludf.DUMMYFUNCTION("""COMPUTED_VALUE"""),400.0)</f>
        <v>400</v>
      </c>
      <c r="B11" s="4">
        <f>IFERROR(__xludf.DUMMYFUNCTION("""COMPUTED_VALUE"""),2.5E8)</f>
        <v>250000000</v>
      </c>
      <c r="C11" s="6">
        <f>IFERROR(__xludf.DUMMYFUNCTION("""COMPUTED_VALUE"""),0.4)</f>
        <v>0.4</v>
      </c>
      <c r="D11" s="2"/>
      <c r="E11" s="2"/>
    </row>
    <row r="12">
      <c r="A12" s="2">
        <f>IFERROR(__xludf.DUMMYFUNCTION("""COMPUTED_VALUE"""),500.0)</f>
        <v>500</v>
      </c>
      <c r="B12" s="4">
        <f>IFERROR(__xludf.DUMMYFUNCTION("""COMPUTED_VALUE"""),2.858E8)</f>
        <v>285800000</v>
      </c>
      <c r="C12" s="5">
        <f>IFERROR(__xludf.DUMMYFUNCTION("""COMPUTED_VALUE"""),0.4358)</f>
        <v>0.4358</v>
      </c>
      <c r="D12" s="2"/>
      <c r="E12" s="2"/>
    </row>
    <row r="13">
      <c r="A13" s="2">
        <f>IFERROR(__xludf.DUMMYFUNCTION("""COMPUTED_VALUE"""),600.0)</f>
        <v>600</v>
      </c>
      <c r="B13" s="4">
        <f>IFERROR(__xludf.DUMMYFUNCTION("""COMPUTED_VALUE"""),3.334E8)</f>
        <v>333400000</v>
      </c>
      <c r="C13" s="5">
        <f>IFERROR(__xludf.DUMMYFUNCTION("""COMPUTED_VALUE"""),0.4883)</f>
        <v>0.4883</v>
      </c>
      <c r="D13" s="2" t="str">
        <f>IFERROR(__xludf.DUMMYFUNCTION("""COMPUTED_VALUE"""),"Early 
medieval 
era")</f>
        <v>Early 
medieval 
era</v>
      </c>
      <c r="E13" s="2"/>
    </row>
    <row r="14">
      <c r="A14" s="2">
        <f>IFERROR(__xludf.DUMMYFUNCTION("""COMPUTED_VALUE"""),700.0)</f>
        <v>700</v>
      </c>
      <c r="B14" s="4">
        <f>IFERROR(__xludf.DUMMYFUNCTION("""COMPUTED_VALUE"""),4.0E8)</f>
        <v>400000000</v>
      </c>
      <c r="C14" s="5">
        <f>IFERROR(__xludf.DUMMYFUNCTION("""COMPUTED_VALUE"""),0.5667)</f>
        <v>0.5667</v>
      </c>
      <c r="D14" s="2"/>
      <c r="E14" s="2"/>
    </row>
    <row r="15">
      <c r="A15" s="2">
        <f>IFERROR(__xludf.DUMMYFUNCTION("""COMPUTED_VALUE"""),800.0)</f>
        <v>800</v>
      </c>
      <c r="B15" s="4">
        <f>IFERROR(__xludf.DUMMYFUNCTION("""COMPUTED_VALUE"""),3.9E8)</f>
        <v>390000000</v>
      </c>
      <c r="C15" s="6">
        <f>IFERROR(__xludf.DUMMYFUNCTION("""COMPUTED_VALUE"""),0.55)</f>
        <v>0.55</v>
      </c>
      <c r="D15" s="2"/>
      <c r="E15" s="2"/>
    </row>
    <row r="16">
      <c r="A16" s="2">
        <f>IFERROR(__xludf.DUMMYFUNCTION("""COMPUTED_VALUE"""),900.0)</f>
        <v>900</v>
      </c>
      <c r="B16" s="4">
        <f>IFERROR(__xludf.DUMMYFUNCTION("""COMPUTED_VALUE"""),3.8E8)</f>
        <v>380000000</v>
      </c>
      <c r="C16" s="5">
        <f>IFERROR(__xludf.DUMMYFUNCTION("""COMPUTED_VALUE"""),0.5334)</f>
        <v>0.5334</v>
      </c>
      <c r="D16" s="2"/>
      <c r="E16" s="2"/>
    </row>
    <row r="17">
      <c r="A17" s="2">
        <f>IFERROR(__xludf.DUMMYFUNCTION("""COMPUTED_VALUE"""),1000.0)</f>
        <v>1000</v>
      </c>
      <c r="B17" s="4">
        <f>IFERROR(__xludf.DUMMYFUNCTION("""COMPUTED_VALUE"""),3.6E8)</f>
        <v>360000000</v>
      </c>
      <c r="C17" s="6">
        <f>IFERROR(__xludf.DUMMYFUNCTION("""COMPUTED_VALUE"""),0.3)</f>
        <v>0.3</v>
      </c>
      <c r="D17" s="2"/>
      <c r="E17" s="2"/>
    </row>
    <row r="18">
      <c r="A18" s="2">
        <f>IFERROR(__xludf.DUMMYFUNCTION("""COMPUTED_VALUE"""),1100.0)</f>
        <v>1100</v>
      </c>
      <c r="B18" s="4">
        <f>IFERROR(__xludf.DUMMYFUNCTION("""COMPUTED_VALUE"""),3.3E8)</f>
        <v>330000000</v>
      </c>
      <c r="C18" s="6">
        <f>IFERROR(__xludf.DUMMYFUNCTION("""COMPUTED_VALUE"""),0.35)</f>
        <v>0.35</v>
      </c>
      <c r="D18" s="2" t="str">
        <f>IFERROR(__xludf.DUMMYFUNCTION("""COMPUTED_VALUE"""),"Late 
medieval 
era")</f>
        <v>Late 
medieval 
era</v>
      </c>
      <c r="E18" s="2"/>
    </row>
    <row r="19">
      <c r="A19" s="2">
        <f>IFERROR(__xludf.DUMMYFUNCTION("""COMPUTED_VALUE"""),1200.0)</f>
        <v>1200</v>
      </c>
      <c r="B19" s="4">
        <f>IFERROR(__xludf.DUMMYFUNCTION("""COMPUTED_VALUE"""),2.8E8)</f>
        <v>280000000</v>
      </c>
      <c r="C19" s="5">
        <f>IFERROR(__xludf.DUMMYFUNCTION("""COMPUTED_VALUE"""),0.3667)</f>
        <v>0.3667</v>
      </c>
      <c r="D19" s="2"/>
      <c r="E19" s="2"/>
    </row>
    <row r="20">
      <c r="A20" s="2">
        <f>IFERROR(__xludf.DUMMYFUNCTION("""COMPUTED_VALUE"""),1300.0)</f>
        <v>1300</v>
      </c>
      <c r="B20" s="4">
        <f>IFERROR(__xludf.DUMMYFUNCTION("""COMPUTED_VALUE"""),2.3E8)</f>
        <v>230000000</v>
      </c>
      <c r="C20" s="5">
        <f>IFERROR(__xludf.DUMMYFUNCTION("""COMPUTED_VALUE"""),0.3834)</f>
        <v>0.3834</v>
      </c>
      <c r="D20" s="2"/>
      <c r="E20" s="2"/>
    </row>
    <row r="21">
      <c r="A21" s="2">
        <f>IFERROR(__xludf.DUMMYFUNCTION("""COMPUTED_VALUE"""),1400.0)</f>
        <v>1400</v>
      </c>
      <c r="B21" s="4">
        <f>IFERROR(__xludf.DUMMYFUNCTION("""COMPUTED_VALUE"""),1.8E8)</f>
        <v>180000000</v>
      </c>
      <c r="C21" s="6">
        <f>IFERROR(__xludf.DUMMYFUNCTION("""COMPUTED_VALUE"""),0.3)</f>
        <v>0.3</v>
      </c>
      <c r="D21" s="2"/>
      <c r="E21" s="2"/>
    </row>
    <row r="22">
      <c r="A22" s="2">
        <f>IFERROR(__xludf.DUMMYFUNCTION("""COMPUTED_VALUE"""),1500.0)</f>
        <v>1500</v>
      </c>
      <c r="B22" s="4">
        <f>IFERROR(__xludf.DUMMYFUNCTION("""COMPUTED_VALUE"""),1.3E8)</f>
        <v>130000000</v>
      </c>
      <c r="C22" s="5">
        <f>IFERROR(__xludf.DUMMYFUNCTION("""COMPUTED_VALUE"""),0.2167)</f>
        <v>0.2167</v>
      </c>
      <c r="D22" s="2"/>
      <c r="E22" s="2"/>
    </row>
    <row r="23">
      <c r="A23" s="2">
        <f>IFERROR(__xludf.DUMMYFUNCTION("""COMPUTED_VALUE"""),1600.0)</f>
        <v>1600</v>
      </c>
      <c r="B23" s="4">
        <f>IFERROR(__xludf.DUMMYFUNCTION("""COMPUTED_VALUE"""),1.4E8)</f>
        <v>140000000</v>
      </c>
      <c r="C23" s="5">
        <f>IFERROR(__xludf.DUMMYFUNCTION("""COMPUTED_VALUE"""),0.2333)</f>
        <v>0.2333</v>
      </c>
      <c r="D23" s="2" t="str">
        <f>IFERROR(__xludf.DUMMYFUNCTION("""COMPUTED_VALUE"""),"Early modern era")</f>
        <v>Early modern era</v>
      </c>
      <c r="E23" s="2"/>
    </row>
    <row r="24">
      <c r="A24" s="2">
        <f>IFERROR(__xludf.DUMMYFUNCTION("""COMPUTED_VALUE"""),1650.0)</f>
        <v>1650</v>
      </c>
      <c r="B24" s="4">
        <f>IFERROR(__xludf.DUMMYFUNCTION("""COMPUTED_VALUE"""),1.7E8)</f>
        <v>170000000</v>
      </c>
      <c r="C24" s="5">
        <f>IFERROR(__xludf.DUMMYFUNCTION("""COMPUTED_VALUE"""),0.2615)</f>
        <v>0.2615</v>
      </c>
      <c r="D24" s="2"/>
      <c r="E24" s="2"/>
    </row>
    <row r="25">
      <c r="A25" s="2">
        <f>IFERROR(__xludf.DUMMYFUNCTION("""COMPUTED_VALUE"""),1700.0)</f>
        <v>1700</v>
      </c>
      <c r="B25" s="4">
        <f>IFERROR(__xludf.DUMMYFUNCTION("""COMPUTED_VALUE"""),1.4E8)</f>
        <v>140000000</v>
      </c>
      <c r="C25" s="6">
        <f>IFERROR(__xludf.DUMMYFUNCTION("""COMPUTED_VALUE"""),0.2)</f>
        <v>0.2</v>
      </c>
      <c r="D25" s="2"/>
      <c r="E25" s="2"/>
    </row>
    <row r="26">
      <c r="A26" s="2">
        <f>IFERROR(__xludf.DUMMYFUNCTION("""COMPUTED_VALUE"""),1750.0)</f>
        <v>1750</v>
      </c>
      <c r="B26" s="4">
        <f>IFERROR(__xludf.DUMMYFUNCTION("""COMPUTED_VALUE"""),1.83E8)</f>
        <v>183000000</v>
      </c>
      <c r="C26" s="5">
        <f>IFERROR(__xludf.DUMMYFUNCTION("""COMPUTED_VALUE"""),0.2153)</f>
        <v>0.2153</v>
      </c>
      <c r="D26" s="2"/>
      <c r="E26" s="2"/>
    </row>
    <row r="27">
      <c r="A27" s="2">
        <f>IFERROR(__xludf.DUMMYFUNCTION("""COMPUTED_VALUE"""),1800.0)</f>
        <v>1800</v>
      </c>
      <c r="B27" s="4">
        <f>IFERROR(__xludf.DUMMYFUNCTION("""COMPUTED_VALUE"""),2.0E8)</f>
        <v>200000000</v>
      </c>
      <c r="C27" s="6">
        <f>IFERROR(__xludf.DUMMYFUNCTION("""COMPUTED_VALUE"""),0.2)</f>
        <v>0.2</v>
      </c>
      <c r="D27" s="2"/>
      <c r="E27" s="2"/>
    </row>
    <row r="28">
      <c r="A28" s="2">
        <f>IFERROR(__xludf.DUMMYFUNCTION("""COMPUTED_VALUE"""),1820.0)</f>
        <v>1820</v>
      </c>
      <c r="B28" s="4">
        <f>IFERROR(__xludf.DUMMYFUNCTION("""COMPUTED_VALUE"""),2.1E8)</f>
        <v>210000000</v>
      </c>
      <c r="C28" s="5">
        <f>IFERROR(__xludf.DUMMYFUNCTION("""COMPUTED_VALUE"""),0.1909)</f>
        <v>0.1909</v>
      </c>
      <c r="D28" s="2"/>
      <c r="E28" s="2"/>
    </row>
  </sheetData>
  <drawing r:id="rId1"/>
</worksheet>
</file>