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<sst xmlns="http://schemas.openxmlformats.org/spreadsheetml/2006/main" count="220" uniqueCount="134">
  <si>
    <t>等级一</t>
  </si>
  <si>
    <t>选此调整敌人等级</t>
  </si>
  <si>
    <t>选此调整玩家等级</t>
  </si>
  <si>
    <t>敌人参数</t>
  </si>
  <si>
    <t>描述</t>
  </si>
  <si>
    <t>HP</t>
  </si>
  <si>
    <t>ATT</t>
  </si>
  <si>
    <t>HP+</t>
  </si>
  <si>
    <t>ATT+</t>
  </si>
  <si>
    <t>密度</t>
  </si>
  <si>
    <t>频率</t>
  </si>
  <si>
    <t>Nett</t>
  </si>
  <si>
    <t>Att1</t>
  </si>
  <si>
    <t>Att3</t>
  </si>
  <si>
    <t>Att5</t>
  </si>
  <si>
    <t>Aoe1</t>
  </si>
  <si>
    <t>Aoe3</t>
  </si>
  <si>
    <t>Aoe5</t>
  </si>
  <si>
    <t>AA2</t>
  </si>
  <si>
    <t>AA4</t>
  </si>
  <si>
    <t>AA6</t>
  </si>
  <si>
    <t>玩家参数</t>
  </si>
  <si>
    <t>护盾</t>
  </si>
  <si>
    <t>热能</t>
  </si>
  <si>
    <t>攻击力</t>
  </si>
  <si>
    <t>威力增加</t>
  </si>
  <si>
    <t>临时威力</t>
  </si>
  <si>
    <t>范围有效密度</t>
  </si>
  <si>
    <t>临时范围</t>
  </si>
  <si>
    <t>格子数</t>
  </si>
  <si>
    <t>等级</t>
  </si>
  <si>
    <t>维护成本</t>
  </si>
  <si>
    <t>普通</t>
  </si>
  <si>
    <t>假设掉落倍数</t>
  </si>
  <si>
    <t>平均期望玩家攻击怪物次数</t>
  </si>
  <si>
    <t>假设敌人生命</t>
  </si>
  <si>
    <t>假设生产对玩家的阻碍为N个</t>
  </si>
  <si>
    <t>假设小火攻击力</t>
  </si>
  <si>
    <t>假设敌人攻击力</t>
  </si>
  <si>
    <t>召唤</t>
  </si>
  <si>
    <t>资源消耗</t>
  </si>
  <si>
    <t>资源积累条件</t>
  </si>
  <si>
    <t>实际消耗</t>
  </si>
  <si>
    <t>生产改变的增益总计</t>
  </si>
  <si>
    <t>卷轴或徽章</t>
  </si>
  <si>
    <t>威力</t>
  </si>
  <si>
    <t>范围</t>
  </si>
  <si>
    <t>消耗</t>
  </si>
  <si>
    <t>加持</t>
  </si>
  <si>
    <t>实际威力</t>
  </si>
  <si>
    <t>攻击增益的理想值</t>
  </si>
  <si>
    <t>生命增益的理想值</t>
  </si>
  <si>
    <t>考虑出现频率的额外消耗总计</t>
  </si>
  <si>
    <t>Lv0</t>
  </si>
  <si>
    <t>普通怪同时得到攻击和生命增益</t>
  </si>
  <si>
    <t>生产怪的到攻击和生命增益</t>
  </si>
  <si>
    <t>假设维护临时增益成本</t>
  </si>
  <si>
    <t>固定奖励</t>
  </si>
  <si>
    <t>实际奖励</t>
  </si>
  <si>
    <t>估计攻击次数</t>
  </si>
  <si>
    <t>实际能量消耗</t>
  </si>
  <si>
    <t>百分比</t>
  </si>
  <si>
    <t>掉落数</t>
  </si>
  <si>
    <t>加持越多的情况下，获得经验值越多</t>
  </si>
  <si>
    <t>实际累积</t>
  </si>
  <si>
    <t>实际护盾消耗</t>
  </si>
  <si>
    <t>最大护盾消耗</t>
  </si>
  <si>
    <t>护盾在越少加持得状态下减少得越快</t>
  </si>
  <si>
    <t>实际维护消耗</t>
  </si>
  <si>
    <t>平均维护成本</t>
  </si>
  <si>
    <t>维护会很快支撑不住</t>
  </si>
  <si>
    <t>总累积</t>
  </si>
  <si>
    <t>权重</t>
  </si>
  <si>
    <t>假设怪物总数</t>
  </si>
  <si>
    <t>热能升级增加上限</t>
  </si>
  <si>
    <t>假设玩家需要移动格子数</t>
  </si>
  <si>
    <t>每等级</t>
  </si>
  <si>
    <t>被攻击减少</t>
  </si>
  <si>
    <t>每等级减</t>
  </si>
  <si>
    <t>假设火焰地域可以覆盖N%路径</t>
  </si>
  <si>
    <t>增加的各种东西的威力</t>
  </si>
  <si>
    <t>走在非火地域减少</t>
  </si>
  <si>
    <t>(x1 x等级）</t>
  </si>
  <si>
    <t>升级</t>
  </si>
  <si>
    <t>靠蓝水晶回复</t>
  </si>
  <si>
    <t>累积大概为每个怪</t>
  </si>
  <si>
    <t>若计算走动</t>
  </si>
  <si>
    <t>初始护盾</t>
  </si>
  <si>
    <t>威力临时</t>
  </si>
  <si>
    <t>总积累</t>
  </si>
  <si>
    <t>热能等级</t>
  </si>
  <si>
    <t>期望玩家提升等级数</t>
  </si>
  <si>
    <t>范围临时</t>
  </si>
  <si>
    <t>杀多少怪升级？</t>
  </si>
  <si>
    <t>行走减少</t>
  </si>
  <si>
    <t>击杀获得</t>
  </si>
  <si>
    <t>蓝水晶</t>
  </si>
  <si>
    <t>每级升级经验？</t>
  </si>
  <si>
    <t>美化后</t>
  </si>
  <si>
    <t>红水晶</t>
  </si>
  <si>
    <t>威力等级</t>
  </si>
  <si>
    <t>武器</t>
  </si>
  <si>
    <t>威力效率</t>
  </si>
  <si>
    <t>范围·效率</t>
  </si>
  <si>
    <t>护盾消耗</t>
  </si>
  <si>
    <t>特殊方式增加</t>
  </si>
  <si>
    <t>徽章</t>
  </si>
  <si>
    <t>攻击减少</t>
  </si>
  <si>
    <t>每步减少临时</t>
  </si>
  <si>
    <t>卷轴</t>
  </si>
  <si>
    <t>范围效率</t>
  </si>
  <si>
    <t>火焰地域</t>
  </si>
  <si>
    <t>非火焰地域</t>
  </si>
  <si>
    <t>临时消耗</t>
  </si>
  <si>
    <t>敌人掉落</t>
  </si>
  <si>
    <t>黄水晶比率</t>
  </si>
  <si>
    <t>蓝水晶比率</t>
  </si>
  <si>
    <t>红水晶比率</t>
  </si>
  <si>
    <t>每打一个怪，使用道具的频率</t>
  </si>
  <si>
    <t>使用徽章减少</t>
  </si>
  <si>
    <t>制作卷轴减少</t>
  </si>
  <si>
    <t>捡起</t>
  </si>
  <si>
    <t>制作</t>
  </si>
  <si>
    <t>每个房间获得卷轴</t>
  </si>
  <si>
    <t>实际获得红水晶</t>
  </si>
  <si>
    <t>激发卷轴临时加持</t>
  </si>
  <si>
    <t>相当于附带威力/范围等级的攻击</t>
  </si>
  <si>
    <t>激发徽章的临时加持</t>
  </si>
  <si>
    <t>铺满格子长度</t>
  </si>
  <si>
    <t>铺满格子总数</t>
  </si>
  <si>
    <t>假设理想情况下玩家不会受到攻击，且不会消耗能量</t>
  </si>
  <si>
    <t>总共使用道具次数</t>
  </si>
  <si>
    <t>攻击性卷轴/徽章</t>
  </si>
  <si>
    <t>道具平均贡献火焰地域格数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</si>
</sst>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theme="1"/>
      <name val="Arial"/>
    </font>
    <font>
      <b/>
      <color rgb="FF980000"/>
      <name val="Arial"/>
    </font>
    <font>
      <color rgb="FFB7B7B7"/>
      <name val="Arial"/>
    </font>
    <font>
      <name val="Arial"/>
    </font>
    <font>
      <color rgb="FF999999"/>
      <name val="Arial"/>
    </font>
    <font>
      <color rgb="FFFFFFFF"/>
      <name val="Arial"/>
    </font>
    <font>
      <color theme="0"/>
      <name val="Arial"/>
    </font>
    <font>
      <b/>
      <color rgb="FFFF0000"/>
      <name val="Arial"/>
    </font>
    <font>
      <b/>
      <color rgb="FFFFFFFF"/>
    </font>
    <font>
      <b/>
      <color rgb="FFFFFFFF"/>
      <name val="Arial"/>
    </font>
    <font/>
    <font>
      <color theme="0"/>
    </font>
  </fonts>
  <fills count="1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6"/>
        <bgColor theme="6"/>
      </patternFill>
    </fill>
    <fill>
      <patternFill patternType="solid">
        <fgColor rgb="FF5891AD"/>
        <bgColor rgb="FF5891AD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theme="4"/>
        <bgColor theme="4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76A5AF"/>
        <bgColor rgb="FF76A5AF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</fills>
  <borders count="16">
    <border/>
    <border>
      <right/>
    </border>
    <border>
      <left style="thin">
        <color rgb="FF980000"/>
      </left>
      <right style="thin">
        <color rgb="FF980000"/>
      </right>
      <top style="thin">
        <color rgb="FF980000"/>
      </top>
    </border>
    <border>
      <left style="thin">
        <color rgb="FF980000"/>
      </left>
      <right style="thin">
        <color rgb="FF980000"/>
      </right>
    </border>
    <border>
      <left style="thin">
        <color rgb="FF980000"/>
      </left>
      <top style="thin">
        <color rgb="FF980000"/>
      </top>
    </border>
    <border>
      <top style="thin">
        <color rgb="FF980000"/>
      </top>
    </border>
    <border>
      <right style="thin">
        <color rgb="FF980000"/>
      </right>
      <top style="thin">
        <color rgb="FF980000"/>
      </top>
    </border>
    <border>
      <left style="thin">
        <color rgb="FF980000"/>
      </left>
    </border>
    <border>
      <right style="thin">
        <color rgb="FF980000"/>
      </right>
    </border>
    <border>
      <left style="thin">
        <color rgb="FF980000"/>
      </left>
      <bottom style="thin">
        <color rgb="FF980000"/>
      </bottom>
    </border>
    <border>
      <bottom style="thin">
        <color rgb="FF980000"/>
      </bottom>
    </border>
    <border>
      <right style="thin">
        <color rgb="FF980000"/>
      </right>
      <bottom style="thin">
        <color rgb="FF980000"/>
      </bottom>
    </border>
    <border>
      <left style="thin">
        <color rgb="FF980000"/>
      </left>
      <right style="thin">
        <color rgb="FF980000"/>
      </right>
      <bottom style="thin">
        <color rgb="FF980000"/>
      </bottom>
    </border>
    <border>
      <left style="thin">
        <color rgb="FF980000"/>
      </left>
      <top style="thin">
        <color rgb="FF980000"/>
      </top>
      <bottom style="thin">
        <color rgb="FF980000"/>
      </bottom>
    </border>
    <border>
      <right style="thin">
        <color rgb="FF980000"/>
      </right>
      <top style="thin">
        <color rgb="FF980000"/>
      </top>
      <bottom style="thin">
        <color rgb="FF980000"/>
      </bottom>
    </border>
    <border>
      <top style="thin">
        <color rgb="FF980000"/>
      </top>
      <bottom style="thin">
        <color rgb="FF98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2" numFmtId="0" xfId="0" applyAlignment="1" applyBorder="1" applyFont="1">
      <alignment shrinkToFit="0" vertical="bottom" wrapText="0"/>
    </xf>
    <xf borderId="0" fillId="3" fontId="1" numFmtId="0" xfId="0" applyAlignment="1" applyFill="1" applyFont="1">
      <alignment readingOrder="0" vertical="bottom"/>
    </xf>
    <xf borderId="0" fillId="2" fontId="1" numFmtId="0" xfId="0" applyAlignment="1" applyFont="1">
      <alignment readingOrder="0"/>
    </xf>
    <xf borderId="0" fillId="2" fontId="3" numFmtId="0" xfId="0" applyFont="1"/>
    <xf borderId="0" fillId="2" fontId="1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  <xf borderId="0" fillId="2" fontId="1" numFmtId="0" xfId="0" applyAlignment="1" applyFont="1">
      <alignment horizontal="right" vertical="bottom"/>
    </xf>
    <xf borderId="0" fillId="2" fontId="5" numFmtId="0" xfId="0" applyAlignment="1" applyFont="1">
      <alignment horizontal="right" vertical="bottom"/>
    </xf>
    <xf borderId="0" fillId="4" fontId="6" numFmtId="0" xfId="0" applyAlignment="1" applyFill="1" applyFont="1">
      <alignment vertical="bottom"/>
    </xf>
    <xf borderId="1" fillId="4" fontId="5" numFmtId="0" xfId="0" applyAlignment="1" applyBorder="1" applyFont="1">
      <alignment shrinkToFit="0" vertical="bottom" wrapText="0"/>
    </xf>
    <xf borderId="0" fillId="4" fontId="5" numFmtId="0" xfId="0" applyAlignment="1" applyFont="1">
      <alignment vertical="bottom"/>
    </xf>
    <xf borderId="0" fillId="4" fontId="1" numFmtId="0" xfId="0" applyAlignment="1" applyFont="1">
      <alignment vertical="bottom"/>
    </xf>
    <xf borderId="1" fillId="4" fontId="6" numFmtId="0" xfId="0" applyAlignment="1" applyBorder="1" applyFont="1">
      <alignment shrinkToFit="0" vertical="bottom" wrapText="0"/>
    </xf>
    <xf borderId="0" fillId="4" fontId="7" numFmtId="0" xfId="0" applyAlignment="1" applyFont="1">
      <alignment readingOrder="0" vertical="bottom"/>
    </xf>
    <xf borderId="0" fillId="5" fontId="1" numFmtId="0" xfId="0" applyAlignment="1" applyFill="1" applyFont="1">
      <alignment horizontal="right" readingOrder="0" vertical="bottom"/>
    </xf>
    <xf borderId="0" fillId="5" fontId="1" numFmtId="0" xfId="0" applyAlignment="1" applyFont="1">
      <alignment horizontal="right" vertical="bottom"/>
    </xf>
    <xf borderId="0" fillId="6" fontId="1" numFmtId="0" xfId="0" applyAlignment="1" applyFill="1" applyFont="1">
      <alignment horizontal="right" vertical="bottom"/>
    </xf>
    <xf borderId="0" fillId="2" fontId="5" numFmtId="0" xfId="0" applyAlignment="1" applyFont="1">
      <alignment horizontal="center" vertical="bottom"/>
    </xf>
    <xf borderId="0" fillId="2" fontId="4" numFmtId="0" xfId="0" applyAlignment="1" applyFont="1">
      <alignment horizontal="right" readingOrder="0" vertical="bottom"/>
    </xf>
    <xf borderId="0" fillId="5" fontId="1" numFmtId="0" xfId="0" applyAlignment="1" applyFont="1">
      <alignment vertical="bottom"/>
    </xf>
    <xf borderId="0" fillId="2" fontId="1" numFmtId="0" xfId="0" applyAlignment="1" applyFont="1">
      <alignment horizontal="right" readingOrder="0" vertical="bottom"/>
    </xf>
    <xf borderId="0" fillId="6" fontId="1" numFmtId="0" xfId="0" applyAlignment="1" applyFont="1">
      <alignment vertical="bottom"/>
    </xf>
    <xf borderId="0" fillId="7" fontId="7" numFmtId="0" xfId="0" applyAlignment="1" applyFill="1" applyFont="1">
      <alignment readingOrder="0" vertical="bottom"/>
    </xf>
    <xf borderId="0" fillId="7" fontId="7" numFmtId="0" xfId="0" applyAlignment="1" applyFont="1">
      <alignment vertical="bottom"/>
    </xf>
    <xf borderId="0" fillId="7" fontId="1" numFmtId="0" xfId="0" applyAlignment="1" applyFont="1">
      <alignment readingOrder="0" vertical="bottom"/>
    </xf>
    <xf borderId="2" fillId="7" fontId="1" numFmtId="0" xfId="0" applyAlignment="1" applyBorder="1" applyFont="1">
      <alignment readingOrder="0" vertical="bottom"/>
    </xf>
    <xf borderId="3" fillId="7" fontId="7" numFmtId="0" xfId="0" applyAlignment="1" applyBorder="1" applyFont="1">
      <alignment vertical="bottom"/>
    </xf>
    <xf borderId="1" fillId="2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vertical="bottom"/>
    </xf>
    <xf borderId="3" fillId="7" fontId="1" numFmtId="0" xfId="0" applyAlignment="1" applyBorder="1" applyFont="1">
      <alignment vertical="bottom"/>
    </xf>
    <xf borderId="4" fillId="7" fontId="6" numFmtId="0" xfId="0" applyAlignment="1" applyBorder="1" applyFont="1">
      <alignment readingOrder="0" vertical="bottom"/>
    </xf>
    <xf borderId="5" fillId="2" fontId="1" numFmtId="0" xfId="0" applyAlignment="1" applyBorder="1" applyFont="1">
      <alignment vertical="bottom"/>
    </xf>
    <xf borderId="5" fillId="2" fontId="1" numFmtId="0" xfId="0" applyAlignment="1" applyBorder="1" applyFont="1">
      <alignment readingOrder="0" vertical="bottom"/>
    </xf>
    <xf borderId="6" fillId="2" fontId="1" numFmtId="0" xfId="0" applyAlignment="1" applyBorder="1" applyFont="1">
      <alignment readingOrder="0" vertical="bottom"/>
    </xf>
    <xf borderId="1" fillId="8" fontId="1" numFmtId="0" xfId="0" applyAlignment="1" applyBorder="1" applyFill="1" applyFont="1">
      <alignment shrinkToFit="0" vertical="bottom" wrapText="0"/>
    </xf>
    <xf borderId="1" fillId="8" fontId="1" numFmtId="0" xfId="0" applyAlignment="1" applyBorder="1" applyFont="1">
      <alignment vertical="bottom"/>
    </xf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7" fillId="7" fontId="6" numFmtId="0" xfId="0" applyAlignment="1" applyBorder="1" applyFont="1">
      <alignment readingOrder="0" vertical="bottom"/>
    </xf>
    <xf borderId="8" fillId="2" fontId="1" numFmtId="0" xfId="0" applyAlignment="1" applyBorder="1" applyFont="1">
      <alignment readingOrder="0" vertical="bottom"/>
    </xf>
    <xf borderId="0" fillId="5" fontId="1" numFmtId="0" xfId="0" applyAlignment="1" applyFont="1">
      <alignment readingOrder="0" vertical="bottom"/>
    </xf>
    <xf borderId="1" fillId="2" fontId="5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6" fontId="5" numFmtId="0" xfId="0" applyAlignment="1" applyFont="1">
      <alignment horizontal="right" vertical="bottom"/>
    </xf>
    <xf borderId="0" fillId="6" fontId="5" numFmtId="0" xfId="0" applyAlignment="1" applyFont="1">
      <alignment vertical="bottom"/>
    </xf>
    <xf borderId="0" fillId="6" fontId="5" numFmtId="0" xfId="0" applyAlignment="1" applyFont="1">
      <alignment horizontal="right" readingOrder="0" vertical="bottom"/>
    </xf>
    <xf borderId="7" fillId="2" fontId="1" numFmtId="0" xfId="0" applyAlignment="1" applyBorder="1" applyFont="1">
      <alignment readingOrder="0" vertical="bottom"/>
    </xf>
    <xf borderId="0" fillId="5" fontId="1" numFmtId="0" xfId="0" applyFont="1"/>
    <xf borderId="0" fillId="2" fontId="2" numFmtId="0" xfId="0" applyAlignment="1" applyFont="1">
      <alignment readingOrder="0"/>
    </xf>
    <xf borderId="0" fillId="2" fontId="2" numFmtId="0" xfId="0" applyFont="1"/>
    <xf borderId="0" fillId="2" fontId="5" numFmtId="0" xfId="0" applyFont="1"/>
    <xf borderId="0" fillId="2" fontId="5" numFmtId="0" xfId="0" applyAlignment="1" applyFont="1">
      <alignment readingOrder="0"/>
    </xf>
    <xf borderId="0" fillId="2" fontId="2" numFmtId="0" xfId="0" applyAlignment="1" applyFont="1">
      <alignment readingOrder="0" shrinkToFit="0" vertical="bottom" wrapText="0"/>
    </xf>
    <xf borderId="9" fillId="2" fontId="1" numFmtId="0" xfId="0" applyAlignment="1" applyBorder="1" applyFont="1">
      <alignment readingOrder="0" vertical="bottom"/>
    </xf>
    <xf borderId="10" fillId="2" fontId="1" numFmtId="0" xfId="0" applyAlignment="1" applyBorder="1" applyFont="1">
      <alignment vertical="bottom"/>
    </xf>
    <xf borderId="11" fillId="2" fontId="1" numFmtId="0" xfId="0" applyAlignment="1" applyBorder="1" applyFont="1">
      <alignment readingOrder="0" vertical="bottom"/>
    </xf>
    <xf borderId="12" fillId="7" fontId="1" numFmtId="0" xfId="0" applyAlignment="1" applyBorder="1" applyFont="1">
      <alignment vertical="bottom"/>
    </xf>
    <xf borderId="1" fillId="9" fontId="1" numFmtId="0" xfId="0" applyAlignment="1" applyBorder="1" applyFill="1" applyFont="1">
      <alignment readingOrder="0" shrinkToFit="0" vertical="bottom" wrapText="0"/>
    </xf>
    <xf borderId="0" fillId="9" fontId="1" numFmtId="0" xfId="0" applyAlignment="1" applyFont="1">
      <alignment vertical="bottom"/>
    </xf>
    <xf borderId="0" fillId="9" fontId="1" numFmtId="0" xfId="0" applyAlignment="1" applyFont="1">
      <alignment horizontal="right" vertical="bottom"/>
    </xf>
    <xf borderId="1" fillId="2" fontId="1" numFmtId="0" xfId="0" applyAlignment="1" applyBorder="1" applyFont="1">
      <alignment readingOrder="0" shrinkToFit="0" vertical="bottom" wrapText="0"/>
    </xf>
    <xf borderId="0" fillId="9" fontId="1" numFmtId="0" xfId="0" applyAlignment="1" applyFont="1">
      <alignment readingOrder="0" vertical="bottom"/>
    </xf>
    <xf borderId="0" fillId="9" fontId="8" numFmtId="0" xfId="0" applyAlignment="1" applyFont="1">
      <alignment readingOrder="0" vertical="bottom"/>
    </xf>
    <xf borderId="1" fillId="9" fontId="1" numFmtId="0" xfId="0" applyAlignment="1" applyBorder="1" applyFont="1">
      <alignment vertical="bottom"/>
    </xf>
    <xf borderId="1" fillId="2" fontId="5" numFmtId="0" xfId="0" applyAlignment="1" applyBorder="1" applyFont="1">
      <alignment readingOrder="0" shrinkToFit="0" vertical="bottom" wrapText="0"/>
    </xf>
    <xf borderId="0" fillId="10" fontId="1" numFmtId="0" xfId="0" applyAlignment="1" applyFill="1" applyFont="1">
      <alignment readingOrder="0"/>
    </xf>
    <xf borderId="0" fillId="10" fontId="3" numFmtId="0" xfId="0" applyFont="1"/>
    <xf borderId="0" fillId="10" fontId="1" numFmtId="0" xfId="0" applyFont="1"/>
    <xf borderId="0" fillId="10" fontId="1" numFmtId="0" xfId="0" applyAlignment="1" applyFont="1">
      <alignment vertical="bottom"/>
    </xf>
    <xf borderId="0" fillId="10" fontId="9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0" fillId="8" fontId="1" numFmtId="0" xfId="0" applyAlignment="1" applyFont="1">
      <alignment readingOrder="0" vertical="bottom"/>
    </xf>
    <xf borderId="0" fillId="8" fontId="9" numFmtId="0" xfId="0" applyAlignment="1" applyFont="1">
      <alignment readingOrder="0"/>
    </xf>
    <xf borderId="0" fillId="11" fontId="1" numFmtId="0" xfId="0" applyFill="1" applyFont="1"/>
    <xf borderId="0" fillId="11" fontId="1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7" fontId="6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11" fontId="11" numFmtId="0" xfId="0" applyAlignment="1" applyFont="1">
      <alignment readingOrder="0"/>
    </xf>
    <xf borderId="0" fillId="11" fontId="1" numFmtId="0" xfId="0" applyAlignment="1" applyFont="1">
      <alignment readingOrder="0"/>
    </xf>
    <xf borderId="0" fillId="11" fontId="1" numFmtId="0" xfId="0" applyAlignment="1" applyFont="1">
      <alignment readingOrder="0" vertical="bottom"/>
    </xf>
    <xf borderId="0" fillId="11" fontId="4" numFmtId="0" xfId="0" applyAlignment="1" applyFont="1">
      <alignment readingOrder="0" vertical="bottom"/>
    </xf>
    <xf borderId="0" fillId="4" fontId="12" numFmtId="0" xfId="0" applyAlignment="1" applyFont="1">
      <alignment readingOrder="0"/>
    </xf>
    <xf borderId="13" fillId="11" fontId="1" numFmtId="0" xfId="0" applyAlignment="1" applyBorder="1" applyFont="1">
      <alignment readingOrder="0" vertical="bottom"/>
    </xf>
    <xf borderId="14" fillId="10" fontId="1" numFmtId="0" xfId="0" applyAlignment="1" applyBorder="1" applyFont="1">
      <alignment vertical="bottom"/>
    </xf>
    <xf borderId="0" fillId="11" fontId="4" numFmtId="0" xfId="0" applyAlignment="1" applyFont="1">
      <alignment vertical="bottom"/>
    </xf>
    <xf borderId="4" fillId="11" fontId="1" numFmtId="0" xfId="0" applyAlignment="1" applyBorder="1" applyFont="1">
      <alignment readingOrder="0" vertical="bottom"/>
    </xf>
    <xf borderId="5" fillId="11" fontId="1" numFmtId="0" xfId="0" applyAlignment="1" applyBorder="1" applyFont="1">
      <alignment vertical="bottom"/>
    </xf>
    <xf borderId="5" fillId="10" fontId="1" numFmtId="0" xfId="0" applyAlignment="1" applyBorder="1" applyFont="1">
      <alignment vertical="bottom"/>
    </xf>
    <xf borderId="6" fillId="11" fontId="1" numFmtId="0" xfId="0" applyAlignment="1" applyBorder="1" applyFont="1">
      <alignment vertical="bottom"/>
    </xf>
    <xf borderId="0" fillId="10" fontId="1" numFmtId="0" xfId="0" applyAlignment="1" applyFont="1">
      <alignment readingOrder="0" vertical="bottom"/>
    </xf>
    <xf borderId="7" fillId="11" fontId="1" numFmtId="0" xfId="0" applyAlignment="1" applyBorder="1" applyFont="1">
      <alignment readingOrder="0" vertical="bottom"/>
    </xf>
    <xf borderId="0" fillId="4" fontId="4" numFmtId="0" xfId="0" applyAlignment="1" applyFont="1">
      <alignment readingOrder="0" vertical="bottom"/>
    </xf>
    <xf borderId="8" fillId="5" fontId="1" numFmtId="0" xfId="0" applyAlignment="1" applyBorder="1" applyFont="1">
      <alignment vertical="bottom"/>
    </xf>
    <xf borderId="9" fillId="11" fontId="1" numFmtId="0" xfId="0" applyAlignment="1" applyBorder="1" applyFont="1">
      <alignment readingOrder="0" vertical="bottom"/>
    </xf>
    <xf borderId="10" fillId="11" fontId="1" numFmtId="0" xfId="0" applyAlignment="1" applyBorder="1" applyFont="1">
      <alignment vertical="bottom"/>
    </xf>
    <xf borderId="10" fillId="10" fontId="1" numFmtId="0" xfId="0" applyAlignment="1" applyBorder="1" applyFont="1">
      <alignment vertical="bottom"/>
    </xf>
    <xf borderId="11" fillId="11" fontId="1" numFmtId="0" xfId="0" applyAlignment="1" applyBorder="1" applyFont="1">
      <alignment vertical="bottom"/>
    </xf>
    <xf borderId="0" fillId="6" fontId="1" numFmtId="0" xfId="0" applyAlignment="1" applyFont="1">
      <alignment readingOrder="0" vertical="bottom"/>
    </xf>
    <xf borderId="15" fillId="11" fontId="1" numFmtId="0" xfId="0" applyAlignment="1" applyBorder="1" applyFont="1">
      <alignment vertical="bottom"/>
    </xf>
    <xf borderId="14" fillId="12" fontId="4" numFmtId="0" xfId="0" applyAlignment="1" applyBorder="1" applyFill="1" applyFont="1">
      <alignment readingOrder="0" vertical="bottom"/>
    </xf>
    <xf borderId="15" fillId="11" fontId="1" numFmtId="0" xfId="0" applyAlignment="1" applyBorder="1" applyFont="1">
      <alignment readingOrder="0" vertical="bottom"/>
    </xf>
    <xf borderId="15" fillId="9" fontId="4" numFmtId="0" xfId="0" applyAlignment="1" applyBorder="1" applyFont="1">
      <alignment readingOrder="0" vertical="bottom"/>
    </xf>
    <xf borderId="15" fillId="5" fontId="1" numFmtId="0" xfId="0" applyAlignment="1" applyBorder="1" applyFont="1">
      <alignment readingOrder="0" vertical="bottom"/>
    </xf>
    <xf borderId="14" fillId="5" fontId="1" numFmtId="0" xfId="0" applyAlignment="1" applyBorder="1" applyFont="1">
      <alignment vertical="bottom"/>
    </xf>
    <xf borderId="0" fillId="4" fontId="6" numFmtId="0" xfId="0" applyAlignment="1" applyFont="1">
      <alignment readingOrder="0" vertical="bottom"/>
    </xf>
    <xf borderId="15" fillId="8" fontId="1" numFmtId="0" xfId="0" applyAlignment="1" applyBorder="1" applyFont="1">
      <alignment vertical="bottom"/>
    </xf>
    <xf borderId="14" fillId="8" fontId="1" numFmtId="0" xfId="0" applyAlignment="1" applyBorder="1" applyFont="1">
      <alignment vertical="bottom"/>
    </xf>
    <xf borderId="5" fillId="11" fontId="1" numFmtId="0" xfId="0" applyAlignment="1" applyBorder="1" applyFont="1">
      <alignment readingOrder="0" vertical="bottom"/>
    </xf>
    <xf borderId="8" fillId="11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1" width="5.29"/>
    <col customWidth="1" min="12" max="12" width="13.14"/>
    <col customWidth="1" min="13" max="20" width="5.29"/>
    <col customWidth="1" min="21" max="21" width="7.0"/>
    <col customWidth="1" min="22" max="63" width="5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1"/>
      <c r="M1" s="3">
        <v>1.0</v>
      </c>
      <c r="N1" s="4" t="s">
        <v>1</v>
      </c>
      <c r="O1" s="1"/>
      <c r="P1" s="1"/>
      <c r="Q1" s="1"/>
      <c r="R1" s="1"/>
      <c r="S1" s="5"/>
      <c r="T1" s="1"/>
      <c r="U1" s="5"/>
      <c r="V1" s="1"/>
      <c r="W1" s="1"/>
      <c r="X1" s="1"/>
      <c r="Y1" s="1"/>
      <c r="Z1" s="1"/>
      <c r="AA1" s="1"/>
      <c r="AB1" s="1"/>
      <c r="AC1" s="6"/>
      <c r="AD1" s="6"/>
      <c r="AE1" s="6"/>
      <c r="AF1" s="6"/>
      <c r="AG1" s="6"/>
      <c r="AH1" s="6"/>
      <c r="AI1" s="6"/>
      <c r="AJ1" s="6"/>
      <c r="AK1" s="6"/>
      <c r="AL1" s="3">
        <v>1.0</v>
      </c>
      <c r="AM1" s="7" t="s">
        <v>2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6"/>
      <c r="M2" s="1"/>
      <c r="N2" s="8">
        <v>1.0</v>
      </c>
      <c r="O2" s="6"/>
      <c r="P2" s="6"/>
      <c r="Q2" s="6"/>
      <c r="R2" s="6"/>
      <c r="S2" s="6"/>
      <c r="T2" s="9">
        <v>0.0</v>
      </c>
      <c r="U2" s="6"/>
      <c r="V2" s="9">
        <v>0.0</v>
      </c>
      <c r="W2" s="6"/>
      <c r="X2" s="10">
        <f>AP6</f>
        <v>1</v>
      </c>
      <c r="Y2" s="10">
        <f>AP8</f>
        <v>3</v>
      </c>
      <c r="Z2" s="10">
        <f>AP10</f>
        <v>5</v>
      </c>
      <c r="AA2" s="6"/>
      <c r="AB2" s="10">
        <f t="shared" ref="AB2:AD2" si="1">$AP$5</f>
        <v>0</v>
      </c>
      <c r="AC2" s="10">
        <f t="shared" si="1"/>
        <v>0</v>
      </c>
      <c r="AD2" s="10">
        <f t="shared" si="1"/>
        <v>0</v>
      </c>
      <c r="AE2" s="6"/>
      <c r="AF2" s="10">
        <f>AP6</f>
        <v>1</v>
      </c>
      <c r="AG2" s="10">
        <v>10.0</v>
      </c>
      <c r="AH2" s="10">
        <v>15.0</v>
      </c>
      <c r="AI2" s="6"/>
      <c r="AJ2" s="6"/>
      <c r="AK2" s="6"/>
      <c r="AL2" s="2" t="s">
        <v>0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7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6"/>
      <c r="L3" s="6"/>
      <c r="M3" s="7">
        <v>0.25</v>
      </c>
      <c r="N3" s="7">
        <v>1.0</v>
      </c>
      <c r="O3" s="8">
        <v>2.0</v>
      </c>
      <c r="P3" s="8">
        <v>1.0</v>
      </c>
      <c r="Q3" s="6"/>
      <c r="R3" s="6"/>
      <c r="S3" s="6"/>
      <c r="T3" s="9">
        <v>1.0</v>
      </c>
      <c r="U3" s="6"/>
      <c r="V3" s="9">
        <v>1.0</v>
      </c>
      <c r="W3" s="6"/>
      <c r="X3" s="10">
        <f t="shared" ref="X3:Z3" si="2">$AT$5</f>
        <v>1</v>
      </c>
      <c r="Y3" s="10">
        <f t="shared" si="2"/>
        <v>1</v>
      </c>
      <c r="Z3" s="10">
        <f t="shared" si="2"/>
        <v>1</v>
      </c>
      <c r="AA3" s="6"/>
      <c r="AB3" s="10">
        <v>2.0</v>
      </c>
      <c r="AC3" s="10">
        <v>4.0</v>
      </c>
      <c r="AD3" s="10">
        <v>6.0</v>
      </c>
      <c r="AE3" s="6"/>
      <c r="AF3" s="10">
        <v>2.0</v>
      </c>
      <c r="AG3" s="10">
        <v>3.0</v>
      </c>
      <c r="AH3" s="10">
        <v>4.0</v>
      </c>
      <c r="AI3" s="6"/>
      <c r="AJ3" s="6"/>
      <c r="AK3" s="6"/>
      <c r="AL3" s="6"/>
      <c r="AM3" s="6"/>
      <c r="AN3" s="6"/>
      <c r="AO3" s="8">
        <v>1.0</v>
      </c>
      <c r="AP3" s="8">
        <v>1.0</v>
      </c>
      <c r="AQ3" s="6"/>
      <c r="AR3" s="6"/>
      <c r="AS3" s="6"/>
      <c r="AT3" s="6"/>
      <c r="AU3" s="6"/>
      <c r="AV3" s="6"/>
      <c r="AW3" s="8">
        <v>1.0</v>
      </c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2"/>
      <c r="T4" s="11"/>
      <c r="U4" s="13"/>
      <c r="V4" s="11" t="s">
        <v>11</v>
      </c>
      <c r="W4" s="14"/>
      <c r="X4" s="11" t="s">
        <v>12</v>
      </c>
      <c r="Y4" s="11" t="s">
        <v>13</v>
      </c>
      <c r="Z4" s="11" t="s">
        <v>14</v>
      </c>
      <c r="AA4" s="11"/>
      <c r="AB4" s="11" t="s">
        <v>15</v>
      </c>
      <c r="AC4" s="11" t="s">
        <v>16</v>
      </c>
      <c r="AD4" s="11" t="s">
        <v>17</v>
      </c>
      <c r="AE4" s="14"/>
      <c r="AF4" s="11" t="s">
        <v>18</v>
      </c>
      <c r="AG4" s="11" t="s">
        <v>19</v>
      </c>
      <c r="AH4" s="11" t="s">
        <v>20</v>
      </c>
      <c r="AI4" s="14"/>
      <c r="AJ4" s="14"/>
      <c r="AK4" s="14"/>
      <c r="AL4" s="11" t="s">
        <v>21</v>
      </c>
      <c r="AM4" s="11" t="s">
        <v>22</v>
      </c>
      <c r="AN4" s="11" t="s">
        <v>23</v>
      </c>
      <c r="AO4" s="11" t="s">
        <v>24</v>
      </c>
      <c r="AP4" s="11" t="s">
        <v>25</v>
      </c>
      <c r="AQ4" s="11" t="s">
        <v>26</v>
      </c>
      <c r="AR4" s="11" t="s">
        <v>27</v>
      </c>
      <c r="AS4" s="11" t="s">
        <v>28</v>
      </c>
      <c r="AT4" s="15" t="s">
        <v>29</v>
      </c>
      <c r="AU4" s="11"/>
      <c r="AV4" s="11" t="s">
        <v>30</v>
      </c>
      <c r="AW4" s="16" t="s">
        <v>31</v>
      </c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6"/>
      <c r="L5" s="6" t="s">
        <v>32</v>
      </c>
      <c r="M5" s="17">
        <f>4*$M$1</f>
        <v>4</v>
      </c>
      <c r="N5" s="18">
        <f t="shared" ref="N5:N8" si="6">$N$2*$M$1</f>
        <v>1</v>
      </c>
      <c r="O5" s="18">
        <v>0.0</v>
      </c>
      <c r="P5" s="18">
        <v>0.0</v>
      </c>
      <c r="Q5" s="9">
        <v>1.0</v>
      </c>
      <c r="R5" s="9">
        <v>1.0</v>
      </c>
      <c r="S5" s="10"/>
      <c r="T5" s="19">
        <f t="shared" ref="T5:T12" si="7">INT(($AO$5+($AO$5+$N5+$P5)*FLOOR(($M5+$O5)/($AO$5+T$2+0.1),1))*$Q5/T$3)</f>
        <v>7</v>
      </c>
      <c r="U5" s="20"/>
      <c r="V5" s="19">
        <f t="shared" ref="V5:V8" si="8">INT(($AO$5+($AO$5+$N5+$P5)*FLOOR(($M5+$O5)/($AO$5+V$2+0.1),1))*$Q5/V$3-$T$5)</f>
        <v>0</v>
      </c>
      <c r="W5" s="6"/>
      <c r="X5" s="19">
        <f t="shared" ref="X5:Z5" si="3">INT(($AO$5+($AO$5+$N5+$P5)*FLOOR(($M5+$O5)/($AO$5+X$2+0.1),1))*$Q5/X$3-$T$5)</f>
        <v>-4</v>
      </c>
      <c r="Y5" s="19">
        <f t="shared" si="3"/>
        <v>-6</v>
      </c>
      <c r="Z5" s="19">
        <f t="shared" si="3"/>
        <v>-6</v>
      </c>
      <c r="AA5" s="6"/>
      <c r="AB5" s="19">
        <f t="shared" ref="AB5:AD5" si="4">INT(($AO$5+($AO$5+$N5+$P5)*FLOOR(($M5+$O5)/($AO$5+AB$2+0.1),1))*$Q5/AB$3-$T$5)</f>
        <v>-4</v>
      </c>
      <c r="AC5" s="19">
        <f t="shared" si="4"/>
        <v>-6</v>
      </c>
      <c r="AD5" s="19">
        <f t="shared" si="4"/>
        <v>-6</v>
      </c>
      <c r="AE5" s="6"/>
      <c r="AF5" s="19">
        <f t="shared" ref="AF5:AH5" si="5">INT(($AO$5+($AO$5+$N5+$P5)*FLOOR(($M5+$O5)/($AO$5+AF$2+0.1),1))*$Q5/AF$3-$T$5)</f>
        <v>-6</v>
      </c>
      <c r="AG5" s="19">
        <f t="shared" si="5"/>
        <v>-7</v>
      </c>
      <c r="AH5" s="19">
        <f t="shared" si="5"/>
        <v>-7</v>
      </c>
      <c r="AI5" s="6"/>
      <c r="AJ5" s="6"/>
      <c r="AK5" s="6"/>
      <c r="AL5" s="6"/>
      <c r="AM5" s="21">
        <v>5.0</v>
      </c>
      <c r="AN5" s="9">
        <v>0.0</v>
      </c>
      <c r="AO5" s="18">
        <f>AO3*AL1</f>
        <v>1</v>
      </c>
      <c r="AP5" s="18">
        <v>0.0</v>
      </c>
      <c r="AQ5" s="9">
        <v>0.0</v>
      </c>
      <c r="AR5" s="9">
        <f t="shared" ref="AR5:AR10" si="12">CEILING(AT5/4,1)</f>
        <v>1</v>
      </c>
      <c r="AS5" s="9">
        <v>0.0</v>
      </c>
      <c r="AT5" s="9">
        <v>1.0</v>
      </c>
      <c r="AU5" s="6"/>
      <c r="AV5" s="9">
        <v>1.0</v>
      </c>
      <c r="AW5" s="9">
        <v>0.0</v>
      </c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</row>
    <row r="6">
      <c r="A6" s="1"/>
      <c r="B6" s="1"/>
      <c r="C6" s="1"/>
      <c r="D6" s="1"/>
      <c r="E6" s="4" t="s">
        <v>33</v>
      </c>
      <c r="F6" s="4">
        <v>1.5</v>
      </c>
      <c r="G6" s="1"/>
      <c r="H6" s="1"/>
      <c r="I6" s="1"/>
      <c r="J6" s="1"/>
      <c r="K6" s="6"/>
      <c r="L6" s="6" t="str">
        <f>CONCATENATE(L5, "+HP")</f>
        <v>普通+HP</v>
      </c>
      <c r="M6" s="18">
        <f>M5</f>
        <v>4</v>
      </c>
      <c r="N6" s="18">
        <f t="shared" si="6"/>
        <v>1</v>
      </c>
      <c r="O6" s="18">
        <f>$O$3*$M$1</f>
        <v>2</v>
      </c>
      <c r="P6" s="18">
        <v>0.0</v>
      </c>
      <c r="Q6" s="9">
        <f t="shared" ref="Q6:Q8" si="13">Q5</f>
        <v>1</v>
      </c>
      <c r="R6" s="9">
        <v>0.3</v>
      </c>
      <c r="S6" s="6"/>
      <c r="T6" s="19">
        <f t="shared" si="7"/>
        <v>11</v>
      </c>
      <c r="U6" s="6"/>
      <c r="V6" s="19">
        <f t="shared" si="8"/>
        <v>4</v>
      </c>
      <c r="W6" s="6"/>
      <c r="X6" s="19">
        <f t="shared" ref="X6:Z6" si="9">INT(($AO$5+($AO$5+$N6+$P6)*FLOOR(($M6+$O6)/($AO$5+X$2+0.1),1))*$Q6/X$3-$T$5)</f>
        <v>-2</v>
      </c>
      <c r="Y6" s="19">
        <f t="shared" si="9"/>
        <v>-4</v>
      </c>
      <c r="Z6" s="19">
        <f t="shared" si="9"/>
        <v>-6</v>
      </c>
      <c r="AA6" s="6"/>
      <c r="AB6" s="19">
        <f t="shared" ref="AB6:AD6" si="10">INT(($AO$5+($AO$5+$N6+$P6)*FLOOR(($M6+$O6)/($AO$5+AB$2+0.1),1))*$Q6/AB$3-$T$5)</f>
        <v>-2</v>
      </c>
      <c r="AC6" s="19">
        <f t="shared" si="10"/>
        <v>-5</v>
      </c>
      <c r="AD6" s="19">
        <f t="shared" si="10"/>
        <v>-6</v>
      </c>
      <c r="AE6" s="6"/>
      <c r="AF6" s="19">
        <f t="shared" ref="AF6:AH6" si="11">INT(($AO$5+($AO$5+$N6+$P6)*FLOOR(($M6+$O6)/($AO$5+AF$2+0.1),1))*$Q6/AF$3-$T$5)</f>
        <v>-5</v>
      </c>
      <c r="AG6" s="19">
        <f t="shared" si="11"/>
        <v>-7</v>
      </c>
      <c r="AH6" s="19">
        <f t="shared" si="11"/>
        <v>-7</v>
      </c>
      <c r="AI6" s="6"/>
      <c r="AJ6" s="6"/>
      <c r="AK6" s="6"/>
      <c r="AL6" s="6"/>
      <c r="AM6" s="6"/>
      <c r="AN6" s="6"/>
      <c r="AO6" s="22"/>
      <c r="AP6" s="18">
        <f t="shared" ref="AP6:AP10" si="17">AP5+$AP$3</f>
        <v>1</v>
      </c>
      <c r="AQ6" s="6"/>
      <c r="AR6" s="9">
        <f t="shared" si="12"/>
        <v>2</v>
      </c>
      <c r="AS6" s="6"/>
      <c r="AT6" s="9">
        <f t="shared" ref="AT6:AT10" si="18">AT5+4</f>
        <v>5</v>
      </c>
      <c r="AU6" s="6"/>
      <c r="AV6" s="9">
        <f t="shared" ref="AV6:AV10" si="19">AV5+1</f>
        <v>2</v>
      </c>
      <c r="AW6" s="8">
        <v>2.0</v>
      </c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</row>
    <row r="7">
      <c r="A7" s="4" t="s">
        <v>34</v>
      </c>
      <c r="B7" s="1"/>
      <c r="C7" s="4">
        <v>4.0</v>
      </c>
      <c r="D7" s="1"/>
      <c r="E7" s="4" t="s">
        <v>35</v>
      </c>
      <c r="F7" s="4">
        <v>20.0</v>
      </c>
      <c r="G7" s="1"/>
      <c r="H7" s="1"/>
      <c r="I7" s="1"/>
      <c r="J7" s="1"/>
      <c r="K7" s="6"/>
      <c r="L7" s="6" t="str">
        <f>CONCATENATE(L5, "+ATT")</f>
        <v>普通+ATT</v>
      </c>
      <c r="M7" s="18">
        <f>M5</f>
        <v>4</v>
      </c>
      <c r="N7" s="18">
        <f t="shared" si="6"/>
        <v>1</v>
      </c>
      <c r="O7" s="18">
        <v>0.0</v>
      </c>
      <c r="P7" s="18">
        <f t="shared" ref="P7:P8" si="20">$P$3*$M$1</f>
        <v>1</v>
      </c>
      <c r="Q7" s="9">
        <f t="shared" si="13"/>
        <v>1</v>
      </c>
      <c r="R7" s="23">
        <v>0.6</v>
      </c>
      <c r="S7" s="6"/>
      <c r="T7" s="19">
        <f t="shared" si="7"/>
        <v>10</v>
      </c>
      <c r="U7" s="6"/>
      <c r="V7" s="19">
        <f t="shared" si="8"/>
        <v>3</v>
      </c>
      <c r="W7" s="6"/>
      <c r="X7" s="19">
        <f t="shared" ref="X7:Z7" si="14">INT(($AO$5+($AO$5+$N7+$P7)*FLOOR(($M7+$O7)/($AO$5+X$2+0.1),1))*$Q7/X$3-$T$5)</f>
        <v>-3</v>
      </c>
      <c r="Y7" s="19">
        <f t="shared" si="14"/>
        <v>-6</v>
      </c>
      <c r="Z7" s="19">
        <f t="shared" si="14"/>
        <v>-6</v>
      </c>
      <c r="AA7" s="6"/>
      <c r="AB7" s="19">
        <f t="shared" ref="AB7:AD7" si="15">INT(($AO$5+($AO$5+$N7+$P7)*FLOOR(($M7+$O7)/($AO$5+AB$2+0.1),1))*$Q7/AB$3-$T$5)</f>
        <v>-2</v>
      </c>
      <c r="AC7" s="19">
        <f t="shared" si="15"/>
        <v>-5</v>
      </c>
      <c r="AD7" s="19">
        <f t="shared" si="15"/>
        <v>-6</v>
      </c>
      <c r="AE7" s="6"/>
      <c r="AF7" s="19">
        <f t="shared" ref="AF7:AH7" si="16">INT(($AO$5+($AO$5+$N7+$P7)*FLOOR(($M7+$O7)/($AO$5+AF$2+0.1),1))*$Q7/AF$3-$T$5)</f>
        <v>-5</v>
      </c>
      <c r="AG7" s="19">
        <f t="shared" si="16"/>
        <v>-7</v>
      </c>
      <c r="AH7" s="19">
        <f t="shared" si="16"/>
        <v>-7</v>
      </c>
      <c r="AI7" s="6"/>
      <c r="AJ7" s="6"/>
      <c r="AK7" s="6"/>
      <c r="AL7" s="6"/>
      <c r="AM7" s="6"/>
      <c r="AN7" s="6"/>
      <c r="AO7" s="22"/>
      <c r="AP7" s="18">
        <f t="shared" si="17"/>
        <v>2</v>
      </c>
      <c r="AQ7" s="6"/>
      <c r="AR7" s="9">
        <f t="shared" si="12"/>
        <v>3</v>
      </c>
      <c r="AS7" s="6"/>
      <c r="AT7" s="9">
        <f t="shared" si="18"/>
        <v>9</v>
      </c>
      <c r="AU7" s="6"/>
      <c r="AV7" s="9">
        <f t="shared" si="19"/>
        <v>3</v>
      </c>
      <c r="AW7" s="7">
        <f t="shared" ref="AW7:AW10" si="24">$AW$3*$AL$1+AW6</f>
        <v>3</v>
      </c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</row>
    <row r="8">
      <c r="A8" s="4" t="s">
        <v>36</v>
      </c>
      <c r="B8" s="1"/>
      <c r="C8" s="4">
        <v>4.0</v>
      </c>
      <c r="D8" s="1"/>
      <c r="E8" s="4" t="s">
        <v>37</v>
      </c>
      <c r="F8" s="4">
        <v>5.0</v>
      </c>
      <c r="G8" s="1"/>
      <c r="H8" s="1"/>
      <c r="I8" s="1"/>
      <c r="J8" s="1"/>
      <c r="K8" s="6"/>
      <c r="L8" s="6" t="str">
        <f>CONCATENATE(L5, "+HP+ATT")</f>
        <v>普通+HP+ATT</v>
      </c>
      <c r="M8" s="18">
        <f>M5</f>
        <v>4</v>
      </c>
      <c r="N8" s="18">
        <f t="shared" si="6"/>
        <v>1</v>
      </c>
      <c r="O8" s="18">
        <f>$O$3*$M$1</f>
        <v>2</v>
      </c>
      <c r="P8" s="18">
        <f t="shared" si="20"/>
        <v>1</v>
      </c>
      <c r="Q8" s="9">
        <f t="shared" si="13"/>
        <v>1</v>
      </c>
      <c r="R8" s="23">
        <v>0.15</v>
      </c>
      <c r="S8" s="6"/>
      <c r="T8" s="19">
        <f t="shared" si="7"/>
        <v>16</v>
      </c>
      <c r="U8" s="6"/>
      <c r="V8" s="19">
        <f t="shared" si="8"/>
        <v>9</v>
      </c>
      <c r="W8" s="6"/>
      <c r="X8" s="19">
        <f t="shared" ref="X8:Z8" si="21">INT(($AO$5+($AO$5+$N8+$P8)*FLOOR(($M8+$O8)/($AO$5+X$2+0.1),1))*$Q8/X$3-$T$5)</f>
        <v>0</v>
      </c>
      <c r="Y8" s="19">
        <f t="shared" si="21"/>
        <v>-3</v>
      </c>
      <c r="Z8" s="19">
        <f t="shared" si="21"/>
        <v>-6</v>
      </c>
      <c r="AA8" s="6"/>
      <c r="AB8" s="19">
        <f t="shared" ref="AB8:AD8" si="22">INT(($AO$5+($AO$5+$N8+$P8)*FLOOR(($M8+$O8)/($AO$5+AB$2+0.1),1))*$Q8/AB$3-$T$5)</f>
        <v>1</v>
      </c>
      <c r="AC8" s="19">
        <f t="shared" si="22"/>
        <v>-3</v>
      </c>
      <c r="AD8" s="19">
        <f t="shared" si="22"/>
        <v>-5</v>
      </c>
      <c r="AE8" s="6"/>
      <c r="AF8" s="19">
        <f t="shared" ref="AF8:AH8" si="23">INT(($AO$5+($AO$5+$N8+$P8)*FLOOR(($M8+$O8)/($AO$5+AF$2+0.1),1))*$Q8/AF$3-$T$5)</f>
        <v>-4</v>
      </c>
      <c r="AG8" s="19">
        <f t="shared" si="23"/>
        <v>-7</v>
      </c>
      <c r="AH8" s="19">
        <f t="shared" si="23"/>
        <v>-7</v>
      </c>
      <c r="AI8" s="6"/>
      <c r="AJ8" s="6"/>
      <c r="AK8" s="6"/>
      <c r="AL8" s="6"/>
      <c r="AM8" s="6"/>
      <c r="AN8" s="6"/>
      <c r="AO8" s="22"/>
      <c r="AP8" s="18">
        <f t="shared" si="17"/>
        <v>3</v>
      </c>
      <c r="AQ8" s="6"/>
      <c r="AR8" s="9">
        <f t="shared" si="12"/>
        <v>4</v>
      </c>
      <c r="AS8" s="6"/>
      <c r="AT8" s="9">
        <f t="shared" si="18"/>
        <v>13</v>
      </c>
      <c r="AU8" s="6"/>
      <c r="AV8" s="9">
        <f t="shared" si="19"/>
        <v>4</v>
      </c>
      <c r="AW8" s="7">
        <f t="shared" si="24"/>
        <v>4</v>
      </c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</row>
    <row r="9">
      <c r="A9" s="1"/>
      <c r="B9" s="1"/>
      <c r="C9" s="1"/>
      <c r="D9" s="1"/>
      <c r="E9" s="4" t="s">
        <v>38</v>
      </c>
      <c r="F9" s="4">
        <v>5.0</v>
      </c>
      <c r="G9" s="1"/>
      <c r="H9" s="1"/>
      <c r="I9" s="1"/>
      <c r="J9" s="1"/>
      <c r="K9" s="6"/>
      <c r="L9" s="6" t="s">
        <v>39</v>
      </c>
      <c r="M9" s="17">
        <f t="shared" ref="M9:M12" si="28">$M$5*$M$3</f>
        <v>1</v>
      </c>
      <c r="N9" s="18">
        <f t="shared" ref="N9:N12" si="29">$N$2*$M$1*$N$3</f>
        <v>1</v>
      </c>
      <c r="O9" s="18">
        <v>0.0</v>
      </c>
      <c r="P9" s="18">
        <v>0.0</v>
      </c>
      <c r="Q9" s="9">
        <v>4.0</v>
      </c>
      <c r="R9" s="23">
        <v>0.6</v>
      </c>
      <c r="S9" s="24"/>
      <c r="T9" s="19">
        <f t="shared" si="7"/>
        <v>4</v>
      </c>
      <c r="U9" s="24"/>
      <c r="V9" s="19">
        <f t="shared" ref="V9:V12" si="30">INT(($AO$5+($AO$5+$N9+$P9)*FLOOR(($M9+$O9)/($AO$5+V$2+0.1),1))*$Q9/V$3)</f>
        <v>4</v>
      </c>
      <c r="W9" s="24"/>
      <c r="X9" s="19">
        <f t="shared" ref="X9:Z9" si="25">INT(($AO$5+($AO$5+$N9+$P9)*FLOOR(($M9+$O9)/($AO$5+X$2+0.1),1))*$Q9/X$3)</f>
        <v>4</v>
      </c>
      <c r="Y9" s="19">
        <f t="shared" si="25"/>
        <v>4</v>
      </c>
      <c r="Z9" s="19">
        <f t="shared" si="25"/>
        <v>4</v>
      </c>
      <c r="AA9" s="24"/>
      <c r="AB9" s="19">
        <f t="shared" ref="AB9:AD9" si="26">INT(($AO$5+($AO$5+$N9+$P9)*FLOOR(($M9+$O9)/($AO$5+AB$2+0.1),1))*$Q9/AB$3)</f>
        <v>2</v>
      </c>
      <c r="AC9" s="19">
        <f t="shared" si="26"/>
        <v>1</v>
      </c>
      <c r="AD9" s="19">
        <f t="shared" si="26"/>
        <v>0</v>
      </c>
      <c r="AE9" s="24"/>
      <c r="AF9" s="19">
        <f t="shared" ref="AF9:AH9" si="27">INT(($AO$5+($AO$5+$N9+$P9)*FLOOR(($M9+$O9)/($AO$5+AF$2+0.1),1))*$Q9/AF$3)</f>
        <v>2</v>
      </c>
      <c r="AG9" s="19">
        <f t="shared" si="27"/>
        <v>1</v>
      </c>
      <c r="AH9" s="19">
        <f t="shared" si="27"/>
        <v>1</v>
      </c>
      <c r="AI9" s="6"/>
      <c r="AJ9" s="6"/>
      <c r="AK9" s="6"/>
      <c r="AL9" s="6"/>
      <c r="AM9" s="6"/>
      <c r="AN9" s="6"/>
      <c r="AO9" s="22"/>
      <c r="AP9" s="18">
        <f t="shared" si="17"/>
        <v>4</v>
      </c>
      <c r="AQ9" s="6"/>
      <c r="AR9" s="9">
        <f t="shared" si="12"/>
        <v>5</v>
      </c>
      <c r="AS9" s="6"/>
      <c r="AT9" s="9">
        <f t="shared" si="18"/>
        <v>17</v>
      </c>
      <c r="AU9" s="6"/>
      <c r="AV9" s="9">
        <f t="shared" si="19"/>
        <v>5</v>
      </c>
      <c r="AW9" s="7">
        <f t="shared" si="24"/>
        <v>5</v>
      </c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6"/>
      <c r="L10" s="6" t="str">
        <f>CONCATENATE(L9, "+HP")</f>
        <v>召唤+HP</v>
      </c>
      <c r="M10" s="17">
        <f t="shared" si="28"/>
        <v>1</v>
      </c>
      <c r="N10" s="18">
        <f t="shared" si="29"/>
        <v>1</v>
      </c>
      <c r="O10" s="18">
        <f>$O$3*$M$1</f>
        <v>2</v>
      </c>
      <c r="P10" s="18">
        <v>0.0</v>
      </c>
      <c r="Q10" s="9">
        <f t="shared" ref="Q10:Q12" si="34">Q9</f>
        <v>4</v>
      </c>
      <c r="R10" s="23">
        <v>0.2</v>
      </c>
      <c r="S10" s="24"/>
      <c r="T10" s="19">
        <f t="shared" si="7"/>
        <v>20</v>
      </c>
      <c r="U10" s="24"/>
      <c r="V10" s="19">
        <f t="shared" si="30"/>
        <v>20</v>
      </c>
      <c r="W10" s="24"/>
      <c r="X10" s="19">
        <f t="shared" ref="X10:Z10" si="31">INT(($AO$5+($AO$5+$N10+$P10)*FLOOR(($M10+$O10)/($AO$5+X$2+0.1),1))*$Q10/X$3)</f>
        <v>12</v>
      </c>
      <c r="Y10" s="19">
        <f t="shared" si="31"/>
        <v>4</v>
      </c>
      <c r="Z10" s="19">
        <f t="shared" si="31"/>
        <v>4</v>
      </c>
      <c r="AA10" s="24"/>
      <c r="AB10" s="19">
        <f t="shared" ref="AB10:AD10" si="32">INT(($AO$5+($AO$5+$N10+$P10)*FLOOR(($M10+$O10)/($AO$5+AB$2+0.1),1))*$Q10/AB$3)</f>
        <v>10</v>
      </c>
      <c r="AC10" s="19">
        <f t="shared" si="32"/>
        <v>5</v>
      </c>
      <c r="AD10" s="19">
        <f t="shared" si="32"/>
        <v>3</v>
      </c>
      <c r="AE10" s="24"/>
      <c r="AF10" s="19">
        <f t="shared" ref="AF10:AH10" si="33">INT(($AO$5+($AO$5+$N10+$P10)*FLOOR(($M10+$O10)/($AO$5+AF$2+0.1),1))*$Q10/AF$3)</f>
        <v>6</v>
      </c>
      <c r="AG10" s="19">
        <f t="shared" si="33"/>
        <v>1</v>
      </c>
      <c r="AH10" s="19">
        <f t="shared" si="33"/>
        <v>1</v>
      </c>
      <c r="AI10" s="6"/>
      <c r="AJ10" s="6"/>
      <c r="AK10" s="6"/>
      <c r="AL10" s="6"/>
      <c r="AM10" s="6"/>
      <c r="AN10" s="6"/>
      <c r="AO10" s="22"/>
      <c r="AP10" s="18">
        <f t="shared" si="17"/>
        <v>5</v>
      </c>
      <c r="AQ10" s="6"/>
      <c r="AR10" s="9">
        <f t="shared" si="12"/>
        <v>6</v>
      </c>
      <c r="AS10" s="6"/>
      <c r="AT10" s="9">
        <f t="shared" si="18"/>
        <v>21</v>
      </c>
      <c r="AU10" s="6"/>
      <c r="AV10" s="9">
        <f t="shared" si="19"/>
        <v>6</v>
      </c>
      <c r="AW10" s="7">
        <f t="shared" si="24"/>
        <v>6</v>
      </c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</row>
    <row r="11">
      <c r="A11" s="1"/>
      <c r="B11" s="1"/>
      <c r="C11" s="4" t="s">
        <v>40</v>
      </c>
      <c r="D11" s="1"/>
      <c r="E11" s="1"/>
      <c r="F11" s="1"/>
      <c r="G11" s="1"/>
      <c r="H11" s="1"/>
      <c r="I11" s="1"/>
      <c r="J11" s="1"/>
      <c r="K11" s="6"/>
      <c r="L11" s="6" t="str">
        <f>CONCATENATE(L9, "+ATT")</f>
        <v>召唤+ATT</v>
      </c>
      <c r="M11" s="17">
        <f t="shared" si="28"/>
        <v>1</v>
      </c>
      <c r="N11" s="18">
        <f t="shared" si="29"/>
        <v>1</v>
      </c>
      <c r="O11" s="18">
        <v>0.0</v>
      </c>
      <c r="P11" s="18">
        <f t="shared" ref="P11:P12" si="38">$P$3*$M$1</f>
        <v>1</v>
      </c>
      <c r="Q11" s="9">
        <f t="shared" si="34"/>
        <v>4</v>
      </c>
      <c r="R11" s="23">
        <v>0.4</v>
      </c>
      <c r="S11" s="24"/>
      <c r="T11" s="19">
        <f t="shared" si="7"/>
        <v>4</v>
      </c>
      <c r="U11" s="24"/>
      <c r="V11" s="19">
        <f t="shared" si="30"/>
        <v>4</v>
      </c>
      <c r="W11" s="24"/>
      <c r="X11" s="19">
        <f t="shared" ref="X11:Z11" si="35">INT(($AO$5+($AO$5+$N11+$P11)*FLOOR(($M11+$O11)/($AO$5+X$2+0.1),1))*$Q11/X$3)</f>
        <v>4</v>
      </c>
      <c r="Y11" s="19">
        <f t="shared" si="35"/>
        <v>4</v>
      </c>
      <c r="Z11" s="19">
        <f t="shared" si="35"/>
        <v>4</v>
      </c>
      <c r="AA11" s="24"/>
      <c r="AB11" s="19">
        <f t="shared" ref="AB11:AD11" si="36">INT(($AO$5+($AO$5+$N11+$P11)*FLOOR(($M11+$O11)/($AO$5+AB$2+0.1),1))*$Q11/AB$3)</f>
        <v>2</v>
      </c>
      <c r="AC11" s="19">
        <f t="shared" si="36"/>
        <v>1</v>
      </c>
      <c r="AD11" s="19">
        <f t="shared" si="36"/>
        <v>0</v>
      </c>
      <c r="AE11" s="24"/>
      <c r="AF11" s="19">
        <f t="shared" ref="AF11:AH11" si="37">INT(($AO$5+($AO$5+$N11+$P11)*FLOOR(($M11+$O11)/($AO$5+AF$2+0.1),1))*$Q11/AF$3)</f>
        <v>2</v>
      </c>
      <c r="AG11" s="19">
        <f t="shared" si="37"/>
        <v>1</v>
      </c>
      <c r="AH11" s="19">
        <f t="shared" si="37"/>
        <v>1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7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</row>
    <row r="12">
      <c r="A12" s="4" t="s">
        <v>41</v>
      </c>
      <c r="B12" s="1"/>
      <c r="C12" s="1">
        <f>F7 * (1 + CEILING(F9/F8,1))</f>
        <v>40</v>
      </c>
      <c r="D12" s="1"/>
      <c r="E12" s="1"/>
      <c r="F12" s="1"/>
      <c r="G12" s="1"/>
      <c r="H12" s="1"/>
      <c r="I12" s="1"/>
      <c r="J12" s="1"/>
      <c r="K12" s="6"/>
      <c r="L12" s="6" t="str">
        <f>CONCATENATE(L9, "+HP+ATT")</f>
        <v>召唤+HP+ATT</v>
      </c>
      <c r="M12" s="17">
        <f t="shared" si="28"/>
        <v>1</v>
      </c>
      <c r="N12" s="18">
        <f t="shared" si="29"/>
        <v>1</v>
      </c>
      <c r="O12" s="18">
        <f>$O$3*$M$1</f>
        <v>2</v>
      </c>
      <c r="P12" s="18">
        <f t="shared" si="38"/>
        <v>1</v>
      </c>
      <c r="Q12" s="9">
        <f t="shared" si="34"/>
        <v>4</v>
      </c>
      <c r="R12" s="23">
        <v>0.075</v>
      </c>
      <c r="S12" s="24"/>
      <c r="T12" s="19">
        <f t="shared" si="7"/>
        <v>28</v>
      </c>
      <c r="U12" s="24"/>
      <c r="V12" s="19">
        <f t="shared" si="30"/>
        <v>28</v>
      </c>
      <c r="W12" s="24"/>
      <c r="X12" s="19">
        <f t="shared" ref="X12:Z12" si="39">INT(($AO$5+($AO$5+$N12+$P12)*FLOOR(($M12+$O12)/($AO$5+X$2+0.1),1))*$Q12/X$3)</f>
        <v>16</v>
      </c>
      <c r="Y12" s="19">
        <f t="shared" si="39"/>
        <v>4</v>
      </c>
      <c r="Z12" s="19">
        <f t="shared" si="39"/>
        <v>4</v>
      </c>
      <c r="AA12" s="24"/>
      <c r="AB12" s="19">
        <f t="shared" ref="AB12:AD12" si="40">INT(($AO$5+($AO$5+$N12+$P12)*FLOOR(($M12+$O12)/($AO$5+AB$2+0.1),1))*$Q12/AB$3)</f>
        <v>14</v>
      </c>
      <c r="AC12" s="19">
        <f t="shared" si="40"/>
        <v>7</v>
      </c>
      <c r="AD12" s="19">
        <f t="shared" si="40"/>
        <v>4</v>
      </c>
      <c r="AE12" s="24"/>
      <c r="AF12" s="19">
        <f t="shared" ref="AF12:AH12" si="41">INT(($AO$5+($AO$5+$N12+$P12)*FLOOR(($M12+$O12)/($AO$5+AF$2+0.1),1))*$Q12/AF$3)</f>
        <v>8</v>
      </c>
      <c r="AG12" s="19">
        <f t="shared" si="41"/>
        <v>1</v>
      </c>
      <c r="AH12" s="19">
        <f t="shared" si="41"/>
        <v>1</v>
      </c>
      <c r="AI12" s="6"/>
      <c r="AJ12" s="6"/>
      <c r="AK12" s="6"/>
      <c r="AL12" s="6"/>
      <c r="AM12" s="6"/>
      <c r="AN12" s="6"/>
      <c r="AO12" s="6"/>
      <c r="AP12" s="6"/>
      <c r="AQ12" s="6"/>
      <c r="AR12" s="25" t="s">
        <v>42</v>
      </c>
      <c r="AS12" s="26"/>
      <c r="AT12" s="27">
        <v>15.0</v>
      </c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</row>
    <row r="13">
      <c r="A13" s="4" t="s">
        <v>43</v>
      </c>
      <c r="B13" s="1"/>
      <c r="C13" s="1"/>
      <c r="D13" s="1"/>
      <c r="E13" s="1"/>
      <c r="F13" s="1"/>
      <c r="G13" s="1"/>
      <c r="H13" s="1"/>
      <c r="I13" s="1"/>
      <c r="J13" s="1"/>
      <c r="K13" s="6"/>
      <c r="L13" s="6"/>
      <c r="M13" s="6"/>
      <c r="N13" s="6"/>
      <c r="O13" s="6"/>
      <c r="P13" s="6"/>
      <c r="Q13" s="6"/>
      <c r="R13" s="9">
        <f>SUM(R5:R12)</f>
        <v>3.325</v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7" t="s">
        <v>44</v>
      </c>
      <c r="AN13" s="6"/>
      <c r="AO13" s="7" t="s">
        <v>45</v>
      </c>
      <c r="AP13" s="7" t="s">
        <v>46</v>
      </c>
      <c r="AQ13" s="7" t="s">
        <v>47</v>
      </c>
      <c r="AR13" s="7" t="s">
        <v>48</v>
      </c>
      <c r="AS13" s="28" t="s">
        <v>49</v>
      </c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</row>
    <row r="14">
      <c r="A14" s="4" t="s">
        <v>50</v>
      </c>
      <c r="B14" s="1"/>
      <c r="C14" s="1"/>
      <c r="D14" s="1"/>
      <c r="E14" s="1"/>
      <c r="F14" s="1"/>
      <c r="G14" s="1"/>
      <c r="H14" s="1"/>
      <c r="I14" s="1"/>
      <c r="J14" s="1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7">
        <v>0.0</v>
      </c>
      <c r="AP14" s="7">
        <v>0.0</v>
      </c>
      <c r="AQ14" s="8">
        <v>3.0</v>
      </c>
      <c r="AR14" s="8">
        <v>3.0</v>
      </c>
      <c r="AS14" s="29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</row>
    <row r="15">
      <c r="A15" s="4" t="s">
        <v>51</v>
      </c>
      <c r="B15" s="1"/>
      <c r="C15" s="1"/>
      <c r="D15" s="1"/>
      <c r="E15" s="1"/>
      <c r="F15" s="1"/>
      <c r="G15" s="1"/>
      <c r="H15" s="1"/>
      <c r="I15" s="1"/>
      <c r="J15" s="1"/>
      <c r="K15" s="6"/>
      <c r="L15" s="6"/>
      <c r="M15" s="6"/>
      <c r="N15" s="6"/>
      <c r="O15" s="6"/>
      <c r="P15" s="6"/>
      <c r="Q15" s="6"/>
      <c r="R15" s="30" t="s">
        <v>52</v>
      </c>
      <c r="S15" s="31"/>
      <c r="T15" s="31"/>
      <c r="U15" s="6"/>
      <c r="V15" s="9">
        <f>ROUND((V5*$R$5+V6*$R$6+V7*$R$7+V8*$R$8+V7*$R$9+V9*$R$7+V10*$R$10+V11*$R$11+V12*$R$12)/$R$13/5, 0)*5</f>
        <v>5</v>
      </c>
      <c r="W15" s="6"/>
      <c r="X15" s="19">
        <f t="shared" ref="X15:Z15" si="42">ROUND((X5*$R$5+X6*$R$6+X7*$R$7+X8*$R$8+X7*$R$9+X9*$R$7+X10*$R$10+X11*$R$11+X12*$R$12)/$R$13/5, 0)*5</f>
        <v>0</v>
      </c>
      <c r="Y15" s="19">
        <f t="shared" si="42"/>
        <v>-5</v>
      </c>
      <c r="Z15" s="19">
        <f t="shared" si="42"/>
        <v>-5</v>
      </c>
      <c r="AA15" s="24"/>
      <c r="AB15" s="19">
        <f t="shared" ref="AB15:AD15" si="43">ROUND((AB5*$R$5+AB6*$R$6+AB7*$R$7+AB8*$R$8+AB7*$R$9+AB9*$R$7+AB10*$R$10+AB11*$R$11+AB12*$R$12)/$R$13/5, 0)*5</f>
        <v>0</v>
      </c>
      <c r="AC15" s="19">
        <f t="shared" si="43"/>
        <v>-5</v>
      </c>
      <c r="AD15" s="19">
        <f t="shared" si="43"/>
        <v>-5</v>
      </c>
      <c r="AE15" s="24"/>
      <c r="AF15" s="19">
        <f t="shared" ref="AF15:AH15" si="44">ROUND((AF5*$R$5+AF6*$R$6+AF7*$R$7+AF8*$R$8+AF7*$R$9+AF9*$R$7+AF10*$R$10+AF11*$R$11+AF12*$R$12)/$R$13/5, 0)*5</f>
        <v>-5</v>
      </c>
      <c r="AG15" s="19">
        <f t="shared" si="44"/>
        <v>-5</v>
      </c>
      <c r="AH15" s="19">
        <f t="shared" si="44"/>
        <v>-5</v>
      </c>
      <c r="AI15" s="6"/>
      <c r="AJ15" s="6"/>
      <c r="AK15" s="6"/>
      <c r="AL15" s="6"/>
      <c r="AM15" s="7" t="s">
        <v>53</v>
      </c>
      <c r="AN15" s="7" t="s">
        <v>53</v>
      </c>
      <c r="AO15" s="8">
        <v>1.0</v>
      </c>
      <c r="AP15" s="6">
        <f t="shared" ref="AP15:AP18" si="48">$AR$5</f>
        <v>1</v>
      </c>
      <c r="AQ15" s="7">
        <f>V16/V37</f>
        <v>3</v>
      </c>
      <c r="AR15" s="7">
        <v>0.0</v>
      </c>
      <c r="AS15" s="32">
        <f t="shared" ref="AS15:AS24" si="49">round(AO15/AQ15*$AQ$14,0)</f>
        <v>1</v>
      </c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</row>
    <row r="16">
      <c r="A16" s="4" t="s">
        <v>54</v>
      </c>
      <c r="B16" s="1"/>
      <c r="C16" s="1"/>
      <c r="D16" s="1"/>
      <c r="E16" s="1"/>
      <c r="F16" s="1"/>
      <c r="G16" s="1"/>
      <c r="H16" s="1"/>
      <c r="I16" s="1"/>
      <c r="J16" s="1"/>
      <c r="K16" s="6"/>
      <c r="L16" s="6"/>
      <c r="M16" s="6"/>
      <c r="N16" s="6"/>
      <c r="O16" s="6"/>
      <c r="P16" s="6"/>
      <c r="Q16" s="6"/>
      <c r="R16" s="30" t="s">
        <v>42</v>
      </c>
      <c r="S16" s="6"/>
      <c r="T16" s="6"/>
      <c r="U16" s="6"/>
      <c r="V16" s="9">
        <f>V15+$T$5</f>
        <v>12</v>
      </c>
      <c r="W16" s="6"/>
      <c r="X16" s="19">
        <f t="shared" ref="X16:Z16" si="45">X15+$T$5</f>
        <v>7</v>
      </c>
      <c r="Y16" s="19">
        <f t="shared" si="45"/>
        <v>2</v>
      </c>
      <c r="Z16" s="19">
        <f t="shared" si="45"/>
        <v>2</v>
      </c>
      <c r="AA16" s="24"/>
      <c r="AB16" s="19">
        <f t="shared" ref="AB16:AD16" si="46">AB15+$T$5</f>
        <v>7</v>
      </c>
      <c r="AC16" s="19">
        <f t="shared" si="46"/>
        <v>2</v>
      </c>
      <c r="AD16" s="19">
        <f t="shared" si="46"/>
        <v>2</v>
      </c>
      <c r="AE16" s="24"/>
      <c r="AF16" s="19">
        <f t="shared" ref="AF16:AH16" si="47">AF15+$T$5</f>
        <v>2</v>
      </c>
      <c r="AG16" s="19">
        <f t="shared" si="47"/>
        <v>2</v>
      </c>
      <c r="AH16" s="19">
        <f t="shared" si="47"/>
        <v>2</v>
      </c>
      <c r="AI16" s="6"/>
      <c r="AJ16" s="6"/>
      <c r="AK16" s="6"/>
      <c r="AL16" s="6"/>
      <c r="AM16" s="6"/>
      <c r="AN16" s="33" t="s">
        <v>12</v>
      </c>
      <c r="AO16" s="34">
        <f>AO5+AP6</f>
        <v>2</v>
      </c>
      <c r="AP16" s="34">
        <f t="shared" si="48"/>
        <v>1</v>
      </c>
      <c r="AQ16" s="35">
        <f>(X16+X17)/X37</f>
        <v>2.25</v>
      </c>
      <c r="AR16" s="36">
        <v>0.0</v>
      </c>
      <c r="AS16" s="32">
        <f t="shared" si="49"/>
        <v>3</v>
      </c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</row>
    <row r="17">
      <c r="A17" s="4" t="s">
        <v>55</v>
      </c>
      <c r="B17" s="1"/>
      <c r="C17" s="1"/>
      <c r="D17" s="1"/>
      <c r="E17" s="1"/>
      <c r="F17" s="1"/>
      <c r="G17" s="1"/>
      <c r="H17" s="1"/>
      <c r="I17" s="1"/>
      <c r="J17" s="1"/>
      <c r="K17" s="6"/>
      <c r="L17" s="6"/>
      <c r="M17" s="6"/>
      <c r="N17" s="6"/>
      <c r="O17" s="6"/>
      <c r="P17" s="6"/>
      <c r="Q17" s="6"/>
      <c r="R17" s="37" t="s">
        <v>56</v>
      </c>
      <c r="S17" s="38"/>
      <c r="T17" s="38"/>
      <c r="U17" s="39"/>
      <c r="V17" s="40">
        <v>0.0</v>
      </c>
      <c r="W17" s="39"/>
      <c r="X17" s="40">
        <f>$AW$6</f>
        <v>2</v>
      </c>
      <c r="Y17" s="40">
        <f>$AW$8</f>
        <v>4</v>
      </c>
      <c r="Z17" s="40">
        <f>$AW$10</f>
        <v>6</v>
      </c>
      <c r="AA17" s="39"/>
      <c r="AB17" s="40">
        <f>$AW$6</f>
        <v>2</v>
      </c>
      <c r="AC17" s="40">
        <f>$AW$8</f>
        <v>4</v>
      </c>
      <c r="AD17" s="40">
        <f>$AW$10</f>
        <v>6</v>
      </c>
      <c r="AE17" s="39"/>
      <c r="AF17" s="40">
        <f>$AW$6*2</f>
        <v>4</v>
      </c>
      <c r="AG17" s="40">
        <f>$AW$7*2</f>
        <v>6</v>
      </c>
      <c r="AH17" s="40">
        <f>$AW$8*2</f>
        <v>8</v>
      </c>
      <c r="AI17" s="6"/>
      <c r="AJ17" s="6"/>
      <c r="AK17" s="6"/>
      <c r="AL17" s="6"/>
      <c r="AM17" s="6"/>
      <c r="AN17" s="41" t="s">
        <v>13</v>
      </c>
      <c r="AO17" s="6">
        <f>AO5+AP8</f>
        <v>4</v>
      </c>
      <c r="AP17" s="6">
        <f t="shared" si="48"/>
        <v>1</v>
      </c>
      <c r="AQ17" s="7">
        <f>(Y16+Y17)/Y37</f>
        <v>1.5</v>
      </c>
      <c r="AR17" s="42">
        <v>0.0</v>
      </c>
      <c r="AS17" s="32">
        <f t="shared" si="49"/>
        <v>8</v>
      </c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6"/>
      <c r="L18" s="6"/>
      <c r="M18" s="6"/>
      <c r="N18" s="6"/>
      <c r="O18" s="6"/>
      <c r="P18" s="6"/>
      <c r="Q18" s="6"/>
      <c r="R18" s="7" t="s">
        <v>57</v>
      </c>
      <c r="S18" s="6"/>
      <c r="T18" s="6"/>
      <c r="U18" s="6"/>
      <c r="V18" s="43">
        <f>10 *$M$1  </f>
        <v>10</v>
      </c>
      <c r="W18" s="6"/>
      <c r="X18" s="43">
        <f t="shared" ref="X18:Z18" si="50">$V$18</f>
        <v>10</v>
      </c>
      <c r="Y18" s="43">
        <f t="shared" si="50"/>
        <v>10</v>
      </c>
      <c r="Z18" s="43">
        <f t="shared" si="50"/>
        <v>10</v>
      </c>
      <c r="AA18" s="22"/>
      <c r="AB18" s="43">
        <f t="shared" ref="AB18:AD18" si="51">$V$18</f>
        <v>10</v>
      </c>
      <c r="AC18" s="43">
        <f t="shared" si="51"/>
        <v>10</v>
      </c>
      <c r="AD18" s="43">
        <f t="shared" si="51"/>
        <v>10</v>
      </c>
      <c r="AE18" s="22"/>
      <c r="AF18" s="43">
        <f t="shared" ref="AF18:AH18" si="52">$V$18</f>
        <v>10</v>
      </c>
      <c r="AG18" s="43">
        <f t="shared" si="52"/>
        <v>10</v>
      </c>
      <c r="AH18" s="43">
        <f t="shared" si="52"/>
        <v>10</v>
      </c>
      <c r="AI18" s="6"/>
      <c r="AJ18" s="6"/>
      <c r="AK18" s="6"/>
      <c r="AL18" s="6"/>
      <c r="AM18" s="6"/>
      <c r="AN18" s="41" t="s">
        <v>14</v>
      </c>
      <c r="AO18" s="6">
        <f>AO5+AP10</f>
        <v>6</v>
      </c>
      <c r="AP18" s="6">
        <f t="shared" si="48"/>
        <v>1</v>
      </c>
      <c r="AQ18" s="7">
        <f>(Z16+Z17)/Z37</f>
        <v>2</v>
      </c>
      <c r="AR18" s="42">
        <v>0.0</v>
      </c>
      <c r="AS18" s="32">
        <f t="shared" si="49"/>
        <v>9</v>
      </c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6"/>
      <c r="L19" s="6"/>
      <c r="M19" s="6"/>
      <c r="N19" s="6"/>
      <c r="O19" s="6"/>
      <c r="P19" s="6"/>
      <c r="Q19" s="6"/>
      <c r="R19" s="44"/>
      <c r="S19" s="45"/>
      <c r="T19" s="46"/>
      <c r="U19" s="46"/>
      <c r="V19" s="10"/>
      <c r="W19" s="46"/>
      <c r="X19" s="47"/>
      <c r="Y19" s="47"/>
      <c r="Z19" s="47"/>
      <c r="AA19" s="48"/>
      <c r="AB19" s="47"/>
      <c r="AC19" s="47"/>
      <c r="AD19" s="47"/>
      <c r="AE19" s="48"/>
      <c r="AF19" s="47"/>
      <c r="AG19" s="49"/>
      <c r="AH19" s="47"/>
      <c r="AI19" s="6"/>
      <c r="AJ19" s="6"/>
      <c r="AK19" s="6"/>
      <c r="AL19" s="6"/>
      <c r="AM19" s="6"/>
      <c r="AN19" s="50" t="s">
        <v>15</v>
      </c>
      <c r="AO19" s="6">
        <f t="shared" ref="AO19:AO21" si="53">$AO$5</f>
        <v>1</v>
      </c>
      <c r="AP19" s="6">
        <f>AR6</f>
        <v>2</v>
      </c>
      <c r="AQ19" s="6">
        <f>(AB16+AD17)/AB37</f>
        <v>3.25</v>
      </c>
      <c r="AR19" s="42">
        <v>0.0</v>
      </c>
      <c r="AS19" s="32">
        <f t="shared" si="49"/>
        <v>1</v>
      </c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6"/>
      <c r="L20" s="6"/>
      <c r="M20" s="6"/>
      <c r="N20" s="6"/>
      <c r="O20" s="6"/>
      <c r="P20" s="6"/>
      <c r="Q20" s="6"/>
      <c r="R20" s="44"/>
      <c r="S20" s="45"/>
      <c r="T20" s="46"/>
      <c r="U20" s="46"/>
      <c r="V20" s="10"/>
      <c r="W20" s="46"/>
      <c r="X20" s="10"/>
      <c r="Y20" s="10"/>
      <c r="Z20" s="10"/>
      <c r="AA20" s="46"/>
      <c r="AB20" s="10"/>
      <c r="AC20" s="10"/>
      <c r="AD20" s="10"/>
      <c r="AE20" s="46"/>
      <c r="AF20" s="10"/>
      <c r="AG20" s="10"/>
      <c r="AH20" s="10"/>
      <c r="AI20" s="6"/>
      <c r="AJ20" s="6"/>
      <c r="AK20" s="6"/>
      <c r="AL20" s="6"/>
      <c r="AM20" s="6"/>
      <c r="AN20" s="50" t="s">
        <v>16</v>
      </c>
      <c r="AO20" s="6">
        <f t="shared" si="53"/>
        <v>1</v>
      </c>
      <c r="AP20" s="6">
        <f>AR8</f>
        <v>4</v>
      </c>
      <c r="AQ20" s="6">
        <f>(AC16+AC17)/AC37</f>
        <v>1.5</v>
      </c>
      <c r="AR20" s="42">
        <v>0.0</v>
      </c>
      <c r="AS20" s="32">
        <f t="shared" si="49"/>
        <v>2</v>
      </c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4" t="s">
        <v>58</v>
      </c>
      <c r="S21" s="5"/>
      <c r="T21" s="1"/>
      <c r="U21" s="5"/>
      <c r="V21" s="1">
        <f>V18-V16-V17</f>
        <v>-2</v>
      </c>
      <c r="W21" s="1"/>
      <c r="X21" s="51">
        <f t="shared" ref="X21:Z21" si="54">X18-X16-X17</f>
        <v>1</v>
      </c>
      <c r="Y21" s="51">
        <f t="shared" si="54"/>
        <v>4</v>
      </c>
      <c r="Z21" s="51">
        <f t="shared" si="54"/>
        <v>2</v>
      </c>
      <c r="AA21" s="51"/>
      <c r="AB21" s="51">
        <f t="shared" ref="AB21:AD21" si="55">AB18-AB16-AB17</f>
        <v>1</v>
      </c>
      <c r="AC21" s="51">
        <f t="shared" si="55"/>
        <v>4</v>
      </c>
      <c r="AD21" s="51">
        <f t="shared" si="55"/>
        <v>2</v>
      </c>
      <c r="AE21" s="22"/>
      <c r="AF21" s="51">
        <f t="shared" ref="AF21:AH21" si="56">AF18-AF16-AF17</f>
        <v>4</v>
      </c>
      <c r="AG21" s="51">
        <f t="shared" si="56"/>
        <v>2</v>
      </c>
      <c r="AH21" s="51">
        <f t="shared" si="56"/>
        <v>0</v>
      </c>
      <c r="AI21" s="6"/>
      <c r="AJ21" s="6"/>
      <c r="AK21" s="6"/>
      <c r="AL21" s="6"/>
      <c r="AM21" s="6"/>
      <c r="AN21" s="50" t="s">
        <v>17</v>
      </c>
      <c r="AO21" s="6">
        <f t="shared" si="53"/>
        <v>1</v>
      </c>
      <c r="AP21" s="6">
        <f>AR10</f>
        <v>6</v>
      </c>
      <c r="AQ21" s="6">
        <f>(AD16+AD17)/AD37</f>
        <v>-8</v>
      </c>
      <c r="AR21" s="42">
        <v>0.0</v>
      </c>
      <c r="AS21" s="32">
        <f t="shared" si="49"/>
        <v>0</v>
      </c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5"/>
      <c r="T22" s="1"/>
      <c r="U22" s="5"/>
      <c r="V22" s="1"/>
      <c r="W22" s="1"/>
      <c r="X22" s="1"/>
      <c r="Y22" s="1"/>
      <c r="Z22" s="1"/>
      <c r="AA22" s="1"/>
      <c r="AB22" s="1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50" t="s">
        <v>18</v>
      </c>
      <c r="AO22" s="6">
        <f t="shared" ref="AO22:AO24" si="57">$AO$5+AP6</f>
        <v>2</v>
      </c>
      <c r="AP22" s="6">
        <f t="shared" ref="AP22:AP24" si="58">AR6</f>
        <v>2</v>
      </c>
      <c r="AQ22" s="6">
        <f>(AF16+AF17)/AF37</f>
        <v>1.5</v>
      </c>
      <c r="AR22" s="42">
        <v>0.0</v>
      </c>
      <c r="AS22" s="32">
        <f t="shared" si="49"/>
        <v>4</v>
      </c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52"/>
      <c r="L23" s="53"/>
      <c r="M23" s="4"/>
      <c r="N23" s="1"/>
      <c r="O23" s="1"/>
      <c r="P23" s="1"/>
      <c r="Q23" s="1"/>
      <c r="R23" s="1"/>
      <c r="S23" s="5"/>
      <c r="T23" s="4"/>
      <c r="U23" s="5"/>
      <c r="V23" s="4"/>
      <c r="W23" s="1"/>
      <c r="X23" s="54"/>
      <c r="Y23" s="54"/>
      <c r="Z23" s="54"/>
      <c r="AA23" s="1"/>
      <c r="AB23" s="54"/>
      <c r="AC23" s="54"/>
      <c r="AD23" s="54"/>
      <c r="AE23" s="46"/>
      <c r="AF23" s="55"/>
      <c r="AG23" s="55"/>
      <c r="AH23" s="55"/>
      <c r="AI23" s="6"/>
      <c r="AJ23" s="6"/>
      <c r="AK23" s="6"/>
      <c r="AL23" s="6"/>
      <c r="AM23" s="56"/>
      <c r="AN23" s="50" t="s">
        <v>19</v>
      </c>
      <c r="AO23" s="6">
        <f t="shared" si="57"/>
        <v>3</v>
      </c>
      <c r="AP23" s="6">
        <f t="shared" si="58"/>
        <v>3</v>
      </c>
      <c r="AQ23" s="6">
        <f>(AG16+AG17)/AG37</f>
        <v>-8</v>
      </c>
      <c r="AR23" s="42">
        <v>0.0</v>
      </c>
      <c r="AS23" s="32">
        <f t="shared" si="49"/>
        <v>-1</v>
      </c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2" t="s">
        <v>0</v>
      </c>
      <c r="L24" s="1"/>
      <c r="M24" s="3">
        <v>1.0</v>
      </c>
      <c r="N24" s="1"/>
      <c r="O24" s="1"/>
      <c r="P24" s="1"/>
      <c r="Q24" s="1"/>
      <c r="R24" s="1"/>
      <c r="S24" s="5"/>
      <c r="T24" s="1"/>
      <c r="U24" s="5"/>
      <c r="V24" s="1"/>
      <c r="W24" s="1"/>
      <c r="X24" s="1"/>
      <c r="Y24" s="1"/>
      <c r="Z24" s="1"/>
      <c r="AA24" s="1"/>
      <c r="AB24" s="1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57" t="s">
        <v>20</v>
      </c>
      <c r="AO24" s="58">
        <f t="shared" si="57"/>
        <v>4</v>
      </c>
      <c r="AP24" s="58">
        <f t="shared" si="58"/>
        <v>4</v>
      </c>
      <c r="AQ24" s="58">
        <f>(AH16+AH17)/AH37</f>
        <v>-10</v>
      </c>
      <c r="AR24" s="59">
        <v>0.0</v>
      </c>
      <c r="AS24" s="60">
        <f t="shared" si="49"/>
        <v>-1</v>
      </c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</row>
    <row r="25">
      <c r="A25" s="1"/>
      <c r="B25" s="1"/>
      <c r="C25" s="1"/>
      <c r="D25" s="1"/>
      <c r="E25" s="1"/>
      <c r="F25" s="1"/>
      <c r="G25" s="1"/>
      <c r="H25" s="1"/>
      <c r="I25" s="6"/>
      <c r="J25" s="1"/>
      <c r="K25" s="2"/>
      <c r="L25" s="6"/>
      <c r="M25" s="1"/>
      <c r="N25" s="8">
        <v>1.0</v>
      </c>
      <c r="O25" s="6"/>
      <c r="P25" s="6"/>
      <c r="Q25" s="6"/>
      <c r="R25" s="6"/>
      <c r="S25" s="6"/>
      <c r="T25" s="9">
        <v>0.0</v>
      </c>
      <c r="U25" s="6"/>
      <c r="V25" s="9">
        <v>0.0</v>
      </c>
      <c r="W25" s="6"/>
      <c r="X25" s="10">
        <f>AP29</f>
        <v>1</v>
      </c>
      <c r="Y25" s="10">
        <f>AP31</f>
        <v>3</v>
      </c>
      <c r="Z25" s="10">
        <f>AP33</f>
        <v>5</v>
      </c>
      <c r="AA25" s="6"/>
      <c r="AB25" s="10">
        <f t="shared" ref="AB25:AD25" si="59">$AP$5</f>
        <v>0</v>
      </c>
      <c r="AC25" s="10">
        <f t="shared" si="59"/>
        <v>0</v>
      </c>
      <c r="AD25" s="10">
        <f t="shared" si="59"/>
        <v>0</v>
      </c>
      <c r="AE25" s="6"/>
      <c r="AF25" s="10">
        <f>AP29</f>
        <v>1</v>
      </c>
      <c r="AG25" s="10">
        <v>10.0</v>
      </c>
      <c r="AH25" s="10">
        <v>15.0</v>
      </c>
      <c r="AI25" s="6"/>
      <c r="AJ25" s="6"/>
      <c r="AK25" s="6"/>
      <c r="AL25" s="2" t="s">
        <v>0</v>
      </c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7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</row>
    <row r="26">
      <c r="A26" s="1"/>
      <c r="B26" s="1"/>
      <c r="C26" s="1"/>
      <c r="D26" s="1"/>
      <c r="E26" s="1"/>
      <c r="F26" s="1"/>
      <c r="G26" s="1"/>
      <c r="H26" s="1"/>
      <c r="I26" s="6"/>
      <c r="J26" s="1"/>
      <c r="K26" s="6"/>
      <c r="L26" s="6"/>
      <c r="M26" s="7">
        <v>0.25</v>
      </c>
      <c r="N26" s="7">
        <v>1.0</v>
      </c>
      <c r="O26" s="8">
        <v>2.0</v>
      </c>
      <c r="P26" s="8">
        <v>1.0</v>
      </c>
      <c r="Q26" s="6"/>
      <c r="R26" s="6"/>
      <c r="S26" s="6"/>
      <c r="T26" s="9">
        <v>1.0</v>
      </c>
      <c r="U26" s="6"/>
      <c r="V26" s="9">
        <v>1.0</v>
      </c>
      <c r="W26" s="6"/>
      <c r="X26" s="10">
        <f t="shared" ref="X26:Z26" si="60">$AT$5</f>
        <v>1</v>
      </c>
      <c r="Y26" s="10">
        <f t="shared" si="60"/>
        <v>1</v>
      </c>
      <c r="Z26" s="10">
        <f t="shared" si="60"/>
        <v>1</v>
      </c>
      <c r="AA26" s="6"/>
      <c r="AB26" s="10">
        <v>2.0</v>
      </c>
      <c r="AC26" s="10">
        <v>4.0</v>
      </c>
      <c r="AD26" s="10">
        <v>6.0</v>
      </c>
      <c r="AE26" s="6"/>
      <c r="AF26" s="10">
        <v>2.0</v>
      </c>
      <c r="AG26" s="10">
        <v>3.0</v>
      </c>
      <c r="AH26" s="10">
        <v>4.0</v>
      </c>
      <c r="AI26" s="6"/>
      <c r="AJ26" s="6"/>
      <c r="AK26" s="6"/>
      <c r="AL26" s="6"/>
      <c r="AM26" s="6"/>
      <c r="AN26" s="6"/>
      <c r="AO26" s="8">
        <v>1.0</v>
      </c>
      <c r="AP26" s="8">
        <v>1.0</v>
      </c>
      <c r="AQ26" s="6"/>
      <c r="AR26" s="6"/>
      <c r="AS26" s="6"/>
      <c r="AT26" s="6"/>
      <c r="AU26" s="6"/>
      <c r="AV26" s="6"/>
      <c r="AW26" s="8">
        <v>1.0</v>
      </c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</row>
    <row r="27">
      <c r="A27" s="1"/>
      <c r="B27" s="1"/>
      <c r="C27" s="1"/>
      <c r="D27" s="1"/>
      <c r="E27" s="1"/>
      <c r="F27" s="1"/>
      <c r="G27" s="1"/>
      <c r="H27" s="1"/>
      <c r="I27" s="6"/>
      <c r="J27" s="1"/>
      <c r="K27" s="11" t="s">
        <v>3</v>
      </c>
      <c r="L27" s="11" t="s">
        <v>4</v>
      </c>
      <c r="M27" s="11" t="s">
        <v>5</v>
      </c>
      <c r="N27" s="11" t="s">
        <v>6</v>
      </c>
      <c r="O27" s="11" t="s">
        <v>7</v>
      </c>
      <c r="P27" s="11" t="s">
        <v>8</v>
      </c>
      <c r="Q27" s="11" t="s">
        <v>9</v>
      </c>
      <c r="R27" s="11" t="s">
        <v>10</v>
      </c>
      <c r="S27" s="12"/>
      <c r="T27" s="11"/>
      <c r="U27" s="13"/>
      <c r="V27" s="11" t="s">
        <v>11</v>
      </c>
      <c r="W27" s="14"/>
      <c r="X27" s="11" t="s">
        <v>12</v>
      </c>
      <c r="Y27" s="11" t="s">
        <v>13</v>
      </c>
      <c r="Z27" s="11" t="s">
        <v>14</v>
      </c>
      <c r="AA27" s="11"/>
      <c r="AB27" s="11" t="s">
        <v>15</v>
      </c>
      <c r="AC27" s="11" t="s">
        <v>16</v>
      </c>
      <c r="AD27" s="11" t="s">
        <v>17</v>
      </c>
      <c r="AE27" s="14"/>
      <c r="AF27" s="11" t="s">
        <v>18</v>
      </c>
      <c r="AG27" s="11" t="s">
        <v>19</v>
      </c>
      <c r="AH27" s="11" t="s">
        <v>20</v>
      </c>
      <c r="AI27" s="14"/>
      <c r="AJ27" s="14"/>
      <c r="AK27" s="14"/>
      <c r="AL27" s="11" t="s">
        <v>21</v>
      </c>
      <c r="AM27" s="11" t="s">
        <v>22</v>
      </c>
      <c r="AN27" s="11" t="s">
        <v>23</v>
      </c>
      <c r="AO27" s="11" t="s">
        <v>24</v>
      </c>
      <c r="AP27" s="11" t="s">
        <v>25</v>
      </c>
      <c r="AQ27" s="11" t="s">
        <v>26</v>
      </c>
      <c r="AR27" s="11" t="s">
        <v>27</v>
      </c>
      <c r="AS27" s="11" t="s">
        <v>28</v>
      </c>
      <c r="AT27" s="15" t="s">
        <v>29</v>
      </c>
      <c r="AU27" s="11"/>
      <c r="AV27" s="11" t="s">
        <v>30</v>
      </c>
      <c r="AW27" s="16" t="s">
        <v>31</v>
      </c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</row>
    <row r="28">
      <c r="A28" s="1"/>
      <c r="B28" s="1"/>
      <c r="C28" s="1"/>
      <c r="D28" s="1"/>
      <c r="E28" s="1"/>
      <c r="F28" s="1"/>
      <c r="G28" s="1"/>
      <c r="H28" s="1"/>
      <c r="I28" s="6"/>
      <c r="J28" s="1"/>
      <c r="K28" s="6"/>
      <c r="L28" s="6" t="s">
        <v>32</v>
      </c>
      <c r="M28" s="17">
        <f>4*$M$1</f>
        <v>4</v>
      </c>
      <c r="N28" s="18">
        <f t="shared" ref="N28:N31" si="64">$N$2*$M$1</f>
        <v>1</v>
      </c>
      <c r="O28" s="18">
        <v>0.0</v>
      </c>
      <c r="P28" s="18">
        <v>0.0</v>
      </c>
      <c r="Q28" s="9">
        <v>1.0</v>
      </c>
      <c r="R28" s="9">
        <v>1.0</v>
      </c>
      <c r="S28" s="10"/>
      <c r="T28" s="19">
        <f t="shared" ref="T28:T35" si="65">INT(($AO$5+($AO$5)*FLOOR(($M28+$O28)/($AO$5+T$2+0.1),1))*$Q28/T$3)</f>
        <v>4</v>
      </c>
      <c r="U28" s="20"/>
      <c r="V28" s="19">
        <f t="shared" ref="V28:V35" si="66">INT(($AO$5+($AO$5)*FLOOR(($M28+$O28)/($AO$5+V$2+0.1),1))*$Q28/V$3-$T$28)</f>
        <v>0</v>
      </c>
      <c r="W28" s="6"/>
      <c r="X28" s="19">
        <f t="shared" ref="X28:Z28" si="61">INT(($AO$5+($AO$5)*FLOOR(($M28+$O28)/($AO$5+X$2+0.1),1))*$Q28/X$3-$T$28)</f>
        <v>-2</v>
      </c>
      <c r="Y28" s="19">
        <f t="shared" si="61"/>
        <v>-3</v>
      </c>
      <c r="Z28" s="19">
        <f t="shared" si="61"/>
        <v>-3</v>
      </c>
      <c r="AA28" s="6"/>
      <c r="AB28" s="19">
        <f t="shared" ref="AB28:AD28" si="62">INT(($AO$5+($AO$5)*FLOOR(($M28+$O28)/($AO$5+AB$2+0.1),1))*$Q28/AB$3-$T$28)</f>
        <v>-2</v>
      </c>
      <c r="AC28" s="19">
        <f t="shared" si="62"/>
        <v>-3</v>
      </c>
      <c r="AD28" s="19">
        <f t="shared" si="62"/>
        <v>-4</v>
      </c>
      <c r="AE28" s="6"/>
      <c r="AF28" s="19">
        <f t="shared" ref="AF28:AH28" si="63">INT(($AO$5+($AO$5)*FLOOR(($M28+$O28)/($AO$5+AF$2+0.1),1))*$Q28/AF$3-$T$28)</f>
        <v>-3</v>
      </c>
      <c r="AG28" s="19">
        <f t="shared" si="63"/>
        <v>-4</v>
      </c>
      <c r="AH28" s="19">
        <f t="shared" si="63"/>
        <v>-4</v>
      </c>
      <c r="AI28" s="6"/>
      <c r="AJ28" s="6"/>
      <c r="AK28" s="6"/>
      <c r="AL28" s="6"/>
      <c r="AM28" s="21">
        <v>5.0</v>
      </c>
      <c r="AN28" s="9">
        <v>0.0</v>
      </c>
      <c r="AO28" s="18">
        <f>AO26*M24</f>
        <v>1</v>
      </c>
      <c r="AP28" s="18">
        <v>0.0</v>
      </c>
      <c r="AQ28" s="9">
        <v>0.0</v>
      </c>
      <c r="AR28" s="9">
        <f t="shared" ref="AR28:AR33" si="70">CEILING(AT28/4,1)</f>
        <v>1</v>
      </c>
      <c r="AS28" s="9">
        <v>0.0</v>
      </c>
      <c r="AT28" s="9">
        <v>1.0</v>
      </c>
      <c r="AU28" s="6"/>
      <c r="AV28" s="9">
        <v>1.0</v>
      </c>
      <c r="AW28" s="9">
        <v>0.0</v>
      </c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</row>
    <row r="29">
      <c r="A29" s="1"/>
      <c r="B29" s="1"/>
      <c r="C29" s="1"/>
      <c r="D29" s="1"/>
      <c r="E29" s="1"/>
      <c r="F29" s="1"/>
      <c r="G29" s="1"/>
      <c r="H29" s="1"/>
      <c r="I29" s="6"/>
      <c r="J29" s="1"/>
      <c r="K29" s="6"/>
      <c r="L29" s="6" t="str">
        <f>CONCATENATE(L28, "+HP")</f>
        <v>普通+HP</v>
      </c>
      <c r="M29" s="18">
        <f>M28</f>
        <v>4</v>
      </c>
      <c r="N29" s="18">
        <f t="shared" si="64"/>
        <v>1</v>
      </c>
      <c r="O29" s="18">
        <f>$O$3*$M$1</f>
        <v>2</v>
      </c>
      <c r="P29" s="18">
        <v>0.0</v>
      </c>
      <c r="Q29" s="9">
        <f t="shared" ref="Q29:Q31" si="71">Q28</f>
        <v>1</v>
      </c>
      <c r="R29" s="9">
        <v>0.3</v>
      </c>
      <c r="S29" s="6"/>
      <c r="T29" s="19">
        <f t="shared" si="65"/>
        <v>6</v>
      </c>
      <c r="U29" s="6"/>
      <c r="V29" s="19">
        <f t="shared" si="66"/>
        <v>2</v>
      </c>
      <c r="W29" s="6"/>
      <c r="X29" s="19">
        <f t="shared" ref="X29:Z29" si="67">INT(($AO$5+($AO$5)*FLOOR(($M29+$O29)/($AO$5+X$2+0.1),1))*$Q29/X$3-$T$28)</f>
        <v>-1</v>
      </c>
      <c r="Y29" s="19">
        <f t="shared" si="67"/>
        <v>-2</v>
      </c>
      <c r="Z29" s="19">
        <f t="shared" si="67"/>
        <v>-3</v>
      </c>
      <c r="AA29" s="6"/>
      <c r="AB29" s="19">
        <f t="shared" ref="AB29:AD29" si="68">INT(($AO$5+($AO$5)*FLOOR(($M29+$O29)/($AO$5+AB$2+0.1),1))*$Q29/AB$3-$T$28)</f>
        <v>-1</v>
      </c>
      <c r="AC29" s="19">
        <f t="shared" si="68"/>
        <v>-3</v>
      </c>
      <c r="AD29" s="19">
        <f t="shared" si="68"/>
        <v>-3</v>
      </c>
      <c r="AE29" s="6"/>
      <c r="AF29" s="19">
        <f t="shared" ref="AF29:AH29" si="69">INT(($AO$5+($AO$5)*FLOOR(($M29+$O29)/($AO$5+AF$2+0.1),1))*$Q29/AF$3-$T$28)</f>
        <v>-3</v>
      </c>
      <c r="AG29" s="19">
        <f t="shared" si="69"/>
        <v>-4</v>
      </c>
      <c r="AH29" s="19">
        <f t="shared" si="69"/>
        <v>-4</v>
      </c>
      <c r="AI29" s="6"/>
      <c r="AJ29" s="6"/>
      <c r="AK29" s="6"/>
      <c r="AL29" s="6"/>
      <c r="AM29" s="6"/>
      <c r="AN29" s="6"/>
      <c r="AO29" s="22"/>
      <c r="AP29" s="18">
        <f t="shared" ref="AP29:AP33" si="75">AP28+$AP$3</f>
        <v>1</v>
      </c>
      <c r="AQ29" s="6"/>
      <c r="AR29" s="9">
        <f t="shared" si="70"/>
        <v>2</v>
      </c>
      <c r="AS29" s="6"/>
      <c r="AT29" s="9">
        <f t="shared" ref="AT29:AT33" si="76">AT28+4</f>
        <v>5</v>
      </c>
      <c r="AU29" s="6"/>
      <c r="AV29" s="9">
        <f t="shared" ref="AV29:AV33" si="77">AV28+1</f>
        <v>2</v>
      </c>
      <c r="AW29" s="7">
        <f>2*M24</f>
        <v>2</v>
      </c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</row>
    <row r="30">
      <c r="A30" s="1"/>
      <c r="B30" s="1"/>
      <c r="C30" s="1"/>
      <c r="D30" s="1"/>
      <c r="E30" s="1"/>
      <c r="F30" s="1"/>
      <c r="G30" s="1"/>
      <c r="H30" s="1"/>
      <c r="I30" s="6"/>
      <c r="J30" s="1"/>
      <c r="K30" s="6"/>
      <c r="L30" s="6" t="str">
        <f>CONCATENATE(L28, "+ATT")</f>
        <v>普通+ATT</v>
      </c>
      <c r="M30" s="18">
        <f>M28</f>
        <v>4</v>
      </c>
      <c r="N30" s="18">
        <f t="shared" si="64"/>
        <v>1</v>
      </c>
      <c r="O30" s="18">
        <v>0.0</v>
      </c>
      <c r="P30" s="18">
        <f t="shared" ref="P30:P31" si="78">$P$3*$M$1</f>
        <v>1</v>
      </c>
      <c r="Q30" s="9">
        <f t="shared" si="71"/>
        <v>1</v>
      </c>
      <c r="R30" s="23">
        <v>0.6</v>
      </c>
      <c r="S30" s="6"/>
      <c r="T30" s="19">
        <f t="shared" si="65"/>
        <v>4</v>
      </c>
      <c r="U30" s="6"/>
      <c r="V30" s="19">
        <f t="shared" si="66"/>
        <v>0</v>
      </c>
      <c r="W30" s="6"/>
      <c r="X30" s="19">
        <f t="shared" ref="X30:Z30" si="72">INT(($AO$5+($AO$5)*FLOOR(($M30+$O30)/($AO$5+X$2+0.1),1))*$Q30/X$3-$T$28)</f>
        <v>-2</v>
      </c>
      <c r="Y30" s="19">
        <f t="shared" si="72"/>
        <v>-3</v>
      </c>
      <c r="Z30" s="19">
        <f t="shared" si="72"/>
        <v>-3</v>
      </c>
      <c r="AA30" s="6"/>
      <c r="AB30" s="19">
        <f t="shared" ref="AB30:AD30" si="73">INT(($AO$5+($AO$5)*FLOOR(($M30+$O30)/($AO$5+AB$2+0.1),1))*$Q30/AB$3-$T$28)</f>
        <v>-2</v>
      </c>
      <c r="AC30" s="19">
        <f t="shared" si="73"/>
        <v>-3</v>
      </c>
      <c r="AD30" s="19">
        <f t="shared" si="73"/>
        <v>-4</v>
      </c>
      <c r="AE30" s="6"/>
      <c r="AF30" s="19">
        <f t="shared" ref="AF30:AH30" si="74">INT(($AO$5+($AO$5)*FLOOR(($M30+$O30)/($AO$5+AF$2+0.1),1))*$Q30/AF$3-$T$28)</f>
        <v>-3</v>
      </c>
      <c r="AG30" s="19">
        <f t="shared" si="74"/>
        <v>-4</v>
      </c>
      <c r="AH30" s="19">
        <f t="shared" si="74"/>
        <v>-4</v>
      </c>
      <c r="AI30" s="6"/>
      <c r="AJ30" s="6"/>
      <c r="AK30" s="6"/>
      <c r="AL30" s="6"/>
      <c r="AM30" s="6"/>
      <c r="AN30" s="6"/>
      <c r="AO30" s="22"/>
      <c r="AP30" s="18">
        <f t="shared" si="75"/>
        <v>2</v>
      </c>
      <c r="AQ30" s="6"/>
      <c r="AR30" s="9">
        <f t="shared" si="70"/>
        <v>3</v>
      </c>
      <c r="AS30" s="6"/>
      <c r="AT30" s="9">
        <f t="shared" si="76"/>
        <v>9</v>
      </c>
      <c r="AU30" s="6"/>
      <c r="AV30" s="9">
        <f t="shared" si="77"/>
        <v>3</v>
      </c>
      <c r="AW30" s="7">
        <f t="shared" ref="AW30:AW33" si="82">$AW$3*$M$1+AW29</f>
        <v>3</v>
      </c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</row>
    <row r="31">
      <c r="A31" s="1"/>
      <c r="B31" s="1"/>
      <c r="C31" s="1"/>
      <c r="D31" s="1"/>
      <c r="E31" s="1"/>
      <c r="F31" s="1"/>
      <c r="G31" s="1"/>
      <c r="H31" s="1"/>
      <c r="I31" s="6"/>
      <c r="J31" s="1"/>
      <c r="K31" s="6"/>
      <c r="L31" s="6" t="str">
        <f>CONCATENATE(L28, "+HP+ATT")</f>
        <v>普通+HP+ATT</v>
      </c>
      <c r="M31" s="18">
        <f>M28</f>
        <v>4</v>
      </c>
      <c r="N31" s="18">
        <f t="shared" si="64"/>
        <v>1</v>
      </c>
      <c r="O31" s="18">
        <f>$O$3*$M$1</f>
        <v>2</v>
      </c>
      <c r="P31" s="18">
        <f t="shared" si="78"/>
        <v>1</v>
      </c>
      <c r="Q31" s="9">
        <f t="shared" si="71"/>
        <v>1</v>
      </c>
      <c r="R31" s="23">
        <v>0.15</v>
      </c>
      <c r="S31" s="6"/>
      <c r="T31" s="19">
        <f t="shared" si="65"/>
        <v>6</v>
      </c>
      <c r="U31" s="6"/>
      <c r="V31" s="19">
        <f t="shared" si="66"/>
        <v>2</v>
      </c>
      <c r="W31" s="6"/>
      <c r="X31" s="19">
        <f t="shared" ref="X31:Z31" si="79">INT(($AO$5+($AO$5)*FLOOR(($M31+$O31)/($AO$5+X$2+0.1),1))*$Q31/X$3-$T$28)</f>
        <v>-1</v>
      </c>
      <c r="Y31" s="19">
        <f t="shared" si="79"/>
        <v>-2</v>
      </c>
      <c r="Z31" s="19">
        <f t="shared" si="79"/>
        <v>-3</v>
      </c>
      <c r="AA31" s="6"/>
      <c r="AB31" s="19">
        <f t="shared" ref="AB31:AD31" si="80">INT(($AO$5+($AO$5)*FLOOR(($M31+$O31)/($AO$5+AB$2+0.1),1))*$Q31/AB$3-$T$28)</f>
        <v>-1</v>
      </c>
      <c r="AC31" s="19">
        <f t="shared" si="80"/>
        <v>-3</v>
      </c>
      <c r="AD31" s="19">
        <f t="shared" si="80"/>
        <v>-3</v>
      </c>
      <c r="AE31" s="6"/>
      <c r="AF31" s="19">
        <f t="shared" ref="AF31:AH31" si="81">INT(($AO$5+($AO$5)*FLOOR(($M31+$O31)/($AO$5+AF$2+0.1),1))*$Q31/AF$3-$T$28)</f>
        <v>-3</v>
      </c>
      <c r="AG31" s="19">
        <f t="shared" si="81"/>
        <v>-4</v>
      </c>
      <c r="AH31" s="19">
        <f t="shared" si="81"/>
        <v>-4</v>
      </c>
      <c r="AI31" s="6"/>
      <c r="AJ31" s="6"/>
      <c r="AK31" s="6"/>
      <c r="AL31" s="6"/>
      <c r="AM31" s="6"/>
      <c r="AN31" s="6"/>
      <c r="AO31" s="22"/>
      <c r="AP31" s="18">
        <f t="shared" si="75"/>
        <v>3</v>
      </c>
      <c r="AQ31" s="6"/>
      <c r="AR31" s="9">
        <f t="shared" si="70"/>
        <v>4</v>
      </c>
      <c r="AS31" s="6"/>
      <c r="AT31" s="9">
        <f t="shared" si="76"/>
        <v>13</v>
      </c>
      <c r="AU31" s="6"/>
      <c r="AV31" s="9">
        <f t="shared" si="77"/>
        <v>4</v>
      </c>
      <c r="AW31" s="7">
        <f t="shared" si="82"/>
        <v>4</v>
      </c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</row>
    <row r="32">
      <c r="A32" s="1"/>
      <c r="B32" s="1"/>
      <c r="C32" s="1"/>
      <c r="D32" s="1"/>
      <c r="E32" s="1"/>
      <c r="F32" s="1"/>
      <c r="G32" s="1"/>
      <c r="H32" s="1"/>
      <c r="I32" s="6"/>
      <c r="J32" s="1"/>
      <c r="K32" s="6"/>
      <c r="L32" s="6" t="s">
        <v>39</v>
      </c>
      <c r="M32" s="17">
        <f t="shared" ref="M32:M35" si="86">$M$5*$M$3</f>
        <v>1</v>
      </c>
      <c r="N32" s="18">
        <f t="shared" ref="N32:N35" si="87">$N$2*$M$1*$N$3</f>
        <v>1</v>
      </c>
      <c r="O32" s="18">
        <v>0.0</v>
      </c>
      <c r="P32" s="18">
        <v>0.0</v>
      </c>
      <c r="Q32" s="9">
        <v>4.0</v>
      </c>
      <c r="R32" s="23">
        <v>0.6</v>
      </c>
      <c r="S32" s="24"/>
      <c r="T32" s="19">
        <f t="shared" si="65"/>
        <v>4</v>
      </c>
      <c r="U32" s="24"/>
      <c r="V32" s="19">
        <f t="shared" si="66"/>
        <v>0</v>
      </c>
      <c r="W32" s="24"/>
      <c r="X32" s="19">
        <f t="shared" ref="X32:Z32" si="83">INT(($AO$5+($AO$5)*FLOOR(($M32+$O32)/($AO$5+X$2+0.1),1))*$Q32/X$3)</f>
        <v>4</v>
      </c>
      <c r="Y32" s="19">
        <f t="shared" si="83"/>
        <v>4</v>
      </c>
      <c r="Z32" s="19">
        <f t="shared" si="83"/>
        <v>4</v>
      </c>
      <c r="AA32" s="24"/>
      <c r="AB32" s="19">
        <f t="shared" ref="AB32:AD32" si="84">INT(($AO$5+($AO$5)*FLOOR(($M32+$O32)/($AO$5+AB$2+0.1),1))*$Q32/AB$3)</f>
        <v>2</v>
      </c>
      <c r="AC32" s="19">
        <f t="shared" si="84"/>
        <v>1</v>
      </c>
      <c r="AD32" s="19">
        <f t="shared" si="84"/>
        <v>0</v>
      </c>
      <c r="AE32" s="24"/>
      <c r="AF32" s="19">
        <f t="shared" ref="AF32:AH32" si="85">INT(($AO$5+($AO$5)*FLOOR(($M32+$O32)/($AO$5+AF$2+0.1),1))*$Q32/AF$3)</f>
        <v>2</v>
      </c>
      <c r="AG32" s="19">
        <f t="shared" si="85"/>
        <v>1</v>
      </c>
      <c r="AH32" s="19">
        <f t="shared" si="85"/>
        <v>1</v>
      </c>
      <c r="AI32" s="6"/>
      <c r="AJ32" s="6"/>
      <c r="AK32" s="6"/>
      <c r="AL32" s="6"/>
      <c r="AM32" s="6"/>
      <c r="AN32" s="6"/>
      <c r="AO32" s="22"/>
      <c r="AP32" s="18">
        <f t="shared" si="75"/>
        <v>4</v>
      </c>
      <c r="AQ32" s="6"/>
      <c r="AR32" s="9">
        <f t="shared" si="70"/>
        <v>5</v>
      </c>
      <c r="AS32" s="6"/>
      <c r="AT32" s="9">
        <f t="shared" si="76"/>
        <v>17</v>
      </c>
      <c r="AU32" s="6"/>
      <c r="AV32" s="9">
        <f t="shared" si="77"/>
        <v>5</v>
      </c>
      <c r="AW32" s="7">
        <f t="shared" si="82"/>
        <v>5</v>
      </c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</row>
    <row r="33">
      <c r="A33" s="1"/>
      <c r="B33" s="1"/>
      <c r="C33" s="1"/>
      <c r="D33" s="1"/>
      <c r="E33" s="1"/>
      <c r="F33" s="1"/>
      <c r="G33" s="1"/>
      <c r="H33" s="1"/>
      <c r="I33" s="6"/>
      <c r="J33" s="1"/>
      <c r="K33" s="6"/>
      <c r="L33" s="6" t="str">
        <f>CONCATENATE(L32, "+HP")</f>
        <v>召唤+HP</v>
      </c>
      <c r="M33" s="17">
        <f t="shared" si="86"/>
        <v>1</v>
      </c>
      <c r="N33" s="18">
        <f t="shared" si="87"/>
        <v>1</v>
      </c>
      <c r="O33" s="18">
        <f>$O$3*$M$1</f>
        <v>2</v>
      </c>
      <c r="P33" s="18">
        <v>0.0</v>
      </c>
      <c r="Q33" s="9">
        <f t="shared" ref="Q33:Q35" si="91">Q32</f>
        <v>4</v>
      </c>
      <c r="R33" s="23">
        <v>0.2</v>
      </c>
      <c r="S33" s="24"/>
      <c r="T33" s="19">
        <f t="shared" si="65"/>
        <v>12</v>
      </c>
      <c r="U33" s="24"/>
      <c r="V33" s="19">
        <f t="shared" si="66"/>
        <v>8</v>
      </c>
      <c r="W33" s="24"/>
      <c r="X33" s="19">
        <f t="shared" ref="X33:Z33" si="88">INT(($AO$5+($AO$5)*FLOOR(($M33+$O33)/($AO$5+X$2+0.1),1))*$Q33/X$3)</f>
        <v>8</v>
      </c>
      <c r="Y33" s="19">
        <f t="shared" si="88"/>
        <v>4</v>
      </c>
      <c r="Z33" s="19">
        <f t="shared" si="88"/>
        <v>4</v>
      </c>
      <c r="AA33" s="24"/>
      <c r="AB33" s="19">
        <f t="shared" ref="AB33:AD33" si="89">INT(($AO$5+($AO$5)*FLOOR(($M33+$O33)/($AO$5+AB$2+0.1),1))*$Q33/AB$3)</f>
        <v>6</v>
      </c>
      <c r="AC33" s="19">
        <f t="shared" si="89"/>
        <v>3</v>
      </c>
      <c r="AD33" s="19">
        <f t="shared" si="89"/>
        <v>2</v>
      </c>
      <c r="AE33" s="24"/>
      <c r="AF33" s="19">
        <f t="shared" ref="AF33:AH33" si="90">INT(($AO$5+($AO$5)*FLOOR(($M33+$O33)/($AO$5+AF$2+0.1),1))*$Q33/AF$3)</f>
        <v>4</v>
      </c>
      <c r="AG33" s="19">
        <f t="shared" si="90"/>
        <v>1</v>
      </c>
      <c r="AH33" s="19">
        <f t="shared" si="90"/>
        <v>1</v>
      </c>
      <c r="AI33" s="6"/>
      <c r="AJ33" s="6"/>
      <c r="AK33" s="6"/>
      <c r="AL33" s="6"/>
      <c r="AM33" s="6"/>
      <c r="AN33" s="6"/>
      <c r="AO33" s="22"/>
      <c r="AP33" s="18">
        <f t="shared" si="75"/>
        <v>5</v>
      </c>
      <c r="AQ33" s="6"/>
      <c r="AR33" s="9">
        <f t="shared" si="70"/>
        <v>6</v>
      </c>
      <c r="AS33" s="6"/>
      <c r="AT33" s="9">
        <f t="shared" si="76"/>
        <v>21</v>
      </c>
      <c r="AU33" s="6"/>
      <c r="AV33" s="9">
        <f t="shared" si="77"/>
        <v>6</v>
      </c>
      <c r="AW33" s="7">
        <f t="shared" si="82"/>
        <v>6</v>
      </c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</row>
    <row r="34">
      <c r="A34" s="1"/>
      <c r="B34" s="1"/>
      <c r="C34" s="1"/>
      <c r="D34" s="1"/>
      <c r="E34" s="1"/>
      <c r="F34" s="1"/>
      <c r="G34" s="1"/>
      <c r="H34" s="1"/>
      <c r="I34" s="6"/>
      <c r="J34" s="1"/>
      <c r="K34" s="6"/>
      <c r="L34" s="6" t="str">
        <f>CONCATENATE(L32, "+ATT")</f>
        <v>召唤+ATT</v>
      </c>
      <c r="M34" s="17">
        <f t="shared" si="86"/>
        <v>1</v>
      </c>
      <c r="N34" s="18">
        <f t="shared" si="87"/>
        <v>1</v>
      </c>
      <c r="O34" s="18">
        <v>0.0</v>
      </c>
      <c r="P34" s="18">
        <f t="shared" ref="P34:P35" si="95">$P$3*$M$1</f>
        <v>1</v>
      </c>
      <c r="Q34" s="9">
        <f t="shared" si="91"/>
        <v>4</v>
      </c>
      <c r="R34" s="23">
        <v>0.4</v>
      </c>
      <c r="S34" s="24"/>
      <c r="T34" s="19">
        <f t="shared" si="65"/>
        <v>4</v>
      </c>
      <c r="U34" s="24"/>
      <c r="V34" s="19">
        <f t="shared" si="66"/>
        <v>0</v>
      </c>
      <c r="W34" s="24"/>
      <c r="X34" s="19">
        <f t="shared" ref="X34:Z34" si="92">INT(($AO$5+($AO$5)*FLOOR(($M34+$O34)/($AO$5+X$2+0.1),1))*$Q34/X$3)</f>
        <v>4</v>
      </c>
      <c r="Y34" s="19">
        <f t="shared" si="92"/>
        <v>4</v>
      </c>
      <c r="Z34" s="19">
        <f t="shared" si="92"/>
        <v>4</v>
      </c>
      <c r="AA34" s="24"/>
      <c r="AB34" s="19">
        <f t="shared" ref="AB34:AD34" si="93">INT(($AO$5+($AO$5)*FLOOR(($M34+$O34)/($AO$5+AB$2+0.1),1))*$Q34/AB$3)</f>
        <v>2</v>
      </c>
      <c r="AC34" s="19">
        <f t="shared" si="93"/>
        <v>1</v>
      </c>
      <c r="AD34" s="19">
        <f t="shared" si="93"/>
        <v>0</v>
      </c>
      <c r="AE34" s="24"/>
      <c r="AF34" s="19">
        <f t="shared" ref="AF34:AH34" si="94">INT(($AO$5+($AO$5)*FLOOR(($M34+$O34)/($AO$5+AF$2+0.1),1))*$Q34/AF$3)</f>
        <v>2</v>
      </c>
      <c r="AG34" s="19">
        <f t="shared" si="94"/>
        <v>1</v>
      </c>
      <c r="AH34" s="19">
        <f t="shared" si="94"/>
        <v>1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7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</row>
    <row r="35">
      <c r="A35" s="1"/>
      <c r="B35" s="1"/>
      <c r="C35" s="1"/>
      <c r="D35" s="1"/>
      <c r="E35" s="1"/>
      <c r="F35" s="1"/>
      <c r="G35" s="1"/>
      <c r="H35" s="1"/>
      <c r="I35" s="6"/>
      <c r="J35" s="1"/>
      <c r="K35" s="6"/>
      <c r="L35" s="6" t="str">
        <f>CONCATENATE(L32, "+HP+ATT")</f>
        <v>召唤+HP+ATT</v>
      </c>
      <c r="M35" s="17">
        <f t="shared" si="86"/>
        <v>1</v>
      </c>
      <c r="N35" s="18">
        <f t="shared" si="87"/>
        <v>1</v>
      </c>
      <c r="O35" s="18">
        <f>$O$3*$M$1</f>
        <v>2</v>
      </c>
      <c r="P35" s="18">
        <f t="shared" si="95"/>
        <v>1</v>
      </c>
      <c r="Q35" s="9">
        <f t="shared" si="91"/>
        <v>4</v>
      </c>
      <c r="R35" s="23">
        <v>0.075</v>
      </c>
      <c r="S35" s="24"/>
      <c r="T35" s="19">
        <f t="shared" si="65"/>
        <v>12</v>
      </c>
      <c r="U35" s="24"/>
      <c r="V35" s="19">
        <f t="shared" si="66"/>
        <v>8</v>
      </c>
      <c r="W35" s="24"/>
      <c r="X35" s="19">
        <f t="shared" ref="X35:Z35" si="96">INT(($AO$5+($AO$5)*FLOOR(($M35+$O35)/($AO$5+X$2+0.1),1))*$Q35/X$3)</f>
        <v>8</v>
      </c>
      <c r="Y35" s="19">
        <f t="shared" si="96"/>
        <v>4</v>
      </c>
      <c r="Z35" s="19">
        <f t="shared" si="96"/>
        <v>4</v>
      </c>
      <c r="AA35" s="24"/>
      <c r="AB35" s="19">
        <f t="shared" ref="AB35:AD35" si="97">INT(($AO$5+($AO$5)*FLOOR(($M35+$O35)/($AO$5+AB$2+0.1),1))*$Q35/AB$3)</f>
        <v>6</v>
      </c>
      <c r="AC35" s="19">
        <f t="shared" si="97"/>
        <v>3</v>
      </c>
      <c r="AD35" s="19">
        <f t="shared" si="97"/>
        <v>2</v>
      </c>
      <c r="AE35" s="24"/>
      <c r="AF35" s="19">
        <f t="shared" ref="AF35:AH35" si="98">INT(($AO$5+($AO$5)*FLOOR(($M35+$O35)/($AO$5+AF$2+0.1),1))*$Q35/AF$3)</f>
        <v>4</v>
      </c>
      <c r="AG35" s="19">
        <f t="shared" si="98"/>
        <v>1</v>
      </c>
      <c r="AH35" s="19">
        <f t="shared" si="98"/>
        <v>1</v>
      </c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</row>
    <row r="36">
      <c r="A36" s="1"/>
      <c r="B36" s="1"/>
      <c r="C36" s="1"/>
      <c r="D36" s="1"/>
      <c r="E36" s="1"/>
      <c r="F36" s="1"/>
      <c r="G36" s="1"/>
      <c r="H36" s="1"/>
      <c r="I36" s="6"/>
      <c r="J36" s="1"/>
      <c r="K36" s="6"/>
      <c r="L36" s="6"/>
      <c r="M36" s="6"/>
      <c r="N36" s="6"/>
      <c r="O36" s="6"/>
      <c r="P36" s="6"/>
      <c r="Q36" s="6"/>
      <c r="R36" s="9">
        <f>SUM(R28:R35)</f>
        <v>3.325</v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</row>
    <row r="37">
      <c r="A37" s="1"/>
      <c r="B37" s="1"/>
      <c r="C37" s="1"/>
      <c r="D37" s="1"/>
      <c r="E37" s="1"/>
      <c r="F37" s="1"/>
      <c r="G37" s="1"/>
      <c r="H37" s="1"/>
      <c r="I37" s="6"/>
      <c r="J37" s="1"/>
      <c r="K37" s="6"/>
      <c r="L37" s="6"/>
      <c r="M37" s="6"/>
      <c r="N37" s="6"/>
      <c r="O37" s="6"/>
      <c r="P37" s="6"/>
      <c r="Q37" s="6"/>
      <c r="R37" s="7" t="s">
        <v>59</v>
      </c>
      <c r="S37" s="6"/>
      <c r="T37" s="6"/>
      <c r="U37" s="6"/>
      <c r="V37" s="6">
        <f>V39/$AO$5</f>
        <v>4</v>
      </c>
      <c r="W37" s="6"/>
      <c r="X37" s="6">
        <f t="shared" ref="X37:Z37" si="99">X39/$AO$5</f>
        <v>4</v>
      </c>
      <c r="Y37" s="6">
        <f t="shared" si="99"/>
        <v>4</v>
      </c>
      <c r="Z37" s="6">
        <f t="shared" si="99"/>
        <v>4</v>
      </c>
      <c r="AA37" s="6"/>
      <c r="AB37" s="6">
        <f t="shared" ref="AB37:AD37" si="100">AB39/$AO$5</f>
        <v>4</v>
      </c>
      <c r="AC37" s="6">
        <f t="shared" si="100"/>
        <v>4</v>
      </c>
      <c r="AD37" s="6">
        <f t="shared" si="100"/>
        <v>-1</v>
      </c>
      <c r="AE37" s="6"/>
      <c r="AF37" s="6">
        <f t="shared" ref="AF37:AH37" si="101">AF39/$AO$5</f>
        <v>4</v>
      </c>
      <c r="AG37" s="6">
        <f t="shared" si="101"/>
        <v>-1</v>
      </c>
      <c r="AH37" s="6">
        <f t="shared" si="101"/>
        <v>-1</v>
      </c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</row>
    <row r="38">
      <c r="A38" s="1"/>
      <c r="B38" s="1"/>
      <c r="C38" s="1"/>
      <c r="D38" s="1"/>
      <c r="E38" s="1"/>
      <c r="F38" s="1"/>
      <c r="G38" s="1"/>
      <c r="H38" s="1"/>
      <c r="I38" s="6"/>
      <c r="J38" s="1"/>
      <c r="K38" s="6"/>
      <c r="L38" s="6"/>
      <c r="M38" s="6"/>
      <c r="N38" s="6"/>
      <c r="O38" s="6"/>
      <c r="P38" s="6"/>
      <c r="Q38" s="6"/>
      <c r="R38" s="30" t="s">
        <v>52</v>
      </c>
      <c r="S38" s="31"/>
      <c r="T38" s="31"/>
      <c r="U38" s="6"/>
      <c r="V38" s="9">
        <f>ROUND((V28*$R$5+V29*$R$6+V30*$R$7+V31*$R$8+V30*$R$9+V32*$R$7+V33*$R$10+V34*$R$11+V35*$R$12)/$R$13/5, 0)*5</f>
        <v>0</v>
      </c>
      <c r="W38" s="6"/>
      <c r="X38" s="19">
        <f t="shared" ref="X38:Z38" si="102">ROUND((X28*$R$5+X29*$R$6+X30*$R$7+X31*$R$8+X30*$R$9+X32*$R$7+X33*$R$10+X34*$R$11+X35*$R$12)/$R$13/5, 0)*5</f>
        <v>0</v>
      </c>
      <c r="Y38" s="19">
        <f t="shared" si="102"/>
        <v>0</v>
      </c>
      <c r="Z38" s="19">
        <f t="shared" si="102"/>
        <v>0</v>
      </c>
      <c r="AA38" s="24"/>
      <c r="AB38" s="19">
        <f t="shared" ref="AB38:AD38" si="103">ROUND((AB28*$R$5+AB29*$R$6+AB30*$R$7+AB31*$R$8+AB30*$R$9+AB32*$R$7+AB33*$R$10+AB34*$R$11+AB35*$R$12)/$R$13/5, 0)*5</f>
        <v>0</v>
      </c>
      <c r="AC38" s="19">
        <f t="shared" si="103"/>
        <v>0</v>
      </c>
      <c r="AD38" s="19">
        <f t="shared" si="103"/>
        <v>-5</v>
      </c>
      <c r="AE38" s="24"/>
      <c r="AF38" s="19">
        <f t="shared" ref="AF38:AH38" si="104">ROUND((AF28*$R$5+AF29*$R$6+AF30*$R$7+AF31*$R$8+AF30*$R$9+AF32*$R$7+AF33*$R$10+AF34*$R$11+AF35*$R$12)/$R$13/5, 0)*5</f>
        <v>0</v>
      </c>
      <c r="AG38" s="19">
        <f t="shared" si="104"/>
        <v>-5</v>
      </c>
      <c r="AH38" s="19">
        <f t="shared" si="104"/>
        <v>-5</v>
      </c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</row>
    <row r="39">
      <c r="A39" s="1"/>
      <c r="B39" s="1"/>
      <c r="C39" s="1"/>
      <c r="D39" s="1"/>
      <c r="E39" s="1"/>
      <c r="F39" s="1"/>
      <c r="G39" s="1"/>
      <c r="H39" s="1"/>
      <c r="I39" s="6"/>
      <c r="J39" s="1"/>
      <c r="K39" s="6"/>
      <c r="L39" s="6"/>
      <c r="M39" s="6"/>
      <c r="N39" s="6"/>
      <c r="O39" s="6"/>
      <c r="P39" s="6"/>
      <c r="Q39" s="6"/>
      <c r="R39" s="61" t="s">
        <v>60</v>
      </c>
      <c r="S39" s="62"/>
      <c r="T39" s="62"/>
      <c r="U39" s="62"/>
      <c r="V39" s="63">
        <f>V38+$T$28</f>
        <v>4</v>
      </c>
      <c r="W39" s="62"/>
      <c r="X39" s="63">
        <f t="shared" ref="X39:Z39" si="105">X38+$T$28</f>
        <v>4</v>
      </c>
      <c r="Y39" s="63">
        <f t="shared" si="105"/>
        <v>4</v>
      </c>
      <c r="Z39" s="63">
        <f t="shared" si="105"/>
        <v>4</v>
      </c>
      <c r="AA39" s="62"/>
      <c r="AB39" s="63">
        <f t="shared" ref="AB39:AD39" si="106">AB38+$T$28</f>
        <v>4</v>
      </c>
      <c r="AC39" s="63">
        <f t="shared" si="106"/>
        <v>4</v>
      </c>
      <c r="AD39" s="63">
        <f t="shared" si="106"/>
        <v>-1</v>
      </c>
      <c r="AE39" s="62"/>
      <c r="AF39" s="63">
        <f t="shared" ref="AF39:AH39" si="107">AF38+$T$28</f>
        <v>4</v>
      </c>
      <c r="AG39" s="63">
        <f t="shared" si="107"/>
        <v>-1</v>
      </c>
      <c r="AH39" s="63">
        <f t="shared" si="107"/>
        <v>-1</v>
      </c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</row>
    <row r="40">
      <c r="A40" s="1"/>
      <c r="B40" s="1"/>
      <c r="C40" s="1"/>
      <c r="D40" s="1"/>
      <c r="E40" s="1"/>
      <c r="F40" s="1"/>
      <c r="G40" s="1"/>
      <c r="H40" s="1"/>
      <c r="I40" s="6"/>
      <c r="J40" s="1"/>
      <c r="K40" s="6"/>
      <c r="L40" s="6"/>
      <c r="M40" s="6"/>
      <c r="N40" s="6"/>
      <c r="O40" s="6"/>
      <c r="P40" s="6"/>
      <c r="Q40" s="6"/>
      <c r="R40" s="64" t="s">
        <v>61</v>
      </c>
      <c r="S40" s="31"/>
      <c r="T40" s="31"/>
      <c r="U40" s="6"/>
      <c r="V40" s="9" t="str">
        <f>CONCATENATE( INT(V39/V16*100), "%")</f>
        <v>33%</v>
      </c>
      <c r="W40" s="6"/>
      <c r="X40" s="9" t="str">
        <f t="shared" ref="X40:Z40" si="108">CONCATENATE( INT(X39/X16*100), "%")</f>
        <v>57%</v>
      </c>
      <c r="Y40" s="9" t="str">
        <f t="shared" si="108"/>
        <v>200%</v>
      </c>
      <c r="Z40" s="9" t="str">
        <f t="shared" si="108"/>
        <v>200%</v>
      </c>
      <c r="AA40" s="6"/>
      <c r="AB40" s="9" t="str">
        <f t="shared" ref="AB40:AD40" si="109">CONCATENATE( INT(AB39/AB16*100), "%")</f>
        <v>57%</v>
      </c>
      <c r="AC40" s="9" t="str">
        <f t="shared" si="109"/>
        <v>200%</v>
      </c>
      <c r="AD40" s="9" t="str">
        <f t="shared" si="109"/>
        <v>-50%</v>
      </c>
      <c r="AE40" s="6"/>
      <c r="AF40" s="9" t="str">
        <f t="shared" ref="AF40:AH40" si="110">CONCATENATE( INT(AF39/AF16*100), "%")</f>
        <v>200%</v>
      </c>
      <c r="AG40" s="9" t="str">
        <f t="shared" si="110"/>
        <v>-50%</v>
      </c>
      <c r="AH40" s="9" t="str">
        <f t="shared" si="110"/>
        <v>-50%</v>
      </c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6"/>
      <c r="L41" s="6"/>
      <c r="M41" s="6"/>
      <c r="N41" s="6"/>
      <c r="O41" s="6"/>
      <c r="P41" s="6"/>
      <c r="Q41" s="6"/>
      <c r="R41" s="65" t="s">
        <v>62</v>
      </c>
      <c r="S41" s="62"/>
      <c r="T41" s="62"/>
      <c r="U41" s="62"/>
      <c r="V41" s="66">
        <v>5.0</v>
      </c>
      <c r="W41" s="62"/>
      <c r="X41" s="65">
        <f t="shared" ref="X41:Z41" si="111">$V$41</f>
        <v>5</v>
      </c>
      <c r="Y41" s="65">
        <f t="shared" si="111"/>
        <v>5</v>
      </c>
      <c r="Z41" s="65">
        <f t="shared" si="111"/>
        <v>5</v>
      </c>
      <c r="AA41" s="62"/>
      <c r="AB41" s="65">
        <f t="shared" ref="AB41:AD41" si="112">$V$41</f>
        <v>5</v>
      </c>
      <c r="AC41" s="65">
        <f t="shared" si="112"/>
        <v>5</v>
      </c>
      <c r="AD41" s="65">
        <f t="shared" si="112"/>
        <v>5</v>
      </c>
      <c r="AE41" s="62"/>
      <c r="AF41" s="65">
        <f t="shared" ref="AF41:AH41" si="113">$V$41</f>
        <v>5</v>
      </c>
      <c r="AG41" s="65">
        <f t="shared" si="113"/>
        <v>5</v>
      </c>
      <c r="AH41" s="65">
        <f t="shared" si="113"/>
        <v>5</v>
      </c>
      <c r="AI41" s="6"/>
      <c r="AJ41" s="7" t="s">
        <v>63</v>
      </c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6"/>
      <c r="L42" s="6"/>
      <c r="M42" s="6"/>
      <c r="N42" s="6"/>
      <c r="O42" s="6"/>
      <c r="P42" s="6"/>
      <c r="Q42" s="6"/>
      <c r="R42" s="61" t="s">
        <v>64</v>
      </c>
      <c r="S42" s="67"/>
      <c r="T42" s="62"/>
      <c r="U42" s="62"/>
      <c r="V42" s="63">
        <f>V41-V39</f>
        <v>1</v>
      </c>
      <c r="W42" s="62"/>
      <c r="X42" s="63">
        <f t="shared" ref="X42:Z42" si="114">X41-X39</f>
        <v>1</v>
      </c>
      <c r="Y42" s="63">
        <f t="shared" si="114"/>
        <v>1</v>
      </c>
      <c r="Z42" s="63">
        <f t="shared" si="114"/>
        <v>1</v>
      </c>
      <c r="AA42" s="62"/>
      <c r="AB42" s="63">
        <f t="shared" ref="AB42:AD42" si="115">AB41-AB39</f>
        <v>1</v>
      </c>
      <c r="AC42" s="63">
        <f t="shared" si="115"/>
        <v>1</v>
      </c>
      <c r="AD42" s="63">
        <f t="shared" si="115"/>
        <v>6</v>
      </c>
      <c r="AE42" s="62"/>
      <c r="AF42" s="63">
        <f t="shared" ref="AF42:AH42" si="116">AF41-AF39</f>
        <v>1</v>
      </c>
      <c r="AG42" s="63">
        <f t="shared" si="116"/>
        <v>6</v>
      </c>
      <c r="AH42" s="63">
        <f t="shared" si="116"/>
        <v>6</v>
      </c>
      <c r="AI42" s="6"/>
      <c r="AJ42" s="7">
        <f>ROUND((V42*$V$54+X42*$X$54+Y42*$Y$54+Z42*$Z$54+AB42*$AB$54+AC42*$AC$54+AD42*$AD$54+AF42*$AF$54+AG42*$AG$54+AH42*$AH$54)/$U$54,1)</f>
        <v>1.7</v>
      </c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6"/>
      <c r="L43" s="6"/>
      <c r="M43" s="6"/>
      <c r="N43" s="6"/>
      <c r="O43" s="6"/>
      <c r="P43" s="6"/>
      <c r="Q43" s="6"/>
      <c r="R43" s="68"/>
      <c r="S43" s="45"/>
      <c r="T43" s="46"/>
      <c r="U43" s="46"/>
      <c r="V43" s="10"/>
      <c r="W43" s="46"/>
      <c r="X43" s="10"/>
      <c r="Y43" s="10"/>
      <c r="Z43" s="10"/>
      <c r="AA43" s="46"/>
      <c r="AB43" s="10"/>
      <c r="AC43" s="10"/>
      <c r="AD43" s="10"/>
      <c r="AE43" s="46"/>
      <c r="AF43" s="10"/>
      <c r="AG43" s="10"/>
      <c r="AH43" s="10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69" t="s">
        <v>65</v>
      </c>
      <c r="S44" s="70"/>
      <c r="T44" s="71"/>
      <c r="U44" s="70"/>
      <c r="V44" s="71">
        <f>V16-V39</f>
        <v>8</v>
      </c>
      <c r="W44" s="71"/>
      <c r="X44" s="71">
        <f t="shared" ref="X44:Z44" si="117">X16-X39</f>
        <v>3</v>
      </c>
      <c r="Y44" s="71">
        <f t="shared" si="117"/>
        <v>-2</v>
      </c>
      <c r="Z44" s="71">
        <f t="shared" si="117"/>
        <v>-2</v>
      </c>
      <c r="AA44" s="71"/>
      <c r="AB44" s="71">
        <f t="shared" ref="AB44:AD44" si="118">AB16-AB39</f>
        <v>3</v>
      </c>
      <c r="AC44" s="71">
        <f t="shared" si="118"/>
        <v>-2</v>
      </c>
      <c r="AD44" s="71">
        <f t="shared" si="118"/>
        <v>3</v>
      </c>
      <c r="AE44" s="71"/>
      <c r="AF44" s="71">
        <f t="shared" ref="AF44:AH44" si="119">AF16-AF39</f>
        <v>-2</v>
      </c>
      <c r="AG44" s="71">
        <f t="shared" si="119"/>
        <v>3</v>
      </c>
      <c r="AH44" s="71">
        <f t="shared" si="119"/>
        <v>3</v>
      </c>
      <c r="AI44" s="6"/>
      <c r="AJ44" s="7" t="s">
        <v>66</v>
      </c>
      <c r="AK44" s="6"/>
      <c r="AL44" s="6"/>
      <c r="AM44" s="72">
        <f>max(V44:AH44)</f>
        <v>8</v>
      </c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69" t="s">
        <v>62</v>
      </c>
      <c r="S45" s="71"/>
      <c r="T45" s="71"/>
      <c r="U45" s="71"/>
      <c r="V45" s="73">
        <v>7.0</v>
      </c>
      <c r="W45" s="71"/>
      <c r="X45" s="71">
        <f t="shared" ref="X45:Z45" si="120">$V$45</f>
        <v>7</v>
      </c>
      <c r="Y45" s="71">
        <f t="shared" si="120"/>
        <v>7</v>
      </c>
      <c r="Z45" s="71">
        <f t="shared" si="120"/>
        <v>7</v>
      </c>
      <c r="AA45" s="71"/>
      <c r="AB45" s="71">
        <f t="shared" ref="AB45:AD45" si="121">$V$45</f>
        <v>7</v>
      </c>
      <c r="AC45" s="71">
        <f t="shared" si="121"/>
        <v>7</v>
      </c>
      <c r="AD45" s="71">
        <f t="shared" si="121"/>
        <v>7</v>
      </c>
      <c r="AE45" s="71"/>
      <c r="AF45" s="71">
        <f t="shared" ref="AF45:AH45" si="122">$V$45</f>
        <v>7</v>
      </c>
      <c r="AG45" s="71">
        <f t="shared" si="122"/>
        <v>7</v>
      </c>
      <c r="AH45" s="71">
        <f t="shared" si="122"/>
        <v>7</v>
      </c>
      <c r="AI45" s="1"/>
      <c r="AJ45" s="4" t="s">
        <v>67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69" t="s">
        <v>64</v>
      </c>
      <c r="S46" s="71"/>
      <c r="T46" s="71"/>
      <c r="U46" s="71"/>
      <c r="V46" s="71">
        <f>V45-V44</f>
        <v>-1</v>
      </c>
      <c r="W46" s="71"/>
      <c r="X46" s="71">
        <f t="shared" ref="X46:Z46" si="123">X45-X44</f>
        <v>4</v>
      </c>
      <c r="Y46" s="71">
        <f t="shared" si="123"/>
        <v>9</v>
      </c>
      <c r="Z46" s="71">
        <f t="shared" si="123"/>
        <v>9</v>
      </c>
      <c r="AA46" s="71"/>
      <c r="AB46" s="71">
        <f t="shared" ref="AB46:AD46" si="124">AB45-AB44</f>
        <v>4</v>
      </c>
      <c r="AC46" s="71">
        <f t="shared" si="124"/>
        <v>9</v>
      </c>
      <c r="AD46" s="71">
        <f t="shared" si="124"/>
        <v>4</v>
      </c>
      <c r="AE46" s="71"/>
      <c r="AF46" s="71">
        <f t="shared" ref="AF46:AH46" si="125">AF45-AF44</f>
        <v>9</v>
      </c>
      <c r="AG46" s="71">
        <f t="shared" si="125"/>
        <v>4</v>
      </c>
      <c r="AH46" s="71">
        <f t="shared" si="125"/>
        <v>4</v>
      </c>
      <c r="AI46" s="1"/>
      <c r="AJ46" s="7">
        <f>ROUND((V46*$V$54+X46*$X$54+Y46*$Y$54+Z46*$Z$54+AB46*$AB$54+AC46*$AC$54+AD46*$AD$54+AF46*$AF$54+AG46*$AG$54+AH46*$AH$54)/$U$54,1)</f>
        <v>4.4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74" t="s">
        <v>68</v>
      </c>
      <c r="S48" s="75"/>
      <c r="T48" s="75"/>
      <c r="U48" s="75"/>
      <c r="V48" s="75">
        <f>V17</f>
        <v>0</v>
      </c>
      <c r="W48" s="75"/>
      <c r="X48" s="75">
        <f t="shared" ref="X48:AH48" si="126">X17</f>
        <v>2</v>
      </c>
      <c r="Y48" s="75">
        <f t="shared" si="126"/>
        <v>4</v>
      </c>
      <c r="Z48" s="75">
        <f t="shared" si="126"/>
        <v>6</v>
      </c>
      <c r="AA48" s="75" t="str">
        <f t="shared" si="126"/>
        <v/>
      </c>
      <c r="AB48" s="75">
        <f t="shared" si="126"/>
        <v>2</v>
      </c>
      <c r="AC48" s="75">
        <f t="shared" si="126"/>
        <v>4</v>
      </c>
      <c r="AD48" s="75">
        <f t="shared" si="126"/>
        <v>6</v>
      </c>
      <c r="AE48" s="75" t="str">
        <f t="shared" si="126"/>
        <v/>
      </c>
      <c r="AF48" s="75">
        <f t="shared" si="126"/>
        <v>4</v>
      </c>
      <c r="AG48" s="75">
        <f t="shared" si="126"/>
        <v>6</v>
      </c>
      <c r="AH48" s="75">
        <f t="shared" si="126"/>
        <v>8</v>
      </c>
      <c r="AI48" s="1"/>
      <c r="AJ48" s="4" t="s">
        <v>69</v>
      </c>
      <c r="AK48" s="1"/>
      <c r="AL48" s="1"/>
      <c r="AM48" s="76">
        <f>ROUND((V48*$V$54+X48*$X$54+Y48*$Y$54+Z48*$Z$54+AB48*$AB$54+AC48*$AC$54+AD48*$AD$54+AF48*$AF$54+AG48*$AG$54+AH48*$AH$54)/$U$54,1)</f>
        <v>2.8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74" t="s">
        <v>62</v>
      </c>
      <c r="S49" s="75"/>
      <c r="T49" s="75"/>
      <c r="U49" s="75"/>
      <c r="V49" s="77">
        <v>3.0</v>
      </c>
      <c r="W49" s="75"/>
      <c r="X49" s="75">
        <f t="shared" ref="X49:Z49" si="127">$V$49</f>
        <v>3</v>
      </c>
      <c r="Y49" s="75">
        <f t="shared" si="127"/>
        <v>3</v>
      </c>
      <c r="Z49" s="75">
        <f t="shared" si="127"/>
        <v>3</v>
      </c>
      <c r="AA49" s="75"/>
      <c r="AB49" s="75">
        <f t="shared" ref="AB49:AD49" si="128">$V$49</f>
        <v>3</v>
      </c>
      <c r="AC49" s="75">
        <f t="shared" si="128"/>
        <v>3</v>
      </c>
      <c r="AD49" s="75">
        <f t="shared" si="128"/>
        <v>3</v>
      </c>
      <c r="AE49" s="75"/>
      <c r="AF49" s="75">
        <f t="shared" ref="AF49:AH49" si="129">$V$49</f>
        <v>3</v>
      </c>
      <c r="AG49" s="75">
        <f t="shared" si="129"/>
        <v>3</v>
      </c>
      <c r="AH49" s="75">
        <f t="shared" si="129"/>
        <v>3</v>
      </c>
      <c r="AI49" s="1"/>
      <c r="AJ49" s="4" t="s">
        <v>70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74" t="s">
        <v>64</v>
      </c>
      <c r="S50" s="75"/>
      <c r="T50" s="75"/>
      <c r="U50" s="75"/>
      <c r="V50" s="75">
        <f>V49-V48</f>
        <v>3</v>
      </c>
      <c r="W50" s="75"/>
      <c r="X50" s="75">
        <f t="shared" ref="X50:Z50" si="130">X49-X48</f>
        <v>1</v>
      </c>
      <c r="Y50" s="75">
        <f t="shared" si="130"/>
        <v>-1</v>
      </c>
      <c r="Z50" s="75">
        <f t="shared" si="130"/>
        <v>-3</v>
      </c>
      <c r="AA50" s="75"/>
      <c r="AB50" s="75">
        <f t="shared" ref="AB50:AD50" si="131">AB49-AB48</f>
        <v>1</v>
      </c>
      <c r="AC50" s="75">
        <f t="shared" si="131"/>
        <v>-1</v>
      </c>
      <c r="AD50" s="75">
        <f t="shared" si="131"/>
        <v>-3</v>
      </c>
      <c r="AE50" s="75"/>
      <c r="AF50" s="75">
        <f t="shared" ref="AF50:AH50" si="132">AF49-AF48</f>
        <v>-1</v>
      </c>
      <c r="AG50" s="75">
        <f t="shared" si="132"/>
        <v>-3</v>
      </c>
      <c r="AH50" s="75">
        <f t="shared" si="132"/>
        <v>-5</v>
      </c>
      <c r="AI50" s="1"/>
      <c r="AJ50" s="7">
        <f>ROUND((V50*$V$54+X50*$X$54+Y50*$Y$54+Z50*$Z$54+AB50*$AB$54+AC50*$AC$54+AD50*$AD$54+AF50*$AF$54+AG50*$AG$54+AH50*$AH$54)/$U$54,1)</f>
        <v>0.2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4" t="s">
        <v>71</v>
      </c>
      <c r="S52" s="1"/>
      <c r="T52" s="1"/>
      <c r="U52" s="1"/>
      <c r="V52" s="1">
        <f>V42+V46+V50</f>
        <v>3</v>
      </c>
      <c r="W52" s="1"/>
      <c r="X52" s="1">
        <f t="shared" ref="X52:Z52" si="133">X42+X46+X50</f>
        <v>6</v>
      </c>
      <c r="Y52" s="1">
        <f t="shared" si="133"/>
        <v>9</v>
      </c>
      <c r="Z52" s="1">
        <f t="shared" si="133"/>
        <v>7</v>
      </c>
      <c r="AA52" s="1"/>
      <c r="AB52" s="1">
        <f t="shared" ref="AB52:AD52" si="134">AB42+AB46+AB50</f>
        <v>6</v>
      </c>
      <c r="AC52" s="1">
        <f t="shared" si="134"/>
        <v>9</v>
      </c>
      <c r="AD52" s="1">
        <f t="shared" si="134"/>
        <v>7</v>
      </c>
      <c r="AE52" s="1"/>
      <c r="AF52" s="1">
        <f t="shared" ref="AF52:AH52" si="135">AF42+AF46+AF50</f>
        <v>9</v>
      </c>
      <c r="AG52" s="1">
        <f t="shared" si="135"/>
        <v>7</v>
      </c>
      <c r="AH52" s="1">
        <f t="shared" si="135"/>
        <v>5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4" t="s">
        <v>72</v>
      </c>
      <c r="S54" s="1"/>
      <c r="T54" s="1"/>
      <c r="U54" s="1">
        <f>V54+X54+Y54+Z54+AB54+AC54+AD54+AF54+AG54+AH54</f>
        <v>12.7</v>
      </c>
      <c r="V54" s="4">
        <v>3.0</v>
      </c>
      <c r="W54" s="4"/>
      <c r="X54" s="4">
        <v>2.0</v>
      </c>
      <c r="Y54" s="4">
        <v>1.0</v>
      </c>
      <c r="Z54" s="4">
        <v>0.5</v>
      </c>
      <c r="AA54" s="1"/>
      <c r="AB54" s="4">
        <v>2.0</v>
      </c>
      <c r="AC54" s="4">
        <v>1.0</v>
      </c>
      <c r="AD54" s="4">
        <v>0.5</v>
      </c>
      <c r="AE54" s="1"/>
      <c r="AF54" s="4">
        <v>1.5</v>
      </c>
      <c r="AG54" s="4">
        <v>0.8</v>
      </c>
      <c r="AH54" s="4">
        <v>0.4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3" width="5.14"/>
    <col customWidth="1" min="24" max="24" width="23.14"/>
    <col customWidth="1" min="25" max="76" width="5.14"/>
  </cols>
  <sheetData>
    <row r="1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80"/>
      <c r="AQ1" s="81" t="s">
        <v>30</v>
      </c>
      <c r="AR1" s="82">
        <f>Sheet1!M24</f>
        <v>1</v>
      </c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</row>
    <row r="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83"/>
      <c r="V2" s="78"/>
      <c r="W2" s="83"/>
      <c r="X2" s="84"/>
      <c r="Y2" s="79"/>
      <c r="Z2" s="79"/>
      <c r="AA2" s="79"/>
      <c r="AB2" s="79"/>
      <c r="AC2" s="79"/>
      <c r="AD2" s="79"/>
      <c r="AE2" s="79"/>
      <c r="AF2" s="79"/>
      <c r="AG2" s="83"/>
      <c r="AH2" s="78"/>
      <c r="AI2" s="83"/>
      <c r="AJ2" s="79"/>
      <c r="AK2" s="79"/>
      <c r="AL2" s="79"/>
      <c r="AM2" s="79"/>
      <c r="AN2" s="79"/>
      <c r="AO2" s="79"/>
      <c r="AP2" s="80"/>
      <c r="AQ2" s="26"/>
      <c r="AR2" s="85"/>
      <c r="AS2" s="79"/>
      <c r="AT2" s="79"/>
      <c r="AU2" s="79"/>
      <c r="AV2" s="79"/>
      <c r="AW2" s="79"/>
      <c r="AX2" s="79"/>
      <c r="AY2" s="85" t="s">
        <v>73</v>
      </c>
      <c r="AZ2" s="79"/>
      <c r="BA2" s="79"/>
      <c r="BB2" s="79"/>
      <c r="BC2" s="85"/>
      <c r="BD2" s="85">
        <v>5.0</v>
      </c>
      <c r="BE2" s="85">
        <v>8.0</v>
      </c>
      <c r="BF2" s="79">
        <f t="shared" ref="BF2:BF3" si="1">BD2*BE2</f>
        <v>40</v>
      </c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</row>
    <row r="3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84"/>
      <c r="V3" s="78"/>
      <c r="W3" s="84"/>
      <c r="X3" s="78"/>
      <c r="Y3" s="83"/>
      <c r="Z3" s="79"/>
      <c r="AA3" s="79"/>
      <c r="AB3" s="79"/>
      <c r="AC3" s="79"/>
      <c r="AD3" s="79"/>
      <c r="AE3" s="79"/>
      <c r="AF3" s="79"/>
      <c r="AG3" s="86"/>
      <c r="AH3" s="79"/>
      <c r="AI3" s="86"/>
      <c r="AJ3" s="86"/>
      <c r="AK3" s="79"/>
      <c r="AL3" s="79"/>
      <c r="AM3" s="79"/>
      <c r="AN3" s="79"/>
      <c r="AO3" s="79"/>
      <c r="AP3" s="80"/>
      <c r="AQ3" s="26"/>
      <c r="AR3" s="85" t="s">
        <v>74</v>
      </c>
      <c r="AS3" s="79"/>
      <c r="AT3" s="85"/>
      <c r="AU3" s="79"/>
      <c r="AV3" s="79"/>
      <c r="AW3" s="79"/>
      <c r="AX3" s="79"/>
      <c r="AY3" s="85" t="s">
        <v>75</v>
      </c>
      <c r="AZ3" s="79"/>
      <c r="BA3" s="79"/>
      <c r="BB3" s="79"/>
      <c r="BC3" s="79"/>
      <c r="BD3" s="85">
        <v>24.0</v>
      </c>
      <c r="BE3" s="85">
        <v>10.0</v>
      </c>
      <c r="BF3" s="79">
        <f t="shared" si="1"/>
        <v>240</v>
      </c>
      <c r="BG3" s="79"/>
      <c r="BH3" s="79">
        <f>ROUND(BF3/BF2,0)</f>
        <v>6</v>
      </c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</row>
    <row r="4">
      <c r="A4" s="78"/>
      <c r="B4" s="84" t="s">
        <v>22</v>
      </c>
      <c r="C4" s="84" t="s">
        <v>76</v>
      </c>
      <c r="D4" s="84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83"/>
      <c r="Y4" s="87"/>
      <c r="Z4" s="16"/>
      <c r="AA4" s="16"/>
      <c r="AB4" s="16"/>
      <c r="AC4" s="16"/>
      <c r="AD4" s="79"/>
      <c r="AE4" s="79"/>
      <c r="AF4" s="79"/>
      <c r="AG4" s="79"/>
      <c r="AH4" s="79"/>
      <c r="AI4" s="86"/>
      <c r="AJ4" s="86"/>
      <c r="AK4" s="79"/>
      <c r="AL4" s="79"/>
      <c r="AM4" s="79"/>
      <c r="AN4" s="79"/>
      <c r="AO4" s="79"/>
      <c r="AP4" s="16" t="s">
        <v>22</v>
      </c>
      <c r="AQ4" s="26"/>
      <c r="AR4" s="85" t="s">
        <v>77</v>
      </c>
      <c r="AS4" s="79"/>
      <c r="AT4" s="79"/>
      <c r="AU4" s="88" t="s">
        <v>78</v>
      </c>
      <c r="AV4" s="88"/>
      <c r="AW4" s="89">
        <f>AR1</f>
        <v>1</v>
      </c>
      <c r="AX4" s="79"/>
      <c r="AY4" s="85" t="s">
        <v>79</v>
      </c>
      <c r="AZ4" s="79"/>
      <c r="BA4" s="79"/>
      <c r="BB4" s="79"/>
      <c r="BC4" s="79"/>
      <c r="BD4" s="79"/>
      <c r="BE4" s="85">
        <v>0.3</v>
      </c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</row>
    <row r="5">
      <c r="A5" s="78"/>
      <c r="B5" s="84" t="s">
        <v>23</v>
      </c>
      <c r="C5" s="84" t="s">
        <v>76</v>
      </c>
      <c r="D5" s="78"/>
      <c r="E5" s="84" t="s">
        <v>80</v>
      </c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83"/>
      <c r="Y5" s="83"/>
      <c r="Z5" s="90"/>
      <c r="AA5" s="90"/>
      <c r="AB5" s="90"/>
      <c r="AC5" s="90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80"/>
      <c r="AQ5" s="26"/>
      <c r="AR5" s="85" t="s">
        <v>81</v>
      </c>
      <c r="AS5" s="79"/>
      <c r="AT5" s="79"/>
      <c r="AU5" s="79"/>
      <c r="AV5" s="72">
        <f>BH3*(1-BE4)*$AR$1</f>
        <v>4.2</v>
      </c>
      <c r="AW5" s="43" t="s">
        <v>82</v>
      </c>
      <c r="AX5" s="22"/>
      <c r="AY5" s="79"/>
      <c r="AZ5" s="79"/>
      <c r="BA5" s="79"/>
      <c r="BB5" s="79"/>
      <c r="BC5" s="79"/>
      <c r="BD5" s="79"/>
      <c r="BE5" s="79"/>
      <c r="BF5" s="79"/>
      <c r="BG5" s="79"/>
      <c r="BH5" s="91" t="s">
        <v>83</v>
      </c>
      <c r="BI5" s="92"/>
      <c r="BJ5" s="93" t="str">
        <f>"+10"</f>
        <v>+10</v>
      </c>
      <c r="BK5" s="92"/>
      <c r="BL5" s="94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</row>
    <row r="6">
      <c r="A6" s="78"/>
      <c r="B6" s="84" t="s">
        <v>45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83"/>
      <c r="Y6" s="83"/>
      <c r="Z6" s="90"/>
      <c r="AA6" s="90"/>
      <c r="AB6" s="90"/>
      <c r="AC6" s="90"/>
      <c r="AD6" s="79"/>
      <c r="AE6" s="79"/>
      <c r="AF6" s="79"/>
      <c r="AG6" s="86"/>
      <c r="AH6" s="79"/>
      <c r="AI6" s="79"/>
      <c r="AJ6" s="79"/>
      <c r="AK6" s="86"/>
      <c r="AL6" s="79"/>
      <c r="AM6" s="79"/>
      <c r="AN6" s="79"/>
      <c r="AO6" s="79"/>
      <c r="AP6" s="80"/>
      <c r="AQ6" s="26"/>
      <c r="AR6" s="85" t="s">
        <v>84</v>
      </c>
      <c r="AS6" s="79"/>
      <c r="AT6" s="79"/>
      <c r="AU6" s="79"/>
      <c r="AV6" s="79"/>
      <c r="AW6" s="79"/>
      <c r="AX6" s="79"/>
      <c r="AY6" s="85" t="s">
        <v>85</v>
      </c>
      <c r="AZ6" s="85"/>
      <c r="BA6" s="79"/>
      <c r="BB6" s="79"/>
      <c r="BC6" s="95">
        <f>Sheet1!AJ46</f>
        <v>4.4</v>
      </c>
      <c r="BD6" s="85" t="s">
        <v>86</v>
      </c>
      <c r="BE6" s="79"/>
      <c r="BF6" s="72">
        <f>BC6-AV5</f>
        <v>0.2</v>
      </c>
      <c r="BG6" s="85"/>
      <c r="BH6" s="96" t="s">
        <v>87</v>
      </c>
      <c r="BI6" s="79"/>
      <c r="BJ6" s="97">
        <v>10.0</v>
      </c>
      <c r="BK6" s="43" t="s">
        <v>82</v>
      </c>
      <c r="BL6" s="98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</row>
    <row r="7">
      <c r="A7" s="78"/>
      <c r="B7" s="84" t="s">
        <v>88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16"/>
      <c r="AQ7" s="26"/>
      <c r="AR7" s="79"/>
      <c r="AS7" s="79"/>
      <c r="AT7" s="79"/>
      <c r="AU7" s="79"/>
      <c r="AV7" s="79"/>
      <c r="AW7" s="79"/>
      <c r="AX7" s="79"/>
      <c r="AY7" s="85" t="s">
        <v>66</v>
      </c>
      <c r="AZ7" s="79"/>
      <c r="BA7" s="79"/>
      <c r="BB7" s="79"/>
      <c r="BC7" s="72">
        <f>Sheet1!AM44</f>
        <v>8</v>
      </c>
      <c r="BD7" s="85" t="s">
        <v>86</v>
      </c>
      <c r="BE7" s="79"/>
      <c r="BF7" s="72">
        <f>BC7+AV5</f>
        <v>12.2</v>
      </c>
      <c r="BG7" s="79"/>
      <c r="BH7" s="99" t="s">
        <v>89</v>
      </c>
      <c r="BI7" s="100"/>
      <c r="BJ7" s="101">
        <f>BF6*$BF$2</f>
        <v>8</v>
      </c>
      <c r="BK7" s="100"/>
      <c r="BL7" s="102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</row>
    <row r="8">
      <c r="A8" s="78"/>
      <c r="B8" s="84" t="s">
        <v>46</v>
      </c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24"/>
      <c r="AP8" s="16" t="s">
        <v>90</v>
      </c>
      <c r="AQ8" s="26"/>
      <c r="AR8" s="103" t="s">
        <v>74</v>
      </c>
      <c r="AS8" s="24"/>
      <c r="AT8" s="24"/>
      <c r="AU8" s="24"/>
      <c r="AV8" s="24"/>
      <c r="AW8" s="24"/>
      <c r="AX8" s="79"/>
      <c r="AY8" s="88" t="s">
        <v>91</v>
      </c>
      <c r="AZ8" s="104"/>
      <c r="BA8" s="104"/>
      <c r="BB8" s="104"/>
      <c r="BC8" s="105">
        <v>3.0</v>
      </c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</row>
    <row r="9">
      <c r="A9" s="78"/>
      <c r="B9" s="84" t="s">
        <v>92</v>
      </c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9"/>
      <c r="AH9" s="79"/>
      <c r="AI9" s="79"/>
      <c r="AJ9" s="79"/>
      <c r="AK9" s="79"/>
      <c r="AL9" s="79"/>
      <c r="AM9" s="79"/>
      <c r="AN9" s="79"/>
      <c r="AO9" s="79"/>
      <c r="AP9" s="80"/>
      <c r="AQ9" s="26"/>
      <c r="AR9" s="85"/>
      <c r="AS9" s="79"/>
      <c r="AT9" s="79"/>
      <c r="AU9" s="79"/>
      <c r="AV9" s="79"/>
      <c r="AW9" s="79"/>
      <c r="AX9" s="79"/>
      <c r="AY9" s="85" t="s">
        <v>93</v>
      </c>
      <c r="AZ9" s="79"/>
      <c r="BA9" s="79"/>
      <c r="BB9" s="79"/>
      <c r="BC9" s="79">
        <f>BF2/BC8</f>
        <v>13.33333333</v>
      </c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</row>
    <row r="10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9"/>
      <c r="AH10" s="79"/>
      <c r="AI10" s="79"/>
      <c r="AJ10" s="79"/>
      <c r="AK10" s="79"/>
      <c r="AL10" s="79"/>
      <c r="AM10" s="79"/>
      <c r="AN10" s="79"/>
      <c r="AO10" s="79"/>
      <c r="AP10" s="16" t="s">
        <v>23</v>
      </c>
      <c r="AQ10" s="26"/>
      <c r="AR10" s="85" t="s">
        <v>94</v>
      </c>
      <c r="AS10" s="79"/>
      <c r="AT10" s="79"/>
      <c r="AU10" s="85" t="s">
        <v>95</v>
      </c>
      <c r="AV10" s="79"/>
      <c r="AW10" s="79"/>
      <c r="AX10" s="79"/>
      <c r="AY10" s="85" t="s">
        <v>85</v>
      </c>
      <c r="AZ10" s="85"/>
      <c r="BA10" s="79"/>
      <c r="BB10" s="79"/>
      <c r="BC10" s="65">
        <f>Sheet1!AJ42</f>
        <v>1.7</v>
      </c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</row>
    <row r="11">
      <c r="A11" s="78"/>
      <c r="B11" s="84" t="s">
        <v>96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9"/>
      <c r="AH11" s="79"/>
      <c r="AI11" s="79"/>
      <c r="AJ11" s="79"/>
      <c r="AK11" s="79"/>
      <c r="AL11" s="79"/>
      <c r="AM11" s="79"/>
      <c r="AN11" s="79"/>
      <c r="AO11" s="79"/>
      <c r="AP11" s="80"/>
      <c r="AQ11" s="26"/>
      <c r="AR11" s="79"/>
      <c r="AS11" s="79"/>
      <c r="AT11" s="79"/>
      <c r="AU11" s="79"/>
      <c r="AV11" s="79"/>
      <c r="AW11" s="79"/>
      <c r="AX11" s="79"/>
      <c r="AY11" s="88" t="s">
        <v>97</v>
      </c>
      <c r="AZ11" s="104"/>
      <c r="BA11" s="104"/>
      <c r="BB11" s="104"/>
      <c r="BC11" s="104">
        <f>BC9*BC10</f>
        <v>22.66666667</v>
      </c>
      <c r="BD11" s="104"/>
      <c r="BE11" s="106" t="s">
        <v>98</v>
      </c>
      <c r="BF11" s="104"/>
      <c r="BG11" s="107">
        <v>25.0</v>
      </c>
      <c r="BH11" s="108" t="s">
        <v>82</v>
      </c>
      <c r="BI11" s="10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</row>
    <row r="12">
      <c r="A12" s="78"/>
      <c r="B12" s="84" t="s">
        <v>99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9"/>
      <c r="AH12" s="79"/>
      <c r="AI12" s="79"/>
      <c r="AJ12" s="79"/>
      <c r="AK12" s="79"/>
      <c r="AL12" s="79"/>
      <c r="AM12" s="79"/>
      <c r="AN12" s="79"/>
      <c r="AO12" s="24"/>
      <c r="AP12" s="16" t="s">
        <v>100</v>
      </c>
      <c r="AQ12" s="26"/>
      <c r="AR12" s="103"/>
      <c r="AS12" s="24"/>
      <c r="AT12" s="24"/>
      <c r="AU12" s="24"/>
      <c r="AV12" s="24"/>
      <c r="AW12" s="24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</row>
    <row r="1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9"/>
      <c r="AH13" s="79"/>
      <c r="AI13" s="79"/>
      <c r="AJ13" s="79"/>
      <c r="AK13" s="79"/>
      <c r="AL13" s="79"/>
      <c r="AM13" s="79"/>
      <c r="AN13" s="79"/>
      <c r="AO13" s="79"/>
      <c r="AP13" s="16"/>
      <c r="AQ13" s="26"/>
      <c r="AR13" s="85"/>
      <c r="AS13" s="79"/>
      <c r="AT13" s="79"/>
      <c r="AU13" s="79"/>
      <c r="AV13" s="79"/>
      <c r="AW13" s="79"/>
      <c r="AX13" s="79"/>
      <c r="AY13" s="79"/>
      <c r="AZ13" s="79"/>
      <c r="BA13" s="85">
        <v>1.0</v>
      </c>
      <c r="BB13" s="79">
        <f t="shared" ref="BB13:BF13" si="2">BA13+1</f>
        <v>2</v>
      </c>
      <c r="BC13" s="79">
        <f t="shared" si="2"/>
        <v>3</v>
      </c>
      <c r="BD13" s="79">
        <f t="shared" si="2"/>
        <v>4</v>
      </c>
      <c r="BE13" s="79">
        <f t="shared" si="2"/>
        <v>5</v>
      </c>
      <c r="BF13" s="79">
        <f t="shared" si="2"/>
        <v>6</v>
      </c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</row>
    <row r="14">
      <c r="A14" s="78"/>
      <c r="B14" s="84" t="s">
        <v>101</v>
      </c>
      <c r="C14" s="84" t="s">
        <v>102</v>
      </c>
      <c r="D14" s="78"/>
      <c r="E14" s="84" t="s">
        <v>103</v>
      </c>
      <c r="F14" s="78"/>
      <c r="G14" s="84" t="s">
        <v>104</v>
      </c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9"/>
      <c r="AH14" s="79"/>
      <c r="AI14" s="79"/>
      <c r="AJ14" s="79"/>
      <c r="AK14" s="79"/>
      <c r="AL14" s="79"/>
      <c r="AM14" s="79"/>
      <c r="AN14" s="79"/>
      <c r="AO14" s="79"/>
      <c r="AP14" s="110" t="s">
        <v>26</v>
      </c>
      <c r="AQ14" s="26"/>
      <c r="AR14" s="85" t="s">
        <v>105</v>
      </c>
      <c r="AS14" s="79"/>
      <c r="AT14" s="79"/>
      <c r="AU14" s="79"/>
      <c r="AV14" s="79"/>
      <c r="AW14" s="79"/>
      <c r="AX14" s="79"/>
      <c r="AY14" s="85" t="s">
        <v>31</v>
      </c>
      <c r="AZ14" s="79"/>
      <c r="BA14" s="39">
        <f>Sheet1!AW5</f>
        <v>0</v>
      </c>
      <c r="BB14" s="39">
        <f>Sheet1!AW6</f>
        <v>2</v>
      </c>
      <c r="BC14" s="39">
        <f>Sheet1!AW7</f>
        <v>3</v>
      </c>
      <c r="BD14" s="39">
        <f>Sheet1!AW8</f>
        <v>4</v>
      </c>
      <c r="BE14" s="39">
        <f>Sheet1!AW9</f>
        <v>5</v>
      </c>
      <c r="BF14" s="39">
        <f>Sheet1!AW10</f>
        <v>6</v>
      </c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</row>
    <row r="15">
      <c r="A15" s="78"/>
      <c r="B15" s="84" t="s">
        <v>106</v>
      </c>
      <c r="C15" s="84" t="s">
        <v>102</v>
      </c>
      <c r="D15" s="78"/>
      <c r="E15" s="84" t="s">
        <v>47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9"/>
      <c r="AH15" s="79"/>
      <c r="AI15" s="79"/>
      <c r="AJ15" s="79"/>
      <c r="AK15" s="79"/>
      <c r="AL15" s="79"/>
      <c r="AM15" s="79"/>
      <c r="AN15" s="79"/>
      <c r="AO15" s="79"/>
      <c r="AP15" s="16" t="s">
        <v>28</v>
      </c>
      <c r="AQ15" s="26"/>
      <c r="AR15" s="85" t="s">
        <v>107</v>
      </c>
      <c r="AS15" s="79"/>
      <c r="AT15" s="79"/>
      <c r="AU15" s="79"/>
      <c r="AV15" s="79"/>
      <c r="AW15" s="79"/>
      <c r="AX15" s="79"/>
      <c r="AY15" s="88" t="s">
        <v>108</v>
      </c>
      <c r="AZ15" s="104"/>
      <c r="BA15" s="104"/>
      <c r="BB15" s="111">
        <f>ROUND(BC24/BH3*(1-BE4)*$AR$1,1)</f>
        <v>0.3</v>
      </c>
      <c r="BC15" s="104"/>
      <c r="BD15" s="106" t="s">
        <v>98</v>
      </c>
      <c r="BE15" s="104"/>
      <c r="BF15" s="112">
        <f>round(BB15,0)</f>
        <v>0</v>
      </c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</row>
    <row r="16">
      <c r="A16" s="78"/>
      <c r="B16" s="84" t="s">
        <v>109</v>
      </c>
      <c r="C16" s="84" t="s">
        <v>102</v>
      </c>
      <c r="D16" s="78"/>
      <c r="E16" s="84" t="s">
        <v>110</v>
      </c>
      <c r="F16" s="78"/>
      <c r="G16" s="84" t="s">
        <v>111</v>
      </c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9"/>
      <c r="AH16" s="79"/>
      <c r="AI16" s="79"/>
      <c r="AJ16" s="79"/>
      <c r="AK16" s="79"/>
      <c r="AL16" s="79"/>
      <c r="AM16" s="79"/>
      <c r="AN16" s="79"/>
      <c r="AO16" s="24"/>
      <c r="AP16" s="16"/>
      <c r="AQ16" s="26"/>
      <c r="AR16" s="24"/>
      <c r="AS16" s="24"/>
      <c r="AT16" s="24"/>
      <c r="AU16" s="24"/>
      <c r="AV16" s="24"/>
      <c r="AW16" s="24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</row>
    <row r="17">
      <c r="A17" s="78"/>
      <c r="B17" s="84" t="s">
        <v>111</v>
      </c>
      <c r="C17" s="78"/>
      <c r="D17" s="84" t="s">
        <v>45</v>
      </c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9"/>
      <c r="AH17" s="79"/>
      <c r="AI17" s="79"/>
      <c r="AJ17" s="79"/>
      <c r="AK17" s="79"/>
      <c r="AL17" s="79"/>
      <c r="AM17" s="79"/>
      <c r="AN17" s="79"/>
      <c r="AO17" s="79"/>
      <c r="AP17" s="80"/>
      <c r="AQ17" s="26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</row>
    <row r="18">
      <c r="A18" s="78"/>
      <c r="B18" s="84" t="s">
        <v>112</v>
      </c>
      <c r="C18" s="78"/>
      <c r="D18" s="84" t="s">
        <v>104</v>
      </c>
      <c r="E18" s="78"/>
      <c r="F18" s="84" t="s">
        <v>113</v>
      </c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16"/>
      <c r="AQ18" s="26"/>
      <c r="AR18" s="85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</row>
    <row r="19">
      <c r="A19" s="78"/>
      <c r="B19" s="84" t="s">
        <v>114</v>
      </c>
      <c r="C19" s="78"/>
      <c r="D19" s="84" t="s">
        <v>115</v>
      </c>
      <c r="E19" s="78"/>
      <c r="F19" s="84" t="s">
        <v>116</v>
      </c>
      <c r="G19" s="78"/>
      <c r="H19" s="84" t="s">
        <v>117</v>
      </c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80"/>
      <c r="AQ19" s="26"/>
      <c r="AR19" s="85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</row>
    <row r="20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80"/>
      <c r="AQ20" s="26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</row>
    <row r="21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16" t="s">
        <v>96</v>
      </c>
      <c r="AQ21" s="26"/>
      <c r="AR21" s="85" t="s">
        <v>95</v>
      </c>
      <c r="AS21" s="79"/>
      <c r="AT21" s="79"/>
      <c r="AU21" s="79"/>
      <c r="AV21" s="79"/>
      <c r="AW21" s="79"/>
      <c r="AX21" s="79"/>
      <c r="AY21" s="85" t="s">
        <v>118</v>
      </c>
      <c r="AZ21" s="79"/>
      <c r="BA21" s="79"/>
      <c r="BB21" s="79"/>
      <c r="BC21" s="79"/>
      <c r="BD21" s="85">
        <v>1.0</v>
      </c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</row>
    <row r="22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80"/>
      <c r="AQ22" s="26"/>
      <c r="AR22" s="79"/>
      <c r="AS22" s="79"/>
      <c r="AT22" s="85" t="s">
        <v>119</v>
      </c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</row>
    <row r="2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16" t="s">
        <v>99</v>
      </c>
      <c r="AQ23" s="26"/>
      <c r="AR23" s="85" t="s">
        <v>95</v>
      </c>
      <c r="AS23" s="79"/>
      <c r="AT23" s="85" t="s">
        <v>120</v>
      </c>
      <c r="AU23" s="79"/>
      <c r="AV23" s="79"/>
      <c r="AW23" s="79"/>
      <c r="AX23" s="79"/>
      <c r="AY23" s="85" t="s">
        <v>85</v>
      </c>
      <c r="AZ23" s="85"/>
      <c r="BA23" s="79"/>
      <c r="BB23" s="79"/>
      <c r="BC23" s="76">
        <f>Sheet1!AJ50</f>
        <v>0.2</v>
      </c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</row>
    <row r="24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80"/>
      <c r="AQ24" s="26"/>
      <c r="AR24" s="79"/>
      <c r="AS24" s="79"/>
      <c r="AT24" s="79"/>
      <c r="AU24" s="79"/>
      <c r="AV24" s="79"/>
      <c r="AW24" s="79"/>
      <c r="AX24" s="79"/>
      <c r="AY24" s="85" t="s">
        <v>69</v>
      </c>
      <c r="AZ24" s="79"/>
      <c r="BA24" s="79"/>
      <c r="BB24" s="79"/>
      <c r="BC24" s="39">
        <f>Sheet1!AM48</f>
        <v>2.8</v>
      </c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</row>
    <row r="2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16" t="s">
        <v>109</v>
      </c>
      <c r="AQ25" s="26"/>
      <c r="AR25" s="85" t="s">
        <v>121</v>
      </c>
      <c r="AS25" s="79"/>
      <c r="AT25" s="85" t="s">
        <v>122</v>
      </c>
      <c r="AU25" s="79"/>
      <c r="AV25" s="79"/>
      <c r="AW25" s="79"/>
      <c r="AX25" s="79"/>
      <c r="AY25" s="91" t="s">
        <v>123</v>
      </c>
      <c r="AZ25" s="92"/>
      <c r="BA25" s="92"/>
      <c r="BB25" s="92"/>
      <c r="BC25" s="113">
        <v>2.0</v>
      </c>
      <c r="BD25" s="92"/>
      <c r="BE25" s="113" t="s">
        <v>124</v>
      </c>
      <c r="BF25" s="92"/>
      <c r="BG25" s="92"/>
      <c r="BH25" s="92">
        <f>round(Sheet1!V49-BC25/BE2*BC26,1)</f>
        <v>2.3</v>
      </c>
      <c r="BI25" s="113" t="s">
        <v>98</v>
      </c>
      <c r="BJ25" s="92"/>
      <c r="BK25" s="94">
        <f>round(BH25,0)</f>
        <v>2</v>
      </c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</row>
    <row r="26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80"/>
      <c r="AQ26" s="26"/>
      <c r="AR26" s="79"/>
      <c r="AS26" s="79"/>
      <c r="AT26" s="79"/>
      <c r="AU26" s="79"/>
      <c r="AV26" s="79"/>
      <c r="AW26" s="79"/>
      <c r="AX26" s="79"/>
      <c r="AY26" s="96" t="s">
        <v>125</v>
      </c>
      <c r="AZ26" s="79"/>
      <c r="BA26" s="79"/>
      <c r="BB26" s="79"/>
      <c r="BC26" s="79">
        <f>Sheet1!V49/BD21</f>
        <v>3</v>
      </c>
      <c r="BD26" s="79"/>
      <c r="BE26" s="79"/>
      <c r="BF26" s="79"/>
      <c r="BG26" s="79"/>
      <c r="BH26" s="79"/>
      <c r="BI26" s="79"/>
      <c r="BJ26" s="79"/>
      <c r="BK26" s="114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</row>
    <row r="27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110" t="s">
        <v>106</v>
      </c>
      <c r="AQ27" s="26"/>
      <c r="AR27" s="85" t="s">
        <v>126</v>
      </c>
      <c r="AS27" s="79"/>
      <c r="AT27" s="79"/>
      <c r="AU27" s="79"/>
      <c r="AV27" s="79"/>
      <c r="AW27" s="79"/>
      <c r="AX27" s="79"/>
      <c r="AY27" s="99" t="s">
        <v>127</v>
      </c>
      <c r="AZ27" s="100"/>
      <c r="BA27" s="100"/>
      <c r="BB27" s="100"/>
      <c r="BC27" s="100">
        <f>BC26</f>
        <v>3</v>
      </c>
      <c r="BD27" s="100"/>
      <c r="BE27" s="100"/>
      <c r="BF27" s="100"/>
      <c r="BG27" s="100"/>
      <c r="BH27" s="100"/>
      <c r="BI27" s="100"/>
      <c r="BJ27" s="100"/>
      <c r="BK27" s="102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</row>
    <row r="28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80"/>
      <c r="AQ28" s="26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</row>
    <row r="29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110" t="s">
        <v>111</v>
      </c>
      <c r="AQ29" s="26"/>
      <c r="AR29" s="85"/>
      <c r="AS29" s="85" t="s">
        <v>128</v>
      </c>
      <c r="AT29" s="79"/>
      <c r="AU29" s="79"/>
      <c r="AV29" s="85">
        <f>BF3*BE4</f>
        <v>72</v>
      </c>
      <c r="AW29" s="79"/>
      <c r="AX29" s="79"/>
      <c r="AY29" s="85"/>
      <c r="AZ29" s="79"/>
      <c r="BA29" s="79"/>
      <c r="BB29" s="79"/>
      <c r="BC29" s="85"/>
      <c r="BD29" s="85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</row>
    <row r="30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80"/>
      <c r="AQ30" s="26"/>
      <c r="AR30" s="79"/>
      <c r="AS30" s="85" t="s">
        <v>129</v>
      </c>
      <c r="AT30" s="79"/>
      <c r="AU30" s="79"/>
      <c r="AV30" s="79">
        <f>AV29*2.5</f>
        <v>180</v>
      </c>
      <c r="AW30" s="79"/>
      <c r="AX30" s="79"/>
      <c r="AY30" s="85" t="s">
        <v>130</v>
      </c>
      <c r="AZ30" s="79"/>
      <c r="BA30" s="79"/>
      <c r="BB30" s="79"/>
      <c r="BC30" s="85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</row>
    <row r="31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110"/>
      <c r="AQ31" s="26"/>
      <c r="AR31" s="79"/>
      <c r="AS31" s="85" t="s">
        <v>131</v>
      </c>
      <c r="AT31" s="79"/>
      <c r="AU31" s="79"/>
      <c r="AV31" s="79">
        <f>BF2*BD21</f>
        <v>40</v>
      </c>
      <c r="AW31" s="79"/>
      <c r="AX31" s="79"/>
      <c r="AY31" s="85" t="s">
        <v>132</v>
      </c>
      <c r="AZ31" s="79"/>
      <c r="BA31" s="79"/>
      <c r="BB31" s="79"/>
      <c r="BC31" s="85" t="s">
        <v>45</v>
      </c>
      <c r="BD31" s="85" t="s">
        <v>46</v>
      </c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</row>
    <row r="3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80"/>
      <c r="AQ32" s="26"/>
      <c r="AR32" s="79"/>
      <c r="AS32" s="91" t="s">
        <v>133</v>
      </c>
      <c r="AT32" s="92"/>
      <c r="AU32" s="92"/>
      <c r="AV32" s="92"/>
      <c r="AW32" s="94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</row>
    <row r="33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80"/>
      <c r="AQ33" s="26"/>
      <c r="AR33" s="79"/>
      <c r="AS33" s="99"/>
      <c r="AT33" s="100"/>
      <c r="AU33" s="100"/>
      <c r="AV33" s="100">
        <f>AV30/AV31</f>
        <v>4.5</v>
      </c>
      <c r="AW33" s="102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</row>
    <row r="34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80"/>
      <c r="AQ34" s="26"/>
      <c r="AR34" s="79"/>
      <c r="AS34" s="85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</row>
    <row r="3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80"/>
      <c r="AQ35" s="26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</row>
    <row r="36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80"/>
      <c r="AQ36" s="26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</row>
    <row r="37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80"/>
      <c r="AQ37" s="26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</row>
    <row r="38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80"/>
      <c r="AQ38" s="26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</row>
    <row r="39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80"/>
      <c r="AQ39" s="26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</row>
    <row r="40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80"/>
      <c r="AQ40" s="26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</row>
    <row r="41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80"/>
      <c r="AQ41" s="26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</row>
    <row r="4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80"/>
      <c r="AQ42" s="26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</row>
    <row r="43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80"/>
      <c r="AQ43" s="26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</row>
    <row r="44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80"/>
      <c r="AQ44" s="26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</row>
    <row r="4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80"/>
      <c r="AQ45" s="26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  <c r="BW45" s="79"/>
      <c r="BX45" s="79"/>
    </row>
    <row r="46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80"/>
      <c r="AQ46" s="26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9"/>
      <c r="BU46" s="79"/>
      <c r="BV46" s="79"/>
      <c r="BW46" s="79"/>
      <c r="BX46" s="79"/>
    </row>
    <row r="47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80"/>
      <c r="AQ47" s="26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9"/>
      <c r="BU47" s="79"/>
      <c r="BV47" s="79"/>
      <c r="BW47" s="79"/>
      <c r="BX47" s="79"/>
    </row>
    <row r="48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80"/>
      <c r="AQ48" s="26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79"/>
      <c r="BK48" s="79"/>
      <c r="BL48" s="79"/>
      <c r="BM48" s="79"/>
      <c r="BN48" s="79"/>
      <c r="BO48" s="79"/>
      <c r="BP48" s="79"/>
      <c r="BQ48" s="79"/>
      <c r="BR48" s="79"/>
      <c r="BS48" s="79"/>
      <c r="BT48" s="79"/>
      <c r="BU48" s="79"/>
      <c r="BV48" s="79"/>
      <c r="BW48" s="79"/>
      <c r="BX48" s="79"/>
    </row>
    <row r="49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80"/>
      <c r="AQ49" s="26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79"/>
      <c r="BR49" s="79"/>
      <c r="BS49" s="79"/>
      <c r="BT49" s="79"/>
      <c r="BU49" s="79"/>
      <c r="BV49" s="79"/>
      <c r="BW49" s="79"/>
      <c r="BX49" s="79"/>
    </row>
    <row r="50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80"/>
      <c r="AQ50" s="26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79"/>
      <c r="BK50" s="79"/>
      <c r="BL50" s="79"/>
      <c r="BM50" s="79"/>
      <c r="BN50" s="79"/>
      <c r="BO50" s="79"/>
      <c r="BP50" s="79"/>
      <c r="BQ50" s="79"/>
      <c r="BR50" s="79"/>
      <c r="BS50" s="79"/>
      <c r="BT50" s="79"/>
      <c r="BU50" s="79"/>
      <c r="BV50" s="79"/>
      <c r="BW50" s="79"/>
      <c r="BX50" s="79"/>
    </row>
    <row r="51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80"/>
      <c r="AQ51" s="26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9"/>
    </row>
    <row r="5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80"/>
      <c r="AQ52" s="26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</row>
    <row r="53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80"/>
      <c r="AQ53" s="26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79"/>
      <c r="BR53" s="79"/>
      <c r="BS53" s="79"/>
      <c r="BT53" s="79"/>
      <c r="BU53" s="79"/>
      <c r="BV53" s="79"/>
      <c r="BW53" s="79"/>
      <c r="BX53" s="79"/>
    </row>
    <row r="54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80"/>
      <c r="AQ54" s="26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79"/>
      <c r="BK54" s="79"/>
      <c r="BL54" s="79"/>
      <c r="BM54" s="79"/>
      <c r="BN54" s="79"/>
      <c r="BO54" s="79"/>
      <c r="BP54" s="79"/>
      <c r="BQ54" s="79"/>
      <c r="BR54" s="79"/>
      <c r="BS54" s="79"/>
      <c r="BT54" s="79"/>
      <c r="BU54" s="79"/>
      <c r="BV54" s="79"/>
      <c r="BW54" s="79"/>
      <c r="BX54" s="79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