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x\source\repos\xlladdins\xll_option\"/>
    </mc:Choice>
  </mc:AlternateContent>
  <xr:revisionPtr revIDLastSave="0" documentId="13_ncr:1_{9D075568-B653-4B68-8F23-5B9C160DBDE8}" xr6:coauthVersionLast="46" xr6:coauthVersionMax="46" xr10:uidLastSave="{00000000-0000-0000-0000-000000000000}"/>
  <bookViews>
    <workbookView xWindow="-120" yWindow="-120" windowWidth="29040" windowHeight="16440" activeTab="2" xr2:uid="{44AEB816-CB2A-4A0A-B718-E5B5191DFF2A}"/>
  </bookViews>
  <sheets>
    <sheet name="Option" sheetId="2" r:id="rId1"/>
    <sheet name="Check" sheetId="1" r:id="rId2"/>
    <sheet name="Sheet1" sheetId="3" r:id="rId3"/>
  </sheets>
  <definedNames>
    <definedName name="delta">Check!$C$15:$G$15</definedName>
    <definedName name="dN">Check!$C$10:$K$10</definedName>
    <definedName name="dN_">Check!$C$11:$K$11</definedName>
    <definedName name="eps">Check!$C$3</definedName>
    <definedName name="f" localSheetId="0">Option!$C$5</definedName>
    <definedName name="f" localSheetId="2">Sheet1!$D$4</definedName>
    <definedName name="f">Check!$C$4:$K$4</definedName>
    <definedName name="gamma">Check!$C$16:$G$16</definedName>
    <definedName name="k" localSheetId="0">Option!$C$7</definedName>
    <definedName name="k">Check!$C$6:$K$6</definedName>
    <definedName name="m" localSheetId="0">Option!$C$4</definedName>
    <definedName name="m">Check!$C$18</definedName>
    <definedName name="N">Check!$C$8:$K$8</definedName>
    <definedName name="N_">Check!$C$9:$K$9</definedName>
    <definedName name="s" localSheetId="0">Option!$C$6</definedName>
    <definedName name="s" localSheetId="2">Sheet1!$D$5</definedName>
    <definedName name="s">Check!$C$5:$K$5</definedName>
    <definedName name="value">Check!$C$14:$G$14</definedName>
    <definedName name="vega">Check!$C$17:$G$17</definedName>
    <definedName name="x">Check!$C$7:$K$7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7" i="3" l="1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K6" i="1"/>
  <c r="J6" i="1"/>
  <c r="I6" i="1"/>
  <c r="H6" i="1"/>
  <c r="K5" i="1"/>
  <c r="J5" i="1"/>
  <c r="I5" i="1"/>
  <c r="H5" i="1"/>
  <c r="K4" i="1"/>
  <c r="J4" i="1"/>
  <c r="C4" i="2" a="1"/>
  <c r="E3" i="3" a="1"/>
  <c r="C18" i="1" a="1"/>
  <c r="C3" i="3" a="1"/>
  <c r="C4" i="2" l="1"/>
  <c r="E3" i="3"/>
  <c r="C3" i="3"/>
  <c r="C18" i="1"/>
  <c r="G5" i="1"/>
  <c r="F5" i="1"/>
  <c r="F4" i="1"/>
  <c r="E5" i="1"/>
  <c r="D5" i="1"/>
  <c r="G4" i="1"/>
  <c r="G6" i="1"/>
  <c r="F6" i="1"/>
  <c r="E6" i="1"/>
  <c r="D6" i="1"/>
  <c r="E4" i="1"/>
  <c r="D4" i="1"/>
  <c r="C12" i="2"/>
  <c r="E14" i="2"/>
  <c r="E13" i="2"/>
  <c r="C13" i="2"/>
  <c r="D12" i="2"/>
  <c r="C11" i="2"/>
  <c r="E12" i="2"/>
  <c r="F13" i="2"/>
  <c r="C14" i="2"/>
  <c r="D11" i="2"/>
  <c r="E11" i="2"/>
  <c r="F14" i="2"/>
  <c r="F12" i="2"/>
  <c r="F11" i="2"/>
  <c r="F25" i="1" a="1"/>
  <c r="F23" i="1" a="1"/>
  <c r="C29" i="3" a="1"/>
  <c r="C40" i="3" a="1"/>
  <c r="C43" i="3" a="1"/>
  <c r="C11" i="3" a="1"/>
  <c r="G44" i="3" a="1"/>
  <c r="G38" i="3" a="1"/>
  <c r="C22" i="3" a="1"/>
  <c r="G31" i="3" a="1"/>
  <c r="C18" i="3" a="1"/>
  <c r="C25" i="3" a="1"/>
  <c r="G35" i="3" a="1"/>
  <c r="G23" i="3" a="1"/>
  <c r="G16" i="3" a="1"/>
  <c r="C21" i="3" a="1"/>
  <c r="G28" i="3" a="1"/>
  <c r="C44" i="3" a="1"/>
  <c r="C47" i="3" a="1"/>
  <c r="C15" i="3" a="1"/>
  <c r="G15" i="3" a="1"/>
  <c r="G46" i="3" a="1"/>
  <c r="F22" i="1" a="1"/>
  <c r="D3" i="3" a="1"/>
  <c r="G32" i="3" a="1"/>
  <c r="G39" i="3" a="1"/>
  <c r="G18" i="3" a="1"/>
  <c r="G12" i="3" a="1"/>
  <c r="C9" i="3" a="1"/>
  <c r="G34" i="3" a="1"/>
  <c r="G9" i="3" a="1"/>
  <c r="C24" i="3" a="1"/>
  <c r="G47" i="3" a="1"/>
  <c r="G22" i="3" a="1"/>
  <c r="J25" i="1" a="1"/>
  <c r="C14" i="3" a="1"/>
  <c r="C12" i="3" a="1"/>
  <c r="G25" i="3" a="1"/>
  <c r="G10" i="3" a="1"/>
  <c r="C36" i="3" a="1"/>
  <c r="G7" i="3" a="1"/>
  <c r="G24" i="3" a="1"/>
  <c r="G17" i="3" a="1"/>
  <c r="C16" i="3" a="1"/>
  <c r="G33" i="3" a="1"/>
  <c r="G14" i="3" a="1"/>
  <c r="F24" i="1" a="1"/>
  <c r="J22" i="1" a="1"/>
  <c r="G43" i="3" a="1"/>
  <c r="C30" i="3" a="1"/>
  <c r="C35" i="3" a="1"/>
  <c r="C8" i="3" a="1"/>
  <c r="G45" i="3" a="1"/>
  <c r="G26" i="3" a="1"/>
  <c r="C37" i="3" a="1"/>
  <c r="G42" i="3" a="1"/>
  <c r="C10" i="3" a="1"/>
  <c r="C17" i="3" a="1"/>
  <c r="G19" i="3" a="1"/>
  <c r="G11" i="3" a="1"/>
  <c r="G8" i="3" a="1"/>
  <c r="C26" i="3" a="1"/>
  <c r="G20" i="3" a="1"/>
  <c r="C34" i="3" a="1"/>
  <c r="C39" i="3" a="1"/>
  <c r="C38" i="3" a="1"/>
  <c r="G36" i="3" a="1"/>
  <c r="G30" i="3" a="1"/>
  <c r="J24" i="1" a="1"/>
  <c r="C42" i="3" a="1"/>
  <c r="C20" i="3" a="1"/>
  <c r="C27" i="3" a="1"/>
  <c r="G27" i="3" a="1"/>
  <c r="C13" i="3" a="1"/>
  <c r="C41" i="3" a="1"/>
  <c r="G40" i="3" a="1"/>
  <c r="C32" i="3" a="1"/>
  <c r="C46" i="3" a="1"/>
  <c r="C31" i="3" a="1"/>
  <c r="G37" i="3" a="1"/>
  <c r="J23" i="1" a="1"/>
  <c r="C7" i="3" a="1"/>
  <c r="C19" i="3" a="1"/>
  <c r="G13" i="3" a="1"/>
  <c r="G29" i="3" a="1"/>
  <c r="C33" i="3" a="1"/>
  <c r="G41" i="3" a="1"/>
  <c r="C45" i="3" a="1"/>
  <c r="C28" i="3" a="1"/>
  <c r="C23" i="3" a="1"/>
  <c r="G21" i="3" a="1"/>
  <c r="E16" i="2" l="1"/>
  <c r="C16" i="2"/>
  <c r="G14" i="3"/>
  <c r="G22" i="3"/>
  <c r="G30" i="3"/>
  <c r="G46" i="3"/>
  <c r="G21" i="3"/>
  <c r="G37" i="3"/>
  <c r="G36" i="3"/>
  <c r="G15" i="3"/>
  <c r="G33" i="3"/>
  <c r="G47" i="3"/>
  <c r="C38" i="3"/>
  <c r="C15" i="3"/>
  <c r="C23" i="3"/>
  <c r="C31" i="3"/>
  <c r="C39" i="3"/>
  <c r="C47" i="3"/>
  <c r="C16" i="3"/>
  <c r="C24" i="3"/>
  <c r="C34" i="3"/>
  <c r="C44" i="3"/>
  <c r="C28" i="3"/>
  <c r="C46" i="3"/>
  <c r="G20" i="3"/>
  <c r="G28" i="3"/>
  <c r="G17" i="3"/>
  <c r="G9" i="3"/>
  <c r="C26" i="3"/>
  <c r="C21" i="3"/>
  <c r="C45" i="3"/>
  <c r="C32" i="3"/>
  <c r="G8" i="3"/>
  <c r="G16" i="3"/>
  <c r="G24" i="3"/>
  <c r="G34" i="3"/>
  <c r="G11" i="3"/>
  <c r="G23" i="3"/>
  <c r="G41" i="3"/>
  <c r="G40" i="3"/>
  <c r="G19" i="3"/>
  <c r="G35" i="3"/>
  <c r="G7" i="3"/>
  <c r="C9" i="3"/>
  <c r="C17" i="3"/>
  <c r="C25" i="3"/>
  <c r="C33" i="3"/>
  <c r="C41" i="3"/>
  <c r="C10" i="3"/>
  <c r="C18" i="3"/>
  <c r="C36" i="3"/>
  <c r="G12" i="3"/>
  <c r="G42" i="3"/>
  <c r="G31" i="3"/>
  <c r="G29" i="3"/>
  <c r="C13" i="3"/>
  <c r="C37" i="3"/>
  <c r="C22" i="3"/>
  <c r="G10" i="3"/>
  <c r="G18" i="3"/>
  <c r="G26" i="3"/>
  <c r="G38" i="3"/>
  <c r="G13" i="3"/>
  <c r="G27" i="3"/>
  <c r="G45" i="3"/>
  <c r="G44" i="3"/>
  <c r="G25" i="3"/>
  <c r="G39" i="3"/>
  <c r="C8" i="3"/>
  <c r="C11" i="3"/>
  <c r="C19" i="3"/>
  <c r="C27" i="3"/>
  <c r="C35" i="3"/>
  <c r="C43" i="3"/>
  <c r="C12" i="3"/>
  <c r="C20" i="3"/>
  <c r="C30" i="3"/>
  <c r="C40" i="3"/>
  <c r="C7" i="3"/>
  <c r="G32" i="3"/>
  <c r="G43" i="3"/>
  <c r="C29" i="3"/>
  <c r="C14" i="3"/>
  <c r="C42" i="3"/>
  <c r="D3" i="3"/>
  <c r="J25" i="1"/>
  <c r="J24" i="1"/>
  <c r="F24" i="1"/>
  <c r="J23" i="1"/>
  <c r="F23" i="1"/>
  <c r="J22" i="1"/>
  <c r="F22" i="1"/>
  <c r="F25" i="1"/>
  <c r="I4" i="1"/>
  <c r="H4" i="1"/>
  <c r="I4" i="3" a="1"/>
  <c r="I3" i="3" a="1"/>
  <c r="H17" i="3" a="1"/>
  <c r="H26" i="3" a="1"/>
  <c r="D34" i="3" a="1"/>
  <c r="D8" i="3" a="1"/>
  <c r="H31" i="3" a="1"/>
  <c r="H40" i="3" a="1"/>
  <c r="H8" i="3" a="1"/>
  <c r="D23" i="3" a="1"/>
  <c r="D47" i="3" a="1"/>
  <c r="H37" i="3" a="1"/>
  <c r="H46" i="3" a="1"/>
  <c r="H14" i="3" a="1"/>
  <c r="D26" i="3" a="1"/>
  <c r="D10" i="3" a="1"/>
  <c r="H45" i="3" a="1"/>
  <c r="H9" i="3" a="1"/>
  <c r="H20" i="3" a="1"/>
  <c r="D29" i="3" a="1"/>
  <c r="D13" i="3" a="1"/>
  <c r="D20" i="3" a="1"/>
  <c r="H33" i="3" a="1"/>
  <c r="H10" i="3" a="1"/>
  <c r="H7" i="3" a="1"/>
  <c r="H24" i="3" a="1"/>
  <c r="D15" i="3" a="1"/>
  <c r="H21" i="3" a="1"/>
  <c r="D38" i="3" a="1"/>
  <c r="D39" i="3" a="1"/>
  <c r="H36" i="3" a="1"/>
  <c r="D21" i="3" a="1"/>
  <c r="D42" i="3" a="1"/>
  <c r="H25" i="3" a="1"/>
  <c r="H34" i="3" a="1"/>
  <c r="D16" i="3" a="1"/>
  <c r="H15" i="3" a="1"/>
  <c r="D27" i="3" a="1"/>
  <c r="H47" i="3" a="1"/>
  <c r="H22" i="3" a="1"/>
  <c r="D14" i="3" a="1"/>
  <c r="H19" i="3" a="1"/>
  <c r="D36" i="3" a="1"/>
  <c r="D37" i="3" a="1"/>
  <c r="H41" i="3" a="1"/>
  <c r="H43" i="3" a="1"/>
  <c r="H18" i="3" a="1"/>
  <c r="D28" i="3" a="1"/>
  <c r="D35" i="3" a="1"/>
  <c r="H23" i="3" a="1"/>
  <c r="H32" i="3" a="1"/>
  <c r="D40" i="3" a="1"/>
  <c r="D19" i="3" a="1"/>
  <c r="D41" i="3" a="1"/>
  <c r="H29" i="3" a="1"/>
  <c r="H38" i="3" a="1"/>
  <c r="D7" i="3" a="1"/>
  <c r="D22" i="3" a="1"/>
  <c r="D46" i="3" a="1"/>
  <c r="H35" i="3" a="1"/>
  <c r="H44" i="3" a="1"/>
  <c r="H12" i="3" a="1"/>
  <c r="D25" i="3" a="1"/>
  <c r="D9" i="3" a="1"/>
  <c r="D12" i="3" a="1"/>
  <c r="H42" i="3" a="1"/>
  <c r="D24" i="3" a="1"/>
  <c r="H13" i="3" a="1"/>
  <c r="D32" i="3" a="1"/>
  <c r="D33" i="3" a="1"/>
  <c r="H30" i="3" a="1"/>
  <c r="D18" i="3" a="1"/>
  <c r="H27" i="3" a="1"/>
  <c r="D45" i="3" a="1"/>
  <c r="D44" i="3" a="1"/>
  <c r="D43" i="3" a="1"/>
  <c r="H39" i="3" a="1"/>
  <c r="H16" i="3" a="1"/>
  <c r="D11" i="3" a="1"/>
  <c r="H11" i="3" a="1"/>
  <c r="D30" i="3" a="1"/>
  <c r="D31" i="3" a="1"/>
  <c r="H28" i="3" a="1"/>
  <c r="D17" i="3" a="1"/>
  <c r="I4" i="3" l="1"/>
  <c r="I3" i="3"/>
  <c r="C7" i="1" a="1"/>
  <c r="J7" i="1" s="1"/>
  <c r="H8" i="3"/>
  <c r="H10" i="3"/>
  <c r="H12" i="3"/>
  <c r="H14" i="3"/>
  <c r="H16" i="3"/>
  <c r="H18" i="3"/>
  <c r="H20" i="3"/>
  <c r="H22" i="3"/>
  <c r="H24" i="3"/>
  <c r="H26" i="3"/>
  <c r="H28" i="3"/>
  <c r="H30" i="3"/>
  <c r="H32" i="3"/>
  <c r="H34" i="3"/>
  <c r="H36" i="3"/>
  <c r="H38" i="3"/>
  <c r="H40" i="3"/>
  <c r="H42" i="3"/>
  <c r="H44" i="3"/>
  <c r="H46" i="3"/>
  <c r="H15" i="3"/>
  <c r="H43" i="3"/>
  <c r="H9" i="3"/>
  <c r="H11" i="3"/>
  <c r="H13" i="3"/>
  <c r="H17" i="3"/>
  <c r="H19" i="3"/>
  <c r="H21" i="3"/>
  <c r="H23" i="3"/>
  <c r="H25" i="3"/>
  <c r="H27" i="3"/>
  <c r="H29" i="3"/>
  <c r="H31" i="3"/>
  <c r="H33" i="3"/>
  <c r="H35" i="3"/>
  <c r="H37" i="3"/>
  <c r="H39" i="3"/>
  <c r="H41" i="3"/>
  <c r="H45" i="3"/>
  <c r="H47" i="3"/>
  <c r="H7" i="3"/>
  <c r="D31" i="3"/>
  <c r="D33" i="3"/>
  <c r="D35" i="3"/>
  <c r="D37" i="3"/>
  <c r="D39" i="3"/>
  <c r="D41" i="3"/>
  <c r="D42" i="3"/>
  <c r="D44" i="3"/>
  <c r="D46" i="3"/>
  <c r="D4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2" i="3"/>
  <c r="D34" i="3"/>
  <c r="D36" i="3"/>
  <c r="D38" i="3"/>
  <c r="D40" i="3"/>
  <c r="D43" i="3"/>
  <c r="D45" i="3"/>
  <c r="D7" i="3"/>
  <c r="I37" i="3" a="1"/>
  <c r="I12" i="3" a="1"/>
  <c r="I10" i="3" a="1"/>
  <c r="I19" i="3" a="1"/>
  <c r="I16" i="3" a="1"/>
  <c r="I24" i="3" a="1"/>
  <c r="I25" i="3" a="1"/>
  <c r="I38" i="3" a="1"/>
  <c r="I31" i="3" a="1"/>
  <c r="I36" i="3" a="1"/>
  <c r="I47" i="3" a="1"/>
  <c r="I35" i="3" a="1"/>
  <c r="I42" i="3" a="1"/>
  <c r="I14" i="3" a="1"/>
  <c r="I39" i="3" a="1"/>
  <c r="I13" i="3" a="1"/>
  <c r="I20" i="3" a="1"/>
  <c r="I29" i="3" a="1"/>
  <c r="I18" i="3" a="1"/>
  <c r="I27" i="3" a="1"/>
  <c r="I15" i="3" a="1"/>
  <c r="I21" i="3" a="1"/>
  <c r="I32" i="3" a="1"/>
  <c r="I33" i="3" a="1"/>
  <c r="I46" i="3" a="1"/>
  <c r="I17" i="3" a="1"/>
  <c r="I7" i="3" a="1"/>
  <c r="I9" i="3" a="1"/>
  <c r="I8" i="3" a="1"/>
  <c r="I43" i="3" a="1"/>
  <c r="I22" i="3" a="1"/>
  <c r="I26" i="3" a="1"/>
  <c r="I30" i="3" a="1"/>
  <c r="I23" i="3" a="1"/>
  <c r="I28" i="3" a="1"/>
  <c r="I44" i="3" a="1"/>
  <c r="I34" i="3" a="1"/>
  <c r="I45" i="3" a="1"/>
  <c r="I40" i="3" a="1"/>
  <c r="I41" i="3" a="1"/>
  <c r="I11" i="3" a="1"/>
  <c r="I30" i="3" l="1"/>
  <c r="F7" i="1"/>
  <c r="H7" i="1"/>
  <c r="E7" i="1"/>
  <c r="I7" i="1"/>
  <c r="K7" i="1"/>
  <c r="D7" i="1"/>
  <c r="C7" i="1"/>
  <c r="C10" i="1" s="1" a="1"/>
  <c r="G7" i="1"/>
  <c r="I47" i="3"/>
  <c r="I37" i="3"/>
  <c r="I29" i="3"/>
  <c r="I21" i="3"/>
  <c r="I11" i="3"/>
  <c r="I46" i="3"/>
  <c r="I38" i="3"/>
  <c r="I22" i="3"/>
  <c r="I14" i="3"/>
  <c r="I45" i="3"/>
  <c r="I35" i="3"/>
  <c r="I27" i="3"/>
  <c r="I19" i="3"/>
  <c r="I9" i="3"/>
  <c r="I44" i="3"/>
  <c r="I36" i="3"/>
  <c r="I28" i="3"/>
  <c r="I20" i="3"/>
  <c r="I12" i="3"/>
  <c r="I41" i="3"/>
  <c r="I33" i="3"/>
  <c r="I25" i="3"/>
  <c r="I17" i="3"/>
  <c r="I43" i="3"/>
  <c r="I42" i="3"/>
  <c r="I34" i="3"/>
  <c r="I26" i="3"/>
  <c r="I18" i="3"/>
  <c r="I10" i="3"/>
  <c r="I7" i="3"/>
  <c r="I39" i="3"/>
  <c r="I31" i="3"/>
  <c r="I23" i="3"/>
  <c r="I13" i="3"/>
  <c r="I15" i="3"/>
  <c r="I40" i="3"/>
  <c r="I32" i="3"/>
  <c r="I24" i="3"/>
  <c r="I16" i="3"/>
  <c r="I8" i="3"/>
  <c r="J40" i="3" a="1"/>
  <c r="J20" i="3" a="1"/>
  <c r="J22" i="3" a="1"/>
  <c r="J10" i="3" a="1"/>
  <c r="J12" i="3" a="1"/>
  <c r="J18" i="3" a="1"/>
  <c r="J45" i="3" a="1"/>
  <c r="J16" i="3" a="1"/>
  <c r="J46" i="3" a="1"/>
  <c r="J7" i="3" a="1"/>
  <c r="J14" i="3" a="1"/>
  <c r="J13" i="3" a="1"/>
  <c r="J43" i="3" a="1"/>
  <c r="J38" i="3" a="1"/>
  <c r="J15" i="3" a="1"/>
  <c r="J37" i="3" a="1"/>
  <c r="J34" i="3" a="1"/>
  <c r="J47" i="3" a="1"/>
  <c r="J33" i="3" a="1"/>
  <c r="J35" i="3" a="1"/>
  <c r="J11" i="3" a="1"/>
  <c r="J42" i="3" a="1"/>
  <c r="J44" i="3" a="1"/>
  <c r="J8" i="3" a="1"/>
  <c r="J25" i="3" a="1"/>
  <c r="J21" i="3" a="1"/>
  <c r="J28" i="3" a="1"/>
  <c r="J30" i="3" a="1"/>
  <c r="J36" i="3" a="1"/>
  <c r="J32" i="3" a="1"/>
  <c r="J26" i="3" a="1"/>
  <c r="J41" i="3" a="1"/>
  <c r="J29" i="3" a="1"/>
  <c r="J39" i="3" a="1"/>
  <c r="J19" i="3" a="1"/>
  <c r="J24" i="3" a="1"/>
  <c r="J27" i="3" a="1"/>
  <c r="J23" i="3" a="1"/>
  <c r="J17" i="3" a="1"/>
  <c r="J31" i="3" a="1"/>
  <c r="J9" i="3" a="1"/>
  <c r="C16" i="1" l="1" a="1"/>
  <c r="C16" i="1" s="1"/>
  <c r="G24" i="1" s="1"/>
  <c r="C17" i="1"/>
  <c r="G25" i="1" s="1"/>
  <c r="C11" i="1" a="1"/>
  <c r="F11" i="1" s="1"/>
  <c r="C8" i="1" a="1"/>
  <c r="E8" i="1" s="1"/>
  <c r="C9" i="1" a="1"/>
  <c r="J16" i="3"/>
  <c r="K16" i="3" s="1"/>
  <c r="J15" i="3"/>
  <c r="K15" i="3" s="1"/>
  <c r="J39" i="3"/>
  <c r="K39" i="3" s="1"/>
  <c r="J26" i="3"/>
  <c r="K26" i="3" s="1"/>
  <c r="J17" i="3"/>
  <c r="K17" i="3" s="1"/>
  <c r="J12" i="3"/>
  <c r="K12" i="3" s="1"/>
  <c r="J44" i="3"/>
  <c r="K44" i="3" s="1"/>
  <c r="J35" i="3"/>
  <c r="K35" i="3" s="1"/>
  <c r="J30" i="3"/>
  <c r="K30" i="3" s="1"/>
  <c r="J24" i="3"/>
  <c r="K24" i="3" s="1"/>
  <c r="J13" i="3"/>
  <c r="K13" i="3" s="1"/>
  <c r="J7" i="3"/>
  <c r="K7" i="3" s="1"/>
  <c r="J34" i="3"/>
  <c r="K34" i="3" s="1"/>
  <c r="J25" i="3"/>
  <c r="K25" i="3" s="1"/>
  <c r="J20" i="3"/>
  <c r="K20" i="3" s="1"/>
  <c r="J9" i="3"/>
  <c r="K9" i="3" s="1"/>
  <c r="J45" i="3"/>
  <c r="K45" i="3" s="1"/>
  <c r="J38" i="3"/>
  <c r="K38" i="3" s="1"/>
  <c r="J29" i="3"/>
  <c r="K29" i="3" s="1"/>
  <c r="J32" i="3"/>
  <c r="K32" i="3" s="1"/>
  <c r="J23" i="3"/>
  <c r="K23" i="3" s="1"/>
  <c r="J10" i="3"/>
  <c r="K10" i="3" s="1"/>
  <c r="J42" i="3"/>
  <c r="K42" i="3" s="1"/>
  <c r="J33" i="3"/>
  <c r="K33" i="3" s="1"/>
  <c r="J28" i="3"/>
  <c r="K28" i="3" s="1"/>
  <c r="J19" i="3"/>
  <c r="K19" i="3" s="1"/>
  <c r="J14" i="3"/>
  <c r="K14" i="3" s="1"/>
  <c r="J46" i="3"/>
  <c r="K46" i="3" s="1"/>
  <c r="J37" i="3"/>
  <c r="K37" i="3" s="1"/>
  <c r="J8" i="3"/>
  <c r="K8" i="3" s="1"/>
  <c r="J40" i="3"/>
  <c r="K40" i="3" s="1"/>
  <c r="J31" i="3"/>
  <c r="K31" i="3" s="1"/>
  <c r="J18" i="3"/>
  <c r="K18" i="3" s="1"/>
  <c r="J43" i="3"/>
  <c r="K43" i="3" s="1"/>
  <c r="J41" i="3"/>
  <c r="K41" i="3" s="1"/>
  <c r="J36" i="3"/>
  <c r="K36" i="3" s="1"/>
  <c r="J27" i="3"/>
  <c r="K27" i="3" s="1"/>
  <c r="J22" i="3"/>
  <c r="K22" i="3" s="1"/>
  <c r="J11" i="3"/>
  <c r="K11" i="3" s="1"/>
  <c r="J47" i="3"/>
  <c r="K47" i="3" s="1"/>
  <c r="J21" i="3"/>
  <c r="K21" i="3" s="1"/>
  <c r="C11" i="1"/>
  <c r="D11" i="1"/>
  <c r="C9" i="1"/>
  <c r="C15" i="1" s="1"/>
  <c r="G23" i="1" s="1"/>
  <c r="G9" i="1"/>
  <c r="E9" i="1"/>
  <c r="D9" i="1"/>
  <c r="F9" i="1"/>
  <c r="J9" i="1"/>
  <c r="H9" i="1"/>
  <c r="I9" i="1"/>
  <c r="C10" i="1"/>
  <c r="F10" i="1"/>
  <c r="K10" i="1"/>
  <c r="G10" i="1"/>
  <c r="J10" i="1"/>
  <c r="E10" i="1"/>
  <c r="D10" i="1"/>
  <c r="I10" i="1"/>
  <c r="H10" i="1"/>
  <c r="K9" i="1"/>
  <c r="G8" i="1" l="1"/>
  <c r="K11" i="1"/>
  <c r="C8" i="1"/>
  <c r="L14" i="1" s="1" a="1"/>
  <c r="L14" i="1" s="1"/>
  <c r="J11" i="1"/>
  <c r="G11" i="1"/>
  <c r="D8" i="1"/>
  <c r="F8" i="1"/>
  <c r="J8" i="1"/>
  <c r="J14" i="1" s="1"/>
  <c r="H25" i="1" s="1"/>
  <c r="H8" i="1"/>
  <c r="H14" i="1" s="1"/>
  <c r="K8" i="1"/>
  <c r="K14" i="1" s="1"/>
  <c r="I11" i="1"/>
  <c r="E11" i="1"/>
  <c r="I8" i="1"/>
  <c r="I14" i="1" s="1"/>
  <c r="H11" i="1"/>
  <c r="L17" i="1" a="1"/>
  <c r="L17" i="1" s="1"/>
  <c r="K25" i="1" s="1"/>
  <c r="L16" i="1" a="1"/>
  <c r="L16" i="1" s="1"/>
  <c r="K24" i="1" s="1"/>
  <c r="L15" i="1" a="1"/>
  <c r="L15" i="1" s="1"/>
  <c r="K23" i="1" s="1"/>
  <c r="H23" i="1"/>
  <c r="K22" i="1"/>
  <c r="C14" i="1" l="1" a="1"/>
  <c r="G14" i="1" s="1"/>
  <c r="I25" i="1"/>
  <c r="D14" i="1"/>
  <c r="C14" i="1"/>
  <c r="E14" i="1"/>
  <c r="F14" i="1"/>
  <c r="I23" i="1"/>
  <c r="H24" i="1"/>
  <c r="I24" i="1" s="1"/>
  <c r="C19" i="1"/>
  <c r="G22" i="1" l="1"/>
  <c r="D25" i="1"/>
  <c r="E25" i="1" s="1"/>
  <c r="D24" i="1"/>
  <c r="E24" i="1" s="1"/>
  <c r="D23" i="1"/>
  <c r="E2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<sst xmlns="http://schemas.openxmlformats.org/spreadsheetml/2006/main" count="64" uniqueCount="30">
  <si>
    <t>f</t>
  </si>
  <si>
    <t>s</t>
  </si>
  <si>
    <t>k</t>
  </si>
  <si>
    <t>x</t>
  </si>
  <si>
    <t>N</t>
  </si>
  <si>
    <t>N_</t>
  </si>
  <si>
    <t>value</t>
  </si>
  <si>
    <t>delta</t>
  </si>
  <si>
    <t>gamma</t>
  </si>
  <si>
    <t>vega</t>
  </si>
  <si>
    <t>eps</t>
  </si>
  <si>
    <t>f+eps</t>
  </si>
  <si>
    <t>f-eps</t>
  </si>
  <si>
    <t>s+eps</t>
  </si>
  <si>
    <t>s-eps</t>
  </si>
  <si>
    <t>implied</t>
  </si>
  <si>
    <t>model</t>
  </si>
  <si>
    <t>diff</t>
  </si>
  <si>
    <t>err</t>
  </si>
  <si>
    <t>option</t>
  </si>
  <si>
    <t>Option Value and Greeks</t>
  </si>
  <si>
    <t>m</t>
  </si>
  <si>
    <t>digital</t>
  </si>
  <si>
    <t>call</t>
  </si>
  <si>
    <t>put</t>
  </si>
  <si>
    <t>pairity</t>
  </si>
  <si>
    <t>dN</t>
  </si>
  <si>
    <t>dN_</t>
  </si>
  <si>
    <t>normal</t>
  </si>
  <si>
    <t>logistic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</si>
</sst>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  <xf numFmtId="0" fontId="4" fillId="3" borderId="5" applyNumberFormat="0" applyAlignment="0" applyProtection="0"/>
    <xf numFmtId="9" fontId="5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center"/>
    </xf>
    <xf numFmtId="164" fontId="0" fillId="0" borderId="0" xfId="0" applyNumberFormat="1"/>
    <xf numFmtId="0" fontId="0" fillId="0" borderId="0" xfId="0" applyFill="1" applyBorder="1" applyAlignment="1">
      <alignment horizontal="right"/>
    </xf>
    <xf numFmtId="0" fontId="1" fillId="0" borderId="0" xfId="0" applyFont="1"/>
    <xf numFmtId="0" fontId="0" fillId="0" borderId="0" xfId="0" applyAlignment="1">
      <alignment horizontal="center"/>
    </xf>
    <xf numFmtId="165" fontId="0" fillId="0" borderId="0" xfId="0" applyNumberFormat="1"/>
    <xf numFmtId="0" fontId="0" fillId="0" borderId="0" xfId="0" applyNumberFormat="1"/>
    <xf numFmtId="0" fontId="2" fillId="0" borderId="0" xfId="1"/>
    <xf numFmtId="0" fontId="0" fillId="0" borderId="0" xfId="0" applyAlignment="1">
      <alignment horizontal="center"/>
    </xf>
    <xf numFmtId="166" fontId="0" fillId="0" borderId="0" xfId="0" applyNumberFormat="1"/>
    <xf numFmtId="0" fontId="0" fillId="0" borderId="0" xfId="0" applyAlignment="1">
      <alignment horizontal="center"/>
    </xf>
    <xf numFmtId="0" fontId="3" fillId="2" borderId="1" xfId="2"/>
    <xf numFmtId="0" fontId="1" fillId="0" borderId="0" xfId="0" applyNumberFormat="1" applyFont="1"/>
    <xf numFmtId="11" fontId="3" fillId="2" borderId="4" xfId="2" applyNumberFormat="1" applyBorder="1"/>
    <xf numFmtId="0" fontId="0" fillId="0" borderId="2" xfId="0" applyBorder="1" applyAlignment="1">
      <alignment horizontal="center"/>
    </xf>
    <xf numFmtId="11" fontId="4" fillId="3" borderId="5" xfId="3" applyNumberFormat="1"/>
    <xf numFmtId="0" fontId="4" fillId="3" borderId="5" xfId="3" applyNumberFormat="1"/>
    <xf numFmtId="0" fontId="4" fillId="3" borderId="5" xfId="3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0" fontId="0" fillId="0" borderId="0" xfId="4" applyNumberFormat="1" applyFont="1"/>
  </cellXfs>
  <cellStyles count="5">
    <cellStyle name="Input" xfId="2" builtinId="20"/>
    <cellStyle name="Normal" xfId="0" builtinId="0"/>
    <cellStyle name="Output" xfId="3" builtinId="21"/>
    <cellStyle name="Percent" xfId="4" builtinId="5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Sheet1!$B$7:$B$47</c:f>
              <c:numCache>
                <c:formatCode>General</c:formatCode>
                <c:ptCount val="41"/>
                <c:pt idx="0">
                  <c:v>-2</c:v>
                </c:pt>
                <c:pt idx="1">
                  <c:v>-1.9</c:v>
                </c:pt>
                <c:pt idx="2">
                  <c:v>-1.8</c:v>
                </c:pt>
                <c:pt idx="3">
                  <c:v>-1.7</c:v>
                </c:pt>
                <c:pt idx="4">
                  <c:v>-1.6</c:v>
                </c:pt>
                <c:pt idx="5">
                  <c:v>-1.5</c:v>
                </c:pt>
                <c:pt idx="6">
                  <c:v>-1.4</c:v>
                </c:pt>
                <c:pt idx="7">
                  <c:v>-1.3</c:v>
                </c:pt>
                <c:pt idx="8">
                  <c:v>-1.2</c:v>
                </c:pt>
                <c:pt idx="9">
                  <c:v>-1.1000000000000001</c:v>
                </c:pt>
                <c:pt idx="10">
                  <c:v>-1</c:v>
                </c:pt>
                <c:pt idx="11">
                  <c:v>-0.9</c:v>
                </c:pt>
                <c:pt idx="12">
                  <c:v>-0.8</c:v>
                </c:pt>
                <c:pt idx="13">
                  <c:v>-0.7</c:v>
                </c:pt>
                <c:pt idx="14">
                  <c:v>-0.6</c:v>
                </c:pt>
                <c:pt idx="15">
                  <c:v>-0.5</c:v>
                </c:pt>
                <c:pt idx="16">
                  <c:v>-0.4</c:v>
                </c:pt>
                <c:pt idx="17">
                  <c:v>-0.3</c:v>
                </c:pt>
                <c:pt idx="18">
                  <c:v>-0.2</c:v>
                </c:pt>
                <c:pt idx="19">
                  <c:v>-0.1</c:v>
                </c:pt>
                <c:pt idx="20">
                  <c:v>0</c:v>
                </c:pt>
                <c:pt idx="21">
                  <c:v>0.1</c:v>
                </c:pt>
                <c:pt idx="22">
                  <c:v>0.2</c:v>
                </c:pt>
                <c:pt idx="23">
                  <c:v>0.3</c:v>
                </c:pt>
                <c:pt idx="24">
                  <c:v>0.4</c:v>
                </c:pt>
                <c:pt idx="25">
                  <c:v>0.5</c:v>
                </c:pt>
                <c:pt idx="26">
                  <c:v>0.6</c:v>
                </c:pt>
                <c:pt idx="27">
                  <c:v>0.7</c:v>
                </c:pt>
                <c:pt idx="28">
                  <c:v>0.8</c:v>
                </c:pt>
                <c:pt idx="29">
                  <c:v>0.9</c:v>
                </c:pt>
                <c:pt idx="30">
                  <c:v>1</c:v>
                </c:pt>
                <c:pt idx="31">
                  <c:v>1.1000000000000001</c:v>
                </c:pt>
                <c:pt idx="32">
                  <c:v>1.2</c:v>
                </c:pt>
                <c:pt idx="33">
                  <c:v>1.3</c:v>
                </c:pt>
                <c:pt idx="34">
                  <c:v>1.4</c:v>
                </c:pt>
                <c:pt idx="35">
                  <c:v>1.5</c:v>
                </c:pt>
                <c:pt idx="36">
                  <c:v>1.6</c:v>
                </c:pt>
                <c:pt idx="37">
                  <c:v>1.7</c:v>
                </c:pt>
                <c:pt idx="38">
                  <c:v>1.8</c:v>
                </c:pt>
                <c:pt idx="39">
                  <c:v>1.9</c:v>
                </c:pt>
                <c:pt idx="40">
                  <c:v>2</c:v>
                </c:pt>
              </c:numCache>
            </c:numRef>
          </c:xVal>
          <c:yVal>
            <c:numRef>
              <c:f>Sheet1!$C$7:$C$47</c:f>
              <c:numCache>
                <c:formatCode>General</c:formatCode>
                <c:ptCount val="41"/>
                <c:pt idx="0">
                  <c:v>4.3983595980427184E-2</c:v>
                </c:pt>
                <c:pt idx="1">
                  <c:v>5.3990966513188049E-2</c:v>
                </c:pt>
                <c:pt idx="2">
                  <c:v>6.5615814774676581E-2</c:v>
                </c:pt>
                <c:pt idx="3">
                  <c:v>7.8950158300894135E-2</c:v>
                </c:pt>
                <c:pt idx="4">
                  <c:v>9.4049077376886892E-2</c:v>
                </c:pt>
                <c:pt idx="5">
                  <c:v>0.11092083467945553</c:v>
                </c:pt>
                <c:pt idx="6">
                  <c:v>0.12951759566589172</c:v>
                </c:pt>
                <c:pt idx="7">
                  <c:v>0.14972746563574482</c:v>
                </c:pt>
                <c:pt idx="8">
                  <c:v>0.17136859204780733</c:v>
                </c:pt>
                <c:pt idx="9">
                  <c:v>0.1941860549832129</c:v>
                </c:pt>
                <c:pt idx="10">
                  <c:v>0.2178521770325505</c:v>
                </c:pt>
                <c:pt idx="11">
                  <c:v>0.24197072451914334</c:v>
                </c:pt>
                <c:pt idx="12">
                  <c:v>0.26608524989875482</c:v>
                </c:pt>
                <c:pt idx="13">
                  <c:v>0.28969155276148273</c:v>
                </c:pt>
                <c:pt idx="14">
                  <c:v>0.31225393336676122</c:v>
                </c:pt>
                <c:pt idx="15">
                  <c:v>0.33322460289179962</c:v>
                </c:pt>
                <c:pt idx="16">
                  <c:v>0.35206532676429947</c:v>
                </c:pt>
                <c:pt idx="17">
                  <c:v>0.36827014030332328</c:v>
                </c:pt>
                <c:pt idx="18">
                  <c:v>0.38138781546052403</c:v>
                </c:pt>
                <c:pt idx="19">
                  <c:v>0.39104269397545582</c:v>
                </c:pt>
                <c:pt idx="20">
                  <c:v>0.39695254747701175</c:v>
                </c:pt>
                <c:pt idx="21">
                  <c:v>0.39894228040143265</c:v>
                </c:pt>
                <c:pt idx="22">
                  <c:v>0.39695254747701175</c:v>
                </c:pt>
                <c:pt idx="23">
                  <c:v>0.39104269397545582</c:v>
                </c:pt>
                <c:pt idx="24">
                  <c:v>0.38138781546052403</c:v>
                </c:pt>
                <c:pt idx="25">
                  <c:v>0.36827014030332328</c:v>
                </c:pt>
                <c:pt idx="26">
                  <c:v>0.35206532676429947</c:v>
                </c:pt>
                <c:pt idx="27">
                  <c:v>0.33322460289179962</c:v>
                </c:pt>
                <c:pt idx="28">
                  <c:v>0.31225393336676122</c:v>
                </c:pt>
                <c:pt idx="29">
                  <c:v>0.28969155276148267</c:v>
                </c:pt>
                <c:pt idx="30">
                  <c:v>0.26608524989875482</c:v>
                </c:pt>
                <c:pt idx="31">
                  <c:v>0.24197072451914334</c:v>
                </c:pt>
                <c:pt idx="32">
                  <c:v>0.21785217703255055</c:v>
                </c:pt>
                <c:pt idx="33">
                  <c:v>0.19418605498321292</c:v>
                </c:pt>
                <c:pt idx="34">
                  <c:v>0.17136859204780738</c:v>
                </c:pt>
                <c:pt idx="35">
                  <c:v>0.14972746563574485</c:v>
                </c:pt>
                <c:pt idx="36">
                  <c:v>0.12951759566589172</c:v>
                </c:pt>
                <c:pt idx="37">
                  <c:v>0.11092083467945557</c:v>
                </c:pt>
                <c:pt idx="38">
                  <c:v>9.4049077376886933E-2</c:v>
                </c:pt>
                <c:pt idx="39">
                  <c:v>7.8950158300894177E-2</c:v>
                </c:pt>
                <c:pt idx="40">
                  <c:v>6.5615814774676581E-2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15-41D0-924D-EB972D9B322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Sheet1!$B$7:$B$47</c:f>
              <c:numCache>
                <c:formatCode>General</c:formatCode>
                <c:ptCount val="41"/>
                <c:pt idx="0">
                  <c:v>-2</c:v>
                </c:pt>
                <c:pt idx="1">
                  <c:v>-1.9</c:v>
                </c:pt>
                <c:pt idx="2">
                  <c:v>-1.8</c:v>
                </c:pt>
                <c:pt idx="3">
                  <c:v>-1.7</c:v>
                </c:pt>
                <c:pt idx="4">
                  <c:v>-1.6</c:v>
                </c:pt>
                <c:pt idx="5">
                  <c:v>-1.5</c:v>
                </c:pt>
                <c:pt idx="6">
                  <c:v>-1.4</c:v>
                </c:pt>
                <c:pt idx="7">
                  <c:v>-1.3</c:v>
                </c:pt>
                <c:pt idx="8">
                  <c:v>-1.2</c:v>
                </c:pt>
                <c:pt idx="9">
                  <c:v>-1.1000000000000001</c:v>
                </c:pt>
                <c:pt idx="10">
                  <c:v>-1</c:v>
                </c:pt>
                <c:pt idx="11">
                  <c:v>-0.9</c:v>
                </c:pt>
                <c:pt idx="12">
                  <c:v>-0.8</c:v>
                </c:pt>
                <c:pt idx="13">
                  <c:v>-0.7</c:v>
                </c:pt>
                <c:pt idx="14">
                  <c:v>-0.6</c:v>
                </c:pt>
                <c:pt idx="15">
                  <c:v>-0.5</c:v>
                </c:pt>
                <c:pt idx="16">
                  <c:v>-0.4</c:v>
                </c:pt>
                <c:pt idx="17">
                  <c:v>-0.3</c:v>
                </c:pt>
                <c:pt idx="18">
                  <c:v>-0.2</c:v>
                </c:pt>
                <c:pt idx="19">
                  <c:v>-0.1</c:v>
                </c:pt>
                <c:pt idx="20">
                  <c:v>0</c:v>
                </c:pt>
                <c:pt idx="21">
                  <c:v>0.1</c:v>
                </c:pt>
                <c:pt idx="22">
                  <c:v>0.2</c:v>
                </c:pt>
                <c:pt idx="23">
                  <c:v>0.3</c:v>
                </c:pt>
                <c:pt idx="24">
                  <c:v>0.4</c:v>
                </c:pt>
                <c:pt idx="25">
                  <c:v>0.5</c:v>
                </c:pt>
                <c:pt idx="26">
                  <c:v>0.6</c:v>
                </c:pt>
                <c:pt idx="27">
                  <c:v>0.7</c:v>
                </c:pt>
                <c:pt idx="28">
                  <c:v>0.8</c:v>
                </c:pt>
                <c:pt idx="29">
                  <c:v>0.9</c:v>
                </c:pt>
                <c:pt idx="30">
                  <c:v>1</c:v>
                </c:pt>
                <c:pt idx="31">
                  <c:v>1.1000000000000001</c:v>
                </c:pt>
                <c:pt idx="32">
                  <c:v>1.2</c:v>
                </c:pt>
                <c:pt idx="33">
                  <c:v>1.3</c:v>
                </c:pt>
                <c:pt idx="34">
                  <c:v>1.4</c:v>
                </c:pt>
                <c:pt idx="35">
                  <c:v>1.5</c:v>
                </c:pt>
                <c:pt idx="36">
                  <c:v>1.6</c:v>
                </c:pt>
                <c:pt idx="37">
                  <c:v>1.7</c:v>
                </c:pt>
                <c:pt idx="38">
                  <c:v>1.8</c:v>
                </c:pt>
                <c:pt idx="39">
                  <c:v>1.9</c:v>
                </c:pt>
                <c:pt idx="40">
                  <c:v>2</c:v>
                </c:pt>
              </c:numCache>
            </c:numRef>
          </c:xVal>
          <c:yVal>
            <c:numRef>
              <c:f>Sheet1!$D$7:$D$47</c:f>
              <c:numCache>
                <c:formatCode>General</c:formatCode>
                <c:ptCount val="41"/>
                <c:pt idx="0">
                  <c:v>3.7406994873150266E-2</c:v>
                </c:pt>
                <c:pt idx="1">
                  <c:v>4.3804485623477954E-2</c:v>
                </c:pt>
                <c:pt idx="2">
                  <c:v>5.1225848663434964E-2</c:v>
                </c:pt>
                <c:pt idx="3">
                  <c:v>5.9809740132606183E-2</c:v>
                </c:pt>
                <c:pt idx="4">
                  <c:v>6.9704470689839662E-2</c:v>
                </c:pt>
                <c:pt idx="5">
                  <c:v>8.1065082079790129E-2</c:v>
                </c:pt>
                <c:pt idx="6">
                  <c:v>9.4048723578568541E-2</c:v>
                </c:pt>
                <c:pt idx="7">
                  <c:v>0.10880786118148424</c:v>
                </c:pt>
                <c:pt idx="8">
                  <c:v>0.12548082661844451</c:v>
                </c:pt>
                <c:pt idx="9">
                  <c:v>0.14417924296111256</c:v>
                </c:pt>
                <c:pt idx="10">
                  <c:v>0.16497198432624338</c:v>
                </c:pt>
                <c:pt idx="11">
                  <c:v>0.18786558283236218</c:v>
                </c:pt>
                <c:pt idx="12">
                  <c:v>0.2127814336406389</c:v>
                </c:pt>
                <c:pt idx="13">
                  <c:v>0.23953080787771314</c:v>
                </c:pt>
                <c:pt idx="14">
                  <c:v>0.2677895756791393</c:v>
                </c:pt>
                <c:pt idx="15">
                  <c:v>0.2970756247068968</c:v>
                </c:pt>
                <c:pt idx="16">
                  <c:v>0.32673310235297287</c:v>
                </c:pt>
                <c:pt idx="17">
                  <c:v>0.35592856495173131</c:v>
                </c:pt>
                <c:pt idx="18">
                  <c:v>0.38366451532547252</c:v>
                </c:pt>
                <c:pt idx="19">
                  <c:v>0.40881520246197511</c:v>
                </c:pt>
                <c:pt idx="20">
                  <c:v>0.43018753019765577</c:v>
                </c:pt>
                <c:pt idx="21">
                  <c:v>0.44660628321101875</c:v>
                </c:pt>
                <c:pt idx="22">
                  <c:v>0.45701787903378838</c:v>
                </c:pt>
                <c:pt idx="23">
                  <c:v>0.46060134926128465</c:v>
                </c:pt>
                <c:pt idx="24">
                  <c:v>0.45687067340769921</c:v>
                </c:pt>
                <c:pt idx="25">
                  <c:v>0.44575062286573297</c:v>
                </c:pt>
                <c:pt idx="26">
                  <c:v>0.42761026718783418</c:v>
                </c:pt>
                <c:pt idx="27">
                  <c:v>0.40324457968947192</c:v>
                </c:pt>
                <c:pt idx="28">
                  <c:v>0.37380404754107416</c:v>
                </c:pt>
                <c:pt idx="29">
                  <c:v>0.34068244896781363</c:v>
                </c:pt>
                <c:pt idx="30">
                  <c:v>0.30538109873755159</c:v>
                </c:pt>
                <c:pt idx="31">
                  <c:v>0.26937156074829266</c:v>
                </c:pt>
                <c:pt idx="32">
                  <c:v>0.23397724698360206</c:v>
                </c:pt>
                <c:pt idx="33">
                  <c:v>0.2002883655345663</c:v>
                </c:pt>
                <c:pt idx="34">
                  <c:v>0.16911649168468645</c:v>
                </c:pt>
                <c:pt idx="35">
                  <c:v>0.14098707347492739</c:v>
                </c:pt>
                <c:pt idx="36">
                  <c:v>0.11616233094851552</c:v>
                </c:pt>
                <c:pt idx="37">
                  <c:v>9.4684103483545889E-2</c:v>
                </c:pt>
                <c:pt idx="38">
                  <c:v>7.6426061185669428E-2</c:v>
                </c:pt>
                <c:pt idx="39">
                  <c:v>6.1146495029372888E-2</c:v>
                </c:pt>
                <c:pt idx="40">
                  <c:v>4.8535616272378283E-2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15-41D0-924D-EB972D9B32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723552"/>
        <c:axId val="136732288"/>
      </c:scatterChart>
      <c:valAx>
        <c:axId val="136723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32288"/>
        <c:crosses val="autoZero"/>
        <c:crossBetween val="midCat"/>
      </c:valAx>
      <c:valAx>
        <c:axId val="13673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23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Sheet1!$F$7:$F$47</c:f>
              <c:numCache>
                <c:formatCode>General</c:formatCode>
                <c:ptCount val="41"/>
                <c:pt idx="0">
                  <c:v>81.464731641141455</c:v>
                </c:pt>
                <c:pt idx="1">
                  <c:v>82.283465805601836</c:v>
                </c:pt>
                <c:pt idx="2">
                  <c:v>83.110428385212572</c:v>
                </c:pt>
                <c:pt idx="3">
                  <c:v>83.945702076920739</c:v>
                </c:pt>
                <c:pt idx="4">
                  <c:v>84.789370408791569</c:v>
                </c:pt>
                <c:pt idx="5">
                  <c:v>85.641517748361352</c:v>
                </c:pt>
                <c:pt idx="6">
                  <c:v>86.502229311074132</c:v>
                </c:pt>
                <c:pt idx="7">
                  <c:v>87.371591168803448</c:v>
                </c:pt>
                <c:pt idx="8">
                  <c:v>88.249690258459552</c:v>
                </c:pt>
                <c:pt idx="9">
                  <c:v>89.136614390683135</c:v>
                </c:pt>
                <c:pt idx="10">
                  <c:v>90.032452258626563</c:v>
                </c:pt>
                <c:pt idx="11">
                  <c:v>90.937293446823148</c:v>
                </c:pt>
                <c:pt idx="12">
                  <c:v>91.851228440145732</c:v>
                </c:pt>
                <c:pt idx="13">
                  <c:v>92.774348632855279</c:v>
                </c:pt>
                <c:pt idx="14">
                  <c:v>93.706746337740341</c:v>
                </c:pt>
                <c:pt idx="15">
                  <c:v>94.648514795348376</c:v>
                </c:pt>
                <c:pt idx="16">
                  <c:v>95.599748183309984</c:v>
                </c:pt>
                <c:pt idx="17">
                  <c:v>96.560541625756642</c:v>
                </c:pt>
                <c:pt idx="18">
                  <c:v>97.530991202833263</c:v>
                </c:pt>
                <c:pt idx="19">
                  <c:v>98.511193960306258</c:v>
                </c:pt>
                <c:pt idx="20">
                  <c:v>99.501247919268238</c:v>
                </c:pt>
                <c:pt idx="21">
                  <c:v>100.5012520859401</c:v>
                </c:pt>
                <c:pt idx="22">
                  <c:v>101.51130646157189</c:v>
                </c:pt>
                <c:pt idx="23">
                  <c:v>102.53151205244289</c:v>
                </c:pt>
                <c:pt idx="24">
                  <c:v>103.56197087996233</c:v>
                </c:pt>
                <c:pt idx="25">
                  <c:v>104.60278599087169</c:v>
                </c:pt>
                <c:pt idx="26">
                  <c:v>105.65406146754943</c:v>
                </c:pt>
                <c:pt idx="27">
                  <c:v>106.71590243841926</c:v>
                </c:pt>
                <c:pt idx="28">
                  <c:v>107.78841508846315</c:v>
                </c:pt>
                <c:pt idx="29">
                  <c:v>108.87170666983988</c:v>
                </c:pt>
                <c:pt idx="30">
                  <c:v>109.96588551261028</c:v>
                </c:pt>
                <c:pt idx="31">
                  <c:v>111.07106103557052</c:v>
                </c:pt>
                <c:pt idx="32">
                  <c:v>112.18734375719383</c:v>
                </c:pt>
                <c:pt idx="33">
                  <c:v>113.31484530668263</c:v>
                </c:pt>
                <c:pt idx="34">
                  <c:v>114.45367843513145</c:v>
                </c:pt>
                <c:pt idx="35">
                  <c:v>115.60395702680218</c:v>
                </c:pt>
                <c:pt idx="36">
                  <c:v>116.76579611051253</c:v>
                </c:pt>
                <c:pt idx="37">
                  <c:v>117.93931187113907</c:v>
                </c:pt>
                <c:pt idx="38">
                  <c:v>119.12462166123581</c:v>
                </c:pt>
                <c:pt idx="39">
                  <c:v>120.32184401276953</c:v>
                </c:pt>
                <c:pt idx="40">
                  <c:v>121.53109864897307</c:v>
                </c:pt>
              </c:numCache>
            </c:numRef>
          </c:xVal>
          <c:yVal>
            <c:numRef>
              <c:f>Sheet1!$I$7:$I$47</c:f>
              <c:numCache>
                <c:formatCode>0.00%</c:formatCode>
                <c:ptCount val="41"/>
                <c:pt idx="0">
                  <c:v>0.14943706211863889</c:v>
                </c:pt>
                <c:pt idx="1">
                  <c:v>0.14888161023033114</c:v>
                </c:pt>
                <c:pt idx="2">
                  <c:v>0.14836048771020788</c:v>
                </c:pt>
                <c:pt idx="3">
                  <c:v>0.14787600565996684</c:v>
                </c:pt>
                <c:pt idx="4">
                  <c:v>0.14743026761546607</c:v>
                </c:pt>
                <c:pt idx="5">
                  <c:v>0.14702513388440205</c:v>
                </c:pt>
                <c:pt idx="6">
                  <c:v>0.14666198573848974</c:v>
                </c:pt>
                <c:pt idx="7">
                  <c:v>0.14634156326002407</c:v>
                </c:pt>
                <c:pt idx="8">
                  <c:v>0.14606372190600991</c:v>
                </c:pt>
                <c:pt idx="9">
                  <c:v>0.14582714646842015</c:v>
                </c:pt>
                <c:pt idx="10">
                  <c:v>0.14562902249129611</c:v>
                </c:pt>
                <c:pt idx="11">
                  <c:v>0.14546467993792722</c:v>
                </c:pt>
                <c:pt idx="12">
                  <c:v>0.14532718878308284</c:v>
                </c:pt>
                <c:pt idx="13">
                  <c:v>0.14520705399044512</c:v>
                </c:pt>
                <c:pt idx="14">
                  <c:v>0.14509187770431264</c:v>
                </c:pt>
                <c:pt idx="15">
                  <c:v>0.14496622217408181</c:v>
                </c:pt>
                <c:pt idx="16">
                  <c:v>0.14481166612749297</c:v>
                </c:pt>
                <c:pt idx="17">
                  <c:v>0.14460716383626068</c:v>
                </c:pt>
                <c:pt idx="18">
                  <c:v>0.14432979745562452</c:v>
                </c:pt>
                <c:pt idx="19">
                  <c:v>0.14395587367923701</c:v>
                </c:pt>
                <c:pt idx="20">
                  <c:v>0.1434626364903113</c:v>
                </c:pt>
                <c:pt idx="21">
                  <c:v>0.14283003208008002</c:v>
                </c:pt>
                <c:pt idx="22">
                  <c:v>0.14204280532451724</c:v>
                </c:pt>
                <c:pt idx="23">
                  <c:v>0.14109239452979944</c:v>
                </c:pt>
                <c:pt idx="24">
                  <c:v>0.13997833140181179</c:v>
                </c:pt>
                <c:pt idx="25">
                  <c:v>0.13870908474385632</c:v>
                </c:pt>
                <c:pt idx="26">
                  <c:v>0.13730177129037938</c:v>
                </c:pt>
                <c:pt idx="27">
                  <c:v>0.13578110351656894</c:v>
                </c:pt>
                <c:pt idx="28">
                  <c:v>0.13417748103599991</c:v>
                </c:pt>
                <c:pt idx="29">
                  <c:v>0.13252459531778216</c:v>
                </c:pt>
                <c:pt idx="30">
                  <c:v>0.13085689783614893</c:v>
                </c:pt>
                <c:pt idx="31">
                  <c:v>0.12920727972643456</c:v>
                </c:pt>
                <c:pt idx="32">
                  <c:v>0.1276052253173465</c:v>
                </c:pt>
                <c:pt idx="33">
                  <c:v>0.12607555444863117</c:v>
                </c:pt>
                <c:pt idx="34">
                  <c:v>0.1246378792230963</c:v>
                </c:pt>
                <c:pt idx="35">
                  <c:v>0.12330646158638679</c:v>
                </c:pt>
                <c:pt idx="36">
                  <c:v>0.12209060450978634</c:v>
                </c:pt>
                <c:pt idx="37">
                  <c:v>0.12099525223649538</c:v>
                </c:pt>
                <c:pt idx="38">
                  <c:v>0.1200217286529016</c:v>
                </c:pt>
                <c:pt idx="39">
                  <c:v>0.11916850010073253</c:v>
                </c:pt>
                <c:pt idx="40">
                  <c:v>0.11843189193031237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4A5-43F2-88E2-E0A21A5DA3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5250607"/>
        <c:axId val="955251023"/>
      </c:scatterChart>
      <c:valAx>
        <c:axId val="955250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5251023"/>
        <c:crosses val="autoZero"/>
        <c:crossBetween val="midCat"/>
      </c:valAx>
      <c:valAx>
        <c:axId val="95525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52506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600075</xdr:colOff>
      <xdr:row>2</xdr:row>
      <xdr:rowOff>47625</xdr:rowOff>
    </xdr:from>
    <xdr:to>
      <xdr:col>20</xdr:col>
      <xdr:colOff>295275</xdr:colOff>
      <xdr:row>16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A3D649-B747-47F7-B0D6-483AFD9FE5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476250</xdr:colOff>
      <xdr:row>18</xdr:row>
      <xdr:rowOff>76200</xdr:rowOff>
    </xdr:from>
    <xdr:to>
      <xdr:col>20</xdr:col>
      <xdr:colOff>171450</xdr:colOff>
      <xdr:row>32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6C649ED-F424-4CFD-ADB6-C6B16CC481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DE0E9-42ED-434D-9763-27344F6A1B8E}">
  <dimension ref="B2:F16"/>
  <sheetViews>
    <sheetView workbookViewId="0">
      <selection activeCell="C4" sqref="C4"/>
    </sheetView>
  </sheetViews>
  <sheetFormatPr defaultRowHeight="15" x14ac:dyDescent="0.25"/>
  <cols>
    <col min="1" max="1" width="3.7109375" customWidth="1"/>
    <col min="3" max="6" width="9.140625" customWidth="1"/>
  </cols>
  <sheetData>
    <row r="2" spans="2:6" ht="23.25" x14ac:dyDescent="0.35">
      <c r="B2" s="9" t="s">
        <v>20</v>
      </c>
    </row>
    <row r="4" spans="2:6" x14ac:dyDescent="0.25">
      <c r="B4" s="1" t="s">
        <v>21</v>
      </c>
      <c r="C4" s="5" cm="1">
        <f t="array" ref="C4">_xll.\VARIATE.NORMAL()</f>
        <v>2163569983312</v>
      </c>
    </row>
    <row r="5" spans="2:6" x14ac:dyDescent="0.25">
      <c r="B5" s="1" t="s">
        <v>0</v>
      </c>
      <c r="C5">
        <v>100</v>
      </c>
    </row>
    <row r="6" spans="2:6" x14ac:dyDescent="0.25">
      <c r="B6" s="1" t="s">
        <v>1</v>
      </c>
      <c r="C6">
        <v>0.2</v>
      </c>
    </row>
    <row r="7" spans="2:6" x14ac:dyDescent="0.25">
      <c r="B7" s="1" t="s">
        <v>2</v>
      </c>
      <c r="C7">
        <v>90</v>
      </c>
    </row>
    <row r="9" spans="2:6" x14ac:dyDescent="0.25">
      <c r="C9" s="20" t="s">
        <v>19</v>
      </c>
      <c r="D9" s="21"/>
      <c r="E9" s="20" t="s">
        <v>22</v>
      </c>
      <c r="F9" s="20"/>
    </row>
    <row r="10" spans="2:6" x14ac:dyDescent="0.25">
      <c r="C10" s="6" t="s">
        <v>23</v>
      </c>
      <c r="D10" s="6" t="s">
        <v>24</v>
      </c>
      <c r="E10" s="6" t="s">
        <v>23</v>
      </c>
      <c r="F10" s="6" t="s">
        <v>24</v>
      </c>
    </row>
    <row r="11" spans="2:6" x14ac:dyDescent="0.25">
      <c r="B11" s="1" t="s">
        <v>6</v>
      </c>
      <c r="C11" s="11">
        <f>_xll.OPTION.CALL.VALUE(m, f, s, k)</f>
        <v>13.589108116054796</v>
      </c>
      <c r="D11" s="11">
        <f>_xll.OPTION.PUT.VALUE(m, f, s, k)</f>
        <v>3.5891081160547955</v>
      </c>
      <c r="E11" s="11">
        <f>_xll.OPTION.DIGITAL_CALL.VALUE(m, f, s, k)</f>
        <v>0.66523843579723096</v>
      </c>
      <c r="F11" s="11">
        <f>_xll.OPTION.DIGITAL_PUT.VALUE(m, f, s, k)</f>
        <v>0.33476156420276904</v>
      </c>
    </row>
    <row r="12" spans="2:6" x14ac:dyDescent="0.25">
      <c r="B12" s="1" t="s">
        <v>7</v>
      </c>
      <c r="C12" s="11">
        <f>_xll.OPTION.CALL.DELTA(m, f, s, k)</f>
        <v>0.73460567337805582</v>
      </c>
      <c r="D12" s="11">
        <f>_xll.OPTION.PUT.DELTA(m, f, s, k)</f>
        <v>-0.26539432662194418</v>
      </c>
      <c r="E12" s="11">
        <f>_xll.OPTION.DIGITAL_CALL.DELTA(m, f, s, k)</f>
        <v>1.8210607460528803E-2</v>
      </c>
      <c r="F12" s="11">
        <f>_xll.OPTION.DIGITAL_PUT.DELTA(m, f, s, k)</f>
        <v>-1.8210607460528803E-2</v>
      </c>
    </row>
    <row r="13" spans="2:6" x14ac:dyDescent="0.25">
      <c r="B13" s="1" t="s">
        <v>8</v>
      </c>
      <c r="C13" s="11">
        <f>_xll.OPTION.GAMMA(m, f, s, k)</f>
        <v>1.6389546714475921E-2</v>
      </c>
      <c r="D13" s="11"/>
      <c r="E13" s="11">
        <f>_xll.OPTION.DIGITAL_CALL.GAMMA(m, f, s, k)</f>
        <v>2.0651063621296119E-4</v>
      </c>
      <c r="F13" s="11">
        <f>_xll.OPTION.DIGITAL_PUT.GAMMA(m, f, s, k)</f>
        <v>-2.0651063621296119E-4</v>
      </c>
    </row>
    <row r="14" spans="2:6" x14ac:dyDescent="0.25">
      <c r="B14" s="1" t="s">
        <v>9</v>
      </c>
      <c r="C14" s="11">
        <f>_xll.OPTION.VEGA(m, f, s, k)</f>
        <v>32.779093428951846</v>
      </c>
      <c r="D14" s="11"/>
      <c r="E14" s="11">
        <f>_xll.OPTION.DIGITAL_CALL.VEGA(m, f, s, k)</f>
        <v>-1.1414455708470743</v>
      </c>
      <c r="F14" s="11">
        <f>_xll.OPTION.DIGITAL_PUT.VEGA(m, f, s, k)</f>
        <v>1.1414455708470743</v>
      </c>
    </row>
    <row r="16" spans="2:6" x14ac:dyDescent="0.25">
      <c r="B16" s="1" t="s">
        <v>25</v>
      </c>
      <c r="C16" s="8">
        <f>(C11-D11)-(f-k)</f>
        <v>0</v>
      </c>
      <c r="D16" s="8"/>
      <c r="E16" s="8">
        <f>E11+F11-1</f>
        <v>0</v>
      </c>
      <c r="F16" s="8"/>
    </row>
  </sheetData>
  <mergeCells count="2">
    <mergeCell ref="C9:D9"/>
    <mergeCell ref="E9:F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29B52-893F-45E0-AD97-F4F6C83DFABD}">
  <dimension ref="B2:M25"/>
  <sheetViews>
    <sheetView workbookViewId="0">
      <selection activeCell="E24" sqref="E24"/>
    </sheetView>
  </sheetViews>
  <sheetFormatPr defaultRowHeight="15" x14ac:dyDescent="0.25"/>
  <cols>
    <col min="1" max="1" width="3.7109375" customWidth="1"/>
    <col min="3" max="7" width="9.140625" customWidth="1"/>
    <col min="9" max="10" width="9.140625" customWidth="1"/>
  </cols>
  <sheetData>
    <row r="2" spans="2:13" x14ac:dyDescent="0.25">
      <c r="D2" s="20" t="s">
        <v>19</v>
      </c>
      <c r="E2" s="20"/>
      <c r="F2" s="20"/>
      <c r="G2" s="21"/>
      <c r="H2" s="20" t="s">
        <v>22</v>
      </c>
      <c r="I2" s="20"/>
      <c r="J2" s="20"/>
      <c r="K2" s="20"/>
    </row>
    <row r="3" spans="2:13" x14ac:dyDescent="0.25">
      <c r="B3" s="1" t="s">
        <v>10</v>
      </c>
      <c r="C3" s="15">
        <v>9.9999999999999995E-7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11</v>
      </c>
      <c r="I3" s="2" t="s">
        <v>12</v>
      </c>
      <c r="J3" s="2" t="s">
        <v>13</v>
      </c>
      <c r="K3" s="2" t="s">
        <v>14</v>
      </c>
    </row>
    <row r="4" spans="2:13" x14ac:dyDescent="0.25">
      <c r="B4" s="1" t="s">
        <v>0</v>
      </c>
      <c r="C4" s="13">
        <v>100</v>
      </c>
      <c r="D4">
        <f>C4+eps</f>
        <v>100.000001</v>
      </c>
      <c r="E4">
        <f>C4-eps</f>
        <v>99.999999000000003</v>
      </c>
      <c r="F4">
        <f>$C4</f>
        <v>100</v>
      </c>
      <c r="G4">
        <f>$C4</f>
        <v>100</v>
      </c>
      <c r="H4">
        <f>G4+eps</f>
        <v>100.000001</v>
      </c>
      <c r="I4">
        <f>G4-eps</f>
        <v>99.999999000000003</v>
      </c>
      <c r="J4">
        <f>$C4</f>
        <v>100</v>
      </c>
      <c r="K4">
        <f>$C4</f>
        <v>100</v>
      </c>
    </row>
    <row r="5" spans="2:13" x14ac:dyDescent="0.25">
      <c r="B5" s="1" t="s">
        <v>1</v>
      </c>
      <c r="C5" s="13">
        <v>0.1</v>
      </c>
      <c r="D5">
        <f>$C5</f>
        <v>0.1</v>
      </c>
      <c r="E5">
        <f t="shared" ref="E5" si="0">$C5</f>
        <v>0.1</v>
      </c>
      <c r="F5">
        <f>$C5+eps</f>
        <v>0.10000100000000001</v>
      </c>
      <c r="G5">
        <f>$C5-eps</f>
        <v>9.9999000000000005E-2</v>
      </c>
      <c r="H5">
        <f>$C5</f>
        <v>0.1</v>
      </c>
      <c r="I5">
        <f t="shared" ref="I5" si="1">$C5</f>
        <v>0.1</v>
      </c>
      <c r="J5">
        <f>$C5+eps</f>
        <v>0.10000100000000001</v>
      </c>
      <c r="K5">
        <f>$C5-eps</f>
        <v>9.9999000000000005E-2</v>
      </c>
    </row>
    <row r="6" spans="2:13" x14ac:dyDescent="0.25">
      <c r="B6" s="1" t="s">
        <v>2</v>
      </c>
      <c r="C6" s="13">
        <v>90</v>
      </c>
      <c r="D6">
        <f>$C6</f>
        <v>90</v>
      </c>
      <c r="E6">
        <f t="shared" ref="E6:K6" si="2">$C6</f>
        <v>90</v>
      </c>
      <c r="F6">
        <f t="shared" si="2"/>
        <v>90</v>
      </c>
      <c r="G6">
        <f t="shared" si="2"/>
        <v>90</v>
      </c>
      <c r="H6">
        <f>$C6</f>
        <v>90</v>
      </c>
      <c r="I6">
        <f t="shared" si="2"/>
        <v>90</v>
      </c>
      <c r="J6">
        <f t="shared" si="2"/>
        <v>90</v>
      </c>
      <c r="K6">
        <f t="shared" si="2"/>
        <v>90</v>
      </c>
    </row>
    <row r="7" spans="2:13" x14ac:dyDescent="0.25">
      <c r="B7" s="1" t="s">
        <v>3</v>
      </c>
      <c r="C7" s="3">
        <f t="array" ref="C7:K7">(LN(k/f) + s*s/2)/s</f>
        <v>-1.0036051565782627</v>
      </c>
      <c r="D7" s="3">
        <v>-1.0036052565782616</v>
      </c>
      <c r="E7" s="3">
        <v>-1.0036050565782624</v>
      </c>
      <c r="F7" s="3">
        <v>-1.0035941206320564</v>
      </c>
      <c r="G7" s="3">
        <v>-1.0036161927351901</v>
      </c>
      <c r="H7" s="3">
        <v>-1.0036052565782616</v>
      </c>
      <c r="I7" s="3">
        <v>-1.0036050565782624</v>
      </c>
      <c r="J7" s="3">
        <v>-1.0035941206320564</v>
      </c>
      <c r="K7" s="3">
        <v>-1.0036161927351901</v>
      </c>
      <c r="M7" s="3"/>
    </row>
    <row r="8" spans="2:13" x14ac:dyDescent="0.25">
      <c r="B8" s="1" t="s">
        <v>4</v>
      </c>
      <c r="C8" s="3">
        <f t="array" ref="C8:K8">_xlfn.NORM.S.DIST(x,TRUE)</f>
        <v>0.15778448404418549</v>
      </c>
      <c r="D8" s="3">
        <v>0.15778445993434834</v>
      </c>
      <c r="E8" s="3">
        <v>0.15778450815402537</v>
      </c>
      <c r="F8" s="3">
        <v>0.15778714480773812</v>
      </c>
      <c r="G8" s="3">
        <v>0.15778182325929863</v>
      </c>
      <c r="H8" s="3">
        <v>0.15778445993434834</v>
      </c>
      <c r="I8" s="3">
        <v>0.15778450815402537</v>
      </c>
      <c r="J8" s="3">
        <v>0.15778714480773812</v>
      </c>
      <c r="K8" s="3">
        <v>0.15778182325929863</v>
      </c>
      <c r="M8" s="3"/>
    </row>
    <row r="9" spans="2:13" x14ac:dyDescent="0.25">
      <c r="B9" s="1" t="s">
        <v>5</v>
      </c>
      <c r="C9" s="3">
        <f t="array" ref="C9:K9">_xlfn.NORM.S.DIST(x - s,TRUE)</f>
        <v>0.13488222667903024</v>
      </c>
      <c r="D9" s="3">
        <v>0.13488220498017695</v>
      </c>
      <c r="E9" s="3">
        <v>0.13488224837788623</v>
      </c>
      <c r="F9" s="3">
        <v>0.13488440437647861</v>
      </c>
      <c r="G9" s="3">
        <v>0.13488004895997782</v>
      </c>
      <c r="H9" s="3">
        <v>0.13488220498017695</v>
      </c>
      <c r="I9" s="3">
        <v>0.13488224837788623</v>
      </c>
      <c r="J9" s="3">
        <v>0.13488440437647861</v>
      </c>
      <c r="K9" s="3">
        <v>0.13488004895997782</v>
      </c>
      <c r="M9" s="3"/>
    </row>
    <row r="10" spans="2:13" x14ac:dyDescent="0.25">
      <c r="B10" s="1" t="s">
        <v>26</v>
      </c>
      <c r="C10" s="3">
        <f t="array" ref="C10:K10">_xlfn.NORM.S.DIST(x,FALSE)</f>
        <v>0.24109838594580515</v>
      </c>
      <c r="D10" s="3">
        <v>0.24109836174904709</v>
      </c>
      <c r="E10" s="3">
        <v>0.24109841014256361</v>
      </c>
      <c r="F10" s="3">
        <v>0.2411010562871449</v>
      </c>
      <c r="G10" s="3">
        <v>0.24109571555368983</v>
      </c>
      <c r="H10" s="3">
        <v>0.24109836174904709</v>
      </c>
      <c r="I10" s="3">
        <v>0.24109841014256361</v>
      </c>
      <c r="J10" s="3">
        <v>0.2411010562871449</v>
      </c>
      <c r="K10" s="3">
        <v>0.24109571555368983</v>
      </c>
      <c r="M10" s="3"/>
    </row>
    <row r="11" spans="2:13" x14ac:dyDescent="0.25">
      <c r="B11" s="1" t="s">
        <v>27</v>
      </c>
      <c r="C11" s="3">
        <f t="array" ref="C11:K11">_xlfn.NORM.S.DIST(x - s,FALSE)</f>
        <v>0.21698854735122466</v>
      </c>
      <c r="D11" s="3">
        <v>0.21698852340425717</v>
      </c>
      <c r="E11" s="3">
        <v>0.21698857129819293</v>
      </c>
      <c r="F11" s="3">
        <v>0.21699095065843044</v>
      </c>
      <c r="G11" s="3">
        <v>0.21698614399832089</v>
      </c>
      <c r="H11" s="3">
        <v>0.21698852340425717</v>
      </c>
      <c r="I11" s="3">
        <v>0.21698857129819293</v>
      </c>
      <c r="J11" s="3">
        <v>0.21699095065843044</v>
      </c>
      <c r="K11" s="3">
        <v>0.21698614399832089</v>
      </c>
      <c r="M11" s="3"/>
    </row>
    <row r="13" spans="2:13" x14ac:dyDescent="0.25">
      <c r="C13" s="16" t="s">
        <v>19</v>
      </c>
      <c r="L13" s="16" t="s">
        <v>22</v>
      </c>
    </row>
    <row r="14" spans="2:13" x14ac:dyDescent="0.25">
      <c r="B14" s="1" t="s">
        <v>6</v>
      </c>
      <c r="C14" s="7">
        <f t="array" ref="C14:G14">k*N-f*N_</f>
        <v>0.71238089607366994</v>
      </c>
      <c r="D14" s="3">
        <v>0.71238076119145077</v>
      </c>
      <c r="E14" s="3">
        <v>0.71238103095590688</v>
      </c>
      <c r="F14" s="3">
        <v>0.71240259504856951</v>
      </c>
      <c r="G14" s="3">
        <v>0.7123591973390937</v>
      </c>
      <c r="H14" s="3">
        <f>H8</f>
        <v>0.15778445993434834</v>
      </c>
      <c r="I14" s="3">
        <f t="shared" ref="I14:K14" si="3">I8</f>
        <v>0.15778450815402537</v>
      </c>
      <c r="J14" s="3">
        <f t="shared" si="3"/>
        <v>0.15778714480773812</v>
      </c>
      <c r="K14" s="3">
        <f t="shared" si="3"/>
        <v>0.15778182325929863</v>
      </c>
      <c r="L14" s="3">
        <f t="array" ref="L14">N</f>
        <v>0.15778448404418549</v>
      </c>
    </row>
    <row r="15" spans="2:13" x14ac:dyDescent="0.25">
      <c r="B15" s="1" t="s">
        <v>7</v>
      </c>
      <c r="C15" s="7">
        <f>-N_</f>
        <v>-0.13488222667903024</v>
      </c>
      <c r="D15" s="3"/>
      <c r="E15" s="3"/>
      <c r="F15" s="3"/>
      <c r="G15" s="3"/>
      <c r="H15" s="3"/>
      <c r="I15" s="3"/>
      <c r="J15" s="3"/>
      <c r="K15" s="3"/>
      <c r="L15">
        <f t="array" ref="L15">-dN_/(f*s)</f>
        <v>-2.1698854735122466E-2</v>
      </c>
    </row>
    <row r="16" spans="2:13" x14ac:dyDescent="0.25">
      <c r="B16" s="1" t="s">
        <v>8</v>
      </c>
      <c r="C16" s="7">
        <f t="array" ref="C16">_xlfn.NORM.S.DIST(x-s,FALSE)/(f*s)</f>
        <v>2.1698854735122466E-2</v>
      </c>
      <c r="H16" s="3"/>
      <c r="I16" s="3"/>
      <c r="J16" s="3"/>
      <c r="K16" s="3"/>
      <c r="L16">
        <f t="array" ref="L16">-dN/(f*s)^2</f>
        <v>-2.4109838594580514E-3</v>
      </c>
    </row>
    <row r="17" spans="2:12" x14ac:dyDescent="0.25">
      <c r="B17" s="1" t="s">
        <v>9</v>
      </c>
      <c r="C17" s="7">
        <f>f*_xlfn.NORM.S.DIST(x - s,FALSE)</f>
        <v>21.698854735122467</v>
      </c>
      <c r="H17" s="3"/>
      <c r="I17" s="3"/>
      <c r="J17" s="3"/>
      <c r="K17" s="3"/>
      <c r="L17" s="3">
        <f t="array" ref="L17">-dN*(x - s)/s</f>
        <v>2.6607742197248672</v>
      </c>
    </row>
    <row r="18" spans="2:12" x14ac:dyDescent="0.25">
      <c r="B18" s="4" t="s">
        <v>16</v>
      </c>
      <c r="C18" s="14" cm="1">
        <f t="array" ref="C18">_xll.\VARIATE.NORMAL()</f>
        <v>2163469681008</v>
      </c>
      <c r="K18" s="3"/>
    </row>
    <row r="19" spans="2:12" x14ac:dyDescent="0.25">
      <c r="B19" s="1" t="s">
        <v>15</v>
      </c>
      <c r="C19" t="e">
        <f>_xll.OPTION.IMPLIED(C18, C4, C14, C6)</f>
        <v>#NUM!</v>
      </c>
      <c r="D19" s="10"/>
    </row>
    <row r="20" spans="2:12" x14ac:dyDescent="0.25">
      <c r="B20" s="4"/>
    </row>
    <row r="21" spans="2:12" x14ac:dyDescent="0.25">
      <c r="B21" s="4"/>
      <c r="D21" s="6" t="s">
        <v>17</v>
      </c>
      <c r="E21" s="6" t="s">
        <v>18</v>
      </c>
      <c r="F21" s="6" t="s">
        <v>16</v>
      </c>
      <c r="G21" s="6" t="s">
        <v>18</v>
      </c>
      <c r="H21" s="12" t="s">
        <v>17</v>
      </c>
      <c r="I21" s="12" t="s">
        <v>18</v>
      </c>
      <c r="J21" s="12" t="s">
        <v>16</v>
      </c>
      <c r="K21" s="12" t="s">
        <v>18</v>
      </c>
    </row>
    <row r="22" spans="2:12" x14ac:dyDescent="0.25">
      <c r="B22" s="1" t="s">
        <v>6</v>
      </c>
      <c r="F22" s="3">
        <f t="array" ref="F22">_xll.OPTION.PUT.VALUE(m,f,s,k)</f>
        <v>0.71238089607367172</v>
      </c>
      <c r="G22" s="18">
        <f>C14-F22</f>
        <v>-1.7763568394002505E-15</v>
      </c>
      <c r="J22" s="3">
        <f t="array" ref="J22">_xll.OPTION.DIGITAL_PUT.VALUE(m,f,s,k)</f>
        <v>0.15778448404418555</v>
      </c>
      <c r="K22" s="18">
        <f>J22-L14</f>
        <v>0</v>
      </c>
    </row>
    <row r="23" spans="2:12" x14ac:dyDescent="0.25">
      <c r="B23" s="1" t="s">
        <v>7</v>
      </c>
      <c r="D23" s="3">
        <f>(D14-E14)/(2*eps)</f>
        <v>-0.13488222805335681</v>
      </c>
      <c r="E23" s="17">
        <f>C15-D23</f>
        <v>1.3743265692145457E-9</v>
      </c>
      <c r="F23" s="3">
        <f t="array" ref="F23">_xll.OPTION.PUT.DELTA(m,f,s,k)</f>
        <v>-0.13488222667903027</v>
      </c>
      <c r="G23" s="18">
        <f>C15-F23</f>
        <v>0</v>
      </c>
      <c r="H23">
        <f>(H14-I14)/(2*eps)</f>
        <v>-2.4109838514529969E-2</v>
      </c>
      <c r="I23" s="19">
        <f>H23-L15</f>
        <v>-2.4109837794075023E-3</v>
      </c>
      <c r="J23" s="3">
        <f t="array" ref="J23">_xll.OPTION.DIGITAL_PUT.DELTA(m,f,s,k)</f>
        <v>-2.4109838594580511E-2</v>
      </c>
      <c r="K23" s="19">
        <f>J23-L15</f>
        <v>-2.4109838594580449E-3</v>
      </c>
    </row>
    <row r="24" spans="2:12" x14ac:dyDescent="0.25">
      <c r="B24" s="1" t="s">
        <v>8</v>
      </c>
      <c r="D24" s="3">
        <f>(D14-2*C14+E14)/(eps*eps)</f>
        <v>1.7763568394002505E-2</v>
      </c>
      <c r="E24" s="17">
        <f>C16-D24</f>
        <v>3.9352863411199618E-3</v>
      </c>
      <c r="F24" s="3">
        <f t="array" ref="F24">_xll.OPTION.GAMMA(m,f,s,k)</f>
        <v>2.1698854735122463E-2</v>
      </c>
      <c r="G24" s="18">
        <f>C16-F24</f>
        <v>0</v>
      </c>
      <c r="H24">
        <f>(H14-2*L14+I14)/(eps*eps)</f>
        <v>2.7200464103316335E-3</v>
      </c>
      <c r="I24" s="19">
        <f t="shared" ref="I24:I25" si="4">H24-L16</f>
        <v>5.1310302697896853E-3</v>
      </c>
      <c r="J24" s="3">
        <f t="array" ref="J24">_xll.OPTION.DIGITAL_PUT.GAMMA(m,f,s,k)</f>
        <v>-2.1785774478332563E-3</v>
      </c>
      <c r="K24" s="19">
        <f>J24-L16</f>
        <v>2.3240641162479512E-4</v>
      </c>
    </row>
    <row r="25" spans="2:12" x14ac:dyDescent="0.25">
      <c r="B25" s="1" t="s">
        <v>9</v>
      </c>
      <c r="D25" s="3">
        <f>(F14-G14)/(2*eps)</f>
        <v>21.698854737906004</v>
      </c>
      <c r="E25" s="17">
        <f>C17-D25</f>
        <v>-2.7835369564854773E-9</v>
      </c>
      <c r="F25" s="3">
        <f t="array" ref="F25">_xll.OPTION.VEGA(m,f,s,k)</f>
        <v>21.698854735122463</v>
      </c>
      <c r="G25" s="18">
        <f>C17-F25</f>
        <v>0</v>
      </c>
      <c r="H25">
        <f>(J14-K14)/(2*eps)</f>
        <v>2.6607742197454209</v>
      </c>
      <c r="I25" s="19">
        <f t="shared" si="4"/>
        <v>2.0553780899490448E-11</v>
      </c>
      <c r="J25" s="3">
        <f t="array" ref="J25">_xll.OPTION.DIGITAL_PUT.VEGA(m,f,s,k)</f>
        <v>2.6607742197248667</v>
      </c>
      <c r="K25" s="19">
        <f>J25-L17</f>
        <v>0</v>
      </c>
    </row>
  </sheetData>
  <mergeCells count="2">
    <mergeCell ref="D2:G2"/>
    <mergeCell ref="H2:K2"/>
  </mergeCells>
  <pageMargins left="0.7" right="0.7" top="0.75" bottom="0.75" header="0.3" footer="0.3"/>
  <pageSetup orientation="portrait" r:id="rId1"/>
  <ignoredErrors>
    <ignoredError sqref="F5:G5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C01A-60B8-4508-AC29-30E36BF21D34}">
  <dimension ref="B2:K47"/>
  <sheetViews>
    <sheetView tabSelected="1" workbookViewId="0">
      <selection activeCell="E3" sqref="E3"/>
    </sheetView>
  </sheetViews>
  <sheetFormatPr defaultRowHeight="15" x14ac:dyDescent="0.25"/>
  <cols>
    <col min="1" max="1" width="3.7109375" customWidth="1"/>
    <col min="3" max="4" width="12" bestFit="1" customWidth="1"/>
    <col min="11" max="11" width="12.7109375" bestFit="1" customWidth="1"/>
  </cols>
  <sheetData>
    <row r="2" spans="2:11" x14ac:dyDescent="0.25">
      <c r="C2" t="s">
        <v>28</v>
      </c>
      <c r="D2" t="s">
        <v>29</v>
      </c>
    </row>
    <row r="3" spans="2:11" x14ac:dyDescent="0.25">
      <c r="C3" cm="1">
        <f t="array" ref="C3">_xll.\VARIATE.NORMAL()</f>
        <v>2163469681392</v>
      </c>
      <c r="D3" cm="1">
        <f t="array" ref="D3">_xll.\VARIATE.NORMALIZE(E3)</f>
        <v>2163646867888</v>
      </c>
      <c r="E3" cm="1">
        <f t="array" ref="E3">_xll.\VARIATE.LOGISTIC(F3,G3)</f>
        <v>2163646867792</v>
      </c>
      <c r="F3">
        <v>1</v>
      </c>
      <c r="G3">
        <v>2</v>
      </c>
      <c r="I3" cm="1">
        <f t="array" ref="I3">_xll.VARIATE.CUMULANT($D$3,0,3)</f>
        <v>-0.57718400259736569</v>
      </c>
    </row>
    <row r="4" spans="2:11" x14ac:dyDescent="0.25">
      <c r="C4" s="1" t="s">
        <v>0</v>
      </c>
      <c r="D4">
        <v>100</v>
      </c>
      <c r="I4" cm="1">
        <f t="array" ref="I4">_xll.VARIATE.CUMULANT($D$3,0,4)</f>
        <v>1.3326755110753505</v>
      </c>
    </row>
    <row r="5" spans="2:11" x14ac:dyDescent="0.25">
      <c r="C5" s="1" t="s">
        <v>1</v>
      </c>
      <c r="D5">
        <v>0.1</v>
      </c>
    </row>
    <row r="6" spans="2:11" x14ac:dyDescent="0.25">
      <c r="B6" s="12" t="s">
        <v>3</v>
      </c>
      <c r="F6" s="12" t="s">
        <v>2</v>
      </c>
      <c r="G6" t="s">
        <v>28</v>
      </c>
      <c r="H6" t="s">
        <v>29</v>
      </c>
      <c r="I6" t="s">
        <v>15</v>
      </c>
    </row>
    <row r="7" spans="2:11" x14ac:dyDescent="0.25">
      <c r="B7">
        <v>-2</v>
      </c>
      <c r="C7" cm="1">
        <f t="array" ref="C7">_xll.VARIATE.PDF($C$3, $B7, s)</f>
        <v>4.3983595980427184E-2</v>
      </c>
      <c r="D7" cm="1">
        <f t="array" ref="D7">_xll.VARIATE.PDF($D$3, $B7, s)</f>
        <v>3.7406994873150266E-2</v>
      </c>
      <c r="F7">
        <f t="shared" ref="F7:F47" si="0">f*EXP(s*$B7-s*s/2)</f>
        <v>81.464731641141455</v>
      </c>
      <c r="G7" cm="1">
        <f t="array" ref="G7">_xll.OPTION.VALUE($C$3, f, s,$F7)</f>
        <v>18.602159696535864</v>
      </c>
      <c r="H7" cm="1">
        <f t="array" ref="H7">_xll.OPTION.VALUE($D$3, f, s,$F7)</f>
        <v>19.060324422463594</v>
      </c>
      <c r="I7" s="22" cm="1">
        <f t="array" ref="I7">_xll.OPTION.IMPLIED($C$3, f, H7, F7)</f>
        <v>0.14943706211863889</v>
      </c>
      <c r="J7" cm="1">
        <f t="array" ref="J7">_xll.OPTION.VALUE($C$3, f,I7, F7)</f>
        <v>19.060324422571227</v>
      </c>
      <c r="K7">
        <f>H7-J7</f>
        <v>-1.0763301361293998E-10</v>
      </c>
    </row>
    <row r="8" spans="2:11" x14ac:dyDescent="0.25">
      <c r="B8">
        <v>-1.9</v>
      </c>
      <c r="C8" cm="1">
        <f t="array" ref="C8">_xll.VARIATE.PDF($C$3, $B8, s)</f>
        <v>5.3990966513188049E-2</v>
      </c>
      <c r="D8" cm="1">
        <f t="array" ref="D8">_xll.VARIATE.PDF($D$3, $B8, s)</f>
        <v>4.3804485623477954E-2</v>
      </c>
      <c r="F8">
        <f t="shared" si="0"/>
        <v>82.283465805601836</v>
      </c>
      <c r="G8" cm="1">
        <f t="array" ref="G8">_xll.OPTION.VALUE($C$3, f, s,$F8)</f>
        <v>17.804419067254742</v>
      </c>
      <c r="H8" cm="1">
        <f t="array" ref="H8">_xll.OPTION.VALUE($D$3, f, s,$F8)</f>
        <v>18.317581572872356</v>
      </c>
      <c r="I8" s="22" cm="1">
        <f t="array" ref="I8">_xll.OPTION.IMPLIED($C$3, f, H8, F8)</f>
        <v>0.14888161023033114</v>
      </c>
      <c r="J8" cm="1">
        <f t="array" ref="J8">_xll.OPTION.VALUE($C$3, f,I8, F8)</f>
        <v>18.317581572877984</v>
      </c>
      <c r="K8">
        <f t="shared" ref="K8:K47" si="1">H8-J8</f>
        <v>-5.6274984672199935E-12</v>
      </c>
    </row>
    <row r="9" spans="2:11" x14ac:dyDescent="0.25">
      <c r="B9">
        <v>-1.8</v>
      </c>
      <c r="C9" cm="1">
        <f t="array" ref="C9">_xll.VARIATE.PDF($C$3, $B9, s)</f>
        <v>6.5615814774676581E-2</v>
      </c>
      <c r="D9" cm="1">
        <f t="array" ref="D9">_xll.VARIATE.PDF($D$3, $B9, s)</f>
        <v>5.1225848663434964E-2</v>
      </c>
      <c r="F9">
        <f t="shared" si="0"/>
        <v>83.110428385212572</v>
      </c>
      <c r="G9" cm="1">
        <f t="array" ref="G9">_xll.OPTION.VALUE($C$3, f, s,$F9)</f>
        <v>17.004099846679892</v>
      </c>
      <c r="H9" cm="1">
        <f t="array" ref="H9">_xll.OPTION.VALUE($D$3, f, s,$F9)</f>
        <v>17.576833247551846</v>
      </c>
      <c r="I9" s="22" cm="1">
        <f t="array" ref="I9">_xll.OPTION.IMPLIED($C$3, f, H9, F9)</f>
        <v>0.14836048771020788</v>
      </c>
      <c r="J9" cm="1">
        <f t="array" ref="J9">_xll.OPTION.VALUE($C$3, f,I9, F9)</f>
        <v>17.576833247552088</v>
      </c>
      <c r="K9">
        <f t="shared" si="1"/>
        <v>-2.4158453015843406E-13</v>
      </c>
    </row>
    <row r="10" spans="2:11" x14ac:dyDescent="0.25">
      <c r="B10">
        <v>-1.7</v>
      </c>
      <c r="C10" cm="1">
        <f t="array" ref="C10">_xll.VARIATE.PDF($C$3, $B10, s)</f>
        <v>7.8950158300894135E-2</v>
      </c>
      <c r="D10" cm="1">
        <f t="array" ref="D10">_xll.VARIATE.PDF($D$3, $B10, s)</f>
        <v>5.9809740132606183E-2</v>
      </c>
      <c r="F10">
        <f t="shared" si="0"/>
        <v>83.945702076920739</v>
      </c>
      <c r="G10" cm="1">
        <f t="array" ref="G10">_xll.OPTION.VALUE($C$3, f, s,$F10)</f>
        <v>16.202345071435431</v>
      </c>
      <c r="H10" cm="1">
        <f t="array" ref="H10">_xll.OPTION.VALUE($D$3, f, s,$F10)</f>
        <v>16.839178347109979</v>
      </c>
      <c r="I10" s="22" cm="1">
        <f t="array" ref="I10">_xll.OPTION.IMPLIED($C$3, f, H10, F10)</f>
        <v>0.14787600565996684</v>
      </c>
      <c r="J10" cm="1">
        <f t="array" ref="J10">_xll.OPTION.VALUE($C$3, f,I10, F10)</f>
        <v>16.839178516441578</v>
      </c>
      <c r="K10">
        <f t="shared" si="1"/>
        <v>-1.6933159940890619E-7</v>
      </c>
    </row>
    <row r="11" spans="2:11" x14ac:dyDescent="0.25">
      <c r="B11">
        <v>-1.6</v>
      </c>
      <c r="C11" cm="1">
        <f t="array" ref="C11">_xll.VARIATE.PDF($C$3, $B11, s)</f>
        <v>9.4049077376886892E-2</v>
      </c>
      <c r="D11" cm="1">
        <f t="array" ref="D11">_xll.VARIATE.PDF($D$3, $B11, s)</f>
        <v>6.9704470689839662E-2</v>
      </c>
      <c r="F11">
        <f t="shared" si="0"/>
        <v>84.789370408791569</v>
      </c>
      <c r="G11" cm="1">
        <f t="array" ref="G11">_xll.OPTION.VALUE($C$3, f, s,$F11)</f>
        <v>15.400480757407365</v>
      </c>
      <c r="H11" cm="1">
        <f t="array" ref="H11">_xll.OPTION.VALUE($D$3, f, s,$F11)</f>
        <v>16.105801567583484</v>
      </c>
      <c r="I11" s="22" cm="1">
        <f t="array" ref="I11">_xll.OPTION.IMPLIED($C$3, f, H11, F11)</f>
        <v>0.14743026761546607</v>
      </c>
      <c r="J11" cm="1">
        <f t="array" ref="J11">_xll.OPTION.VALUE($C$3, f,I11, F11)</f>
        <v>16.105801597073778</v>
      </c>
      <c r="K11">
        <f t="shared" si="1"/>
        <v>-2.9490294650713622E-8</v>
      </c>
    </row>
    <row r="12" spans="2:11" x14ac:dyDescent="0.25">
      <c r="B12">
        <v>-1.5</v>
      </c>
      <c r="C12" cm="1">
        <f t="array" ref="C12">_xll.VARIATE.PDF($C$3, $B12, s)</f>
        <v>0.11092083467945553</v>
      </c>
      <c r="D12" cm="1">
        <f t="array" ref="D12">_xll.VARIATE.PDF($D$3, $B12, s)</f>
        <v>8.1065082079790129E-2</v>
      </c>
      <c r="F12">
        <f t="shared" si="0"/>
        <v>85.641517748361352</v>
      </c>
      <c r="G12" cm="1">
        <f t="array" ref="G12">_xll.OPTION.VALUE($C$3, f, s,$F12)</f>
        <v>14.600023194868115</v>
      </c>
      <c r="H12" cm="1">
        <f t="array" ref="H12">_xll.OPTION.VALUE($D$3, f, s,$F12)</f>
        <v>15.377966164300645</v>
      </c>
      <c r="I12" s="22" cm="1">
        <f t="array" ref="I12">_xll.OPTION.IMPLIED($C$3, f, H12, F12)</f>
        <v>0.14702513388440205</v>
      </c>
      <c r="J12" cm="1">
        <f t="array" ref="J12">_xll.OPTION.VALUE($C$3, f,I12, F12)</f>
        <v>15.377966168809678</v>
      </c>
      <c r="K12">
        <f t="shared" si="1"/>
        <v>-4.5090331468600198E-9</v>
      </c>
    </row>
    <row r="13" spans="2:11" x14ac:dyDescent="0.25">
      <c r="B13">
        <v>-1.4</v>
      </c>
      <c r="C13" cm="1">
        <f t="array" ref="C13">_xll.VARIATE.PDF($C$3, $B13, s)</f>
        <v>0.12951759566589172</v>
      </c>
      <c r="D13" cm="1">
        <f t="array" ref="D13">_xll.VARIATE.PDF($D$3, $B13, s)</f>
        <v>9.4048723578568541E-2</v>
      </c>
      <c r="F13">
        <f t="shared" si="0"/>
        <v>86.502229311074132</v>
      </c>
      <c r="G13" cm="1">
        <f t="array" ref="G13">_xll.OPTION.VALUE($C$3, f, s,$F13)</f>
        <v>13.802681617476011</v>
      </c>
      <c r="H13" cm="1">
        <f t="array" ref="H13">_xll.OPTION.VALUE($D$3, f, s,$F13)</f>
        <v>14.657002233450982</v>
      </c>
      <c r="I13" s="22" cm="1">
        <f t="array" ref="I13">_xll.OPTION.IMPLIED($C$3, f, H13, F13)</f>
        <v>0.14666198573848974</v>
      </c>
      <c r="J13" cm="1">
        <f t="array" ref="J13">_xll.OPTION.VALUE($C$3, f,I13, F13)</f>
        <v>14.657002234050296</v>
      </c>
      <c r="K13">
        <f t="shared" si="1"/>
        <v>-5.993143759042141E-10</v>
      </c>
    </row>
    <row r="14" spans="2:11" x14ac:dyDescent="0.25">
      <c r="B14">
        <v>-1.3</v>
      </c>
      <c r="C14" cm="1">
        <f t="array" ref="C14">_xll.VARIATE.PDF($C$3, $B14, s)</f>
        <v>0.14972746563574482</v>
      </c>
      <c r="D14" cm="1">
        <f t="array" ref="D14">_xll.VARIATE.PDF($D$3, $B14, s)</f>
        <v>0.10880786118148424</v>
      </c>
      <c r="F14">
        <f t="shared" si="0"/>
        <v>87.371591168803448</v>
      </c>
      <c r="G14" cm="1">
        <f t="array" ref="G14">_xll.OPTION.VALUE($C$3, f, s,$F14)</f>
        <v>13.010355271975456</v>
      </c>
      <c r="H14" cm="1">
        <f t="array" ref="H14">_xll.OPTION.VALUE($D$3, f, s,$F14)</f>
        <v>13.944289759112635</v>
      </c>
      <c r="I14" s="22" cm="1">
        <f t="array" ref="I14">_xll.OPTION.IMPLIED($C$3, f, H14, F14)</f>
        <v>0.14634156326002407</v>
      </c>
      <c r="J14" cm="1">
        <f t="array" ref="J14">_xll.OPTION.VALUE($C$3, f,I14, F14)</f>
        <v>13.944289759180947</v>
      </c>
      <c r="K14">
        <f t="shared" si="1"/>
        <v>-6.8311578615976032E-11</v>
      </c>
    </row>
    <row r="15" spans="2:11" x14ac:dyDescent="0.25">
      <c r="B15">
        <v>-1.2</v>
      </c>
      <c r="C15" cm="1">
        <f t="array" ref="C15">_xll.VARIATE.PDF($C$3, $B15, s)</f>
        <v>0.17136859204780733</v>
      </c>
      <c r="D15" cm="1">
        <f t="array" ref="D15">_xll.VARIATE.PDF($D$3, $B15, s)</f>
        <v>0.12548082661844451</v>
      </c>
      <c r="F15">
        <f t="shared" si="0"/>
        <v>88.249690258459552</v>
      </c>
      <c r="G15" cm="1">
        <f t="array" ref="G15">_xll.OPTION.VALUE($C$3, f, s,$F15)</f>
        <v>12.22512403818827</v>
      </c>
      <c r="H15" cm="1">
        <f t="array" ref="H15">_xll.OPTION.VALUE($D$3, f, s,$F15)</f>
        <v>13.241235819178769</v>
      </c>
      <c r="I15" s="22" cm="1">
        <f t="array" ref="I15">_xll.OPTION.IMPLIED($C$3, f, H15, F15)</f>
        <v>0.14606372190600991</v>
      </c>
      <c r="J15" cm="1">
        <f t="array" ref="J15">_xll.OPTION.VALUE($C$3, f,I15, F15)</f>
        <v>13.241235819185306</v>
      </c>
      <c r="K15">
        <f t="shared" si="1"/>
        <v>-6.5369931689929217E-12</v>
      </c>
    </row>
    <row r="16" spans="2:11" x14ac:dyDescent="0.25">
      <c r="B16">
        <v>-1.1000000000000001</v>
      </c>
      <c r="C16" cm="1">
        <f t="array" ref="C16">_xll.VARIATE.PDF($C$3, $B16, s)</f>
        <v>0.1941860549832129</v>
      </c>
      <c r="D16" cm="1">
        <f t="array" ref="D16">_xll.VARIATE.PDF($D$3, $B16, s)</f>
        <v>0.14417924296111256</v>
      </c>
      <c r="F16">
        <f t="shared" si="0"/>
        <v>89.136614390683135</v>
      </c>
      <c r="G16" cm="1">
        <f t="array" ref="G16">_xll.OPTION.VALUE($C$3, f, s,$F16)</f>
        <v>11.449231947626672</v>
      </c>
      <c r="H16" cm="1">
        <f t="array" ref="H16">_xll.OPTION.VALUE($D$3, f, s,$F16)</f>
        <v>12.54924563901838</v>
      </c>
      <c r="I16" s="22" cm="1">
        <f t="array" ref="I16">_xll.OPTION.IMPLIED($C$3, f, H16, F16)</f>
        <v>0.14582714646842015</v>
      </c>
      <c r="J16" cm="1">
        <f t="array" ref="J16">_xll.OPTION.VALUE($C$3, f,I16, F16)</f>
        <v>12.549245639018906</v>
      </c>
      <c r="K16">
        <f t="shared" si="1"/>
        <v>-5.2580162446247414E-13</v>
      </c>
    </row>
    <row r="17" spans="2:11" x14ac:dyDescent="0.25">
      <c r="B17">
        <v>-1</v>
      </c>
      <c r="C17" cm="1">
        <f t="array" ref="C17">_xll.VARIATE.PDF($C$3, $B17, s)</f>
        <v>0.2178521770325505</v>
      </c>
      <c r="D17" cm="1">
        <f t="array" ref="D17">_xll.VARIATE.PDF($D$3, $B17, s)</f>
        <v>0.16497198432624338</v>
      </c>
      <c r="F17">
        <f t="shared" si="0"/>
        <v>90.032452258626563</v>
      </c>
      <c r="G17" cm="1">
        <f t="array" ref="G17">_xll.OPTION.VALUE($C$3, f, s,$F17)</f>
        <v>10.685063221899355</v>
      </c>
      <c r="H17" cm="1">
        <f t="array" ref="H17">_xll.OPTION.VALUE($D$3, f, s,$F17)</f>
        <v>11.8696876722274</v>
      </c>
      <c r="I17" s="22" cm="1">
        <f t="array" ref="I17">_xll.OPTION.IMPLIED($C$3, f, H17, F17)</f>
        <v>0.14562902249129611</v>
      </c>
      <c r="J17" cm="1">
        <f t="array" ref="J17">_xll.OPTION.VALUE($C$3, f,I17, F17)</f>
        <v>11.869687672227428</v>
      </c>
      <c r="K17">
        <f t="shared" si="1"/>
        <v>-2.8421709430404007E-14</v>
      </c>
    </row>
    <row r="18" spans="2:11" x14ac:dyDescent="0.25">
      <c r="B18">
        <v>-0.9</v>
      </c>
      <c r="C18" cm="1">
        <f t="array" ref="C18">_xll.VARIATE.PDF($C$3, $B18, s)</f>
        <v>0.24197072451914334</v>
      </c>
      <c r="D18" cm="1">
        <f t="array" ref="D18">_xll.VARIATE.PDF($D$3, $B18, s)</f>
        <v>0.18786558283236218</v>
      </c>
      <c r="F18">
        <f t="shared" si="0"/>
        <v>90.937293446823148</v>
      </c>
      <c r="G18" cm="1">
        <f t="array" ref="G18">_xll.OPTION.VALUE($C$3, f, s,$F18)</f>
        <v>9.9351107905484497</v>
      </c>
      <c r="H18" cm="1">
        <f t="array" ref="H18">_xll.OPTION.VALUE($D$3, f, s,$F18)</f>
        <v>11.203853611828421</v>
      </c>
      <c r="I18" s="22" cm="1">
        <f t="array" ref="I18">_xll.OPTION.IMPLIED($C$3, f, H18, F18)</f>
        <v>0.14546467993792722</v>
      </c>
      <c r="J18" cm="1">
        <f t="array" ref="J18">_xll.OPTION.VALUE($C$3, f,I18, F18)</f>
        <v>11.203853790830095</v>
      </c>
      <c r="K18">
        <f t="shared" si="1"/>
        <v>-1.7900167392781441E-7</v>
      </c>
    </row>
    <row r="19" spans="2:11" x14ac:dyDescent="0.25">
      <c r="B19">
        <v>-0.8</v>
      </c>
      <c r="C19" cm="1">
        <f t="array" ref="C19">_xll.VARIATE.PDF($C$3, $B19, s)</f>
        <v>0.26608524989875482</v>
      </c>
      <c r="D19" cm="1">
        <f t="array" ref="D19">_xll.VARIATE.PDF($D$3, $B19, s)</f>
        <v>0.2127814336406389</v>
      </c>
      <c r="F19">
        <f t="shared" si="0"/>
        <v>91.851228440145732</v>
      </c>
      <c r="G19" cm="1">
        <f t="array" ref="G19">_xll.OPTION.VALUE($C$3, f, s,$F19)</f>
        <v>9.2019376367399985</v>
      </c>
      <c r="H19" cm="1">
        <f t="array" ref="H19">_xll.OPTION.VALUE($D$3, f, s,$F19)</f>
        <v>10.552915208835586</v>
      </c>
      <c r="I19" s="22" cm="1">
        <f t="array" ref="I19">_xll.OPTION.IMPLIED($C$3, f, H19, F19)</f>
        <v>0.14532718878308284</v>
      </c>
      <c r="J19" cm="1">
        <f t="array" ref="J19">_xll.OPTION.VALUE($C$3, f,I19, F19)</f>
        <v>10.552915246347958</v>
      </c>
      <c r="K19">
        <f t="shared" si="1"/>
        <v>-3.7512371875436656E-8</v>
      </c>
    </row>
    <row r="20" spans="2:11" x14ac:dyDescent="0.25">
      <c r="B20">
        <v>-0.7</v>
      </c>
      <c r="C20" cm="1">
        <f t="array" ref="C20">_xll.VARIATE.PDF($C$3, $B20, s)</f>
        <v>0.28969155276148273</v>
      </c>
      <c r="D20" cm="1">
        <f t="array" ref="D20">_xll.VARIATE.PDF($D$3, $B20, s)</f>
        <v>0.23953080787771314</v>
      </c>
      <c r="F20">
        <f t="shared" si="0"/>
        <v>92.774348632855279</v>
      </c>
      <c r="G20" cm="1">
        <f t="array" ref="G20">_xll.OPTION.VALUE($C$3, f, s,$F20)</f>
        <v>8.4881317366273805</v>
      </c>
      <c r="H20" cm="1">
        <f t="array" ref="H20">_xll.OPTION.VALUE($D$3, f, s,$F20)</f>
        <v>9.91788097003122</v>
      </c>
      <c r="I20" s="22" cm="1">
        <f t="array" ref="I20">_xll.OPTION.IMPLIED($C$3, f, H20, F20)</f>
        <v>0.14520705399044512</v>
      </c>
      <c r="J20" cm="1">
        <f t="array" ref="J20">_xll.OPTION.VALUE($C$3, f,I20, F20)</f>
        <v>9.9178809764506468</v>
      </c>
      <c r="K20">
        <f t="shared" si="1"/>
        <v>-6.4194267679340555E-9</v>
      </c>
    </row>
    <row r="21" spans="2:11" x14ac:dyDescent="0.25">
      <c r="B21">
        <v>-0.6</v>
      </c>
      <c r="C21" cm="1">
        <f t="array" ref="C21">_xll.VARIATE.PDF($C$3, $B21, s)</f>
        <v>0.31225393336676122</v>
      </c>
      <c r="D21" cm="1">
        <f t="array" ref="D21">_xll.VARIATE.PDF($D$3, $B21, s)</f>
        <v>0.2677895756791393</v>
      </c>
      <c r="F21">
        <f t="shared" si="0"/>
        <v>93.706746337740341</v>
      </c>
      <c r="G21" cm="1">
        <f t="array" ref="G21">_xll.OPTION.VALUE($C$3, f, s,$F21)</f>
        <v>7.7962557772929273</v>
      </c>
      <c r="H21" cm="1">
        <f t="array" ref="H21">_xll.OPTION.VALUE($D$3, f, s,$F21)</f>
        <v>9.2995571234057905</v>
      </c>
      <c r="I21" s="22" cm="1">
        <f t="array" ref="I21">_xll.OPTION.IMPLIED($C$3, f, H21, F21)</f>
        <v>0.14509187770431264</v>
      </c>
      <c r="J21" cm="1">
        <f t="array" ref="J21">_xll.OPTION.VALUE($C$3, f,I21, F21)</f>
        <v>9.2995571242501498</v>
      </c>
      <c r="K21">
        <f t="shared" si="1"/>
        <v>-8.4435924918579985E-10</v>
      </c>
    </row>
    <row r="22" spans="2:11" x14ac:dyDescent="0.25">
      <c r="B22">
        <v>-0.5</v>
      </c>
      <c r="C22" cm="1">
        <f t="array" ref="C22">_xll.VARIATE.PDF($C$3, $B22, s)</f>
        <v>0.33322460289179962</v>
      </c>
      <c r="D22" cm="1">
        <f t="array" ref="D22">_xll.VARIATE.PDF($D$3, $B22, s)</f>
        <v>0.2970756247068968</v>
      </c>
      <c r="F22">
        <f t="shared" si="0"/>
        <v>94.648514795348376</v>
      </c>
      <c r="G22" cm="1">
        <f t="array" ref="G22">_xll.OPTION.VALUE($C$3, f, s,$F22)</f>
        <v>7.1287932286711992</v>
      </c>
      <c r="H22" cm="1">
        <f t="array" ref="H22">_xll.OPTION.VALUE($D$3, f, s,$F22)</f>
        <v>8.6985184795749859</v>
      </c>
      <c r="I22" s="22" cm="1">
        <f t="array" ref="I22">_xll.OPTION.IMPLIED($C$3, f, H22, F22)</f>
        <v>0.14496622217408181</v>
      </c>
      <c r="J22" cm="1">
        <f t="array" ref="J22">_xll.OPTION.VALUE($C$3, f,I22, F22)</f>
        <v>8.6985184796527477</v>
      </c>
      <c r="K22">
        <f t="shared" si="1"/>
        <v>-7.7761797001585364E-11</v>
      </c>
    </row>
    <row r="23" spans="2:11" x14ac:dyDescent="0.25">
      <c r="B23">
        <v>-0.4</v>
      </c>
      <c r="C23" cm="1">
        <f t="array" ref="C23">_xll.VARIATE.PDF($C$3, $B23, s)</f>
        <v>0.35206532676429947</v>
      </c>
      <c r="D23" cm="1">
        <f t="array" ref="D23">_xll.VARIATE.PDF($D$3, $B23, s)</f>
        <v>0.32673310235297287</v>
      </c>
      <c r="F23">
        <f t="shared" si="0"/>
        <v>95.599748183309984</v>
      </c>
      <c r="G23" cm="1">
        <f t="array" ref="G23">_xll.OPTION.VALUE($C$3, f, s,$F23)</f>
        <v>6.4880926755878647</v>
      </c>
      <c r="H23" cm="1">
        <f t="array" ref="H23">_xll.OPTION.VALUE($D$3, f, s,$F23)</f>
        <v>8.1150956672493351</v>
      </c>
      <c r="I23" s="22" cm="1">
        <f t="array" ref="I23">_xll.OPTION.IMPLIED($C$3, f, H23, F23)</f>
        <v>0.14481166612749297</v>
      </c>
      <c r="J23" cm="1">
        <f t="array" ref="J23">_xll.OPTION.VALUE($C$3, f,I23, F23)</f>
        <v>8.115095667253641</v>
      </c>
      <c r="K23">
        <f t="shared" si="1"/>
        <v>-4.3058889787062071E-12</v>
      </c>
    </row>
    <row r="24" spans="2:11" x14ac:dyDescent="0.25">
      <c r="B24">
        <v>-0.3</v>
      </c>
      <c r="C24" cm="1">
        <f t="array" ref="C24">_xll.VARIATE.PDF($C$3, $B24, s)</f>
        <v>0.36827014030332328</v>
      </c>
      <c r="D24" cm="1">
        <f t="array" ref="D24">_xll.VARIATE.PDF($D$3, $B24, s)</f>
        <v>0.35592856495173131</v>
      </c>
      <c r="F24">
        <f t="shared" si="0"/>
        <v>96.560541625756642</v>
      </c>
      <c r="G24" cm="1">
        <f t="array" ref="G24">_xll.OPTION.VALUE($C$3, f, s,$F24)</f>
        <v>5.8763125577255693</v>
      </c>
      <c r="H24" cm="1">
        <f t="array" ref="H24">_xll.OPTION.VALUE($D$3, f, s,$F24)</f>
        <v>7.5493852640110717</v>
      </c>
      <c r="I24" s="22" cm="1">
        <f t="array" ref="I24">_xll.OPTION.IMPLIED($C$3, f, H24, F24)</f>
        <v>0.14460716383626068</v>
      </c>
      <c r="J24" cm="1">
        <f t="array" ref="J24">_xll.OPTION.VALUE($C$3, f,I24, F24)</f>
        <v>7.5493852640111783</v>
      </c>
      <c r="K24">
        <f t="shared" si="1"/>
        <v>-1.0658141036401503E-13</v>
      </c>
    </row>
    <row r="25" spans="2:11" x14ac:dyDescent="0.25">
      <c r="B25">
        <v>-0.2</v>
      </c>
      <c r="C25" cm="1">
        <f t="array" ref="C25">_xll.VARIATE.PDF($C$3, $B25, s)</f>
        <v>0.38138781546052403</v>
      </c>
      <c r="D25" cm="1">
        <f t="array" ref="D25">_xll.VARIATE.PDF($D$3, $B25, s)</f>
        <v>0.38366451532547252</v>
      </c>
      <c r="F25">
        <f t="shared" si="0"/>
        <v>97.530991202833263</v>
      </c>
      <c r="G25" cm="1">
        <f t="array" ref="G25">_xll.OPTION.VALUE($C$3, f, s,$F25)</f>
        <v>5.295368593434354</v>
      </c>
      <c r="H25" cm="1">
        <f t="array" ref="H25">_xll.OPTION.VALUE($D$3, f, s,$F25)</f>
        <v>7.0012881209264179</v>
      </c>
      <c r="I25" s="22" cm="1">
        <f t="array" ref="I25">_xll.OPTION.IMPLIED($C$3, f, H25, F25)</f>
        <v>0.14432979745562452</v>
      </c>
      <c r="J25" cm="1">
        <f t="array" ref="J25">_xll.OPTION.VALUE($C$3, f,I25, F25)</f>
        <v>7.0012886478168781</v>
      </c>
      <c r="K25">
        <f t="shared" si="1"/>
        <v>-5.2689046015075292E-7</v>
      </c>
    </row>
    <row r="26" spans="2:11" x14ac:dyDescent="0.25">
      <c r="B26">
        <v>-0.1</v>
      </c>
      <c r="C26" cm="1">
        <f t="array" ref="C26">_xll.VARIATE.PDF($C$3, $B26, s)</f>
        <v>0.39104269397545582</v>
      </c>
      <c r="D26" cm="1">
        <f t="array" ref="D26">_xll.VARIATE.PDF($D$3, $B26, s)</f>
        <v>0.40881520246197511</v>
      </c>
      <c r="F26">
        <f t="shared" si="0"/>
        <v>98.511193960306258</v>
      </c>
      <c r="G26" cm="1">
        <f t="array" ref="G26">_xll.OPTION.VALUE($C$3, f, s,$F26)</f>
        <v>4.746886160740253</v>
      </c>
      <c r="H26" cm="1">
        <f t="array" ref="H26">_xll.OPTION.VALUE($D$3, f, s,$F26)</f>
        <v>6.4705783133044292</v>
      </c>
      <c r="I26" s="22" cm="1">
        <f t="array" ref="I26">_xll.OPTION.IMPLIED($C$3, f, H26, F26)</f>
        <v>0.14395587367923701</v>
      </c>
      <c r="J26" cm="1">
        <f t="array" ref="J26">_xll.OPTION.VALUE($C$3, f,I26, F26)</f>
        <v>6.4705783250738662</v>
      </c>
      <c r="K26">
        <f t="shared" si="1"/>
        <v>-1.1769436980557657E-8</v>
      </c>
    </row>
    <row r="27" spans="2:11" x14ac:dyDescent="0.25">
      <c r="B27">
        <v>0</v>
      </c>
      <c r="C27" cm="1">
        <f t="array" ref="C27">_xll.VARIATE.PDF($C$3, $B27, s)</f>
        <v>0.39695254747701175</v>
      </c>
      <c r="D27" cm="1">
        <f t="array" ref="D27">_xll.VARIATE.PDF($D$3, $B27, s)</f>
        <v>0.43018753019765577</v>
      </c>
      <c r="F27">
        <f t="shared" si="0"/>
        <v>99.501247919268238</v>
      </c>
      <c r="G27" cm="1">
        <f t="array" ref="G27">_xll.OPTION.VALUE($C$3, f, s,$F27)</f>
        <v>4.2321597680687688</v>
      </c>
      <c r="H27" cm="1">
        <f t="array" ref="H27">_xll.OPTION.VALUE($D$3, f, s,$F27)</f>
        <v>5.9570005301529676</v>
      </c>
      <c r="I27" s="22" cm="1">
        <f t="array" ref="I27">_xll.OPTION.IMPLIED($C$3, f, H27, F27)</f>
        <v>0.1434626364903113</v>
      </c>
      <c r="J27" cm="1">
        <f t="array" ref="J27">_xll.OPTION.VALUE($C$3, f,I27, F27)</f>
        <v>5.9570005300922375</v>
      </c>
      <c r="K27">
        <f t="shared" si="1"/>
        <v>6.0730087625415763E-11</v>
      </c>
    </row>
    <row r="28" spans="2:11" x14ac:dyDescent="0.25">
      <c r="B28">
        <v>0.1</v>
      </c>
      <c r="C28" cm="1">
        <f t="array" ref="C28">_xll.VARIATE.PDF($C$3, $B28, s)</f>
        <v>0.39894228040143265</v>
      </c>
      <c r="D28" cm="1">
        <f t="array" ref="D28">_xll.VARIATE.PDF($D$3, $B28, s)</f>
        <v>0.44660628321101875</v>
      </c>
      <c r="F28">
        <f t="shared" si="0"/>
        <v>100.5012520859401</v>
      </c>
      <c r="G28" cm="1">
        <f t="array" ref="G28">_xll.OPTION.VALUE($C$3, f, s,$F28)</f>
        <v>3.7521214712464399</v>
      </c>
      <c r="H28" cm="1">
        <f t="array" ref="H28">_xll.OPTION.VALUE($D$3, f, s,$F28)</f>
        <v>5.460387707483477</v>
      </c>
      <c r="I28" s="22" cm="1">
        <f t="array" ref="I28">_xll.OPTION.IMPLIED($C$3, f, H28, F28)</f>
        <v>0.14283003208008002</v>
      </c>
      <c r="J28" cm="1">
        <f t="array" ref="J28">_xll.OPTION.VALUE($C$3, f,I28, F28)</f>
        <v>5.4603877074277918</v>
      </c>
      <c r="K28">
        <f t="shared" si="1"/>
        <v>5.5685234201519052E-11</v>
      </c>
    </row>
    <row r="29" spans="2:11" x14ac:dyDescent="0.25">
      <c r="B29">
        <v>0.2</v>
      </c>
      <c r="C29" cm="1">
        <f t="array" ref="C29">_xll.VARIATE.PDF($C$3, $B29, s)</f>
        <v>0.39695254747701175</v>
      </c>
      <c r="D29" cm="1">
        <f t="array" ref="D29">_xll.VARIATE.PDF($D$3, $B29, s)</f>
        <v>0.45701787903378838</v>
      </c>
      <c r="F29">
        <f t="shared" si="0"/>
        <v>101.51130646157189</v>
      </c>
      <c r="G29" cm="1">
        <f t="array" ref="G29">_xll.OPTION.VALUE($C$3, f, s,$F29)</f>
        <v>3.3073196964390874</v>
      </c>
      <c r="H29" cm="1">
        <f t="array" ref="H29">_xll.OPTION.VALUE($D$3, f, s,$F29)</f>
        <v>4.9807843047185116</v>
      </c>
      <c r="I29" s="22" cm="1">
        <f t="array" ref="I29">_xll.OPTION.IMPLIED($C$3, f, H29, F29)</f>
        <v>0.14204280532451724</v>
      </c>
      <c r="J29" cm="1">
        <f t="array" ref="J29">_xll.OPTION.VALUE($C$3, f,I29, F29)</f>
        <v>4.9807843160154235</v>
      </c>
      <c r="K29">
        <f t="shared" si="1"/>
        <v>-1.1296911850422475E-8</v>
      </c>
    </row>
    <row r="30" spans="2:11" x14ac:dyDescent="0.25">
      <c r="B30">
        <v>0.3</v>
      </c>
      <c r="C30" cm="1">
        <f t="array" ref="C30">_xll.VARIATE.PDF($C$3, $B30, s)</f>
        <v>0.39104269397545582</v>
      </c>
      <c r="D30" cm="1">
        <f t="array" ref="D30">_xll.VARIATE.PDF($D$3, $B30, s)</f>
        <v>0.46060134926128465</v>
      </c>
      <c r="F30">
        <f t="shared" si="0"/>
        <v>102.53151205244289</v>
      </c>
      <c r="G30" cm="1">
        <f t="array" ref="G30">_xll.OPTION.VALUE($C$3, f, s,$F30)</f>
        <v>2.8979094351555332</v>
      </c>
      <c r="H30" cm="1">
        <f t="array" ref="H30">_xll.OPTION.VALUE($D$3, f, s,$F30)</f>
        <v>4.5185554022053651</v>
      </c>
      <c r="I30" s="22" cm="1">
        <f t="array" ref="I30">_xll.OPTION.IMPLIED($C$3, f, H30, F30)</f>
        <v>0.14109239452979944</v>
      </c>
      <c r="J30" cm="1">
        <f t="array" ref="J30">_xll.OPTION.VALUE($C$3, f,I30, F30)</f>
        <v>4.5185558590742758</v>
      </c>
      <c r="K30">
        <f t="shared" si="1"/>
        <v>-4.568689107031787E-7</v>
      </c>
    </row>
    <row r="31" spans="2:11" x14ac:dyDescent="0.25">
      <c r="B31">
        <v>0.4</v>
      </c>
      <c r="C31" cm="1">
        <f t="array" ref="C31">_xll.VARIATE.PDF($C$3, $B31, s)</f>
        <v>0.38138781546052403</v>
      </c>
      <c r="D31" cm="1">
        <f t="array" ref="D31">_xll.VARIATE.PDF($D$3, $B31, s)</f>
        <v>0.45687067340769921</v>
      </c>
      <c r="F31">
        <f t="shared" si="0"/>
        <v>103.56197087996233</v>
      </c>
      <c r="G31" cm="1">
        <f t="array" ref="G31">_xll.OPTION.VALUE($C$3, f, s,$F31)</f>
        <v>2.5236542198850032</v>
      </c>
      <c r="H31" cm="1">
        <f t="array" ref="H31">_xll.OPTION.VALUE($D$3, f, s,$F31)</f>
        <v>4.0744596336129817</v>
      </c>
      <c r="I31" s="22" cm="1">
        <f t="array" ref="I31">_xll.OPTION.IMPLIED($C$3, f, H31, F31)</f>
        <v>0.13997833140181179</v>
      </c>
      <c r="J31" cm="1">
        <f t="array" ref="J31">_xll.OPTION.VALUE($C$3, f,I31, F31)</f>
        <v>4.0744596336130456</v>
      </c>
      <c r="K31">
        <f t="shared" si="1"/>
        <v>-6.3948846218409017E-14</v>
      </c>
    </row>
    <row r="32" spans="2:11" x14ac:dyDescent="0.25">
      <c r="B32">
        <v>0.5</v>
      </c>
      <c r="C32" cm="1">
        <f t="array" ref="C32">_xll.VARIATE.PDF($C$3, $B32, s)</f>
        <v>0.36827014030332328</v>
      </c>
      <c r="D32" cm="1">
        <f t="array" ref="D32">_xll.VARIATE.PDF($D$3, $B32, s)</f>
        <v>0.44575062286573297</v>
      </c>
      <c r="F32">
        <f t="shared" si="0"/>
        <v>104.60278599087169</v>
      </c>
      <c r="G32" cm="1">
        <f t="array" ref="G32">_xll.OPTION.VALUE($C$3, f, s,$F32)</f>
        <v>2.1839397054628762</v>
      </c>
      <c r="H32" cm="1">
        <f t="array" ref="H32">_xll.OPTION.VALUE($D$3, f, s,$F32)</f>
        <v>3.6496664345329677</v>
      </c>
      <c r="I32" s="22" cm="1">
        <f t="array" ref="I32">_xll.OPTION.IMPLIED($C$3, f, H32, F32)</f>
        <v>0.13870908474385632</v>
      </c>
      <c r="J32" cm="1">
        <f t="array" ref="J32">_xll.OPTION.VALUE($C$3, f,I32, F32)</f>
        <v>3.6496664345354759</v>
      </c>
      <c r="K32">
        <f t="shared" si="1"/>
        <v>-2.5082158572331537E-12</v>
      </c>
    </row>
    <row r="33" spans="2:11" x14ac:dyDescent="0.25">
      <c r="B33">
        <v>0.6</v>
      </c>
      <c r="C33" cm="1">
        <f t="array" ref="C33">_xll.VARIATE.PDF($C$3, $B33, s)</f>
        <v>0.35206532676429947</v>
      </c>
      <c r="D33" cm="1">
        <f t="array" ref="D33">_xll.VARIATE.PDF($D$3, $B33, s)</f>
        <v>0.42761026718783418</v>
      </c>
      <c r="F33">
        <f t="shared" si="0"/>
        <v>105.65406146754943</v>
      </c>
      <c r="G33" cm="1">
        <f t="array" ref="G33">_xll.OPTION.VALUE($C$3, f, s,$F33)</f>
        <v>1.8777981121653475</v>
      </c>
      <c r="H33" cm="1">
        <f t="array" ref="H33">_xll.OPTION.VALUE($D$3, f, s,$F33)</f>
        <v>3.2457057479515576</v>
      </c>
      <c r="I33" s="22" cm="1">
        <f t="array" ref="I33">_xll.OPTION.IMPLIED($C$3, f, H33, F33)</f>
        <v>0.13730177129037938</v>
      </c>
      <c r="J33" cm="1">
        <f t="array" ref="J33">_xll.OPTION.VALUE($C$3, f,I33, F33)</f>
        <v>3.2457057479896605</v>
      </c>
      <c r="K33">
        <f t="shared" si="1"/>
        <v>-3.8102854205135372E-11</v>
      </c>
    </row>
    <row r="34" spans="2:11" x14ac:dyDescent="0.25">
      <c r="B34">
        <v>0.7</v>
      </c>
      <c r="C34" cm="1">
        <f t="array" ref="C34">_xll.VARIATE.PDF($C$3, $B34, s)</f>
        <v>0.33322460289179962</v>
      </c>
      <c r="D34" cm="1">
        <f t="array" ref="D34">_xll.VARIATE.PDF($D$3, $B34, s)</f>
        <v>0.40324457968947192</v>
      </c>
      <c r="F34">
        <f t="shared" si="0"/>
        <v>106.71590243841926</v>
      </c>
      <c r="G34" cm="1">
        <f t="array" ref="G34">_xll.OPTION.VALUE($C$3, f, s,$F34)</f>
        <v>1.6039422707262858</v>
      </c>
      <c r="H34" cm="1">
        <f t="array" ref="H34">_xll.OPTION.VALUE($D$3, f, s,$F34)</f>
        <v>2.8643501809840366</v>
      </c>
      <c r="I34" s="22" cm="1">
        <f t="array" ref="I34">_xll.OPTION.IMPLIED($C$3, f, H34, F34)</f>
        <v>0.13578110351656894</v>
      </c>
      <c r="J34" cm="1">
        <f t="array" ref="J34">_xll.OPTION.VALUE($C$3, f,I34, F34)</f>
        <v>2.864350181323239</v>
      </c>
      <c r="K34">
        <f t="shared" si="1"/>
        <v>-3.3920244391083543E-10</v>
      </c>
    </row>
    <row r="35" spans="2:11" x14ac:dyDescent="0.25">
      <c r="B35">
        <v>0.8</v>
      </c>
      <c r="C35" cm="1">
        <f t="array" ref="C35">_xll.VARIATE.PDF($C$3, $B35, s)</f>
        <v>0.31225393336676122</v>
      </c>
      <c r="D35" cm="1">
        <f t="array" ref="D35">_xll.VARIATE.PDF($D$3, $B35, s)</f>
        <v>0.37380404754107416</v>
      </c>
      <c r="F35">
        <f t="shared" si="0"/>
        <v>107.78841508846315</v>
      </c>
      <c r="G35" cm="1">
        <f t="array" ref="G35">_xll.OPTION.VALUE($C$3, f, s,$F35)</f>
        <v>1.3608075810683147</v>
      </c>
      <c r="H35" cm="1">
        <f t="array" ref="H35">_xll.OPTION.VALUE($D$3, f, s,$F35)</f>
        <v>2.5074430706893942</v>
      </c>
      <c r="I35" s="22" cm="1">
        <f t="array" ref="I35">_xll.OPTION.IMPLIED($C$3, f, H35, F35)</f>
        <v>0.13417748103599991</v>
      </c>
      <c r="J35" cm="1">
        <f t="array" ref="J35">_xll.OPTION.VALUE($C$3, f,I35, F35)</f>
        <v>2.5074430727527677</v>
      </c>
      <c r="K35">
        <f t="shared" si="1"/>
        <v>-2.0633734720831853E-9</v>
      </c>
    </row>
    <row r="36" spans="2:11" x14ac:dyDescent="0.25">
      <c r="B36">
        <v>0.9</v>
      </c>
      <c r="C36" cm="1">
        <f t="array" ref="C36">_xll.VARIATE.PDF($C$3, $B36, s)</f>
        <v>0.28969155276148267</v>
      </c>
      <c r="D36" cm="1">
        <f t="array" ref="D36">_xll.VARIATE.PDF($D$3, $B36, s)</f>
        <v>0.34068244896781363</v>
      </c>
      <c r="F36">
        <f t="shared" si="0"/>
        <v>108.87170666983988</v>
      </c>
      <c r="G36" cm="1">
        <f t="array" ref="G36">_xll.OPTION.VALUE($C$3, f, s,$F36)</f>
        <v>1.1465998819733123</v>
      </c>
      <c r="H36" cm="1">
        <f t="array" ref="H36">_xll.OPTION.VALUE($D$3, f, s,$F36)</f>
        <v>2.1766974715714866</v>
      </c>
      <c r="I36" s="22" cm="1">
        <f t="array" ref="I36">_xll.OPTION.IMPLIED($C$3, f, H36, F36)</f>
        <v>0.13252459531778216</v>
      </c>
      <c r="J36" cm="1">
        <f t="array" ref="J36">_xll.OPTION.VALUE($C$3, f,I36, F36)</f>
        <v>2.1766974809738109</v>
      </c>
      <c r="K36">
        <f t="shared" si="1"/>
        <v>-9.4023242525054229E-9</v>
      </c>
    </row>
    <row r="37" spans="2:11" x14ac:dyDescent="0.25">
      <c r="B37">
        <v>1</v>
      </c>
      <c r="C37" cm="1">
        <f t="array" ref="C37">_xll.VARIATE.PDF($C$3, $B37, s)</f>
        <v>0.26608524989875482</v>
      </c>
      <c r="D37" cm="1">
        <f t="array" ref="D37">_xll.VARIATE.PDF($D$3, $B37, s)</f>
        <v>0.30538109873755159</v>
      </c>
      <c r="F37">
        <f t="shared" si="0"/>
        <v>109.96588551261028</v>
      </c>
      <c r="G37" cm="1">
        <f t="array" ref="G37">_xll.OPTION.VALUE($C$3, f, s,$F37)</f>
        <v>0.95934704487524058</v>
      </c>
      <c r="H37" cm="1">
        <f t="array" ref="H37">_xll.OPTION.VALUE($D$3, f, s,$F37)</f>
        <v>1.8734974466605436</v>
      </c>
      <c r="I37" s="22" cm="1">
        <f t="array" ref="I37">_xll.OPTION.IMPLIED($C$3, f, H37, F37)</f>
        <v>0.13085689783614893</v>
      </c>
      <c r="J37" cm="1">
        <f t="array" ref="J37">_xll.OPTION.VALUE($C$3, f,I37, F37)</f>
        <v>1.8734974807671385</v>
      </c>
      <c r="K37">
        <f t="shared" si="1"/>
        <v>-3.4106594881677665E-8</v>
      </c>
    </row>
    <row r="38" spans="2:11" x14ac:dyDescent="0.25">
      <c r="B38">
        <v>1.1000000000000001</v>
      </c>
      <c r="C38" cm="1">
        <f t="array" ref="C38">_xll.VARIATE.PDF($C$3, $B38, s)</f>
        <v>0.24197072451914334</v>
      </c>
      <c r="D38" cm="1">
        <f t="array" ref="D38">_xll.VARIATE.PDF($D$3, $B38, s)</f>
        <v>0.26937156074829266</v>
      </c>
      <c r="F38">
        <f t="shared" si="0"/>
        <v>111.07106103557052</v>
      </c>
      <c r="G38" cm="1">
        <f t="array" ref="G38">_xll.OPTION.VALUE($C$3, f, s,$F38)</f>
        <v>0.79695205731460561</v>
      </c>
      <c r="H38" cm="1">
        <f t="array" ref="H38">_xll.OPTION.VALUE($D$3, f, s,$F38)</f>
        <v>1.59873240760332</v>
      </c>
      <c r="I38" s="22" cm="1">
        <f t="array" ref="I38">_xll.OPTION.IMPLIED($C$3, f, H38, F38)</f>
        <v>0.12920727972643456</v>
      </c>
      <c r="J38" cm="1">
        <f t="array" ref="J38">_xll.OPTION.VALUE($C$3, f,I38, F38)</f>
        <v>1.5987325104343562</v>
      </c>
      <c r="K38">
        <f t="shared" si="1"/>
        <v>-1.0283103613062394E-7</v>
      </c>
    </row>
    <row r="39" spans="2:11" x14ac:dyDescent="0.25">
      <c r="B39">
        <v>1.2</v>
      </c>
      <c r="C39" cm="1">
        <f t="array" ref="C39">_xll.VARIATE.PDF($C$3, $B39, s)</f>
        <v>0.21785217703255055</v>
      </c>
      <c r="D39" cm="1">
        <f t="array" ref="D39">_xll.VARIATE.PDF($D$3, $B39, s)</f>
        <v>0.23397724698360206</v>
      </c>
      <c r="F39">
        <f t="shared" si="0"/>
        <v>112.18734375719383</v>
      </c>
      <c r="G39" cm="1">
        <f t="array" ref="G39">_xll.OPTION.VALUE($C$3, f, s,$F39)</f>
        <v>0.65724544544855412</v>
      </c>
      <c r="H39" cm="1">
        <f t="array" ref="H39">_xll.OPTION.VALUE($D$3, f, s,$F39)</f>
        <v>1.3526879301091466</v>
      </c>
      <c r="I39" s="22" cm="1">
        <f t="array" ref="I39">_xll.OPTION.IMPLIED($C$3, f, H39, F39)</f>
        <v>0.1276052253173465</v>
      </c>
      <c r="J39" cm="1">
        <f t="array" ref="J39">_xll.OPTION.VALUE($C$3, f,I39, F39)</f>
        <v>1.3526881963013864</v>
      </c>
      <c r="K39">
        <f t="shared" si="1"/>
        <v>-2.6619223980617335E-7</v>
      </c>
    </row>
    <row r="40" spans="2:11" x14ac:dyDescent="0.25">
      <c r="B40">
        <v>1.3</v>
      </c>
      <c r="C40" cm="1">
        <f t="array" ref="C40">_xll.VARIATE.PDF($C$3, $B40, s)</f>
        <v>0.19418605498321292</v>
      </c>
      <c r="D40" cm="1">
        <f t="array" ref="D40">_xll.VARIATE.PDF($D$3, $B40, s)</f>
        <v>0.2002883655345663</v>
      </c>
      <c r="F40">
        <f t="shared" si="0"/>
        <v>113.31484530668263</v>
      </c>
      <c r="G40" cm="1">
        <f t="array" ref="G40">_xll.OPTION.VALUE($C$3, f, s,$F40)</f>
        <v>0.53803508574048564</v>
      </c>
      <c r="H40" cm="1">
        <f t="array" ref="H40">_xll.OPTION.VALUE($D$3, f, s,$F40)</f>
        <v>1.1350047633731091</v>
      </c>
      <c r="I40" s="22" cm="1">
        <f t="array" ref="I40">_xll.OPTION.IMPLIED($C$3, f, H40, F40)</f>
        <v>0.12607555444863117</v>
      </c>
      <c r="J40" cm="1">
        <f t="array" ref="J40">_xll.OPTION.VALUE($C$3, f,I40, F40)</f>
        <v>1.1350047633731677</v>
      </c>
      <c r="K40">
        <f t="shared" si="1"/>
        <v>-5.8619775700208265E-14</v>
      </c>
    </row>
    <row r="41" spans="2:11" x14ac:dyDescent="0.25">
      <c r="B41">
        <v>1.4</v>
      </c>
      <c r="C41" cm="1">
        <f t="array" ref="C41">_xll.VARIATE.PDF($C$3, $B41, s)</f>
        <v>0.17136859204780738</v>
      </c>
      <c r="D41" cm="1">
        <f t="array" ref="D41">_xll.VARIATE.PDF($D$3, $B41, s)</f>
        <v>0.16911649168468645</v>
      </c>
      <c r="F41">
        <f t="shared" si="0"/>
        <v>114.45367843513145</v>
      </c>
      <c r="G41" cm="1">
        <f t="array" ref="G41">_xll.OPTION.VALUE($C$3, f, s,$F41)</f>
        <v>0.43715175112352078</v>
      </c>
      <c r="H41" cm="1">
        <f t="array" ref="H41">_xll.OPTION.VALUE($D$3, f, s,$F41)</f>
        <v>0.94470499226772553</v>
      </c>
      <c r="I41" s="22" cm="1">
        <f t="array" ref="I41">_xll.OPTION.IMPLIED($C$3, f, H41, F41)</f>
        <v>0.1246378792230963</v>
      </c>
      <c r="J41" cm="1">
        <f t="array" ref="J41">_xll.OPTION.VALUE($C$3, f,I41, F41)</f>
        <v>0.94470499226803994</v>
      </c>
      <c r="K41">
        <f t="shared" si="1"/>
        <v>-3.1441516057384433E-13</v>
      </c>
    </row>
    <row r="42" spans="2:11" x14ac:dyDescent="0.25">
      <c r="B42">
        <v>1.5</v>
      </c>
      <c r="C42" cm="1">
        <f t="array" ref="C42">_xll.VARIATE.PDF($C$3, $B42, s)</f>
        <v>0.14972746563574485</v>
      </c>
      <c r="D42" cm="1">
        <f t="array" ref="D42">_xll.VARIATE.PDF($D$3, $B42, s)</f>
        <v>0.14098707347492739</v>
      </c>
      <c r="F42">
        <f t="shared" si="0"/>
        <v>115.60395702680218</v>
      </c>
      <c r="G42" cm="1">
        <f t="array" ref="G42">_xll.OPTION.VALUE($C$3, f, s,$F42)</f>
        <v>0.35248909881112667</v>
      </c>
      <c r="H42" cm="1">
        <f t="array" ref="H42">_xll.OPTION.VALUE($D$3, f, s,$F42)</f>
        <v>0.78027366077427107</v>
      </c>
      <c r="I42" s="22" cm="1">
        <f t="array" ref="I42">_xll.OPTION.IMPLIED($C$3, f, H42, F42)</f>
        <v>0.12330646158638679</v>
      </c>
      <c r="J42" cm="1">
        <f t="array" ref="J42">_xll.OPTION.VALUE($C$3, f,I42, F42)</f>
        <v>0.78027366077568949</v>
      </c>
      <c r="K42">
        <f t="shared" si="1"/>
        <v>-1.4184209362611E-12</v>
      </c>
    </row>
    <row r="43" spans="2:11" x14ac:dyDescent="0.25">
      <c r="B43">
        <v>1.6</v>
      </c>
      <c r="C43" cm="1">
        <f t="array" ref="C43">_xll.VARIATE.PDF($C$3, $B43, s)</f>
        <v>0.12951759566589172</v>
      </c>
      <c r="D43" cm="1">
        <f t="array" ref="D43">_xll.VARIATE.PDF($D$3, $B43, s)</f>
        <v>0.11616233094851552</v>
      </c>
      <c r="F43">
        <f t="shared" si="0"/>
        <v>116.76579611051253</v>
      </c>
      <c r="G43" cm="1">
        <f t="array" ref="G43">_xll.OPTION.VALUE($C$3, f, s,$F43)</f>
        <v>0.2820372052947091</v>
      </c>
      <c r="H43" cm="1">
        <f t="array" ref="H43">_xll.OPTION.VALUE($D$3, f, s,$F43)</f>
        <v>0.63977765057268332</v>
      </c>
      <c r="I43" s="22" cm="1">
        <f t="array" ref="I43">_xll.OPTION.IMPLIED($C$3, f, H43, F43)</f>
        <v>0.12209060450978634</v>
      </c>
      <c r="J43" cm="1">
        <f t="array" ref="J43">_xll.OPTION.VALUE($C$3, f,I43, F43)</f>
        <v>0.63977765057842895</v>
      </c>
      <c r="K43">
        <f t="shared" si="1"/>
        <v>-5.7456261970401101E-12</v>
      </c>
    </row>
    <row r="44" spans="2:11" x14ac:dyDescent="0.25">
      <c r="B44">
        <v>1.7</v>
      </c>
      <c r="C44" cm="1">
        <f t="array" ref="C44">_xll.VARIATE.PDF($C$3, $B44, s)</f>
        <v>0.11092083467945557</v>
      </c>
      <c r="D44" cm="1">
        <f t="array" ref="D44">_xll.VARIATE.PDF($D$3, $B44, s)</f>
        <v>9.4684103483545889E-2</v>
      </c>
      <c r="F44">
        <f t="shared" si="0"/>
        <v>117.93931187113907</v>
      </c>
      <c r="G44" cm="1">
        <f t="array" ref="G44">_xll.OPTION.VALUE($C$3, f, s,$F44)</f>
        <v>0.22390915899435093</v>
      </c>
      <c r="H44" cm="1">
        <f t="array" ref="H44">_xll.OPTION.VALUE($D$3, f, s,$F44)</f>
        <v>0.52100175171613161</v>
      </c>
      <c r="I44" s="22" cm="1">
        <f t="array" ref="I44">_xll.OPTION.IMPLIED($C$3, f, H44, F44)</f>
        <v>0.12099525223649538</v>
      </c>
      <c r="J44" cm="1">
        <f t="array" ref="J44">_xll.OPTION.VALUE($C$3, f,I44, F44)</f>
        <v>0.52100175173666052</v>
      </c>
      <c r="K44">
        <f t="shared" si="1"/>
        <v>-2.0528911903738845E-11</v>
      </c>
    </row>
    <row r="45" spans="2:11" x14ac:dyDescent="0.25">
      <c r="B45">
        <v>1.8</v>
      </c>
      <c r="C45" cm="1">
        <f t="array" ref="C45">_xll.VARIATE.PDF($C$3, $B45, s)</f>
        <v>9.4049077376886933E-2</v>
      </c>
      <c r="D45" cm="1">
        <f t="array" ref="D45">_xll.VARIATE.PDF($D$3, $B45, s)</f>
        <v>7.6426061185669428E-2</v>
      </c>
      <c r="F45">
        <f t="shared" si="0"/>
        <v>119.12462166123581</v>
      </c>
      <c r="G45" cm="1">
        <f t="array" ref="G45">_xll.OPTION.VALUE($C$3, f, s,$F45)</f>
        <v>0.17636060535953568</v>
      </c>
      <c r="H45" cm="1">
        <f t="array" ref="H45">_xll.OPTION.VALUE($D$3, f, s,$F45)</f>
        <v>0.42158390430104742</v>
      </c>
      <c r="I45" s="22" cm="1">
        <f t="array" ref="I45">_xll.OPTION.IMPLIED($C$3, f, H45, F45)</f>
        <v>0.1200217286529016</v>
      </c>
      <c r="J45" cm="1">
        <f t="array" ref="J45">_xll.OPTION.VALUE($C$3, f,I45, F45)</f>
        <v>0.42158390436775495</v>
      </c>
      <c r="K45">
        <f t="shared" si="1"/>
        <v>-6.6707528389997606E-11</v>
      </c>
    </row>
    <row r="46" spans="2:11" x14ac:dyDescent="0.25">
      <c r="B46">
        <v>1.9</v>
      </c>
      <c r="C46" cm="1">
        <f t="array" ref="C46">_xll.VARIATE.PDF($C$3, $B46, s)</f>
        <v>7.8950158300894177E-2</v>
      </c>
      <c r="D46" cm="1">
        <f t="array" ref="D46">_xll.VARIATE.PDF($D$3, $B46, s)</f>
        <v>6.1146495029372888E-2</v>
      </c>
      <c r="F46">
        <f t="shared" si="0"/>
        <v>120.32184401276953</v>
      </c>
      <c r="G46" cm="1">
        <f t="array" ref="G46">_xll.OPTION.VALUE($C$3, f, s,$F46)</f>
        <v>0.13780248052824717</v>
      </c>
      <c r="H46" cm="1">
        <f t="array" ref="H46">_xll.OPTION.VALUE($D$3, f, s,$F46)</f>
        <v>0.33913606322359202</v>
      </c>
      <c r="I46" s="22" cm="1">
        <f t="array" ref="I46">_xll.OPTION.IMPLIED($C$3, f, H46, F46)</f>
        <v>0.11916850010073253</v>
      </c>
      <c r="J46" cm="1">
        <f t="array" ref="J46">_xll.OPTION.VALUE($C$3, f,I46, F46)</f>
        <v>0.33913606342529246</v>
      </c>
      <c r="K46">
        <f t="shared" si="1"/>
        <v>-2.0170043413259009E-10</v>
      </c>
    </row>
    <row r="47" spans="2:11" x14ac:dyDescent="0.25">
      <c r="B47">
        <v>2</v>
      </c>
      <c r="C47" cm="1">
        <f t="array" ref="C47">_xll.VARIATE.PDF($C$3, $B47, s)</f>
        <v>6.5615814774676581E-2</v>
      </c>
      <c r="D47" cm="1">
        <f t="array" ref="D47">_xll.VARIATE.PDF($D$3, $B47, s)</f>
        <v>4.8535616272378283E-2</v>
      </c>
      <c r="F47">
        <f t="shared" si="0"/>
        <v>121.53109864897307</v>
      </c>
      <c r="G47" cm="1">
        <f t="array" ref="G47">_xll.OPTION.VALUE($C$3, f, s,$F47)</f>
        <v>0.10680745152886129</v>
      </c>
      <c r="H47" cm="1">
        <f t="array" ref="H47">_xll.OPTION.VALUE($D$3, f, s,$F47)</f>
        <v>0.27134247467352268</v>
      </c>
      <c r="I47" s="22" cm="1">
        <f t="array" ref="I47">_xll.OPTION.IMPLIED($C$3, f, H47, F47)</f>
        <v>0.11843189193031237</v>
      </c>
      <c r="J47" cm="1">
        <f t="array" ref="J47">_xll.OPTION.VALUE($C$3, f,I47, F47)</f>
        <v>0.27134247525073452</v>
      </c>
      <c r="K47">
        <f t="shared" si="1"/>
        <v>-5.7721183388537156E-10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20</vt:i4>
      </vt:variant>
    </vt:vector>
  </HeadingPairs>
  <TitlesOfParts>
    <vt:vector size="23" baseType="lpstr">
      <vt:lpstr>Option</vt:lpstr>
      <vt:lpstr>Check</vt:lpstr>
      <vt:lpstr>Sheet1</vt:lpstr>
      <vt:lpstr>delta</vt:lpstr>
      <vt:lpstr>dN</vt:lpstr>
      <vt:lpstr>dN_</vt:lpstr>
      <vt:lpstr>eps</vt:lpstr>
      <vt:lpstr>Option!f</vt:lpstr>
      <vt:lpstr>Sheet1!f</vt:lpstr>
      <vt:lpstr>f</vt:lpstr>
      <vt:lpstr>gamma</vt:lpstr>
      <vt:lpstr>Option!k</vt:lpstr>
      <vt:lpstr>k</vt:lpstr>
      <vt:lpstr>Option!m</vt:lpstr>
      <vt:lpstr>m</vt:lpstr>
      <vt:lpstr>N</vt:lpstr>
      <vt:lpstr>N_</vt:lpstr>
      <vt:lpstr>Option!s</vt:lpstr>
      <vt:lpstr>Sheet1!s</vt:lpstr>
      <vt:lpstr>s</vt:lpstr>
      <vt:lpstr>value</vt:lpstr>
      <vt:lpstr>vega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2020-11-19T23:37:11Z</dcterms:created>
  <dcterms:modified xsi:type="dcterms:W3CDTF">2021-02-08T01:19:06Z</dcterms:modified>
</cp:coreProperties>
</file>