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x\source\repos\xlladdins\xlloption\"/>
    </mc:Choice>
  </mc:AlternateContent>
  <xr:revisionPtr revIDLastSave="0" documentId="13_ncr:1_{5C72ACB6-7E53-49BF-AC3F-62332A28E61C}" xr6:coauthVersionLast="45" xr6:coauthVersionMax="45" xr10:uidLastSave="{00000000-0000-0000-0000-000000000000}"/>
  <bookViews>
    <workbookView xWindow="6270" yWindow="2100" windowWidth="20595" windowHeight="13215" xr2:uid="{44AEB816-CB2A-4A0A-B718-E5B5191DFF2A}"/>
  </bookViews>
  <sheets>
    <sheet name="Sheet1" sheetId="1" r:id="rId1"/>
  </sheets>
  <definedNames>
    <definedName name="delta">Sheet1!$C$12:$G$12</definedName>
    <definedName name="eps">Sheet1!$C$10</definedName>
    <definedName name="f">Sheet1!$C$3:$G$3</definedName>
    <definedName name="gamma">Sheet1!$C$13:$G$13</definedName>
    <definedName name="k">Sheet1!$C$5:$G$5</definedName>
    <definedName name="m">Sheet1!$C$19</definedName>
    <definedName name="N">Sheet1!$C$7:$G$7</definedName>
    <definedName name="N_">Sheet1!$C$8:$G$8</definedName>
    <definedName name="s">Sheet1!$C$4:$G$4</definedName>
    <definedName name="value">Sheet1!$C$11:$G$11</definedName>
    <definedName name="vega">Sheet1!$C$14:$G$14</definedName>
    <definedName name="x">Sheet1!$C$6:$G$6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C19" i="1" s="1"/>
  <c r="C20" i="1" s="1"/>
  <c r="D20" i="1"/>
  <c r="D19" i="1"/>
  <c r="D18" i="1"/>
  <c r="G4" i="1" l="1"/>
  <c r="F4" i="1"/>
  <c r="F3" i="1"/>
  <c r="E4" i="1"/>
  <c r="D4" i="1"/>
  <c r="G3" i="1"/>
  <c r="G5" i="1"/>
  <c r="F5" i="1"/>
  <c r="E5" i="1"/>
  <c r="D5" i="1"/>
  <c r="E3" i="1"/>
  <c r="D3" i="1"/>
  <c r="J10" i="1"/>
  <c r="J11" i="1"/>
  <c r="J14" i="1"/>
  <c r="J13" i="1"/>
  <c r="J12" i="1"/>
  <c r="C6" i="1" l="1" a="1"/>
  <c r="F6" i="1" s="1"/>
  <c r="C6" i="1" l="1"/>
  <c r="C14" i="1" s="1"/>
  <c r="K14" i="1" s="1"/>
  <c r="G6" i="1"/>
  <c r="D6" i="1"/>
  <c r="C13" i="1" l="1" a="1"/>
  <c r="C13" i="1" s="1"/>
  <c r="K13" i="1" s="1"/>
  <c r="E6" i="1"/>
  <c r="C7" i="1" l="1" a="1"/>
  <c r="E7" i="1" s="1"/>
  <c r="C8" i="1" a="1"/>
  <c r="G8" i="1" l="1"/>
  <c r="C8" i="1"/>
  <c r="F8" i="1"/>
  <c r="D8" i="1"/>
  <c r="C16" i="1"/>
  <c r="F7" i="1"/>
  <c r="C7" i="1"/>
  <c r="G7" i="1"/>
  <c r="D7" i="1"/>
  <c r="E8" i="1"/>
  <c r="C12" i="1" l="1" a="1"/>
  <c r="C11" i="1" a="1"/>
  <c r="C12" i="1" l="1"/>
  <c r="K12" i="1" s="1"/>
  <c r="F12" i="1"/>
  <c r="D12" i="1"/>
  <c r="E12" i="1"/>
  <c r="G12" i="1"/>
  <c r="C11" i="1"/>
  <c r="K11" i="1" s="1"/>
  <c r="F11" i="1"/>
  <c r="G11" i="1"/>
  <c r="D11" i="1"/>
  <c r="E11" i="1"/>
  <c r="C15" i="1"/>
  <c r="H14" i="1" l="1"/>
  <c r="I14" i="1" s="1"/>
  <c r="H13" i="1"/>
  <c r="I13" i="1" s="1"/>
  <c r="H12" i="1"/>
  <c r="I12" i="1" s="1"/>
</calcChain>
</file>

<file path=xl/sharedStrings.xml><?xml version="1.0" encoding="utf-8"?>
<sst xmlns="http://schemas.openxmlformats.org/spreadsheetml/2006/main" count="23" uniqueCount="23">
  <si>
    <t>f</t>
  </si>
  <si>
    <t>s</t>
  </si>
  <si>
    <t>k</t>
  </si>
  <si>
    <t>x</t>
  </si>
  <si>
    <t>N</t>
  </si>
  <si>
    <t>N_</t>
  </si>
  <si>
    <t>value</t>
  </si>
  <si>
    <t>delta</t>
  </si>
  <si>
    <t>gamma</t>
  </si>
  <si>
    <t>vega</t>
  </si>
  <si>
    <t>eps</t>
  </si>
  <si>
    <t>f+eps</t>
  </si>
  <si>
    <t>f-eps</t>
  </si>
  <si>
    <t>s+eps</t>
  </si>
  <si>
    <t>s-eps</t>
  </si>
  <si>
    <t>implied</t>
  </si>
  <si>
    <t>model</t>
  </si>
  <si>
    <t>hand</t>
  </si>
  <si>
    <t>diff</t>
  </si>
  <si>
    <t>err</t>
  </si>
  <si>
    <t>normal</t>
  </si>
  <si>
    <t>underlying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</si>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</sst>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8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quotePrefix="1" applyAlignment="1">
      <alignment horizontal="center"/>
    </xf>
    <xf numFmtId="11" fontId="0" fillId="0" borderId="0" xfId="0" applyNumberFormat="1"/>
    <xf numFmtId="164" fontId="0" fillId="0" borderId="0" xfId="0" applyNumberFormat="1"/>
    <xf numFmtId="0" fontId="0" fillId="0" borderId="0" xfId="0" applyFill="1" applyBorder="1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  <xf numFmtId="168" fontId="0" fillId="0" borderId="0" xfId="0" applyNumberFormat="1"/>
    <xf numFmtId="0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9B52-893F-45E0-AD97-F4F6C83DFABD}">
  <dimension ref="B2:K22"/>
  <sheetViews>
    <sheetView tabSelected="1" workbookViewId="0">
      <selection activeCell="C5" sqref="C5"/>
    </sheetView>
  </sheetViews>
  <sheetFormatPr defaultRowHeight="15" x14ac:dyDescent="0.25"/>
  <cols>
    <col min="3" max="3" width="10.42578125" customWidth="1"/>
    <col min="4" max="7" width="9.5703125" bestFit="1" customWidth="1"/>
    <col min="9" max="9" width="12" bestFit="1" customWidth="1"/>
  </cols>
  <sheetData>
    <row r="2" spans="2:11" x14ac:dyDescent="0.25">
      <c r="D2" s="3" t="s">
        <v>11</v>
      </c>
      <c r="E2" s="3" t="s">
        <v>12</v>
      </c>
      <c r="F2" s="3" t="s">
        <v>13</v>
      </c>
      <c r="G2" s="3" t="s">
        <v>14</v>
      </c>
    </row>
    <row r="3" spans="2:11" x14ac:dyDescent="0.25">
      <c r="B3" s="1" t="s">
        <v>0</v>
      </c>
      <c r="C3">
        <v>100</v>
      </c>
      <c r="D3">
        <f>C3+eps</f>
        <v>100.00001</v>
      </c>
      <c r="E3">
        <f>C3-eps</f>
        <v>99.999989999999997</v>
      </c>
      <c r="F3">
        <f>$C3</f>
        <v>100</v>
      </c>
      <c r="G3">
        <f>$C3</f>
        <v>100</v>
      </c>
    </row>
    <row r="4" spans="2:11" x14ac:dyDescent="0.25">
      <c r="B4" s="1" t="s">
        <v>1</v>
      </c>
      <c r="C4">
        <v>0.2</v>
      </c>
      <c r="D4">
        <f>$C4</f>
        <v>0.2</v>
      </c>
      <c r="E4">
        <f t="shared" ref="E4" si="0">$C4</f>
        <v>0.2</v>
      </c>
      <c r="F4">
        <f>$C4+eps</f>
        <v>0.20001000000000002</v>
      </c>
      <c r="G4">
        <f>$C4-eps</f>
        <v>0.19999</v>
      </c>
    </row>
    <row r="5" spans="2:11" x14ac:dyDescent="0.25">
      <c r="B5" s="1" t="s">
        <v>2</v>
      </c>
      <c r="C5">
        <v>110</v>
      </c>
      <c r="D5">
        <f>$C5</f>
        <v>110</v>
      </c>
      <c r="E5">
        <f t="shared" ref="E5:G5" si="1">$C5</f>
        <v>110</v>
      </c>
      <c r="F5">
        <f t="shared" si="1"/>
        <v>110</v>
      </c>
      <c r="G5">
        <f t="shared" si="1"/>
        <v>110</v>
      </c>
    </row>
    <row r="6" spans="2:11" x14ac:dyDescent="0.25">
      <c r="B6" s="1" t="s">
        <v>3</v>
      </c>
      <c r="C6" s="5">
        <f t="array" ref="C6:G6">(LN(k/f) + s*s/2)/s</f>
        <v>0.57655089902162471</v>
      </c>
      <c r="D6" s="5">
        <v>0.57655039902164917</v>
      </c>
      <c r="E6" s="5">
        <v>0.5765513990216492</v>
      </c>
      <c r="F6" s="5">
        <v>0.57653207266799122</v>
      </c>
      <c r="G6" s="5">
        <v>0.57656972775801252</v>
      </c>
    </row>
    <row r="7" spans="2:11" x14ac:dyDescent="0.25">
      <c r="B7" s="1" t="s">
        <v>4</v>
      </c>
      <c r="C7" s="5">
        <f t="array" ref="C7:G7">_xlfn.NORM.S.DIST(x,TRUE)</f>
        <v>0.7178785617145782</v>
      </c>
      <c r="D7" s="5">
        <v>0.71787839278799681</v>
      </c>
      <c r="E7" s="5">
        <v>0.71787873064112739</v>
      </c>
      <c r="F7" s="5">
        <v>0.7178722011375458</v>
      </c>
      <c r="G7" s="5">
        <v>0.71788492302758322</v>
      </c>
    </row>
    <row r="8" spans="2:11" x14ac:dyDescent="0.25">
      <c r="B8" s="1" t="s">
        <v>5</v>
      </c>
      <c r="C8" s="5">
        <f t="array" ref="C8:G8">_xlfn.NORM.S.DIST(x - s,TRUE)</f>
        <v>0.64674630847193715</v>
      </c>
      <c r="D8" s="5">
        <v>0.64674612265270692</v>
      </c>
      <c r="E8" s="5">
        <v>0.64674649429115061</v>
      </c>
      <c r="F8" s="5">
        <v>0.64673559543259518</v>
      </c>
      <c r="G8" s="5">
        <v>0.64675702228050758</v>
      </c>
    </row>
    <row r="9" spans="2:11" x14ac:dyDescent="0.25">
      <c r="J9" s="8" t="s">
        <v>16</v>
      </c>
      <c r="K9" s="8" t="s">
        <v>17</v>
      </c>
    </row>
    <row r="10" spans="2:11" x14ac:dyDescent="0.25">
      <c r="B10" s="1" t="s">
        <v>10</v>
      </c>
      <c r="C10" s="4">
        <v>1.0000000000000001E-5</v>
      </c>
      <c r="H10" s="8" t="s">
        <v>18</v>
      </c>
      <c r="I10" s="8" t="s">
        <v>19</v>
      </c>
      <c r="J10" s="7">
        <f>_xll.VARIATE.NORMAL()</f>
        <v>2167389073808</v>
      </c>
    </row>
    <row r="11" spans="2:11" x14ac:dyDescent="0.25">
      <c r="B11" s="1" t="s">
        <v>6</v>
      </c>
      <c r="C11" s="9">
        <f t="array" ref="C11:G11">k*N-f*N_</f>
        <v>14.292010941409885</v>
      </c>
      <c r="D11" s="5">
        <v>14.292004473947728</v>
      </c>
      <c r="E11" s="5">
        <v>14.292017408873889</v>
      </c>
      <c r="F11" s="5">
        <v>14.292382581870527</v>
      </c>
      <c r="G11" s="5">
        <v>14.291639304983406</v>
      </c>
      <c r="J11" s="5">
        <f>_xll.OPTION.PUT.VALUE($J$10,$C$3,$C$4,$C$5)</f>
        <v>14.292010941409885</v>
      </c>
      <c r="K11" s="10">
        <f>C11-J11</f>
        <v>0</v>
      </c>
    </row>
    <row r="12" spans="2:11" x14ac:dyDescent="0.25">
      <c r="B12" s="1" t="s">
        <v>7</v>
      </c>
      <c r="C12" s="9">
        <f t="array" ref="C12:G12">-N_</f>
        <v>-0.64674630847193715</v>
      </c>
      <c r="D12" s="5">
        <v>-0.64674612265270692</v>
      </c>
      <c r="E12" s="5">
        <v>-0.64674649429115061</v>
      </c>
      <c r="F12" s="5">
        <v>-0.64673559543259518</v>
      </c>
      <c r="G12" s="5">
        <v>-0.64675702228050758</v>
      </c>
      <c r="H12" s="5">
        <f>(D11-E11)/(2*eps)</f>
        <v>-0.64674630806393907</v>
      </c>
      <c r="I12" s="4">
        <f>C12-H12</f>
        <v>-4.0799807976554803E-10</v>
      </c>
      <c r="J12" s="5">
        <f>_xll.OPTION.PUT.DELTA($J$10,$C$3,$C$4,$C$5)</f>
        <v>-0.64674630847193715</v>
      </c>
      <c r="K12" s="10">
        <f t="shared" ref="K12:K16" si="2">C12-J12</f>
        <v>0</v>
      </c>
    </row>
    <row r="13" spans="2:11" x14ac:dyDescent="0.25">
      <c r="B13" s="1" t="s">
        <v>8</v>
      </c>
      <c r="C13" s="9">
        <f t="array" ref="C13">_xlfn.NORM.S.DIST(x-s,FALSE)/(f*s)</f>
        <v>1.8581922182971666E-2</v>
      </c>
      <c r="H13" s="5">
        <f>(D11-2*C11+E11)/(eps*eps)</f>
        <v>1.8474111129762601E-2</v>
      </c>
      <c r="I13" s="4">
        <f>C13-H13</f>
        <v>1.0781105320906495E-4</v>
      </c>
      <c r="J13" s="5">
        <f>_xll.OPTION.GAMMA($J$10,$C$3,$C$4,$C$5)</f>
        <v>1.8581922182971663E-2</v>
      </c>
      <c r="K13" s="10">
        <f t="shared" si="2"/>
        <v>0</v>
      </c>
    </row>
    <row r="14" spans="2:11" x14ac:dyDescent="0.25">
      <c r="B14" s="1" t="s">
        <v>9</v>
      </c>
      <c r="C14" s="9">
        <f>f*_xlfn.NORM.S.DIST(x - s,FALSE)</f>
        <v>37.163844365943334</v>
      </c>
      <c r="H14" s="5">
        <f>(F11-G11)/(2*eps)</f>
        <v>37.163844356058462</v>
      </c>
      <c r="I14" s="4">
        <f>C14-H14</f>
        <v>9.884871587928501E-9</v>
      </c>
      <c r="J14" s="5">
        <f>_xll.OPTION.VEGA($J$10,$C$3,$C$4,$C$5)</f>
        <v>37.163844365943326</v>
      </c>
      <c r="K14" s="10">
        <f t="shared" si="2"/>
        <v>0</v>
      </c>
    </row>
    <row r="15" spans="2:11" ht="15.75" thickBot="1" x14ac:dyDescent="0.3">
      <c r="B15" s="1" t="s">
        <v>15</v>
      </c>
      <c r="C15">
        <f>_xll.OPTION.IMPLIED(J10, C3, C11, C5)</f>
        <v>0.2000000000000012</v>
      </c>
      <c r="K15" s="5"/>
    </row>
    <row r="16" spans="2:11" ht="16.5" thickTop="1" thickBot="1" x14ac:dyDescent="0.3">
      <c r="C16" s="2">
        <f>_xlfn.NORM.S.DIST(x,FALSE)*k/(f*f*s)-gamma</f>
        <v>0</v>
      </c>
      <c r="K16" s="5"/>
    </row>
    <row r="17" spans="2:4" ht="15.75" thickTop="1" x14ac:dyDescent="0.25"/>
    <row r="18" spans="2:4" x14ac:dyDescent="0.25">
      <c r="B18" s="6" t="s">
        <v>20</v>
      </c>
      <c r="C18" s="9">
        <f ca="1">_xlfn.NORM.S.INV(RAND())</f>
        <v>0.42468645867030758</v>
      </c>
      <c r="D18" s="9">
        <f ca="1">_xll.MONTE.MEAN(C18)</f>
        <v>2.8028434867951031E-3</v>
      </c>
    </row>
    <row r="19" spans="2:4" x14ac:dyDescent="0.25">
      <c r="B19" s="6" t="s">
        <v>21</v>
      </c>
      <c r="C19" s="9">
        <f ca="1">f*EXP(s*C18 - s*s/2)</f>
        <v>106.7092106790458</v>
      </c>
      <c r="D19" s="9">
        <f ca="1">_xll.MONTE.MEAN(C19)</f>
        <v>100.05516005921436</v>
      </c>
    </row>
    <row r="20" spans="2:4" x14ac:dyDescent="0.25">
      <c r="B20" s="6" t="s">
        <v>22</v>
      </c>
      <c r="C20" s="9">
        <f ca="1">MAX(k - m,0)</f>
        <v>3.2907893209542038</v>
      </c>
      <c r="D20" s="9">
        <f ca="1">_xll.MONTE.MEAN(C20)</f>
        <v>3.581508139058895</v>
      </c>
    </row>
    <row r="21" spans="2:4" x14ac:dyDescent="0.25">
      <c r="B21" s="1"/>
    </row>
    <row r="22" spans="2:4" x14ac:dyDescent="0.25">
      <c r="B22" s="1"/>
    </row>
  </sheetData>
  <pageMargins left="0.7" right="0.7" top="0.75" bottom="0.75" header="0.3" footer="0.3"/>
  <pageSetup orientation="portrait" r:id="rId1"/>
  <ignoredErrors>
    <ignoredError sqref="F4:G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delta</vt:lpstr>
      <vt:lpstr>eps</vt:lpstr>
      <vt:lpstr>f</vt:lpstr>
      <vt:lpstr>gamma</vt:lpstr>
      <vt:lpstr>k</vt:lpstr>
      <vt:lpstr>m</vt:lpstr>
      <vt:lpstr>N</vt:lpstr>
      <vt:lpstr>N_</vt:lpstr>
      <vt:lpstr>s</vt:lpstr>
      <vt:lpstr>value</vt:lpstr>
      <vt:lpstr>vega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2020-11-19T23:37:11Z</dcterms:created>
  <dcterms:modified xsi:type="dcterms:W3CDTF">2020-12-04T17:51:36Z</dcterms:modified>
</cp:coreProperties>
</file>