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option\"/>
    </mc:Choice>
  </mc:AlternateContent>
  <xr:revisionPtr revIDLastSave="0" documentId="13_ncr:1_{425C4F52-F31F-4EB3-AC5A-703580B9F85F}" xr6:coauthVersionLast="45" xr6:coauthVersionMax="45" xr10:uidLastSave="{00000000-0000-0000-0000-000000000000}"/>
  <bookViews>
    <workbookView xWindow="8055" yWindow="1785" windowWidth="20595" windowHeight="13215" activeTab="1" xr2:uid="{44AEB816-CB2A-4A0A-B718-E5B5191DFF2A}"/>
  </bookViews>
  <sheets>
    <sheet name="Option" sheetId="2" r:id="rId1"/>
    <sheet name="Check" sheetId="1" r:id="rId2"/>
  </sheets>
  <definedNames>
    <definedName name="delta">Check!$C$15:$G$15</definedName>
    <definedName name="dN">Check!$C$10:$K$10</definedName>
    <definedName name="dN_">Check!$C$11:$K$11</definedName>
    <definedName name="eps">Check!$C$13</definedName>
    <definedName name="f" localSheetId="0">Option!$C$5</definedName>
    <definedName name="f">Check!$C$4:$K$4</definedName>
    <definedName name="gamma">Check!$C$16:$G$16</definedName>
    <definedName name="k" localSheetId="0">Option!$C$7</definedName>
    <definedName name="k">Check!$C$6:$K$6</definedName>
    <definedName name="m" localSheetId="0">Option!$C$4</definedName>
    <definedName name="m">Check!#REF!</definedName>
    <definedName name="N">Check!$C$8:$K$8</definedName>
    <definedName name="N_">Check!$C$9:$K$9</definedName>
    <definedName name="s" localSheetId="0">Option!$C$6</definedName>
    <definedName name="s">Check!$C$5:$K$5</definedName>
    <definedName name="value">Check!$C$14:$G$14</definedName>
    <definedName name="vega">Check!$C$17:$G$17</definedName>
    <definedName name="x">Check!$C$7:$K$7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K6" i="1"/>
  <c r="J6" i="1"/>
  <c r="I6" i="1"/>
  <c r="H6" i="1"/>
  <c r="K5" i="1"/>
  <c r="J5" i="1"/>
  <c r="I5" i="1"/>
  <c r="H5" i="1"/>
  <c r="K4" i="1"/>
  <c r="J4" i="1"/>
  <c r="C4" i="2"/>
  <c r="F13" i="2"/>
  <c r="E11" i="2"/>
  <c r="E13" i="2"/>
  <c r="E12" i="2"/>
  <c r="F14" i="2"/>
  <c r="C14" i="2"/>
  <c r="D12" i="2"/>
  <c r="F11" i="2"/>
  <c r="C12" i="2"/>
  <c r="C11" i="2"/>
  <c r="E14" i="2"/>
  <c r="D11" i="2"/>
  <c r="C13" i="2"/>
  <c r="F12" i="2"/>
  <c r="E16" i="2" l="1"/>
  <c r="C16" i="2"/>
  <c r="G5" i="1"/>
  <c r="F5" i="1"/>
  <c r="F4" i="1"/>
  <c r="E5" i="1"/>
  <c r="D5" i="1"/>
  <c r="G4" i="1"/>
  <c r="G6" i="1"/>
  <c r="F6" i="1"/>
  <c r="E6" i="1"/>
  <c r="D6" i="1"/>
  <c r="E4" i="1"/>
  <c r="D4" i="1"/>
  <c r="C18" i="1"/>
  <c r="F25" i="1"/>
  <c r="F24" i="1"/>
  <c r="F23" i="1"/>
  <c r="F22" i="1"/>
  <c r="J22" i="1"/>
  <c r="J23" i="1"/>
  <c r="J24" i="1"/>
  <c r="J25" i="1"/>
  <c r="I4" i="1" l="1"/>
  <c r="H4" i="1"/>
  <c r="C7" i="1" s="1" a="1"/>
  <c r="C7" i="1" l="1"/>
  <c r="D7" i="1"/>
  <c r="J7" i="1"/>
  <c r="K7" i="1"/>
  <c r="E7" i="1"/>
  <c r="F7" i="1"/>
  <c r="G7" i="1"/>
  <c r="I7" i="1"/>
  <c r="H7" i="1"/>
  <c r="C17" i="1"/>
  <c r="G25" i="1" s="1"/>
  <c r="C16" i="1" a="1"/>
  <c r="C16" i="1" s="1"/>
  <c r="G24" i="1" s="1"/>
  <c r="C11" i="1" l="1" a="1"/>
  <c r="C10" i="1" a="1"/>
  <c r="C9" i="1" a="1"/>
  <c r="C8" i="1" a="1"/>
  <c r="C11" i="1" l="1"/>
  <c r="L17" i="1" s="1"/>
  <c r="K25" i="1" s="1"/>
  <c r="D11" i="1"/>
  <c r="F11" i="1"/>
  <c r="E11" i="1"/>
  <c r="G11" i="1"/>
  <c r="K11" i="1"/>
  <c r="H11" i="1"/>
  <c r="I11" i="1"/>
  <c r="J8" i="1"/>
  <c r="J14" i="1" s="1"/>
  <c r="C8" i="1"/>
  <c r="E8" i="1"/>
  <c r="K8" i="1"/>
  <c r="K14" i="1" s="1"/>
  <c r="H25" i="1" s="1"/>
  <c r="I25" i="1" s="1"/>
  <c r="F8" i="1"/>
  <c r="G8" i="1"/>
  <c r="I8" i="1"/>
  <c r="I14" i="1" s="1"/>
  <c r="H8" i="1"/>
  <c r="H14" i="1" s="1"/>
  <c r="D8" i="1"/>
  <c r="C9" i="1"/>
  <c r="C15" i="1" s="1"/>
  <c r="G23" i="1" s="1"/>
  <c r="G9" i="1"/>
  <c r="E9" i="1"/>
  <c r="D9" i="1"/>
  <c r="F9" i="1"/>
  <c r="J9" i="1"/>
  <c r="H9" i="1"/>
  <c r="I9" i="1"/>
  <c r="J11" i="1"/>
  <c r="C10" i="1"/>
  <c r="F10" i="1"/>
  <c r="K10" i="1"/>
  <c r="G10" i="1"/>
  <c r="J10" i="1"/>
  <c r="E10" i="1"/>
  <c r="D10" i="1"/>
  <c r="I10" i="1"/>
  <c r="H10" i="1"/>
  <c r="K9" i="1"/>
  <c r="H23" i="1" l="1"/>
  <c r="L16" i="1"/>
  <c r="K24" i="1" s="1"/>
  <c r="L15" i="1"/>
  <c r="K23" i="1" s="1"/>
  <c r="L14" i="1"/>
  <c r="K22" i="1" s="1"/>
  <c r="C14" i="1" a="1"/>
  <c r="D14" i="1" l="1"/>
  <c r="C14" i="1"/>
  <c r="E14" i="1"/>
  <c r="G14" i="1"/>
  <c r="F14" i="1"/>
  <c r="I23" i="1"/>
  <c r="H24" i="1"/>
  <c r="I24" i="1" s="1"/>
  <c r="C19" i="1"/>
  <c r="G22" i="1" l="1"/>
  <c r="D25" i="1"/>
  <c r="E25" i="1" s="1"/>
  <c r="D24" i="1"/>
  <c r="E24" i="1" s="1"/>
  <c r="D23" i="1"/>
  <c r="E23" i="1" s="1"/>
</calcChain>
</file>

<file path=xl/sharedStrings.xml><?xml version="1.0" encoding="utf-8"?>
<sst xmlns="http://schemas.openxmlformats.org/spreadsheetml/2006/main" count="55" uniqueCount="28">
  <si>
    <t>f</t>
  </si>
  <si>
    <t>s</t>
  </si>
  <si>
    <t>k</t>
  </si>
  <si>
    <t>x</t>
  </si>
  <si>
    <t>N</t>
  </si>
  <si>
    <t>N_</t>
  </si>
  <si>
    <t>value</t>
  </si>
  <si>
    <t>delta</t>
  </si>
  <si>
    <t>gamma</t>
  </si>
  <si>
    <t>vega</t>
  </si>
  <si>
    <t>eps</t>
  </si>
  <si>
    <t>f+eps</t>
  </si>
  <si>
    <t>f-eps</t>
  </si>
  <si>
    <t>s+eps</t>
  </si>
  <si>
    <t>s-eps</t>
  </si>
  <si>
    <t>implied</t>
  </si>
  <si>
    <t>model</t>
  </si>
  <si>
    <t>diff</t>
  </si>
  <si>
    <t>err</t>
  </si>
  <si>
    <t>option</t>
  </si>
  <si>
    <t>Option Value and Greeks</t>
  </si>
  <si>
    <t>m</t>
  </si>
  <si>
    <t>digital</t>
  </si>
  <si>
    <t>call</t>
  </si>
  <si>
    <t>put</t>
  </si>
  <si>
    <t>pairity</t>
  </si>
  <si>
    <t>dN</t>
  </si>
  <si>
    <t>dN_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</si>
</sst>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11" fontId="0" fillId="0" borderId="0" xfId="0" applyNumberFormat="1"/>
    <xf numFmtId="164" fontId="0" fillId="0" borderId="0" xfId="0" applyNumberFormat="1"/>
    <xf numFmtId="0" fontId="0" fillId="0" borderId="0" xfId="0" applyFill="1" applyBorder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" xfId="2"/>
    <xf numFmtId="0" fontId="1" fillId="0" borderId="0" xfId="0" applyNumberFormat="1" applyFont="1"/>
    <xf numFmtId="11" fontId="3" fillId="2" borderId="4" xfId="2" applyNumberFormat="1" applyBorder="1"/>
    <xf numFmtId="0" fontId="0" fillId="0" borderId="2" xfId="0" applyBorder="1" applyAlignment="1">
      <alignment horizontal="center"/>
    </xf>
  </cellXfs>
  <cellStyles count="3">
    <cellStyle name="Input" xfId="2" builtinId="20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E0E9-42ED-434D-9763-27344F6A1B8E}">
  <dimension ref="B2:F16"/>
  <sheetViews>
    <sheetView workbookViewId="0">
      <selection activeCell="C7" sqref="C7"/>
    </sheetView>
  </sheetViews>
  <sheetFormatPr defaultRowHeight="15" x14ac:dyDescent="0.25"/>
  <cols>
    <col min="1" max="1" width="3.7109375" customWidth="1"/>
    <col min="3" max="6" width="9.140625" customWidth="1"/>
  </cols>
  <sheetData>
    <row r="2" spans="2:6" ht="23.25" x14ac:dyDescent="0.35">
      <c r="B2" s="10" t="s">
        <v>20</v>
      </c>
    </row>
    <row r="4" spans="2:6" x14ac:dyDescent="0.25">
      <c r="B4" s="1" t="s">
        <v>21</v>
      </c>
      <c r="C4" s="6">
        <f>_xll.VARIATE.NORMAL()</f>
        <v>1308484367552</v>
      </c>
    </row>
    <row r="5" spans="2:6" x14ac:dyDescent="0.25">
      <c r="B5" s="1" t="s">
        <v>0</v>
      </c>
      <c r="C5">
        <v>100</v>
      </c>
    </row>
    <row r="6" spans="2:6" x14ac:dyDescent="0.25">
      <c r="B6" s="1" t="s">
        <v>1</v>
      </c>
      <c r="C6">
        <v>0.2</v>
      </c>
    </row>
    <row r="7" spans="2:6" x14ac:dyDescent="0.25">
      <c r="B7" s="1" t="s">
        <v>2</v>
      </c>
      <c r="C7">
        <v>100</v>
      </c>
    </row>
    <row r="9" spans="2:6" x14ac:dyDescent="0.25">
      <c r="C9" s="14" t="s">
        <v>19</v>
      </c>
      <c r="D9" s="14"/>
      <c r="E9" s="14" t="s">
        <v>22</v>
      </c>
      <c r="F9" s="14"/>
    </row>
    <row r="10" spans="2:6" x14ac:dyDescent="0.25">
      <c r="C10" s="7" t="s">
        <v>23</v>
      </c>
      <c r="D10" s="7" t="s">
        <v>24</v>
      </c>
      <c r="E10" s="7" t="s">
        <v>23</v>
      </c>
      <c r="F10" s="7" t="s">
        <v>24</v>
      </c>
    </row>
    <row r="11" spans="2:6" x14ac:dyDescent="0.25">
      <c r="B11" s="1" t="s">
        <v>6</v>
      </c>
      <c r="C11" s="12">
        <f>_xll.OPTION.CALL.VALUE(m, f, s, k)</f>
        <v>7.9655674554058038</v>
      </c>
      <c r="D11" s="12">
        <f>_xll.OPTION.PUT.VALUE(m, f, s, k)</f>
        <v>7.9655674554058038</v>
      </c>
      <c r="E11" s="12">
        <f>_xll.OPTION.DIGITAL_CALL.VALUE(m, f, s, k)</f>
        <v>0.46017216272297101</v>
      </c>
      <c r="F11" s="12">
        <f>_xll.OPTION.DIGITAL_PUT.VALUE(m, f, s, k)</f>
        <v>0.53982783727702899</v>
      </c>
    </row>
    <row r="12" spans="2:6" x14ac:dyDescent="0.25">
      <c r="B12" s="1" t="s">
        <v>7</v>
      </c>
      <c r="C12" s="12">
        <f>_xll.OPTION.CALL.DELTA(m, f, s, k)</f>
        <v>0.53982783727702899</v>
      </c>
      <c r="D12" s="12">
        <f>_xll.OPTION.PUT.DELTA(m, f, s, k)</f>
        <v>-0.46017216272297101</v>
      </c>
      <c r="E12" s="12">
        <f>_xll.OPTION.DIGITAL_CALL.DELTA(m, f, s, k)</f>
        <v>1.9847627373850589E-2</v>
      </c>
      <c r="F12" s="12">
        <f>_xll.OPTION.DIGITAL_PUT.DELTA(m, f, s, k)</f>
        <v>-1.9847627373850589E-2</v>
      </c>
    </row>
    <row r="13" spans="2:6" x14ac:dyDescent="0.25">
      <c r="B13" s="1" t="s">
        <v>8</v>
      </c>
      <c r="C13" s="12">
        <f>_xll.OPTION.GAMMA(m, f, s, k)</f>
        <v>1.9847627373850589E-2</v>
      </c>
      <c r="D13" s="12"/>
      <c r="E13" s="12">
        <f>_xll.OPTION.DIGITAL_CALL.GAMMA(m, f, s, k)</f>
        <v>9.9238136869252928E-4</v>
      </c>
      <c r="F13" s="12">
        <f>_xll.OPTION.DIGITAL_PUT.GAMMA(m, f, s, k)</f>
        <v>-9.9238136869252928E-4</v>
      </c>
    </row>
    <row r="14" spans="2:6" x14ac:dyDescent="0.25">
      <c r="B14" s="1" t="s">
        <v>9</v>
      </c>
      <c r="C14" s="12">
        <f>_xll.OPTION.VEGA(m, f, s, k)</f>
        <v>39.695254747701178</v>
      </c>
      <c r="D14" s="12"/>
      <c r="E14" s="12">
        <f>_xll.OPTION.DIGITAL_CALL.VEGA(m, f, s, k)</f>
        <v>-0.19847627373850585</v>
      </c>
      <c r="F14" s="12">
        <f>_xll.OPTION.DIGITAL_PUT.VEGA(m, f, s, k)</f>
        <v>0.19847627373850585</v>
      </c>
    </row>
    <row r="16" spans="2:6" x14ac:dyDescent="0.25">
      <c r="B16" s="1" t="s">
        <v>25</v>
      </c>
      <c r="C16" s="9">
        <f>(C11-D11)-(f-k)</f>
        <v>0</v>
      </c>
      <c r="D16" s="9"/>
      <c r="E16" s="9">
        <f>E11+F11-1</f>
        <v>0</v>
      </c>
      <c r="F16" s="9"/>
    </row>
  </sheetData>
  <mergeCells count="2">
    <mergeCell ref="C9:D9"/>
    <mergeCell ref="E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9B52-893F-45E0-AD97-F4F6C83DFABD}">
  <dimension ref="B2:M25"/>
  <sheetViews>
    <sheetView tabSelected="1" workbookViewId="0">
      <selection activeCell="G28" sqref="G28"/>
    </sheetView>
  </sheetViews>
  <sheetFormatPr defaultRowHeight="15" x14ac:dyDescent="0.25"/>
  <cols>
    <col min="1" max="1" width="3.7109375" customWidth="1"/>
    <col min="3" max="7" width="9.140625" customWidth="1"/>
    <col min="9" max="10" width="9.140625" customWidth="1"/>
  </cols>
  <sheetData>
    <row r="2" spans="2:13" x14ac:dyDescent="0.25">
      <c r="D2" s="15" t="s">
        <v>19</v>
      </c>
      <c r="E2" s="15"/>
      <c r="F2" s="15"/>
      <c r="G2" s="16"/>
      <c r="H2" s="15" t="s">
        <v>22</v>
      </c>
      <c r="I2" s="15"/>
      <c r="J2" s="15"/>
      <c r="K2" s="15"/>
    </row>
    <row r="3" spans="2:13" x14ac:dyDescent="0.25">
      <c r="D3" s="2" t="s">
        <v>11</v>
      </c>
      <c r="E3" s="2" t="s">
        <v>12</v>
      </c>
      <c r="F3" s="2" t="s">
        <v>13</v>
      </c>
      <c r="G3" s="2" t="s">
        <v>14</v>
      </c>
      <c r="H3" s="2" t="s">
        <v>11</v>
      </c>
      <c r="I3" s="2" t="s">
        <v>12</v>
      </c>
      <c r="J3" s="2" t="s">
        <v>13</v>
      </c>
      <c r="K3" s="2" t="s">
        <v>14</v>
      </c>
    </row>
    <row r="4" spans="2:13" x14ac:dyDescent="0.25">
      <c r="B4" s="1" t="s">
        <v>0</v>
      </c>
      <c r="C4" s="17">
        <v>100</v>
      </c>
      <c r="D4">
        <f>C4+eps</f>
        <v>100.001</v>
      </c>
      <c r="E4">
        <f>C4-eps</f>
        <v>99.998999999999995</v>
      </c>
      <c r="F4">
        <f>$C4</f>
        <v>100</v>
      </c>
      <c r="G4">
        <f>$C4</f>
        <v>100</v>
      </c>
      <c r="H4">
        <f>G4+eps</f>
        <v>100.001</v>
      </c>
      <c r="I4">
        <f>G4-eps</f>
        <v>99.998999999999995</v>
      </c>
      <c r="J4">
        <f>$C4</f>
        <v>100</v>
      </c>
      <c r="K4">
        <f>$C4</f>
        <v>100</v>
      </c>
    </row>
    <row r="5" spans="2:13" x14ac:dyDescent="0.25">
      <c r="B5" s="1" t="s">
        <v>1</v>
      </c>
      <c r="C5" s="17">
        <v>0.2</v>
      </c>
      <c r="D5">
        <f>$C5</f>
        <v>0.2</v>
      </c>
      <c r="E5">
        <f t="shared" ref="E5" si="0">$C5</f>
        <v>0.2</v>
      </c>
      <c r="F5">
        <f>$C5+eps</f>
        <v>0.20100000000000001</v>
      </c>
      <c r="G5">
        <f>$C5-eps</f>
        <v>0.19900000000000001</v>
      </c>
      <c r="H5">
        <f>$C5</f>
        <v>0.2</v>
      </c>
      <c r="I5">
        <f t="shared" ref="I5" si="1">$C5</f>
        <v>0.2</v>
      </c>
      <c r="J5">
        <f>$C5+eps</f>
        <v>0.20100000000000001</v>
      </c>
      <c r="K5">
        <f>$C5-eps</f>
        <v>0.19900000000000001</v>
      </c>
    </row>
    <row r="6" spans="2:13" x14ac:dyDescent="0.25">
      <c r="B6" s="1" t="s">
        <v>2</v>
      </c>
      <c r="C6" s="17">
        <v>90</v>
      </c>
      <c r="D6">
        <f>$C6</f>
        <v>90</v>
      </c>
      <c r="E6">
        <f t="shared" ref="E6:K6" si="2">$C6</f>
        <v>90</v>
      </c>
      <c r="F6">
        <f t="shared" si="2"/>
        <v>90</v>
      </c>
      <c r="G6">
        <f t="shared" si="2"/>
        <v>90</v>
      </c>
      <c r="H6">
        <f>$C6</f>
        <v>90</v>
      </c>
      <c r="I6">
        <f t="shared" si="2"/>
        <v>90</v>
      </c>
      <c r="J6">
        <f t="shared" si="2"/>
        <v>90</v>
      </c>
      <c r="K6">
        <f t="shared" si="2"/>
        <v>90</v>
      </c>
    </row>
    <row r="7" spans="2:13" x14ac:dyDescent="0.25">
      <c r="B7" s="1" t="s">
        <v>3</v>
      </c>
      <c r="C7" s="4">
        <f t="array" ref="C7:K7">(LN(k/f) + s*s/2)/s</f>
        <v>-0.42680257828913137</v>
      </c>
      <c r="D7" s="4">
        <v>-0.42685257803913312</v>
      </c>
      <c r="E7" s="4">
        <v>-0.42675257803912947</v>
      </c>
      <c r="F7" s="4">
        <v>-0.42368166993943418</v>
      </c>
      <c r="G7" s="4">
        <v>-0.4299498274262627</v>
      </c>
      <c r="H7" s="4">
        <v>-0.42685257803913312</v>
      </c>
      <c r="I7" s="4">
        <v>-0.42675257803912947</v>
      </c>
      <c r="J7" s="4">
        <v>-0.42368166993943418</v>
      </c>
      <c r="K7" s="4">
        <v>-0.4299498274262627</v>
      </c>
      <c r="M7" s="4"/>
    </row>
    <row r="8" spans="2:13" x14ac:dyDescent="0.25">
      <c r="B8" s="1" t="s">
        <v>4</v>
      </c>
      <c r="C8" s="4">
        <f t="array" ref="C8:K8">_xlfn.NORM.S.DIST(x,TRUE)</f>
        <v>0.33476156420276892</v>
      </c>
      <c r="D8" s="4">
        <v>0.33474335388067344</v>
      </c>
      <c r="E8" s="4">
        <v>0.33477977509558732</v>
      </c>
      <c r="F8" s="4">
        <v>0.33589899246019439</v>
      </c>
      <c r="G8" s="4">
        <v>0.3336160692397333</v>
      </c>
      <c r="H8" s="4">
        <v>0.33474335388067344</v>
      </c>
      <c r="I8" s="4">
        <v>0.33477977509558732</v>
      </c>
      <c r="J8" s="4">
        <v>0.33589899246019439</v>
      </c>
      <c r="K8" s="4">
        <v>0.3336160692397333</v>
      </c>
      <c r="M8" s="4"/>
    </row>
    <row r="9" spans="2:13" x14ac:dyDescent="0.25">
      <c r="B9" s="1" t="s">
        <v>5</v>
      </c>
      <c r="C9" s="4">
        <f t="array" ref="C9:K9">_xlfn.NORM.S.DIST(x - s,TRUE)</f>
        <v>0.26539432662194407</v>
      </c>
      <c r="D9" s="4">
        <v>0.26537793741400351</v>
      </c>
      <c r="E9" s="4">
        <v>0.26541071650743053</v>
      </c>
      <c r="F9" s="4">
        <v>0.26609000294045437</v>
      </c>
      <c r="G9" s="4">
        <v>0.2646909518045355</v>
      </c>
      <c r="H9" s="4">
        <v>0.26537793741400351</v>
      </c>
      <c r="I9" s="4">
        <v>0.26541071650743053</v>
      </c>
      <c r="J9" s="4">
        <v>0.26609000294045437</v>
      </c>
      <c r="K9" s="4">
        <v>0.2646909518045355</v>
      </c>
      <c r="M9" s="4"/>
    </row>
    <row r="10" spans="2:13" x14ac:dyDescent="0.25">
      <c r="B10" s="1" t="s">
        <v>26</v>
      </c>
      <c r="C10" s="4">
        <f t="array" ref="C10:K10">_xlfn.NORM.S.DIST(x,FALSE)</f>
        <v>0.3642121492105761</v>
      </c>
      <c r="D10" s="4">
        <v>0.36420437654290005</v>
      </c>
      <c r="E10" s="4">
        <v>0.3642199212113077</v>
      </c>
      <c r="F10" s="4">
        <v>0.36469583122619975</v>
      </c>
      <c r="G10" s="4">
        <v>0.36372144683295959</v>
      </c>
      <c r="H10" s="4">
        <v>0.36420437654290005</v>
      </c>
      <c r="I10" s="4">
        <v>0.3642199212113077</v>
      </c>
      <c r="J10" s="4">
        <v>0.36469583122619975</v>
      </c>
      <c r="K10" s="4">
        <v>0.36372144683295959</v>
      </c>
      <c r="M10" s="4"/>
    </row>
    <row r="11" spans="2:13" x14ac:dyDescent="0.25">
      <c r="B11" s="1" t="s">
        <v>27</v>
      </c>
      <c r="C11" s="4">
        <f t="array" ref="C11:K11">_xlfn.NORM.S.DIST(x - s,FALSE)</f>
        <v>0.3277909342895185</v>
      </c>
      <c r="D11" s="4">
        <v>0.32778066108199921</v>
      </c>
      <c r="E11" s="4">
        <v>0.32780120710224797</v>
      </c>
      <c r="F11" s="4">
        <v>0.32822624810357981</v>
      </c>
      <c r="G11" s="4">
        <v>0.32734930214966362</v>
      </c>
      <c r="H11" s="4">
        <v>0.32778066108199921</v>
      </c>
      <c r="I11" s="4">
        <v>0.32780120710224797</v>
      </c>
      <c r="J11" s="4">
        <v>0.32822624810357981</v>
      </c>
      <c r="K11" s="4">
        <v>0.32734930214966362</v>
      </c>
      <c r="M11" s="4"/>
    </row>
    <row r="12" spans="2:13" x14ac:dyDescent="0.25">
      <c r="C12" s="20" t="s">
        <v>19</v>
      </c>
    </row>
    <row r="13" spans="2:13" x14ac:dyDescent="0.25">
      <c r="B13" s="1" t="s">
        <v>10</v>
      </c>
      <c r="C13" s="19">
        <v>1E-3</v>
      </c>
      <c r="D13" s="3">
        <f>eps^2</f>
        <v>9.9999999999999995E-7</v>
      </c>
      <c r="L13" s="20" t="s">
        <v>22</v>
      </c>
    </row>
    <row r="14" spans="2:13" x14ac:dyDescent="0.25">
      <c r="B14" s="1" t="s">
        <v>6</v>
      </c>
      <c r="C14" s="8">
        <f t="array" ref="C14:G14">k*N-f*N_</f>
        <v>3.5891081160547955</v>
      </c>
      <c r="D14" s="4">
        <v>3.5888427299228418</v>
      </c>
      <c r="E14" s="4">
        <v>3.5893735185763127</v>
      </c>
      <c r="F14" s="4">
        <v>3.6219090273720589</v>
      </c>
      <c r="G14" s="4">
        <v>3.5563510511224479</v>
      </c>
      <c r="H14" s="4">
        <f>H8</f>
        <v>0.33474335388067344</v>
      </c>
      <c r="I14" s="4">
        <f t="shared" ref="I14:K14" si="3">I8</f>
        <v>0.33477977509558732</v>
      </c>
      <c r="J14" s="4">
        <f t="shared" si="3"/>
        <v>0.33589899246019439</v>
      </c>
      <c r="K14" s="4">
        <f t="shared" si="3"/>
        <v>0.3336160692397333</v>
      </c>
      <c r="L14" s="4">
        <f>C8</f>
        <v>0.33476156420276892</v>
      </c>
    </row>
    <row r="15" spans="2:13" x14ac:dyDescent="0.25">
      <c r="B15" s="1" t="s">
        <v>7</v>
      </c>
      <c r="C15" s="8">
        <f>-N_</f>
        <v>-0.26539432662194407</v>
      </c>
      <c r="D15" s="4"/>
      <c r="E15" s="4"/>
      <c r="F15" s="4"/>
      <c r="G15" s="4"/>
      <c r="H15" s="4"/>
      <c r="I15" s="4"/>
      <c r="J15" s="4"/>
      <c r="K15" s="4"/>
      <c r="L15">
        <f>-C10/(C4*C5)</f>
        <v>-1.8210607460528806E-2</v>
      </c>
    </row>
    <row r="16" spans="2:13" x14ac:dyDescent="0.25">
      <c r="B16" s="1" t="s">
        <v>8</v>
      </c>
      <c r="C16" s="8">
        <f t="array" ref="C16">_xlfn.NORM.S.DIST(x-s,FALSE)/(f*s)</f>
        <v>1.6389546714475924E-2</v>
      </c>
      <c r="H16" s="4"/>
      <c r="I16" s="4"/>
      <c r="J16" s="4"/>
      <c r="K16" s="4"/>
      <c r="L16">
        <f>-C10/(C4*C5)^2</f>
        <v>-9.1053037302644025E-4</v>
      </c>
    </row>
    <row r="17" spans="2:12" x14ac:dyDescent="0.25">
      <c r="B17" s="1" t="s">
        <v>9</v>
      </c>
      <c r="C17" s="8">
        <f>f*_xlfn.NORM.S.DIST(x - s,FALSE)</f>
        <v>32.779093428951853</v>
      </c>
      <c r="H17" s="4"/>
      <c r="I17" s="4"/>
      <c r="J17" s="4"/>
      <c r="K17" s="4"/>
      <c r="L17" s="4">
        <f>-C11*(C7- C5)/C5</f>
        <v>1.027301013762367</v>
      </c>
    </row>
    <row r="18" spans="2:12" x14ac:dyDescent="0.25">
      <c r="B18" s="5" t="s">
        <v>16</v>
      </c>
      <c r="C18" s="18">
        <f>_xll.VARIATE.NORMAL()</f>
        <v>1308757923104</v>
      </c>
      <c r="K18" s="4"/>
    </row>
    <row r="19" spans="2:12" x14ac:dyDescent="0.25">
      <c r="B19" s="1" t="s">
        <v>15</v>
      </c>
      <c r="C19">
        <f>_xll.OPTION.IMPLIED(C18, C4, C14, C6)</f>
        <v>0.2000000000000198</v>
      </c>
      <c r="D19" s="11"/>
    </row>
    <row r="20" spans="2:12" x14ac:dyDescent="0.25">
      <c r="B20" s="5"/>
    </row>
    <row r="21" spans="2:12" x14ac:dyDescent="0.25">
      <c r="B21" s="5"/>
      <c r="D21" s="7" t="s">
        <v>17</v>
      </c>
      <c r="E21" s="7" t="s">
        <v>18</v>
      </c>
      <c r="F21" s="7" t="s">
        <v>16</v>
      </c>
      <c r="G21" s="7" t="s">
        <v>18</v>
      </c>
      <c r="H21" s="13" t="s">
        <v>17</v>
      </c>
      <c r="I21" s="13" t="s">
        <v>18</v>
      </c>
      <c r="J21" s="13" t="s">
        <v>16</v>
      </c>
      <c r="K21" s="13" t="s">
        <v>18</v>
      </c>
    </row>
    <row r="22" spans="2:12" x14ac:dyDescent="0.25">
      <c r="B22" s="1" t="s">
        <v>6</v>
      </c>
      <c r="F22" s="4">
        <f>_xll.OPTION.PUT.VALUE($C$18,$C$4,$C$5,$C$6)</f>
        <v>3.5891081160547955</v>
      </c>
      <c r="G22" s="9">
        <f>C14-F22</f>
        <v>0</v>
      </c>
      <c r="J22" s="4">
        <f>_xll.OPTION.DIGITAL_PUT.VALUE($C$18,$C$4,$C$5,$C$6)</f>
        <v>0.33476156420276904</v>
      </c>
      <c r="K22" s="9">
        <f>J22-L14</f>
        <v>0</v>
      </c>
    </row>
    <row r="23" spans="2:12" x14ac:dyDescent="0.25">
      <c r="B23" s="1" t="s">
        <v>7</v>
      </c>
      <c r="D23" s="4">
        <f>(D14-E14)/(2*eps)</f>
        <v>-0.26539432673544638</v>
      </c>
      <c r="E23" s="3">
        <f>C15-D23</f>
        <v>1.1350231865492333E-10</v>
      </c>
      <c r="F23" s="4">
        <f>_xll.OPTION.PUT.DELTA($C$18,$C$4,$C$5,$C$6)</f>
        <v>-0.26539432662194418</v>
      </c>
      <c r="G23" s="9">
        <f>C15-F23</f>
        <v>0</v>
      </c>
      <c r="H23">
        <f>(H14-I14)/(2*eps)</f>
        <v>-1.8210607456936589E-2</v>
      </c>
      <c r="I23">
        <f>H23-L15</f>
        <v>3.5922168017954448E-12</v>
      </c>
      <c r="J23" s="4">
        <f>_xll.OPTION.DIGITAL_PUT.DELTA($C$18,$C$4,$C$5,$C$6)</f>
        <v>-1.8210607460528803E-2</v>
      </c>
      <c r="K23">
        <f>J23-L15</f>
        <v>0</v>
      </c>
    </row>
    <row r="24" spans="2:12" x14ac:dyDescent="0.25">
      <c r="B24" s="1" t="s">
        <v>8</v>
      </c>
      <c r="D24" s="4">
        <f>(D14-2*C14+E14)/(eps*eps)</f>
        <v>1.6389563484153769E-2</v>
      </c>
      <c r="E24" s="3">
        <f>C16-D24</f>
        <v>-1.6769677844280517E-8</v>
      </c>
      <c r="F24" s="4">
        <f>_xll.OPTION.GAMMA($C$18,$C$4,$C$5,$C$6)</f>
        <v>1.6389546714475921E-2</v>
      </c>
      <c r="G24" s="9">
        <f>C16-F24</f>
        <v>0</v>
      </c>
      <c r="H24">
        <f>(H14-2*L14+I14)/(eps*eps)</f>
        <v>5.7072291337334491E-4</v>
      </c>
      <c r="I24">
        <f t="shared" ref="I24:I25" si="4">H24-L16</f>
        <v>1.481253286399785E-3</v>
      </c>
      <c r="J24" s="4">
        <f>_xll.OPTION.DIGITAL_PUT.GAMMA($C$18,$C$4,$C$5,$C$6)</f>
        <v>-9.1053037302644014E-4</v>
      </c>
      <c r="K24">
        <f>J24-L16</f>
        <v>0</v>
      </c>
    </row>
    <row r="25" spans="2:12" x14ac:dyDescent="0.25">
      <c r="B25" s="1" t="s">
        <v>9</v>
      </c>
      <c r="D25" s="4">
        <f>(F14-G14)/(2*eps)</f>
        <v>32.778988124805508</v>
      </c>
      <c r="E25" s="3">
        <f>C17-D25</f>
        <v>1.0530414634501994E-4</v>
      </c>
      <c r="F25" s="4">
        <f>_xll.OPTION.VEGA($C$18,$C$4,$C$5,$C$6)</f>
        <v>32.779093428951846</v>
      </c>
      <c r="G25" s="9">
        <f>C17-F25</f>
        <v>0</v>
      </c>
      <c r="H25">
        <f>(J14-K14)/(2*eps)</f>
        <v>1.141461610230543</v>
      </c>
      <c r="I25">
        <f t="shared" si="4"/>
        <v>0.114160596468176</v>
      </c>
      <c r="J25" s="4">
        <f>_xll.OPTION.DIGITAL_PUT.VEGA($C$18,$C$4,$C$5,$C$6)</f>
        <v>1.0273010137623668</v>
      </c>
      <c r="K25">
        <f>J25-L17</f>
        <v>0</v>
      </c>
    </row>
  </sheetData>
  <mergeCells count="2">
    <mergeCell ref="D2:G2"/>
    <mergeCell ref="H2:K2"/>
  </mergeCells>
  <pageMargins left="0.7" right="0.7" top="0.75" bottom="0.75" header="0.3" footer="0.3"/>
  <pageSetup orientation="portrait" r:id="rId1"/>
  <ignoredErrors>
    <ignoredError sqref="F5:G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Option</vt:lpstr>
      <vt:lpstr>Check</vt:lpstr>
      <vt:lpstr>delta</vt:lpstr>
      <vt:lpstr>dN</vt:lpstr>
      <vt:lpstr>dN_</vt:lpstr>
      <vt:lpstr>eps</vt:lpstr>
      <vt:lpstr>Option!f</vt:lpstr>
      <vt:lpstr>f</vt:lpstr>
      <vt:lpstr>gamma</vt:lpstr>
      <vt:lpstr>Option!k</vt:lpstr>
      <vt:lpstr>k</vt:lpstr>
      <vt:lpstr>Option!m</vt:lpstr>
      <vt:lpstr>N</vt:lpstr>
      <vt:lpstr>N_</vt:lpstr>
      <vt:lpstr>Option!s</vt:lpstr>
      <vt:lpstr>s</vt:lpstr>
      <vt:lpstr>value</vt:lpstr>
      <vt:lpstr>vega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2020-11-19T23:37:11Z</dcterms:created>
  <dcterms:modified xsi:type="dcterms:W3CDTF">2020-12-05T14:38:50Z</dcterms:modified>
</cp:coreProperties>
</file>