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xll_sqlite\"/>
    </mc:Choice>
  </mc:AlternateContent>
  <xr:revisionPtr revIDLastSave="0" documentId="13_ncr:1_{BD94501C-F547-4DF0-8311-11B71CFCD262}" xr6:coauthVersionLast="47" xr6:coauthVersionMax="47" xr10:uidLastSave="{00000000-0000-0000-0000-000000000000}"/>
  <bookViews>
    <workbookView xWindow="6390" yWindow="4545" windowWidth="28800" windowHeight="15345" activeTab="9" xr2:uid="{AFC3156B-8A0D-6344-9710-208CC7A0BC59}"/>
  </bookViews>
  <sheets>
    <sheet name="Rules" sheetId="10" r:id="rId1"/>
    <sheet name="lambda" sheetId="15" r:id="rId2"/>
    <sheet name="tmswap" sheetId="16" r:id="rId3"/>
    <sheet name="examples" sheetId="13" r:id="rId4"/>
    <sheet name="no_crossing" sheetId="17" r:id="rId5"/>
    <sheet name="absolute" sheetId="19" r:id="rId6"/>
    <sheet name="relative" sheetId="21" r:id="rId7"/>
    <sheet name="cases" sheetId="20" r:id="rId8"/>
    <sheet name="equal" sheetId="18" r:id="rId9"/>
    <sheet name="implies" sheetId="22" r:id="rId10"/>
    <sheet name="logical" sheetId="23" r:id="rId11"/>
    <sheet name="measure" sheetId="24" r:id="rId12"/>
  </sheets>
  <definedNames>
    <definedName name="absolute" comment="comment">_xlfn.LAMBDA(_xlpm.a,_xlpm.b,"ABS("&amp;_xlpm.a&amp;"-"&amp;_xlpm.b&amp;")")</definedName>
    <definedName name="array">_xlfn.LAMBDA(_xlop.a,_xlop.b,_xlop.c,_xlop.d,_xlop.e,_xlop.f,_xlop.g, "["&amp;_xlfn.TEXTJOIN(", ",TRUE,_xlpm.a,_xlpm.b,_xlpm.c,_xlpm.d,_xlpm.e,_xlpm.f,_xlpm.g)&amp;"]")</definedName>
    <definedName name="bind">examples!$L$12</definedName>
    <definedName name="clientId">tmswap!$E$3</definedName>
    <definedName name="cmp">examples!$R$3</definedName>
    <definedName name="cusip">tmswap!$F$3</definedName>
    <definedName name="div">_xlfn.LAMBDA(_xlpm.a,_xlpm.b, _xlpm.a&amp;" / "&amp;_xlpm.b)</definedName>
    <definedName name="eq">_xlfn.LAMBDA(_xlpm.a,_xlpm.b, _xlpm.a&amp;" = "&amp;_xlpm.b)</definedName>
    <definedName name="expr">examples!$P$3</definedName>
    <definedName name="ge">_xlfn.LAMBDA(_xlpm.a,_xlpm.b, _xlpm.a&amp;" &gt;= "&amp;_xlpm.b)</definedName>
    <definedName name="gt">_xlfn.LAMBDA(_xlpm.a,_xlpm.b, _xlpm.a&amp;" &gt; "&amp;_xlpm.b)</definedName>
    <definedName name="jointext">_xlfn.LAMBDA(_xlpm.sep,_xlop.a,_xlop.b,_xlop.c,_xlop.d,_xlop.e,_xlop.f,_xlop.g, _xlfn.TEXTJOIN(_xlpm.sep,TRUE,_xlpm.a,_xlpm.b,_xlpm.c,_xlpm.d,_xlpm.e,_xlpm.f,_xlpm.g))</definedName>
    <definedName name="le">_xlfn.LAMBDA(_xlpm.a,_xlpm.b, _xlpm.a&amp;" &lt;= "&amp;_xlpm.b)</definedName>
    <definedName name="logical" localSheetId="9">_xlfn.LAMBDA(_xlpm.c,_xlpm.a,implies!rule(,_xlpm.a,_xlpm.c,))</definedName>
    <definedName name="logical" localSheetId="11">_xlfn.LAMBDA(_xlpm.c,_xlpm.a,measure!rule(,_xlpm.a,_xlpm.c,))</definedName>
    <definedName name="logical" localSheetId="6">_xlfn.LAMBDA(_xlpm.c,_xlpm.a,relative!rule(,_xlpm.a,_xlpm.c,))</definedName>
    <definedName name="logical">_xlfn.LAMBDA(_xlpm.c,_xlpm.a,rule(,_xlpm.a,_xlpm.c,))</definedName>
    <definedName name="lt">_xlfn.LAMBDA(_xlpm.a,_xlpm.b, _xlpm.a&amp;" &lt; "&amp;_xlpm.b)</definedName>
    <definedName name="match_type" localSheetId="9">_xlfn.LAMBDA(_xlpm.t,_xlpm.u,_xlfn.LET(_xlpm.type, [0]!cmp(_xlpm.t,"ne"), _xlpm.subtype, implies!rule("first",_xlpm.t,"eq", _xlpm.u), [0]!cmp([0]!array(_xlpm.type, _xlpm.subtype),"or")))</definedName>
    <definedName name="match_type" localSheetId="11">_xlfn.LAMBDA(_xlpm.t,_xlpm.u,_xlfn.LET(_xlpm.type, [0]!cmp(_xlpm.t,"ne"), _xlpm.subtype, measure!rule("first",_xlpm.t,"eq", _xlpm.u), [0]!cmp([0]!array(_xlpm.type, _xlpm.subtype),"or")))</definedName>
    <definedName name="match_type" localSheetId="6">_xlfn.LAMBDA(_xlpm.t,_xlpm.u,_xlfn.LET(_xlpm.type, [0]!cmp(_xlpm.t,"ne"), _xlpm.subtype, relative!rule("first",_xlpm.t,"eq", _xlpm.u), [0]!cmp([0]!array(_xlpm.type, _xlpm.subtype),"or")))</definedName>
    <definedName name="match_type">_xlfn.LAMBDA(_xlpm.t,_xlpm.u,_xlfn.LET(_xlpm.type, cmp(_xlpm.t,"ne"), _xlpm.subtype, rule("first",_xlpm.t,"eq", _xlpm.u), cmp(array(_xlpm.type, _xlpm.subtype),"or")))</definedName>
    <definedName name="member" localSheetId="9">_xlfn.LAMBDA(_xlpm.k,_xlpm.v, IF(LEN(_xlpm.v)=0,"",IF(JSON,quote(_xlpm.k),_xlpm.k)&amp;": "&amp;quote(_xlpm.v)))</definedName>
    <definedName name="member" localSheetId="11">_xlfn.LAMBDA(_xlpm.k,_xlpm.v, IF(LEN(_xlpm.v)=0,"",IF(JSON,quote(_xlpm.k),_xlpm.k)&amp;": "&amp;quote(_xlpm.v)))</definedName>
    <definedName name="member" localSheetId="6">_xlfn.LAMBDA(_xlpm.k,_xlpm.v, IF(LEN(_xlpm.v)=0,"",IF(JSON,quote(_xlpm.k),_xlpm.k)&amp;": "&amp;quote(_xlpm.v)))</definedName>
    <definedName name="member">_xlfn.LAMBDA(_xlpm.k,_xlpm.v, IF(LEN(_xlpm.v)=0,"",IF(JSON,quote(_xlpm.k),_xlpm.k)&amp;": "&amp;quote(_xlpm.v)))</definedName>
    <definedName name="name" localSheetId="3">examples!$Q$3</definedName>
    <definedName name="name">tmswap!$C$3</definedName>
    <definedName name="ne">_xlfn.LAMBDA(_xlpm.a,_xlpm.b, _xlpm.a&amp;" &lt;&gt; "&amp;_xlpm.b)</definedName>
    <definedName name="oas" localSheetId="5">absolute!$E$3</definedName>
    <definedName name="oas" localSheetId="6">relative!$E$3</definedName>
    <definedName name="oas">measure!$D$6</definedName>
    <definedName name="object">_xlfn.LAMBDA(_xlop.a,_xlop.b,_xlop.c,_xlop.d,_xlop.e,_xlop.f,_xlop.g, "{"&amp;_xlfn.TEXTJOIN(", ",TRUE,_xlpm.a,_xlpm.b,_xlpm.c,_xlpm.d,_xlpm.e,_xlpm.f,_xlpm.g)&amp;"}")</definedName>
    <definedName name="ops">lambda!$B$12:$C$17</definedName>
    <definedName name="positionId">tmswap!$G$3</definedName>
    <definedName name="prepare">examples!$L$11</definedName>
    <definedName name="relative">_xlfn.LAMBDA(_xlpm.a,_xlpm.b,"ABS(("&amp;_xlpm.a&amp;"-"&amp;_xlpm.b&amp;")/"&amp;_xlpm.a&amp;")")</definedName>
    <definedName name="rule" localSheetId="9">_xlfn.LAMBDA(_xlpm.e,_xlpm.a,_xlpm.c,_xlpm.v, "{"&amp;_xlfn.TEXTJOIN(", ", TRUE, implies!member("expr",_xlpm.e), implies!member("args",_xlpm.a), implies!member("cmp", _xlpm.c), implies!member("value", _xlpm.v))&amp;"}")</definedName>
    <definedName name="rule" localSheetId="11">_xlfn.LAMBDA(_xlpm.e,_xlpm.a,_xlpm.c,_xlpm.v, "{"&amp;_xlfn.TEXTJOIN(", ", TRUE, measure!member("expr",_xlpm.e), measure!member("args",_xlpm.a), measure!member("cmp", _xlpm.c), measure!member("value", _xlpm.v))&amp;"}")</definedName>
    <definedName name="rule" localSheetId="6">_xlfn.LAMBDA(_xlpm.e,_xlpm.a,_xlpm.c,_xlpm.v, "{"&amp;_xlfn.TEXTJOIN(", ", TRUE, relative!member("expr",_xlpm.e), relative!member("args",_xlpm.a), relative!member("cmp", _xlpm.c), relative!member("value", _xlpm.v))&amp;"}")</definedName>
    <definedName name="rule">_xlfn.LAMBDA(_xlpm.e,_xlpm.a,_xlpm.c,_xlpm.v, "{"&amp;_xlfn.TEXTJOIN(", ", TRUE, member("expr",_xlpm.e), member("args",_xlpm.a), member("cmp", _xlpm.c), member("value", _xlpm.v))&amp;"}")</definedName>
    <definedName name="same_if" localSheetId="9">_xlfn.LAMBDA(_xlpm.a,_xlpm.v,_xlfn.LET(_xlpm.nin, implies!rule("first",_xlpm.a,"nin",_xlpm.v), _xlpm.same, [0]!cmp(_xlpm.a,"eq"), [0]!cmp([0]!array(_xlfn.HSTACK(_xlpm.nin,_xlpm.same)),"or")))</definedName>
    <definedName name="same_if" localSheetId="11">_xlfn.LAMBDA(_xlpm.a,_xlpm.v,_xlfn.LET(_xlpm.nin, measure!rule("first",_xlpm.a,"nin",_xlpm.v), _xlpm.same, [0]!cmp(_xlpm.a,"eq"), [0]!cmp([0]!array(_xlfn.HSTACK(_xlpm.nin,_xlpm.same)),"or")))</definedName>
    <definedName name="same_if" localSheetId="6">_xlfn.LAMBDA(_xlpm.a,_xlpm.v,_xlfn.LET(_xlpm.nin, relative!rule("first",_xlpm.a,"nin",_xlpm.v), _xlpm.same, [0]!cmp(_xlpm.a,"eq"), [0]!cmp([0]!array(_xlfn.HSTACK(_xlpm.nin,_xlpm.same)),"or")))</definedName>
    <definedName name="same_if">_xlfn.LAMBDA(_xlpm.a,_xlpm.v,_xlfn.LET(_xlpm.nin, rule("first",_xlpm.a,"nin",_xlpm.v), _xlpm.same, cmp(_xlpm.a,"eq"), cmp(array(_xlfn.HSTACK(_xlpm.nin,_xlpm.same)),"or")))</definedName>
    <definedName name="select_cusip_name">_xlfn.LAMBDA(_xlpm.c,_xlpm.n,_xlfn.DROP(_xll.SQL.QUERY(tmswap,"select "&amp;_xlpm.n&amp;" from swapRequests where cusip = """&amp;_xlpm.c&amp;""""),1))</definedName>
    <definedName name="similar" localSheetId="9">_xlfn.LAMBDA(_xlpm.a,_xlpm.v,implies!rule("absdiff", _xlpm.a,"le", quote(_xlpm.v)))</definedName>
    <definedName name="similar" localSheetId="11">_xlfn.LAMBDA(_xlpm.a,_xlpm.v,measure!rule("absdiff", _xlpm.a,"le", quote(_xlpm.v)))</definedName>
    <definedName name="similar" localSheetId="6">_xlfn.LAMBDA(_xlpm.a,_xlpm.v,relative!rule("absdiff", _xlpm.a,"le", quote(_xlpm.v)))</definedName>
    <definedName name="similar">_xlfn.LAMBDA(_xlpm.a,_xlpm.v,rule("absdiff", _xlpm.a,"le", quote(_xlpm.v)))</definedName>
    <definedName name="sql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</definedName>
    <definedName name="stmt">examples!$L$10</definedName>
    <definedName name="sub">_xlfn.LAMBDA(_xlpm.a,_xlpm.b, _xlpm.a&amp;" - "&amp;_xlpm.b)</definedName>
    <definedName name="table">tmswap!$B$3</definedName>
    <definedName name="thresh">_xlfn.LAMBDA(_xlpm.v,_xlpm.w,"${"&amp;_xlpm.v&amp;"Threshold:="&amp;_xlpm.w&amp;"}")</definedName>
    <definedName name="tmswap">tmswap!$C$2</definedName>
    <definedName name="value">examples!$S$3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6" l="1"/>
  <c r="I8" i="23" a="1"/>
  <c r="I8" i="23" s="1"/>
  <c r="C5" i="24"/>
  <c r="B3" i="24" a="1"/>
  <c r="B3" i="24" s="1"/>
  <c r="B2" i="24" a="1"/>
  <c r="B2" i="24" s="1"/>
  <c r="C8" i="24" s="1"/>
  <c r="B5" i="23"/>
  <c r="B3" i="23" a="1"/>
  <c r="B3" i="23" s="1"/>
  <c r="B2" i="23" a="1"/>
  <c r="B2" i="23" s="1"/>
  <c r="C8" i="23" s="1"/>
  <c r="D6" i="22"/>
  <c r="C6" i="18"/>
  <c r="E8" i="18" s="1"/>
  <c r="B3" i="22" a="1"/>
  <c r="B3" i="22" s="1"/>
  <c r="B2" i="22" a="1"/>
  <c r="B2" i="22" s="1"/>
  <c r="D8" i="22" s="1"/>
  <c r="G15" i="20"/>
  <c r="F19" i="20"/>
  <c r="I9" i="20"/>
  <c r="G12" i="20" s="1"/>
  <c r="C20" i="15" a="1"/>
  <c r="C20" i="15" s="1"/>
  <c r="C19" i="15" a="1"/>
  <c r="C19" i="15" s="1"/>
  <c r="B2" i="20" a="1"/>
  <c r="B2" i="20" s="1"/>
  <c r="D19" i="20" s="1"/>
  <c r="B3" i="20" a="1"/>
  <c r="B3" i="20" s="1"/>
  <c r="G8" i="21"/>
  <c r="D10" i="21" s="1" a="1"/>
  <c r="D10" i="21" s="1"/>
  <c r="D7" i="21" a="1"/>
  <c r="D7" i="21" s="1"/>
  <c r="B3" i="21" a="1"/>
  <c r="B2" i="21" a="1"/>
  <c r="B2" i="21" s="1"/>
  <c r="D8" i="21" s="1"/>
  <c r="G12" i="15" a="1"/>
  <c r="G12" i="15" s="1"/>
  <c r="C12" i="15" a="1"/>
  <c r="C12" i="15" s="1"/>
  <c r="D8" i="20" a="1"/>
  <c r="D8" i="20" s="1"/>
  <c r="G23" i="15" a="1"/>
  <c r="G23" i="15" s="1"/>
  <c r="G22" i="15" a="1"/>
  <c r="G22" i="15" s="1"/>
  <c r="C23" i="15" a="1"/>
  <c r="C23" i="15" s="1"/>
  <c r="C22" i="15" a="1"/>
  <c r="C22" i="15" s="1"/>
  <c r="C17" i="15" a="1"/>
  <c r="C17" i="15" s="1"/>
  <c r="C16" i="15" a="1"/>
  <c r="C16" i="15" s="1"/>
  <c r="C15" i="15" a="1"/>
  <c r="C15" i="15" s="1"/>
  <c r="C14" i="15" a="1"/>
  <c r="C14" i="15" s="1"/>
  <c r="C13" i="15" a="1"/>
  <c r="C13" i="15" s="1"/>
  <c r="G8" i="19"/>
  <c r="D11" i="19" s="1"/>
  <c r="G8" i="17"/>
  <c r="D7" i="18" a="1"/>
  <c r="D7" i="18" s="1"/>
  <c r="B3" i="18" a="1"/>
  <c r="B3" i="18" s="1"/>
  <c r="B2" i="18" a="1"/>
  <c r="B2" i="18" s="1"/>
  <c r="D8" i="18" s="1"/>
  <c r="D7" i="19" a="1"/>
  <c r="D7" i="19" s="1"/>
  <c r="D7" i="17" a="1"/>
  <c r="D7" i="17" s="1"/>
  <c r="B3" i="19" a="1"/>
  <c r="B2" i="19" a="1"/>
  <c r="B2" i="19" s="1"/>
  <c r="D8" i="19" s="1"/>
  <c r="B3" i="17" a="1"/>
  <c r="B3" i="17" s="1"/>
  <c r="B2" i="17" a="1"/>
  <c r="B2" i="17" s="1"/>
  <c r="D8" i="17" s="1"/>
  <c r="C10" i="15" a="1"/>
  <c r="C10" i="15" s="1"/>
  <c r="C9" i="15" a="1"/>
  <c r="C9" i="15" s="1"/>
  <c r="C8" i="15" a="1"/>
  <c r="C8" i="15" s="1"/>
  <c r="C3" i="15" a="1"/>
  <c r="C3" i="15" s="1"/>
  <c r="C7" i="15" a="1"/>
  <c r="C7" i="15" s="1"/>
  <c r="C6" i="15" a="1"/>
  <c r="C6" i="15" s="1"/>
  <c r="C5" i="15" a="1"/>
  <c r="C5" i="15" s="1"/>
  <c r="C4" i="15" a="1"/>
  <c r="C4" i="15" s="1"/>
  <c r="F6" i="13" a="1"/>
  <c r="F6" i="13" s="1"/>
  <c r="F2" i="13" a="1"/>
  <c r="F2" i="13" s="1"/>
  <c r="F5" i="13" a="1"/>
  <c r="F5" i="13" s="1"/>
  <c r="F4" i="13" a="1"/>
  <c r="F4" i="13" s="1"/>
  <c r="C2" i="13" a="1"/>
  <c r="C2" i="13" s="1"/>
  <c r="E6" i="22" a="1"/>
  <c r="D6" i="23" a="1"/>
  <c r="C6" i="23" a="1"/>
  <c r="G5" i="13" a="1"/>
  <c r="H19" i="15" a="1"/>
  <c r="G3" i="15" a="1"/>
  <c r="H16" i="15" a="1"/>
  <c r="D5" i="23" a="1"/>
  <c r="H23" i="15" a="1"/>
  <c r="H17" i="15" a="1"/>
  <c r="H12" i="15" a="1"/>
  <c r="F5" i="24" a="1"/>
  <c r="H15" i="15" a="1"/>
  <c r="G2" i="13" a="1"/>
  <c r="H20" i="15" a="1"/>
  <c r="C2" i="16" a="1"/>
  <c r="H13" i="15" a="1"/>
  <c r="G4" i="13" a="1"/>
  <c r="G6" i="13" a="1"/>
  <c r="H14" i="15" a="1"/>
  <c r="H22" i="15" a="1"/>
  <c r="E6" i="22" l="1"/>
  <c r="D6" i="23"/>
  <c r="C6" i="23"/>
  <c r="F5" i="24"/>
  <c r="E8" i="22"/>
  <c r="D10" i="18" a="1"/>
  <c r="D10" i="18" s="1"/>
  <c r="D5" i="23"/>
  <c r="G19" i="20"/>
  <c r="H20" i="15"/>
  <c r="H19" i="15"/>
  <c r="B3" i="21"/>
  <c r="D11" i="21"/>
  <c r="D10" i="19" a="1"/>
  <c r="D10" i="19" s="1"/>
  <c r="H12" i="15"/>
  <c r="H23" i="15"/>
  <c r="H22" i="15"/>
  <c r="B3" i="19"/>
  <c r="H13" i="15"/>
  <c r="H14" i="15"/>
  <c r="H15" i="15"/>
  <c r="H17" i="15"/>
  <c r="H16" i="15"/>
  <c r="G3" i="15"/>
  <c r="C2" i="16"/>
  <c r="G6" i="13"/>
  <c r="I6" i="13" s="1"/>
  <c r="G2" i="13"/>
  <c r="G5" i="13"/>
  <c r="I5" i="13" s="1"/>
  <c r="G4" i="13"/>
  <c r="I4" i="13" s="1"/>
  <c r="B18" i="10"/>
  <c r="B17" i="10"/>
  <c r="B16" i="10"/>
  <c r="B15" i="10"/>
  <c r="B13" i="10"/>
  <c r="B12" i="10"/>
  <c r="B11" i="10"/>
  <c r="B10" i="10"/>
  <c r="C7" i="23" a="1"/>
  <c r="C10" i="24" a="1"/>
  <c r="C7" i="24" a="1"/>
  <c r="D8" i="23" a="1"/>
  <c r="E3" i="21" a="1"/>
  <c r="F8" i="24" a="1"/>
  <c r="E3" i="17" a="1"/>
  <c r="F8" i="23" a="1"/>
  <c r="C14" i="24" a="1"/>
  <c r="B5" i="16" a="1"/>
  <c r="E3" i="20" a="1"/>
  <c r="G5" i="16" a="1"/>
  <c r="E3" i="19" a="1"/>
  <c r="E3" i="24" a="1"/>
  <c r="C7" i="17" a="1"/>
  <c r="C7" i="21" a="1"/>
  <c r="E5" i="16" a="1"/>
  <c r="E3" i="23" a="1"/>
  <c r="C7" i="19" a="1"/>
  <c r="E3" i="18" a="1"/>
  <c r="C7" i="18" a="1"/>
  <c r="C8" i="20" a="1"/>
  <c r="C5" i="16" a="1"/>
  <c r="C13" i="23" a="1"/>
  <c r="C10" i="23" a="1"/>
  <c r="C6" i="24" a="1"/>
  <c r="F5" i="16" a="1"/>
  <c r="E3" i="22" a="1"/>
  <c r="C6" i="24" l="1"/>
  <c r="C14" i="24"/>
  <c r="E3" i="24"/>
  <c r="F8" i="24"/>
  <c r="C11" i="24" s="1"/>
  <c r="C7" i="24"/>
  <c r="C10" i="24"/>
  <c r="C13" i="23"/>
  <c r="E3" i="23"/>
  <c r="D7" i="23" s="1"/>
  <c r="C7" i="23"/>
  <c r="C10" i="23"/>
  <c r="F8" i="23"/>
  <c r="D8" i="23"/>
  <c r="E3" i="22"/>
  <c r="D10" i="22" a="1"/>
  <c r="D10" i="22" s="1"/>
  <c r="E3" i="20"/>
  <c r="C7" i="21"/>
  <c r="E8" i="21" s="1" a="1"/>
  <c r="E8" i="21" s="1"/>
  <c r="E3" i="21"/>
  <c r="C8" i="20"/>
  <c r="G9" i="20" s="1" a="1"/>
  <c r="G9" i="20" s="1"/>
  <c r="E19" i="20" s="1"/>
  <c r="B14" i="20"/>
  <c r="B11" i="20"/>
  <c r="C7" i="17"/>
  <c r="E8" i="17" s="1" a="1"/>
  <c r="E8" i="17" s="1"/>
  <c r="C7" i="19"/>
  <c r="E8" i="19" s="1" a="1"/>
  <c r="E8" i="19" s="1"/>
  <c r="E3" i="19"/>
  <c r="C7" i="18"/>
  <c r="E3" i="18"/>
  <c r="E3" i="17"/>
  <c r="G5" i="16"/>
  <c r="F5" i="16"/>
  <c r="E5" i="16"/>
  <c r="C5" i="16"/>
  <c r="B5" i="16"/>
  <c r="B13" i="22" a="1"/>
  <c r="C14" i="23" a="1"/>
  <c r="B14" i="21" a="1"/>
  <c r="B13" i="18" a="1"/>
  <c r="B14" i="19" a="1"/>
  <c r="B13" i="17" a="1"/>
  <c r="H5" i="16" a="1"/>
  <c r="E14" i="20" a="1"/>
  <c r="D6" i="24" a="1"/>
  <c r="D6" i="24" l="1"/>
  <c r="C14" i="23"/>
  <c r="B13" i="22"/>
  <c r="B13" i="18"/>
  <c r="B14" i="21"/>
  <c r="E14" i="20"/>
  <c r="B14" i="19"/>
  <c r="B13" i="17"/>
  <c r="H5" i="16"/>
  <c r="D8" i="24" a="1"/>
  <c r="C15" i="23" a="1"/>
  <c r="E11" i="20" a="1"/>
  <c r="D14" i="23" a="1"/>
  <c r="D8" i="24" l="1"/>
  <c r="C15" i="23"/>
  <c r="D14" i="23"/>
  <c r="E11" i="20"/>
  <c r="C15" i="24" a="1"/>
  <c r="B17" i="23" a="1"/>
  <c r="D15" i="23" a="1"/>
  <c r="C15" i="24" l="1"/>
  <c r="B17" i="23"/>
  <c r="D15" i="23"/>
  <c r="C16" i="24" a="1"/>
  <c r="D15" i="24" a="1"/>
  <c r="D15" i="24" l="1"/>
  <c r="C16" i="24"/>
  <c r="D16" i="24" a="1"/>
  <c r="B18" i="24" a="1"/>
  <c r="B18" i="24" l="1"/>
  <c r="D16" i="2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<sst xmlns="http://schemas.openxmlformats.org/spreadsheetml/2006/main" count="331" uniqueCount="144">
  <si>
    <t>clientId</t>
  </si>
  <si>
    <t>rulesetName</t>
  </si>
  <si>
    <t>expr</t>
  </si>
  <si>
    <t>args</t>
  </si>
  <si>
    <t>cmp</t>
  </si>
  <si>
    <t>value</t>
  </si>
  <si>
    <t>ne</t>
  </si>
  <si>
    <t>no_crossing</t>
  </si>
  <si>
    <t>state</t>
  </si>
  <si>
    <t>['CA', 'NY']</t>
  </si>
  <si>
    <t>subjectToAmt</t>
  </si>
  <si>
    <t>eq</t>
  </si>
  <si>
    <t>AMT_eq</t>
  </si>
  <si>
    <t>reldiff</t>
  </si>
  <si>
    <t>edur</t>
  </si>
  <si>
    <t>le</t>
  </si>
  <si>
    <t>quantity</t>
  </si>
  <si>
    <t>ge</t>
  </si>
  <si>
    <t>extraordinaryRedemption</t>
  </si>
  <si>
    <t>sub</t>
  </si>
  <si>
    <t>ratingRank</t>
  </si>
  <si>
    <t>match_housing</t>
  </si>
  <si>
    <t>match_tobacco</t>
  </si>
  <si>
    <t>issuerCode</t>
  </si>
  <si>
    <t>absdiff</t>
  </si>
  <si>
    <t>coupon</t>
  </si>
  <si>
    <t>term</t>
  </si>
  <si>
    <t>description</t>
  </si>
  <si>
    <t>yield</t>
  </si>
  <si>
    <t>b</t>
  </si>
  <si>
    <t>a</t>
  </si>
  <si>
    <t>relative</t>
  </si>
  <si>
    <t>housing bonds match only with housing bonds</t>
  </si>
  <si>
    <t>tobacco bonds match only with tobacco bonds</t>
  </si>
  <si>
    <t>coupon must match</t>
  </si>
  <si>
    <t>crossing_only</t>
  </si>
  <si>
    <t>match only with current holdings</t>
  </si>
  <si>
    <t>matchs only bonds from other firms</t>
  </si>
  <si>
    <t>ERP bonds match with ERP bonds</t>
  </si>
  <si>
    <t>dv01</t>
  </si>
  <si>
    <t>relative difference in DV01 with tolerance</t>
  </si>
  <si>
    <t>relative diff in effective duration with tolerance</t>
  </si>
  <si>
    <t>relative difference in quantity with tolerance</t>
  </si>
  <si>
    <t>AMT bonds match with AMT bonds</t>
  </si>
  <si>
    <t>max notches lower in rating allowed</t>
  </si>
  <si>
    <t>issuers must be different</t>
  </si>
  <si>
    <t>difference in coupon required</t>
  </si>
  <si>
    <t>difference in maturity (yrs) required</t>
  </si>
  <si>
    <t>max_yield_give_up</t>
  </si>
  <si>
    <t>max amount buy yield can be less than sell yield</t>
  </si>
  <si>
    <t>match_CA_NY</t>
  </si>
  <si>
    <t>CA&amp;NY bonds match with CA&amp;NY bonds</t>
  </si>
  <si>
    <t>AB_similar_quantity</t>
  </si>
  <si>
    <t>quantity must be similar</t>
  </si>
  <si>
    <t>AB_wash_sale</t>
  </si>
  <si>
    <t>rules to avoid wash sale</t>
  </si>
  <si>
    <t>AB_max_yield_give-up</t>
  </si>
  <si>
    <t>use oas</t>
  </si>
  <si>
    <t>BCA_wash_sale</t>
  </si>
  <si>
    <t>BCA_quantity</t>
  </si>
  <si>
    <t>quantity rules</t>
  </si>
  <si>
    <t>IRM_wash_sale</t>
  </si>
  <si>
    <t>IRM_quantity</t>
  </si>
  <si>
    <t>F_wash_sale</t>
  </si>
  <si>
    <t>Franklin wash sale rule</t>
  </si>
  <si>
    <t>maintain_yield</t>
  </si>
  <si>
    <t>Franklin maintain yield</t>
  </si>
  <si>
    <t>both_snif</t>
  </si>
  <si>
    <t>both have security master data</t>
  </si>
  <si>
    <t>$snif AND @snif</t>
  </si>
  <si>
    <t>both_calculated</t>
  </si>
  <si>
    <t>$calcStatus = 0 AND @calcStatus = 0</t>
  </si>
  <si>
    <t>$useOfProceedsGroup = 1 AND @useOfProceedsGroup = 1</t>
  </si>
  <si>
    <t>notes</t>
  </si>
  <si>
    <t>both have been calculated</t>
  </si>
  <si>
    <t>replace the magic number 1 with enumeration</t>
  </si>
  <si>
    <t>replace the magic number 13 with enumeration</t>
  </si>
  <si>
    <t>$securityType = 13 AND @securityType = 13</t>
  </si>
  <si>
    <t>same_coupon</t>
  </si>
  <si>
    <t>$coupon = @coupon</t>
  </si>
  <si>
    <t>same_calcStatus(0)</t>
  </si>
  <si>
    <t>same_useOfProceedsGroup(1)</t>
  </si>
  <si>
    <t>same_secuirityType(13)</t>
  </si>
  <si>
    <t>eval</t>
  </si>
  <si>
    <t>formula</t>
  </si>
  <si>
    <t>expected</t>
  </si>
  <si>
    <t>check</t>
  </si>
  <si>
    <t>tmswap</t>
  </si>
  <si>
    <t>cusip</t>
  </si>
  <si>
    <t>table</t>
  </si>
  <si>
    <t>name</t>
  </si>
  <si>
    <t>swapRequests</t>
  </si>
  <si>
    <t>absolute</t>
  </si>
  <si>
    <t>same</t>
  </si>
  <si>
    <t>NY</t>
  </si>
  <si>
    <t>{"args": [{"args": "securityType", "cmp": "ne"}, {"expr": "first", "args": "securityType", "cmp": "eq", "value": 13}], "cmp": "or"}</t>
  </si>
  <si>
    <t>match</t>
  </si>
  <si>
    <t>securityType</t>
  </si>
  <si>
    <t>range</t>
  </si>
  <si>
    <t>{"args": [{"args": [{"args": "quantity", "cmp": "eq"}, {"expr": "first", "args": "quantity", "cmp": "le", "value": 500}], "cmp": "and"}, {"args": [{"expr": "first", "args": "quantity", "cmp": "gt", "value": 500}, {"expr": "reldiff", "args": "quantity", "cmp": "le", "value": 0.1}, {"expr": "second", "args": "quantity", "cmp": "ge", "value": 500}], "cmp": "and"}], "cmp": "or"}</t>
  </si>
  <si>
    <t>lt</t>
  </si>
  <si>
    <t>gt</t>
  </si>
  <si>
    <t>positionId</t>
  </si>
  <si>
    <t>7d50ed8778a64c0bb477c7529931e7ca</t>
  </si>
  <si>
    <t>string</t>
  </si>
  <si>
    <t>Excel to SQL conversion</t>
  </si>
  <si>
    <t>sql</t>
  </si>
  <si>
    <t>single quotes</t>
  </si>
  <si>
    <t>SQL proxy for boolean</t>
  </si>
  <si>
    <t>oas</t>
  </si>
  <si>
    <t>[quoted]</t>
  </si>
  <si>
    <t>'quoted'</t>
  </si>
  <si>
    <t>price</t>
  </si>
  <si>
    <t>clientId_ne</t>
  </si>
  <si>
    <t>SELECT</t>
  </si>
  <si>
    <t>WHERE</t>
  </si>
  <si>
    <t>AS</t>
  </si>
  <si>
    <t>FROM</t>
  </si>
  <si>
    <t>LIMIT</t>
  </si>
  <si>
    <t>ORDER BY</t>
  </si>
  <si>
    <t>Absolute value of difference less than tolerance.</t>
  </si>
  <si>
    <t>Clients must be different.</t>
  </si>
  <si>
    <t>Same state if issued in particular state</t>
  </si>
  <si>
    <t>settlementDate</t>
  </si>
  <si>
    <t>cases</t>
  </si>
  <si>
    <t>div</t>
  </si>
  <si>
    <t>XX</t>
  </si>
  <si>
    <t>useOfProceedsGroup</t>
  </si>
  <si>
    <t>A implies B = ~A or B</t>
  </si>
  <si>
    <t>implies</t>
  </si>
  <si>
    <t>equal</t>
  </si>
  <si>
    <t>Different use of proceeds or both have same value</t>
  </si>
  <si>
    <t>CLT3414</t>
  </si>
  <si>
    <t>215543MJ5</t>
  </si>
  <si>
    <t>BIND</t>
  </si>
  <si>
    <t>PREPARE</t>
  </si>
  <si>
    <t>STMT</t>
  </si>
  <si>
    <t>QUERY</t>
  </si>
  <si>
    <t>ASC</t>
  </si>
  <si>
    <t>ciientId_ne</t>
  </si>
  <si>
    <t>@uop</t>
  </si>
  <si>
    <t>uop</t>
  </si>
  <si>
    <t>=1</t>
  </si>
  <si>
    <t>&lt;&gt;1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</si>
</sst>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rgb="FFA6A6A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4" borderId="2" applyNumberFormat="0" applyAlignment="0" applyProtection="0"/>
    <xf numFmtId="0" fontId="7" fillId="5" borderId="3" applyNumberFormat="0" applyFont="0" applyAlignment="0" applyProtection="0"/>
  </cellStyleXfs>
  <cellXfs count="18">
    <xf numFmtId="0" fontId="0" fillId="0" borderId="0" xfId="0"/>
    <xf numFmtId="0" fontId="1" fillId="3" borderId="1" xfId="1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" fillId="2" borderId="1" xfId="1" applyAlignment="1">
      <alignment horizontal="right"/>
    </xf>
    <xf numFmtId="0" fontId="1" fillId="2" borderId="1" xfId="1"/>
    <xf numFmtId="0" fontId="4" fillId="0" borderId="0" xfId="0" applyFont="1"/>
    <xf numFmtId="0" fontId="1" fillId="2" borderId="1" xfId="1" applyAlignment="1"/>
    <xf numFmtId="0" fontId="5" fillId="4" borderId="2" xfId="2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center"/>
    </xf>
    <xf numFmtId="0" fontId="1" fillId="2" borderId="1" xfId="1" applyAlignment="1">
      <alignment horizontal="center"/>
    </xf>
    <xf numFmtId="0" fontId="2" fillId="0" borderId="0" xfId="0" applyFont="1" applyAlignment="1">
      <alignment horizontal="left"/>
    </xf>
    <xf numFmtId="0" fontId="0" fillId="5" borderId="3" xfId="3" applyFont="1"/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193-F4A1-46B9-A7C6-3A8683777F37}">
  <sheetPr codeName="Sheet1"/>
  <dimension ref="B2:I33"/>
  <sheetViews>
    <sheetView workbookViewId="0">
      <pane ySplit="2" topLeftCell="A3" activePane="bottomLeft" state="frozen"/>
      <selection pane="bottomLeft" activeCell="G2" sqref="G2"/>
    </sheetView>
  </sheetViews>
  <sheetFormatPr defaultRowHeight="15.75" x14ac:dyDescent="0.25"/>
  <cols>
    <col min="2" max="3" width="24.75" customWidth="1"/>
    <col min="8" max="8" width="41" bestFit="1" customWidth="1"/>
    <col min="24" max="24" width="69.625" customWidth="1"/>
  </cols>
  <sheetData>
    <row r="2" spans="2:9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27</v>
      </c>
      <c r="I2" t="s">
        <v>73</v>
      </c>
    </row>
    <row r="3" spans="2:9" x14ac:dyDescent="0.25">
      <c r="B3" t="s">
        <v>67</v>
      </c>
      <c r="D3" s="2" t="s">
        <v>69</v>
      </c>
      <c r="H3" t="s">
        <v>68</v>
      </c>
    </row>
    <row r="4" spans="2:9" x14ac:dyDescent="0.25">
      <c r="B4" t="s">
        <v>70</v>
      </c>
      <c r="C4" t="s">
        <v>80</v>
      </c>
      <c r="D4" s="2" t="s">
        <v>71</v>
      </c>
      <c r="H4" t="s">
        <v>74</v>
      </c>
    </row>
    <row r="5" spans="2:9" x14ac:dyDescent="0.25">
      <c r="B5" t="s">
        <v>21</v>
      </c>
      <c r="C5" t="s">
        <v>81</v>
      </c>
      <c r="D5" t="s">
        <v>72</v>
      </c>
      <c r="G5">
        <v>1</v>
      </c>
      <c r="H5" t="s">
        <v>32</v>
      </c>
      <c r="I5" t="s">
        <v>75</v>
      </c>
    </row>
    <row r="6" spans="2:9" x14ac:dyDescent="0.25">
      <c r="B6" t="s">
        <v>22</v>
      </c>
      <c r="C6" t="s">
        <v>82</v>
      </c>
      <c r="D6" s="2" t="s">
        <v>77</v>
      </c>
      <c r="G6">
        <v>13</v>
      </c>
      <c r="H6" t="s">
        <v>33</v>
      </c>
      <c r="I6" t="s">
        <v>76</v>
      </c>
    </row>
    <row r="7" spans="2:9" x14ac:dyDescent="0.25">
      <c r="B7" t="s">
        <v>78</v>
      </c>
      <c r="D7" t="s">
        <v>79</v>
      </c>
      <c r="F7" t="s">
        <v>11</v>
      </c>
      <c r="H7" t="s">
        <v>34</v>
      </c>
    </row>
    <row r="8" spans="2:9" x14ac:dyDescent="0.25">
      <c r="B8" t="s">
        <v>35</v>
      </c>
      <c r="E8" t="s">
        <v>0</v>
      </c>
      <c r="F8" t="s">
        <v>11</v>
      </c>
      <c r="H8" t="s">
        <v>36</v>
      </c>
    </row>
    <row r="9" spans="2:9" x14ac:dyDescent="0.25">
      <c r="B9" t="s">
        <v>7</v>
      </c>
      <c r="E9" t="s">
        <v>0</v>
      </c>
      <c r="F9" t="s">
        <v>6</v>
      </c>
      <c r="H9" t="s">
        <v>37</v>
      </c>
    </row>
    <row r="10" spans="2:9" x14ac:dyDescent="0.25">
      <c r="B10" t="str">
        <f>_xlfn.TEXTJOIN("_",TRUE,D10:F10)</f>
        <v>extraordinaryRedemption_eq</v>
      </c>
      <c r="E10" t="s">
        <v>18</v>
      </c>
      <c r="F10" t="s">
        <v>11</v>
      </c>
      <c r="H10" t="s">
        <v>38</v>
      </c>
    </row>
    <row r="11" spans="2:9" x14ac:dyDescent="0.25">
      <c r="B11" t="str">
        <f>_xlfn.TEXTJOIN("_",TRUE,D11:F11)</f>
        <v>reldiff_dv01_le</v>
      </c>
      <c r="D11" t="s">
        <v>13</v>
      </c>
      <c r="E11" t="s">
        <v>39</v>
      </c>
      <c r="F11" t="s">
        <v>15</v>
      </c>
      <c r="G11">
        <v>0.1</v>
      </c>
      <c r="H11" t="s">
        <v>40</v>
      </c>
    </row>
    <row r="12" spans="2:9" x14ac:dyDescent="0.25">
      <c r="B12" t="str">
        <f>_xlfn.TEXTJOIN("_",TRUE,D12:F12)</f>
        <v>reldiff_edur_le</v>
      </c>
      <c r="D12" t="s">
        <v>13</v>
      </c>
      <c r="E12" t="s">
        <v>14</v>
      </c>
      <c r="F12" t="s">
        <v>15</v>
      </c>
      <c r="G12">
        <v>0.1</v>
      </c>
      <c r="H12" t="s">
        <v>41</v>
      </c>
    </row>
    <row r="13" spans="2:9" x14ac:dyDescent="0.25">
      <c r="B13" t="str">
        <f>_xlfn.TEXTJOIN("_",TRUE,D13:F13)</f>
        <v>reldiff_quantity_le</v>
      </c>
      <c r="D13" t="s">
        <v>13</v>
      </c>
      <c r="E13" t="s">
        <v>16</v>
      </c>
      <c r="F13" t="s">
        <v>15</v>
      </c>
      <c r="G13">
        <v>0.1</v>
      </c>
      <c r="H13" t="s">
        <v>42</v>
      </c>
    </row>
    <row r="14" spans="2:9" x14ac:dyDescent="0.25">
      <c r="B14" t="s">
        <v>12</v>
      </c>
      <c r="E14" t="s">
        <v>10</v>
      </c>
      <c r="F14" t="s">
        <v>11</v>
      </c>
      <c r="H14" t="s">
        <v>43</v>
      </c>
    </row>
    <row r="15" spans="2:9" x14ac:dyDescent="0.25">
      <c r="B15" t="str">
        <f>_xlfn.TEXTJOIN("_",TRUE,D15:F15)</f>
        <v>sub_ratingRank_ge</v>
      </c>
      <c r="D15" t="s">
        <v>19</v>
      </c>
      <c r="E15" t="s">
        <v>20</v>
      </c>
      <c r="F15" t="s">
        <v>17</v>
      </c>
      <c r="G15">
        <v>-1</v>
      </c>
      <c r="H15" t="s">
        <v>44</v>
      </c>
    </row>
    <row r="16" spans="2:9" x14ac:dyDescent="0.25">
      <c r="B16" t="str">
        <f>_xlfn.TEXTJOIN("_",TRUE,D16:F16)</f>
        <v>issuerCode_ne</v>
      </c>
      <c r="E16" t="s">
        <v>23</v>
      </c>
      <c r="F16" t="s">
        <v>6</v>
      </c>
      <c r="H16" t="s">
        <v>45</v>
      </c>
    </row>
    <row r="17" spans="2:8" x14ac:dyDescent="0.25">
      <c r="B17" t="str">
        <f>_xlfn.TEXTJOIN("_",TRUE,D17:F17)</f>
        <v>absdiff_coupon_ge</v>
      </c>
      <c r="D17" t="s">
        <v>24</v>
      </c>
      <c r="E17" t="s">
        <v>25</v>
      </c>
      <c r="F17" t="s">
        <v>17</v>
      </c>
      <c r="G17">
        <v>1</v>
      </c>
      <c r="H17" t="s">
        <v>46</v>
      </c>
    </row>
    <row r="18" spans="2:8" x14ac:dyDescent="0.25">
      <c r="B18" t="str">
        <f>_xlfn.TEXTJOIN("_",TRUE,D18:F18)</f>
        <v>absdiff_term_ge</v>
      </c>
      <c r="D18" t="s">
        <v>24</v>
      </c>
      <c r="E18" t="s">
        <v>26</v>
      </c>
      <c r="F18" t="s">
        <v>17</v>
      </c>
      <c r="G18">
        <v>1</v>
      </c>
      <c r="H18" t="s">
        <v>47</v>
      </c>
    </row>
    <row r="19" spans="2:8" x14ac:dyDescent="0.25">
      <c r="B19" t="s">
        <v>48</v>
      </c>
      <c r="D19" t="s">
        <v>19</v>
      </c>
      <c r="E19" t="s">
        <v>28</v>
      </c>
      <c r="F19" t="s">
        <v>15</v>
      </c>
      <c r="G19">
        <v>0.1</v>
      </c>
      <c r="H19" t="s">
        <v>49</v>
      </c>
    </row>
    <row r="20" spans="2:8" x14ac:dyDescent="0.25">
      <c r="B20" t="s">
        <v>50</v>
      </c>
      <c r="E20" s="1" t="s">
        <v>8</v>
      </c>
      <c r="F20" s="1"/>
      <c r="G20" s="1" t="s">
        <v>9</v>
      </c>
      <c r="H20" t="s">
        <v>51</v>
      </c>
    </row>
    <row r="22" spans="2:8" x14ac:dyDescent="0.25">
      <c r="B22" t="s">
        <v>52</v>
      </c>
      <c r="D22" t="s">
        <v>24</v>
      </c>
      <c r="E22" t="s">
        <v>16</v>
      </c>
      <c r="F22" t="s">
        <v>15</v>
      </c>
      <c r="G22">
        <v>0</v>
      </c>
      <c r="H22" t="s">
        <v>53</v>
      </c>
    </row>
    <row r="23" spans="2:8" x14ac:dyDescent="0.25">
      <c r="B23" t="s">
        <v>54</v>
      </c>
      <c r="H23" t="s">
        <v>55</v>
      </c>
    </row>
    <row r="24" spans="2:8" x14ac:dyDescent="0.25">
      <c r="B24" t="s">
        <v>56</v>
      </c>
      <c r="H24" t="s">
        <v>57</v>
      </c>
    </row>
    <row r="26" spans="2:8" x14ac:dyDescent="0.25">
      <c r="B26" t="s">
        <v>58</v>
      </c>
      <c r="H26" t="s">
        <v>55</v>
      </c>
    </row>
    <row r="27" spans="2:8" x14ac:dyDescent="0.25">
      <c r="B27" t="s">
        <v>59</v>
      </c>
      <c r="H27" t="s">
        <v>60</v>
      </c>
    </row>
    <row r="29" spans="2:8" x14ac:dyDescent="0.25">
      <c r="B29" t="s">
        <v>61</v>
      </c>
      <c r="H29" t="s">
        <v>55</v>
      </c>
    </row>
    <row r="30" spans="2:8" x14ac:dyDescent="0.25">
      <c r="B30" t="s">
        <v>62</v>
      </c>
      <c r="H30" t="s">
        <v>60</v>
      </c>
    </row>
    <row r="32" spans="2:8" x14ac:dyDescent="0.25">
      <c r="B32" t="s">
        <v>63</v>
      </c>
      <c r="H32" t="s">
        <v>64</v>
      </c>
    </row>
    <row r="33" spans="2:8" x14ac:dyDescent="0.25">
      <c r="B33" t="s">
        <v>65</v>
      </c>
      <c r="H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ED07-F215-4E7E-908A-9303B2059751}">
  <sheetPr codeName="Sheet3"/>
  <dimension ref="B2:H23"/>
  <sheetViews>
    <sheetView workbookViewId="0">
      <selection activeCell="D27" sqref="D27"/>
    </sheetView>
  </sheetViews>
  <sheetFormatPr defaultRowHeight="15.75" x14ac:dyDescent="0.25"/>
  <cols>
    <col min="3" max="3" width="18.125" bestFit="1" customWidth="1"/>
    <col min="4" max="4" width="20.25" customWidth="1"/>
    <col min="7" max="7" width="11.375" customWidth="1"/>
  </cols>
  <sheetData>
    <row r="2" spans="2:8" x14ac:dyDescent="0.25">
      <c r="B2" t="s">
        <v>105</v>
      </c>
    </row>
    <row r="3" spans="2:8" x14ac:dyDescent="0.25">
      <c r="B3" s="13" t="s">
        <v>106</v>
      </c>
      <c r="C3" t="str" cm="1">
        <f t="array" ref="C3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""))))(D3)</f>
        <v>1=0</v>
      </c>
      <c r="D3" t="b">
        <v>0</v>
      </c>
      <c r="G3" t="str" cm="1">
        <f t="array" ref="G3">_xll.XLL.GET.NAME(B3)</f>
        <v>=LAMBDA(x, LET(y, TRIM(x), IF(LEN(y) = 0, "", SWITCH(TYPE(x), 1, x, 2, IF(OR(LEFT(y, 1) = "[",LEFT(y,1) = "'"), y, "'"&amp;y&amp;"'"), 4, IF(x, "1=1", "1=0"), 64, IF(LEFT(y, 1) = "[", y, """"&amp;y&amp;""""), ""))))</v>
      </c>
    </row>
    <row r="4" spans="2:8" x14ac:dyDescent="0.25">
      <c r="B4">
        <v>1.23</v>
      </c>
      <c r="C4" cm="1">
        <f t="array" ref="C4">sql(B4)</f>
        <v>1.23</v>
      </c>
    </row>
    <row r="5" spans="2:8" x14ac:dyDescent="0.25">
      <c r="B5" t="s">
        <v>104</v>
      </c>
      <c r="C5" t="str" cm="1">
        <f t="array" ref="C5">sql(B5)</f>
        <v>'string'</v>
      </c>
      <c r="D5" t="s">
        <v>107</v>
      </c>
    </row>
    <row r="6" spans="2:8" x14ac:dyDescent="0.25">
      <c r="B6" t="b">
        <v>1</v>
      </c>
      <c r="C6" t="str" cm="1">
        <f t="array" ref="C6">sql(B6)</f>
        <v>1=1</v>
      </c>
      <c r="D6" t="s">
        <v>108</v>
      </c>
    </row>
    <row r="7" spans="2:8" x14ac:dyDescent="0.25">
      <c r="B7" t="b">
        <v>0</v>
      </c>
      <c r="C7" t="str" cm="1">
        <f t="array" ref="C7">sql(B7)</f>
        <v>1=0</v>
      </c>
    </row>
    <row r="8" spans="2:8" x14ac:dyDescent="0.25">
      <c r="B8" t="s">
        <v>110</v>
      </c>
      <c r="C8" t="str" cm="1">
        <f t="array" ref="C8">sql(B8)</f>
        <v>[quoted]</v>
      </c>
    </row>
    <row r="9" spans="2:8" x14ac:dyDescent="0.25">
      <c r="B9" s="2" t="s">
        <v>111</v>
      </c>
      <c r="C9" t="str" cm="1">
        <f t="array" ref="C9">sql(B9)</f>
        <v>'quoted'</v>
      </c>
    </row>
    <row r="10" spans="2:8" x14ac:dyDescent="0.25">
      <c r="C10" t="str" cm="1">
        <f t="array" ref="C10">sql(B10)</f>
        <v/>
      </c>
    </row>
    <row r="12" spans="2:8" x14ac:dyDescent="0.25">
      <c r="B12" s="13" t="s">
        <v>11</v>
      </c>
      <c r="C12" t="str" cm="1">
        <f t="array" ref="C12">_xlfn.LAMBDA(_xlpm.a,_xlpm.b, _xlpm.a&amp;" = "&amp;_xlpm.b)(D12,E12)</f>
        <v>a = b</v>
      </c>
      <c r="D12" t="s">
        <v>30</v>
      </c>
      <c r="E12" t="s">
        <v>29</v>
      </c>
      <c r="G12" t="str" cm="1">
        <f t="array" ref="G12">eq(D12,E12)</f>
        <v>a = b</v>
      </c>
      <c r="H12" t="str" cm="1">
        <f t="array" ref="H12">_xll.XLL.GET.NAME(B12)</f>
        <v>=LAMBDA(a,b, a&amp;" = "&amp;b)</v>
      </c>
    </row>
    <row r="13" spans="2:8" x14ac:dyDescent="0.25">
      <c r="B13" s="13" t="s">
        <v>17</v>
      </c>
      <c r="C13" t="str" cm="1">
        <f t="array" ref="C13">_xlfn.LAMBDA(_xlpm.a,_xlpm.b, _xlpm.a&amp;" &gt;= "&amp;_xlpm.b)(D13,E13)</f>
        <v>a &gt;= b</v>
      </c>
      <c r="D13" t="s">
        <v>30</v>
      </c>
      <c r="E13" t="s">
        <v>29</v>
      </c>
      <c r="H13" t="str" cm="1">
        <f t="array" ref="H13">_xll.XLL.GET.NAME(B13)</f>
        <v>=LAMBDA(a,b, a&amp;" &gt;= "&amp;b)</v>
      </c>
    </row>
    <row r="14" spans="2:8" x14ac:dyDescent="0.25">
      <c r="B14" s="13" t="s">
        <v>101</v>
      </c>
      <c r="C14" t="str" cm="1">
        <f t="array" ref="C14">_xlfn.LAMBDA(_xlpm.a,_xlpm.b, _xlpm.a&amp;" &gt; "&amp;_xlpm.b)(D14,E14)</f>
        <v>a &gt; b</v>
      </c>
      <c r="D14" t="s">
        <v>30</v>
      </c>
      <c r="E14" t="s">
        <v>29</v>
      </c>
      <c r="H14" t="str" cm="1">
        <f t="array" ref="H14">_xll.XLL.GET.NAME(B14)</f>
        <v>=LAMBDA(a,b, a&amp;" &gt; "&amp;b)</v>
      </c>
    </row>
    <row r="15" spans="2:8" x14ac:dyDescent="0.25">
      <c r="B15" s="13" t="s">
        <v>15</v>
      </c>
      <c r="C15" t="str" cm="1">
        <f t="array" ref="C15">_xlfn.LAMBDA(_xlpm.a,_xlpm.b, _xlpm.a&amp;" &lt;= "&amp;_xlpm.b)(D15,E15)</f>
        <v>a &lt;= b</v>
      </c>
      <c r="D15" t="s">
        <v>30</v>
      </c>
      <c r="E15" t="s">
        <v>29</v>
      </c>
      <c r="H15" t="str" cm="1">
        <f t="array" ref="H15">_xll.XLL.GET.NAME(B15)</f>
        <v>=LAMBDA(a,b, a&amp;" &lt;= "&amp;b)</v>
      </c>
    </row>
    <row r="16" spans="2:8" x14ac:dyDescent="0.25">
      <c r="B16" s="13" t="s">
        <v>100</v>
      </c>
      <c r="C16" t="str" cm="1">
        <f t="array" ref="C16">_xlfn.LAMBDA(_xlpm.a,_xlpm.b, _xlpm.a&amp;" &lt; "&amp;_xlpm.b)(D16,E16)</f>
        <v>a &lt; b</v>
      </c>
      <c r="D16" t="s">
        <v>30</v>
      </c>
      <c r="E16" t="s">
        <v>29</v>
      </c>
      <c r="H16" t="str" cm="1">
        <f t="array" ref="H16">_xll.XLL.GET.NAME(B16)</f>
        <v>=LAMBDA(a,b, a&amp;" &lt; "&amp;b)</v>
      </c>
    </row>
    <row r="17" spans="2:8" x14ac:dyDescent="0.25">
      <c r="B17" s="13" t="s">
        <v>6</v>
      </c>
      <c r="C17" t="str" cm="1">
        <f t="array" ref="C17">_xlfn.LAMBDA(_xlpm.a,_xlpm.b, _xlpm.a&amp;" &lt;&gt; "&amp;_xlpm.b)(D17,E17)</f>
        <v>a &lt;&gt; b</v>
      </c>
      <c r="D17" t="s">
        <v>30</v>
      </c>
      <c r="E17" t="s">
        <v>29</v>
      </c>
      <c r="H17" t="str" cm="1">
        <f t="array" ref="H17">_xll.XLL.GET.NAME(B17)</f>
        <v>=LAMBDA(a,b, a&amp;" &lt;&gt; "&amp;b)</v>
      </c>
    </row>
    <row r="19" spans="2:8" x14ac:dyDescent="0.25">
      <c r="B19" s="13" t="s">
        <v>19</v>
      </c>
      <c r="C19" t="str" cm="1">
        <f t="array" ref="C19">_xlfn.LAMBDA(_xlpm.a,_xlpm.b, _xlpm.a&amp;" - "&amp;_xlpm.b)(D19,E19)</f>
        <v>a - b</v>
      </c>
      <c r="D19" t="s">
        <v>30</v>
      </c>
      <c r="E19" t="s">
        <v>29</v>
      </c>
      <c r="H19" t="str" cm="1">
        <f t="array" ref="H19">_xll.XLL.GET.NAME(B19)</f>
        <v>=LAMBDA(a,b, a&amp;" - "&amp;b)</v>
      </c>
    </row>
    <row r="20" spans="2:8" x14ac:dyDescent="0.25">
      <c r="B20" s="13" t="s">
        <v>125</v>
      </c>
      <c r="C20" t="str" cm="1">
        <f t="array" ref="C20">_xlfn.LAMBDA(_xlpm.a,_xlpm.b, _xlpm.a&amp;" / "&amp;_xlpm.b)(D20,E20)</f>
        <v>a / b</v>
      </c>
      <c r="D20" t="s">
        <v>30</v>
      </c>
      <c r="E20" t="s">
        <v>29</v>
      </c>
      <c r="H20" t="str" cm="1">
        <f t="array" ref="H20">_xll.XLL.GET.NAME(B20)</f>
        <v>=LAMBDA(a,b, a&amp;" / "&amp;b)</v>
      </c>
    </row>
    <row r="22" spans="2:8" x14ac:dyDescent="0.25">
      <c r="B22" s="13" t="s">
        <v>92</v>
      </c>
      <c r="C22" t="str" cm="1">
        <f t="array" ref="C22">_xlfn.LAMBDA(_xlpm.a,_xlpm.b,"ABS("&amp;_xlpm.a&amp;"-"&amp;_xlpm.b&amp;")")(D22,E22)</f>
        <v>ABS(a-b)</v>
      </c>
      <c r="D22" t="s">
        <v>30</v>
      </c>
      <c r="E22" t="s">
        <v>29</v>
      </c>
      <c r="G22" t="str" cm="1">
        <f t="array" ref="G22">absolute(D22,E22)</f>
        <v>ABS(a-b)</v>
      </c>
      <c r="H22" t="str" cm="1">
        <f t="array" ref="H22">_xll.XLL.GET.NAME(B22)</f>
        <v>=LAMBDA(a,b,"ABS("&amp;a&amp;"-"&amp;b&amp;")")</v>
      </c>
    </row>
    <row r="23" spans="2:8" x14ac:dyDescent="0.25">
      <c r="B23" s="13" t="s">
        <v>31</v>
      </c>
      <c r="C23" t="str" cm="1">
        <f t="array" ref="C23">_xlfn.LAMBDA(_xlpm.a,_xlpm.b,"ABS(("&amp;_xlpm.a&amp;"-"&amp;_xlpm.b&amp;")/"&amp;_xlpm.a&amp;")")(D23,E23)</f>
        <v>ABS((a-b)/a)</v>
      </c>
      <c r="D23" t="s">
        <v>30</v>
      </c>
      <c r="E23" t="s">
        <v>29</v>
      </c>
      <c r="G23" t="str" cm="1">
        <f t="array" ref="G23">relative(D23,E23)</f>
        <v>ABS((a-b)/a)</v>
      </c>
      <c r="H23" t="str" cm="1">
        <f t="array" ref="H23">_xll.XLL.GET.NAME(B23)</f>
        <v>=LAMBDA(a,b,"ABS(("&amp;a&amp;"-"&amp;b&amp;")/"&amp;a&amp;")")</v>
      </c>
    </row>
  </sheetData>
  <sortState xmlns:xlrd2="http://schemas.microsoft.com/office/spreadsheetml/2017/richdata2" ref="B12:C17">
    <sortCondition ref="B1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914C-A946-468C-AF1D-0A37D33E2963}">
  <sheetPr codeName="Sheet4"/>
  <dimension ref="B2:L77"/>
  <sheetViews>
    <sheetView zoomScale="120" zoomScaleNormal="120" workbookViewId="0">
      <selection activeCell="C3" sqref="C3"/>
    </sheetView>
  </sheetViews>
  <sheetFormatPr defaultRowHeight="15.75" x14ac:dyDescent="0.25"/>
  <cols>
    <col min="1" max="1" width="3.625" customWidth="1"/>
    <col min="3" max="3" width="12.5" bestFit="1" customWidth="1"/>
    <col min="4" max="4" width="3.625" customWidth="1"/>
    <col min="5" max="5" width="8" bestFit="1" customWidth="1"/>
    <col min="6" max="6" width="11.625" bestFit="1" customWidth="1"/>
    <col min="7" max="7" width="16" customWidth="1"/>
    <col min="8" max="8" width="8.125" customWidth="1"/>
  </cols>
  <sheetData>
    <row r="2" spans="2:12" x14ac:dyDescent="0.25">
      <c r="B2" s="3" t="s">
        <v>87</v>
      </c>
      <c r="C2" s="6" cm="1">
        <f t="array" ref="C2">_xll.\SQL.DB("db/tmswap.db")</f>
        <v>2873494851600</v>
      </c>
    </row>
    <row r="3" spans="2:12" x14ac:dyDescent="0.25">
      <c r="B3" s="7" t="s">
        <v>91</v>
      </c>
      <c r="C3" s="10" t="s">
        <v>102</v>
      </c>
      <c r="E3" s="8" t="s">
        <v>132</v>
      </c>
      <c r="F3" s="8" t="s">
        <v>133</v>
      </c>
      <c r="G3" s="8" t="s">
        <v>103</v>
      </c>
    </row>
    <row r="4" spans="2:12" x14ac:dyDescent="0.25">
      <c r="B4" s="5" t="s">
        <v>89</v>
      </c>
      <c r="C4" s="5" t="s">
        <v>90</v>
      </c>
      <c r="E4" s="5" t="s">
        <v>0</v>
      </c>
      <c r="F4" s="5" t="s">
        <v>88</v>
      </c>
      <c r="G4" s="5" t="s">
        <v>102</v>
      </c>
      <c r="H4" s="12" t="str">
        <f>name</f>
        <v>positionId</v>
      </c>
      <c r="I4" s="12" t="s">
        <v>26</v>
      </c>
      <c r="J4" s="12" t="s">
        <v>16</v>
      </c>
      <c r="K4" s="12" t="s">
        <v>8</v>
      </c>
      <c r="L4" s="12" t="s">
        <v>123</v>
      </c>
    </row>
    <row r="5" spans="2:12" x14ac:dyDescent="0.25">
      <c r="B5" t="str" cm="1">
        <f t="array" ref="B5:B10">_xlfn.DROP(INDEX(_xll.SQL.TABLE_LIST(tmswap),,2),1)</f>
        <v>rulesets</v>
      </c>
      <c r="C5" t="str" cm="1">
        <f t="array" ref="C5:C75">_xlfn.DROP(INDEX(_xll.SQL.TABLE_INFO(tmswap,table),,2),1)</f>
        <v>_id</v>
      </c>
      <c r="E5" t="str" cm="1">
        <f t="array" ref="E5:E6">_xlfn.DROP(_xll.SQL.QUERY(tmswap,"select distinct "&amp;E4&amp;" from swapRequests order by "&amp;E4),1)</f>
        <v>CLT3414</v>
      </c>
      <c r="F5" t="str" cm="1">
        <f t="array" ref="F5:F77">_xlfn.DROP(_xll.SQL.QUERY(tmswap,"select cusip from swapRequests where clientId = '"&amp;E3&amp;"'"), 1)</f>
        <v>215543MJ5</v>
      </c>
      <c r="G5" t="str" cm="1">
        <f t="array" ref="G5">_xlfn.DROP(_xll.SQL.QUERY(tmswap, "select "&amp;G4&amp;" from swapRequests where clientId = '"&amp;E3&amp;"' and cusip = '"&amp;F3&amp;"'"), 1)</f>
        <v>c70516b606de46729f2ef9bd6e9e3df9</v>
      </c>
      <c r="H5" s="11" t="str" cm="1">
        <f t="array" ref="H5:L5">_xlfn.DROP(_xll.SQL.QUERY(tmswap,"select "&amp;_xlfn.TEXTJOIN(", ",TRUE,H4:L4)&amp;" from swapRequests where positionId = '"&amp;G3&amp;"'"),1)</f>
        <v>7d50ed8778a64c0bb477c7529931e7ca</v>
      </c>
      <c r="I5" s="11">
        <v>3.222</v>
      </c>
      <c r="J5" s="11">
        <v>2475</v>
      </c>
      <c r="K5" s="11" t="str">
        <v>AZ</v>
      </c>
      <c r="L5" s="11">
        <v>44984</v>
      </c>
    </row>
    <row r="6" spans="2:12" x14ac:dyDescent="0.25">
      <c r="B6" t="str">
        <v>clients</v>
      </c>
      <c r="C6" t="str">
        <v>_swapRequestKey</v>
      </c>
      <c r="E6" t="str">
        <v>CLT3424</v>
      </c>
      <c r="F6" t="str">
        <v>59333NW66</v>
      </c>
    </row>
    <row r="7" spans="2:12" x14ac:dyDescent="0.25">
      <c r="B7" t="str">
        <v>positions</v>
      </c>
      <c r="C7" t="str">
        <v>accountXref</v>
      </c>
      <c r="F7" t="str">
        <v>60637ATQ5</v>
      </c>
    </row>
    <row r="8" spans="2:12" x14ac:dyDescent="0.25">
      <c r="B8" t="str">
        <v>swapRequests</v>
      </c>
      <c r="C8" t="str">
        <v>accrualDate</v>
      </c>
      <c r="F8" t="str">
        <v>56682HCT4</v>
      </c>
    </row>
    <row r="9" spans="2:12" x14ac:dyDescent="0.25">
      <c r="B9" t="str">
        <v>sqlite_schema</v>
      </c>
      <c r="C9" t="str">
        <v>accruedDays</v>
      </c>
      <c r="F9" t="str">
        <v>56682HCT4</v>
      </c>
    </row>
    <row r="10" spans="2:12" x14ac:dyDescent="0.25">
      <c r="B10" t="str">
        <v>sqlite_temp_schema</v>
      </c>
      <c r="C10" t="str">
        <v>accruedInterest</v>
      </c>
      <c r="F10" t="str">
        <v>56682HCT4</v>
      </c>
    </row>
    <row r="11" spans="2:12" x14ac:dyDescent="0.25">
      <c r="C11" t="str">
        <v>acl</v>
      </c>
      <c r="F11" t="str">
        <v>664212CY1</v>
      </c>
    </row>
    <row r="12" spans="2:12" x14ac:dyDescent="0.25">
      <c r="C12" t="str">
        <v>actorId</v>
      </c>
      <c r="F12" t="str">
        <v>57583PHD4</v>
      </c>
    </row>
    <row r="13" spans="2:12" x14ac:dyDescent="0.25">
      <c r="C13" t="str">
        <v>allocations</v>
      </c>
      <c r="F13" t="str">
        <v>662523N39</v>
      </c>
    </row>
    <row r="14" spans="2:12" x14ac:dyDescent="0.25">
      <c r="C14" t="str">
        <v>bankQualified</v>
      </c>
      <c r="F14" t="str">
        <v>645790MD5</v>
      </c>
    </row>
    <row r="15" spans="2:12" x14ac:dyDescent="0.25">
      <c r="C15" t="str">
        <v>bondType</v>
      </c>
      <c r="F15" t="str">
        <v>40934TAV5</v>
      </c>
    </row>
    <row r="16" spans="2:12" x14ac:dyDescent="0.25">
      <c r="C16" t="str">
        <v>calcStatus</v>
      </c>
      <c r="F16" t="str">
        <v>40934TAV5</v>
      </c>
    </row>
    <row r="17" spans="3:6" x14ac:dyDescent="0.25">
      <c r="C17" t="str">
        <v>callable</v>
      </c>
      <c r="F17" t="str">
        <v>40934TAV5</v>
      </c>
    </row>
    <row r="18" spans="3:6" x14ac:dyDescent="0.25">
      <c r="C18" t="str">
        <v>cepAskPrice</v>
      </c>
      <c r="F18" t="str">
        <v>13034AV49</v>
      </c>
    </row>
    <row r="19" spans="3:6" x14ac:dyDescent="0.25">
      <c r="C19" t="str">
        <v>cepBidPrice</v>
      </c>
      <c r="F19" t="str">
        <v>180848XS7</v>
      </c>
    </row>
    <row r="20" spans="3:6" x14ac:dyDescent="0.25">
      <c r="C20" t="str">
        <v>clientId</v>
      </c>
      <c r="F20" t="str">
        <v>505786KN2</v>
      </c>
    </row>
    <row r="21" spans="3:6" x14ac:dyDescent="0.25">
      <c r="C21" t="str">
        <v>coupon</v>
      </c>
      <c r="F21" t="str">
        <v>717901BN1</v>
      </c>
    </row>
    <row r="22" spans="3:6" x14ac:dyDescent="0.25">
      <c r="C22" t="str">
        <v>couponType</v>
      </c>
      <c r="F22" t="str">
        <v>600293QS6</v>
      </c>
    </row>
    <row r="23" spans="3:6" x14ac:dyDescent="0.25">
      <c r="C23" t="str">
        <v>currencyCode</v>
      </c>
      <c r="F23" t="str">
        <v>215543ML0</v>
      </c>
    </row>
    <row r="24" spans="3:6" x14ac:dyDescent="0.25">
      <c r="C24" t="str">
        <v>cusip</v>
      </c>
      <c r="F24" t="str">
        <v>015303AU4</v>
      </c>
    </row>
    <row r="25" spans="3:6" x14ac:dyDescent="0.25">
      <c r="C25" t="str">
        <v>displayName</v>
      </c>
      <c r="F25" t="str">
        <v>57585JVZ1</v>
      </c>
    </row>
    <row r="26" spans="3:6" x14ac:dyDescent="0.25">
      <c r="C26" t="str">
        <v>dv01</v>
      </c>
      <c r="F26" t="str">
        <v>93974EEA0</v>
      </c>
    </row>
    <row r="27" spans="3:6" x14ac:dyDescent="0.25">
      <c r="C27" t="str">
        <v>edur</v>
      </c>
      <c r="F27" t="str">
        <v>13063DPG7</v>
      </c>
    </row>
    <row r="28" spans="3:6" x14ac:dyDescent="0.25">
      <c r="C28" t="str">
        <v>effectiveMaturity</v>
      </c>
      <c r="F28" t="str">
        <v>30383AEU1</v>
      </c>
    </row>
    <row r="29" spans="3:6" x14ac:dyDescent="0.25">
      <c r="C29" t="str">
        <v>escrowedToMaturity</v>
      </c>
      <c r="F29" t="str">
        <v>60637ATR3</v>
      </c>
    </row>
    <row r="30" spans="3:6" x14ac:dyDescent="0.25">
      <c r="C30" t="str">
        <v>evaluatedPrice</v>
      </c>
      <c r="F30" t="str">
        <v>68609BZW0</v>
      </c>
    </row>
    <row r="31" spans="3:6" x14ac:dyDescent="0.25">
      <c r="C31" t="str">
        <v>federalTaxStatus</v>
      </c>
      <c r="F31" t="str">
        <v>717901BP6</v>
      </c>
    </row>
    <row r="32" spans="3:6" x14ac:dyDescent="0.25">
      <c r="C32" t="str">
        <v>firstSettlementDate</v>
      </c>
      <c r="F32" t="str">
        <v>052430UR4</v>
      </c>
    </row>
    <row r="33" spans="3:6" x14ac:dyDescent="0.25">
      <c r="C33" t="str">
        <v>issueDate</v>
      </c>
      <c r="F33" t="str">
        <v>052430VA0</v>
      </c>
    </row>
    <row r="34" spans="3:6" x14ac:dyDescent="0.25">
      <c r="C34" t="str">
        <v>issuerCode</v>
      </c>
      <c r="F34" t="str">
        <v>25477GSG1</v>
      </c>
    </row>
    <row r="35" spans="3:6" x14ac:dyDescent="0.25">
      <c r="C35" t="str">
        <v>matches</v>
      </c>
      <c r="F35" t="str">
        <v>594695Y93</v>
      </c>
    </row>
    <row r="36" spans="3:6" x14ac:dyDescent="0.25">
      <c r="C36" t="str">
        <v>midPrice</v>
      </c>
      <c r="F36" t="str">
        <v>160853VE4</v>
      </c>
    </row>
    <row r="37" spans="3:6" x14ac:dyDescent="0.25">
      <c r="C37" t="str">
        <v>minBalance</v>
      </c>
      <c r="F37" t="str">
        <v>495260M65</v>
      </c>
    </row>
    <row r="38" spans="3:6" x14ac:dyDescent="0.25">
      <c r="C38" t="str">
        <v>minQuantity</v>
      </c>
      <c r="F38" t="str">
        <v>198504ZV7</v>
      </c>
    </row>
    <row r="39" spans="3:6" x14ac:dyDescent="0.25">
      <c r="C39" t="str">
        <v>oad</v>
      </c>
      <c r="F39" t="str">
        <v>678519F61</v>
      </c>
    </row>
    <row r="40" spans="3:6" x14ac:dyDescent="0.25">
      <c r="C40" t="str">
        <v>oas</v>
      </c>
      <c r="F40" t="str">
        <v>68609TD70</v>
      </c>
    </row>
    <row r="41" spans="3:6" x14ac:dyDescent="0.25">
      <c r="C41" t="str">
        <v>outstandingAmount</v>
      </c>
      <c r="F41" t="str">
        <v>60412AQV8</v>
      </c>
    </row>
    <row r="42" spans="3:6" x14ac:dyDescent="0.25">
      <c r="C42" t="str">
        <v>paymentFrequency</v>
      </c>
      <c r="F42" t="str">
        <v>373046YQ8</v>
      </c>
    </row>
    <row r="43" spans="3:6" x14ac:dyDescent="0.25">
      <c r="C43" t="str">
        <v>positionId</v>
      </c>
      <c r="F43" t="str">
        <v>198045MM5</v>
      </c>
    </row>
    <row r="44" spans="3:6" x14ac:dyDescent="0.25">
      <c r="C44" t="str">
        <v>positionIds</v>
      </c>
      <c r="F44" t="str">
        <v>30382ALS9</v>
      </c>
    </row>
    <row r="45" spans="3:6" x14ac:dyDescent="0.25">
      <c r="C45" t="str">
        <v>positionXref</v>
      </c>
      <c r="F45" t="str">
        <v>57582RJ64</v>
      </c>
    </row>
    <row r="46" spans="3:6" x14ac:dyDescent="0.25">
      <c r="C46" t="str">
        <v>preRefunded</v>
      </c>
      <c r="F46" t="str">
        <v>13080SXY5</v>
      </c>
    </row>
    <row r="47" spans="3:6" x14ac:dyDescent="0.25">
      <c r="C47" t="str">
        <v>price</v>
      </c>
      <c r="F47" t="str">
        <v>13080SXY5</v>
      </c>
    </row>
    <row r="48" spans="3:6" x14ac:dyDescent="0.25">
      <c r="C48" t="str">
        <v>purchaseDate</v>
      </c>
      <c r="F48" t="str">
        <v>25483VWR1</v>
      </c>
    </row>
    <row r="49" spans="3:6" x14ac:dyDescent="0.25">
      <c r="C49" t="str">
        <v>purchasePrice</v>
      </c>
      <c r="F49" t="str">
        <v>20772KLU1</v>
      </c>
    </row>
    <row r="50" spans="3:6" x14ac:dyDescent="0.25">
      <c r="C50" t="str">
        <v>quantity</v>
      </c>
      <c r="F50" t="str">
        <v>57584YWK1</v>
      </c>
    </row>
    <row r="51" spans="3:6" x14ac:dyDescent="0.25">
      <c r="C51" t="str">
        <v>ratingRank</v>
      </c>
      <c r="F51" t="str">
        <v>1998204R9</v>
      </c>
    </row>
    <row r="52" spans="3:6" x14ac:dyDescent="0.25">
      <c r="C52" t="str">
        <v>ratingText</v>
      </c>
      <c r="F52" t="str">
        <v>4211105T0</v>
      </c>
    </row>
    <row r="53" spans="3:6" x14ac:dyDescent="0.25">
      <c r="C53" t="str">
        <v>redemptionDate</v>
      </c>
      <c r="F53" t="str">
        <v>889855P22</v>
      </c>
    </row>
    <row r="54" spans="3:6" x14ac:dyDescent="0.25">
      <c r="C54" t="str">
        <v>redemptionPrice</v>
      </c>
      <c r="F54" t="str">
        <v>97217PQD4</v>
      </c>
    </row>
    <row r="55" spans="3:6" x14ac:dyDescent="0.25">
      <c r="C55" t="str">
        <v>rejected</v>
      </c>
      <c r="F55" t="str">
        <v>97705MKS3</v>
      </c>
    </row>
    <row r="56" spans="3:6" x14ac:dyDescent="0.25">
      <c r="C56" t="str">
        <v>requestId</v>
      </c>
      <c r="F56" t="str">
        <v>631663QT1</v>
      </c>
    </row>
    <row r="57" spans="3:6" x14ac:dyDescent="0.25">
      <c r="C57" t="str">
        <v>securityKey</v>
      </c>
      <c r="F57" t="str">
        <v>677587DT1</v>
      </c>
    </row>
    <row r="58" spans="3:6" x14ac:dyDescent="0.25">
      <c r="C58" t="str">
        <v>securityType</v>
      </c>
      <c r="F58" t="str">
        <v>574193QF8</v>
      </c>
    </row>
    <row r="59" spans="3:6" x14ac:dyDescent="0.25">
      <c r="C59" t="str">
        <v>settlementDate</v>
      </c>
      <c r="F59" t="str">
        <v>88278PYL2</v>
      </c>
    </row>
    <row r="60" spans="3:6" x14ac:dyDescent="0.25">
      <c r="C60" t="str">
        <v>snif</v>
      </c>
      <c r="F60" t="str">
        <v>25476FSV1</v>
      </c>
    </row>
    <row r="61" spans="3:6" x14ac:dyDescent="0.25">
      <c r="C61" t="str">
        <v>spread</v>
      </c>
      <c r="F61" t="str">
        <v>64966MQS1</v>
      </c>
    </row>
    <row r="62" spans="3:6" x14ac:dyDescent="0.25">
      <c r="C62" t="str">
        <v>srType</v>
      </c>
      <c r="F62" t="str">
        <v>574204Q30</v>
      </c>
    </row>
    <row r="63" spans="3:6" x14ac:dyDescent="0.25">
      <c r="C63" t="str">
        <v>state</v>
      </c>
      <c r="F63" t="str">
        <v>64990FZL1</v>
      </c>
    </row>
    <row r="64" spans="3:6" x14ac:dyDescent="0.25">
      <c r="C64" t="str">
        <v>subjectToAmt</v>
      </c>
      <c r="F64" t="str">
        <v>517845HD8</v>
      </c>
    </row>
    <row r="65" spans="3:6" x14ac:dyDescent="0.25">
      <c r="C65" t="str">
        <v>sustainableDevelopmentGoal</v>
      </c>
      <c r="F65" t="str">
        <v>64971XRT7</v>
      </c>
    </row>
    <row r="66" spans="3:6" x14ac:dyDescent="0.25">
      <c r="C66" t="str">
        <v>sustainableDevelopmentScore</v>
      </c>
      <c r="F66" t="str">
        <v>64971XRT7</v>
      </c>
    </row>
    <row r="67" spans="3:6" x14ac:dyDescent="0.25">
      <c r="C67" t="str">
        <v>swapFailures</v>
      </c>
      <c r="F67" t="str">
        <v>720611YC0</v>
      </c>
    </row>
    <row r="68" spans="3:6" x14ac:dyDescent="0.25">
      <c r="C68" t="str">
        <v>swapTradeDate</v>
      </c>
      <c r="F68" t="str">
        <v>64990FYA6</v>
      </c>
    </row>
    <row r="69" spans="3:6" x14ac:dyDescent="0.25">
      <c r="C69" t="str">
        <v>taxable</v>
      </c>
      <c r="F69" t="str">
        <v>64972GYW8</v>
      </c>
    </row>
    <row r="70" spans="3:6" x14ac:dyDescent="0.25">
      <c r="C70" t="str">
        <v>term</v>
      </c>
      <c r="F70" t="str">
        <v>15722TGL9</v>
      </c>
    </row>
    <row r="71" spans="3:6" x14ac:dyDescent="0.25">
      <c r="C71" t="str">
        <v>tradeDate</v>
      </c>
      <c r="F71" t="str">
        <v>650009V75</v>
      </c>
    </row>
    <row r="72" spans="3:6" x14ac:dyDescent="0.25">
      <c r="C72" t="str">
        <v>updated</v>
      </c>
      <c r="F72" t="str">
        <v>033717NM7</v>
      </c>
    </row>
    <row r="73" spans="3:6" x14ac:dyDescent="0.25">
      <c r="C73" t="str">
        <v>useOfProceeds</v>
      </c>
      <c r="F73" t="str">
        <v>64990FZP2</v>
      </c>
    </row>
    <row r="74" spans="3:6" x14ac:dyDescent="0.25">
      <c r="C74" t="str">
        <v>useOfProceedsGroup</v>
      </c>
      <c r="F74" t="str">
        <v>650036CY0</v>
      </c>
    </row>
    <row r="75" spans="3:6" x14ac:dyDescent="0.25">
      <c r="C75" t="str">
        <v>yield</v>
      </c>
      <c r="F75" t="str">
        <v>34160KBE9</v>
      </c>
    </row>
    <row r="76" spans="3:6" x14ac:dyDescent="0.25">
      <c r="F76" t="str">
        <v>93974ERP3</v>
      </c>
    </row>
    <row r="77" spans="3:6" x14ac:dyDescent="0.25">
      <c r="F77" t="str">
        <v>25476FZF8</v>
      </c>
    </row>
  </sheetData>
  <dataValidations count="7">
    <dataValidation type="list" allowBlank="1" showInputMessage="1" showErrorMessage="1" sqref="B3" xr:uid="{99C2BC1E-B213-4884-B153-C871806CC60E}">
      <formula1>_xlfn.ANCHORARRAY($B$5)</formula1>
    </dataValidation>
    <dataValidation type="list" allowBlank="1" showInputMessage="1" showErrorMessage="1" sqref="C3 L4" xr:uid="{5D31A66D-63A4-4E7A-A694-13004E0489E9}">
      <formula1>_xlfn.ANCHORARRAY($C$5)</formula1>
    </dataValidation>
    <dataValidation type="list" allowBlank="1" showInputMessage="1" showErrorMessage="1" sqref="I3" xr:uid="{5B960C62-2114-462F-8903-03ADF0493CBC}">
      <formula1>_xlfn.ANCHORARRAY($I$5)</formula1>
    </dataValidation>
    <dataValidation type="list" allowBlank="1" showInputMessage="1" showErrorMessage="1" sqref="J3" xr:uid="{6C1AAE84-713C-4050-BF7E-06BC31220898}">
      <formula1>_xlfn.ANCHORARRAY(#REF!)</formula1>
    </dataValidation>
    <dataValidation type="list" allowBlank="1" showInputMessage="1" showErrorMessage="1" sqref="E3" xr:uid="{4AF9441E-13D3-437B-8EB8-08E3675822A3}">
      <formula1>_xlfn.ANCHORARRAY($E$5)</formula1>
    </dataValidation>
    <dataValidation type="list" allowBlank="1" showInputMessage="1" showErrorMessage="1" sqref="F3" xr:uid="{EFE79931-B835-4036-A817-5ED7171B9132}">
      <formula1>_xlfn.ANCHORARRAY($F$5)</formula1>
    </dataValidation>
    <dataValidation type="list" allowBlank="1" showInputMessage="1" showErrorMessage="1" sqref="G3" xr:uid="{F6753AD6-AC32-4868-8DCB-7100D806FF16}">
      <formula1>_xlfn.ANCHORARRAY($G$5)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CE7F-5D76-424A-AEDC-E15484778CCD}">
  <sheetPr codeName="Sheet2"/>
  <dimension ref="B2:L17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3" max="3" width="11.5" bestFit="1" customWidth="1"/>
    <col min="6" max="6" width="11.875" bestFit="1" customWidth="1"/>
    <col min="10" max="10" width="10.875" bestFit="1" customWidth="1"/>
    <col min="12" max="12" width="11.875" bestFit="1" customWidth="1"/>
    <col min="13" max="13" width="10.875" bestFit="1" customWidth="1"/>
  </cols>
  <sheetData>
    <row r="2" spans="2:12" x14ac:dyDescent="0.25">
      <c r="B2" s="3" t="s">
        <v>31</v>
      </c>
      <c r="C2" t="str" cm="1">
        <f t="array" ref="C2">_xlfn.LAMBDA(_xlpm.a,_xlpm.b, "ABS(("&amp;_xlpm.a&amp;" - "&amp;_xlpm.b&amp;")/"&amp;_xlpm.a&amp;")")(D2,E2)</f>
        <v>ABS((a - b)/a)</v>
      </c>
      <c r="D2" s="2" t="s">
        <v>30</v>
      </c>
      <c r="E2" s="2" t="s">
        <v>29</v>
      </c>
      <c r="F2" t="str" cm="1">
        <f t="array" ref="F2">relative(D2,E2)</f>
        <v>ABS((a-b)/a)</v>
      </c>
      <c r="G2" t="str" cm="1">
        <f t="array" ref="G2">_xll.XLL.GET.NAME(B2)</f>
        <v>=LAMBDA(a,b,"ABS(("&amp;a&amp;"-"&amp;b&amp;")/"&amp;a&amp;")")</v>
      </c>
    </row>
    <row r="3" spans="2:12" x14ac:dyDescent="0.25">
      <c r="D3" s="4" t="s">
        <v>30</v>
      </c>
      <c r="E3" s="4" t="s">
        <v>29</v>
      </c>
      <c r="F3" s="4" t="s">
        <v>84</v>
      </c>
      <c r="G3" s="4" t="s">
        <v>83</v>
      </c>
      <c r="H3" s="4" t="s">
        <v>85</v>
      </c>
      <c r="I3" s="4" t="s">
        <v>86</v>
      </c>
    </row>
    <row r="4" spans="2:12" x14ac:dyDescent="0.25">
      <c r="D4">
        <v>1</v>
      </c>
      <c r="E4">
        <v>2</v>
      </c>
      <c r="F4" t="str" cm="1">
        <f t="array" ref="F4">relative(D4,E4)</f>
        <v>ABS((1-2)/1)</v>
      </c>
      <c r="G4" cm="1">
        <f t="array" ref="G4">_xll.EVAL(F4)</f>
        <v>1</v>
      </c>
      <c r="H4">
        <v>1</v>
      </c>
      <c r="I4" t="b">
        <f>G4=H4</f>
        <v>1</v>
      </c>
    </row>
    <row r="5" spans="2:12" x14ac:dyDescent="0.25">
      <c r="D5">
        <v>2</v>
      </c>
      <c r="E5">
        <v>1</v>
      </c>
      <c r="F5" t="str" cm="1">
        <f t="array" ref="F5">relative(D5,E5)</f>
        <v>ABS((2-1)/2)</v>
      </c>
      <c r="G5" cm="1">
        <f t="array" ref="G5">_xll.EVAL(F5)</f>
        <v>0.5</v>
      </c>
      <c r="H5">
        <v>0.5</v>
      </c>
      <c r="I5" t="b">
        <f>G5=H5</f>
        <v>1</v>
      </c>
    </row>
    <row r="6" spans="2:12" x14ac:dyDescent="0.25">
      <c r="D6">
        <v>2</v>
      </c>
      <c r="E6">
        <v>2</v>
      </c>
      <c r="F6" t="str" cm="1">
        <f t="array" ref="F6">relative(D6,E6)</f>
        <v>ABS((2-2)/2)</v>
      </c>
      <c r="G6" cm="1">
        <f t="array" ref="G6">_xll.EVAL(F6)</f>
        <v>0</v>
      </c>
      <c r="H6">
        <v>0</v>
      </c>
      <c r="I6" t="b">
        <f>G6=H6</f>
        <v>1</v>
      </c>
    </row>
    <row r="9" spans="2:12" x14ac:dyDescent="0.25">
      <c r="B9" t="s">
        <v>92</v>
      </c>
      <c r="C9" t="s">
        <v>28</v>
      </c>
      <c r="D9" t="s">
        <v>15</v>
      </c>
    </row>
    <row r="10" spans="2:12" x14ac:dyDescent="0.25">
      <c r="B10" t="s">
        <v>93</v>
      </c>
      <c r="C10" t="s">
        <v>8</v>
      </c>
      <c r="D10" t="s">
        <v>94</v>
      </c>
    </row>
    <row r="11" spans="2:12" x14ac:dyDescent="0.25">
      <c r="B11" t="s">
        <v>93</v>
      </c>
      <c r="C11" t="s">
        <v>10</v>
      </c>
      <c r="L11" s="2"/>
    </row>
    <row r="12" spans="2:12" x14ac:dyDescent="0.25">
      <c r="B12" t="s">
        <v>96</v>
      </c>
      <c r="C12" t="s">
        <v>97</v>
      </c>
      <c r="D12">
        <v>13</v>
      </c>
    </row>
    <row r="13" spans="2:12" x14ac:dyDescent="0.25">
      <c r="B13" t="s">
        <v>98</v>
      </c>
    </row>
    <row r="16" spans="2:12" x14ac:dyDescent="0.25">
      <c r="B16" s="9" t="s">
        <v>95</v>
      </c>
    </row>
    <row r="17" spans="2:2" x14ac:dyDescent="0.25">
      <c r="B17" s="9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934-EBCF-423A-A8F2-6B61D523A6D6}">
  <dimension ref="B2:I23"/>
  <sheetViews>
    <sheetView workbookViewId="0">
      <selection activeCell="I3" sqref="I3"/>
    </sheetView>
  </sheetViews>
  <sheetFormatPr defaultRowHeight="15.75" x14ac:dyDescent="0.25"/>
  <cols>
    <col min="1" max="1" width="3.625" customWidth="1"/>
    <col min="2" max="3" width="10.625" bestFit="1" customWidth="1"/>
    <col min="4" max="4" width="23.375" customWidth="1"/>
    <col min="5" max="5" width="18.125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0</v>
      </c>
      <c r="F2" s="12" t="s">
        <v>26</v>
      </c>
      <c r="G2" s="12" t="s">
        <v>16</v>
      </c>
      <c r="H2" s="12" t="s">
        <v>0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t="str" cm="1">
        <f t="array" ref="E3:I3">_xlfn.DROP(_xll.SQL.QUERY(tmswap,"select "&amp;_xlfn.TEXTJOIN(", ",TRUE,E2:I2)&amp;" from swapRequests where positionId = "&amp;sql(D3)),1)</f>
        <v>CLT3414</v>
      </c>
      <c r="F3" s="11">
        <v>3.222</v>
      </c>
      <c r="G3" s="11">
        <v>2475</v>
      </c>
      <c r="H3" s="11" t="str">
        <v>CLT3414</v>
      </c>
      <c r="I3" s="11">
        <v>105.837</v>
      </c>
    </row>
    <row r="5" spans="2:9" x14ac:dyDescent="0.25">
      <c r="B5" t="s">
        <v>121</v>
      </c>
    </row>
    <row r="6" spans="2:9" x14ac:dyDescent="0.25">
      <c r="B6" t="s">
        <v>7</v>
      </c>
      <c r="C6" t="s">
        <v>0</v>
      </c>
      <c r="D6" t="s">
        <v>6</v>
      </c>
    </row>
    <row r="7" spans="2:9" x14ac:dyDescent="0.25">
      <c r="C7" t="str" cm="1">
        <f t="array" ref="C7">_xlfn.DROP(_xll.SQL.QUERY(tmswap,D7),1)</f>
        <v>CLT3414</v>
      </c>
      <c r="D7" t="str" cm="1">
        <f t="array" ref="D7">"select "&amp;C6&amp;" from swapRequests where positionId = "&amp;sql(positionId)</f>
        <v>select clientId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clientId, </v>
      </c>
      <c r="E8" t="str" cm="1">
        <f t="array" ref="E8">ne(sql(C7),C6)</f>
        <v>'CLT3414' &lt;&gt; clientId</v>
      </c>
      <c r="F8" t="s">
        <v>116</v>
      </c>
      <c r="G8" t="str">
        <f>_xlfn.TEXTJOIN("_",TRUE,C6:D6)</f>
        <v>clientId_ne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">
        <v>113</v>
      </c>
    </row>
    <row r="11" spans="2:9" x14ac:dyDescent="0.25">
      <c r="C11" s="3" t="s">
        <v>118</v>
      </c>
      <c r="D11">
        <v>10</v>
      </c>
    </row>
    <row r="13" spans="2:9" x14ac:dyDescent="0.25">
      <c r="B13" s="5" t="str" cm="1">
        <f t="array" ref="B13:F23">_xll.SQL.QUERY(tmswap,C8:G11)</f>
        <v>clientId</v>
      </c>
      <c r="C13" s="5" t="str">
        <v>cusip</v>
      </c>
      <c r="D13" s="5" t="str">
        <v>positionId</v>
      </c>
      <c r="E13" s="5" t="str">
        <v>clientId</v>
      </c>
      <c r="F13" s="5" t="str">
        <v>clientId_ne</v>
      </c>
    </row>
    <row r="14" spans="2:9" x14ac:dyDescent="0.25">
      <c r="B14" t="str">
        <v>CLT3424</v>
      </c>
      <c r="C14" t="str">
        <v>089563NF3</v>
      </c>
      <c r="D14" t="str">
        <v>9185c83341a64e2bbdb51d6ab649af4a</v>
      </c>
      <c r="E14" t="str">
        <v>CLT3424</v>
      </c>
      <c r="F14">
        <v>1</v>
      </c>
    </row>
    <row r="15" spans="2:9" x14ac:dyDescent="0.25">
      <c r="B15" t="str">
        <v>CLT3424</v>
      </c>
      <c r="C15" t="str">
        <v>089563NG1</v>
      </c>
      <c r="D15" t="str">
        <v>46b6386108834679b36a6dae0120b3a2</v>
      </c>
      <c r="E15" t="str">
        <v>CLT3424</v>
      </c>
      <c r="F15">
        <v>1</v>
      </c>
    </row>
    <row r="16" spans="2:9" x14ac:dyDescent="0.25">
      <c r="B16" t="str">
        <v>CLT3424</v>
      </c>
      <c r="C16" t="str">
        <v>088365JA0</v>
      </c>
      <c r="D16" t="str">
        <v>796324c045eb4296a425b5abcb157673</v>
      </c>
      <c r="E16" t="str">
        <v>CLT3424</v>
      </c>
      <c r="F16">
        <v>1</v>
      </c>
    </row>
    <row r="17" spans="2:6" x14ac:dyDescent="0.25">
      <c r="B17" t="str">
        <v>CLT3424</v>
      </c>
      <c r="C17" t="str">
        <v>143357XK2</v>
      </c>
      <c r="D17" t="str">
        <v>d9d05bc0818e485e8128d8680d83d567</v>
      </c>
      <c r="E17" t="str">
        <v>CLT3424</v>
      </c>
      <c r="F17">
        <v>1</v>
      </c>
    </row>
    <row r="18" spans="2:6" x14ac:dyDescent="0.25">
      <c r="B18" t="str">
        <v>CLT3424</v>
      </c>
      <c r="C18" t="str">
        <v>088365JB8</v>
      </c>
      <c r="D18" t="str">
        <v>e21720a5d36e4e61942bdaee37bbb762</v>
      </c>
      <c r="E18" t="str">
        <v>CLT3424</v>
      </c>
      <c r="F18">
        <v>1</v>
      </c>
    </row>
    <row r="19" spans="2:6" x14ac:dyDescent="0.25">
      <c r="B19" t="str">
        <v>CLT3424</v>
      </c>
      <c r="C19" t="str">
        <v>000416U96</v>
      </c>
      <c r="D19" t="str">
        <v>69359e4aa0874e57abd9149e5916e97a</v>
      </c>
      <c r="E19" t="str">
        <v>CLT3424</v>
      </c>
      <c r="F19">
        <v>1</v>
      </c>
    </row>
    <row r="20" spans="2:6" x14ac:dyDescent="0.25">
      <c r="B20" t="str">
        <v>CLT3424</v>
      </c>
      <c r="C20" t="str">
        <v>088281L24</v>
      </c>
      <c r="D20" t="str">
        <v>0756b68f713441ba92d84138c7e3c2ef</v>
      </c>
      <c r="E20" t="str">
        <v>CLT3424</v>
      </c>
      <c r="F20">
        <v>1</v>
      </c>
    </row>
    <row r="21" spans="2:6" x14ac:dyDescent="0.25">
      <c r="B21" t="str">
        <v>CLT3424</v>
      </c>
      <c r="C21" t="str">
        <v>143287GQ7</v>
      </c>
      <c r="D21" t="str">
        <v>4d206b548def443ca7fcf9d6dff04090</v>
      </c>
      <c r="E21" t="str">
        <v>CLT3424</v>
      </c>
      <c r="F21">
        <v>1</v>
      </c>
    </row>
    <row r="22" spans="2:6" x14ac:dyDescent="0.25">
      <c r="B22" t="str">
        <v>CLT3424</v>
      </c>
      <c r="C22" t="str">
        <v>088281L32</v>
      </c>
      <c r="D22" t="str">
        <v>57e31664c2f6462c85e0447ba47abbd0</v>
      </c>
      <c r="E22" t="str">
        <v>CLT3424</v>
      </c>
      <c r="F22">
        <v>1</v>
      </c>
    </row>
    <row r="23" spans="2:6" x14ac:dyDescent="0.25">
      <c r="B23" t="str">
        <v>CLT3424</v>
      </c>
      <c r="C23" t="str">
        <v>003430BM6</v>
      </c>
      <c r="D23" t="str">
        <v>312c62a7d9ad4c3a9fef8487b92c9b27</v>
      </c>
      <c r="E23" t="str">
        <v>CLT3424</v>
      </c>
      <c r="F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03C7-CC82-4191-A3CB-AF9F91F1CF03}">
  <dimension ref="B2:I24"/>
  <sheetViews>
    <sheetView workbookViewId="0">
      <selection activeCell="D6" sqref="D6"/>
    </sheetView>
  </sheetViews>
  <sheetFormatPr defaultRowHeight="15.75" x14ac:dyDescent="0.25"/>
  <cols>
    <col min="1" max="1" width="3.625" customWidth="1"/>
    <col min="4" max="4" width="12.375" customWidth="1"/>
    <col min="5" max="5" width="25.5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25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>
        <v>5</v>
      </c>
      <c r="I3" s="11">
        <v>105.837</v>
      </c>
    </row>
    <row r="5" spans="2:9" x14ac:dyDescent="0.25">
      <c r="B5" t="s">
        <v>120</v>
      </c>
    </row>
    <row r="6" spans="2:9" x14ac:dyDescent="0.25">
      <c r="B6" t="s">
        <v>92</v>
      </c>
      <c r="C6" t="s">
        <v>109</v>
      </c>
      <c r="D6" t="s">
        <v>15</v>
      </c>
      <c r="E6">
        <v>15</v>
      </c>
    </row>
    <row r="7" spans="2:9" x14ac:dyDescent="0.25">
      <c r="C7" cm="1">
        <f t="array" ref="C7">_xlfn.DROP(_xll.SQL.QUERY(tmswap,D7),1)</f>
        <v>-1.5550673754233579</v>
      </c>
      <c r="D7" t="str" cm="1">
        <f t="array" ref="D7">"select "&amp;C6&amp;" from swapRequests where positionId = "&amp;sql(positionId)</f>
        <v>select oas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oas, </v>
      </c>
      <c r="E8" t="str" cm="1">
        <f t="array" ref="E8">absolute(C7,C6)</f>
        <v>ABS(-1.55506737542336-oas)</v>
      </c>
      <c r="F8" t="s">
        <v>116</v>
      </c>
      <c r="G8" t="str">
        <f>_xlfn.TEXTJOIN("_",TRUE,B6:D6)</f>
        <v>absolute_oas_le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tr" cm="1">
        <f t="array" ref="D10">le(G8,E6)</f>
        <v>absolute_oas_le &lt;= 15</v>
      </c>
    </row>
    <row r="11" spans="2:9" x14ac:dyDescent="0.25">
      <c r="C11" s="3" t="s">
        <v>119</v>
      </c>
      <c r="D11" t="str">
        <f>G8</f>
        <v>absolute_oas_le</v>
      </c>
    </row>
    <row r="12" spans="2:9" x14ac:dyDescent="0.25">
      <c r="C12" s="3" t="s">
        <v>118</v>
      </c>
      <c r="D12">
        <v>10</v>
      </c>
    </row>
    <row r="14" spans="2:9" x14ac:dyDescent="0.25">
      <c r="B14" s="5" t="str" cm="1">
        <f t="array" ref="B14:F24">_xll.SQL.QUERY(tmswap, C8:G12)</f>
        <v>clientId</v>
      </c>
      <c r="C14" s="5" t="str">
        <v>cusip</v>
      </c>
      <c r="D14" s="5" t="str">
        <v>positionId</v>
      </c>
      <c r="E14" s="5" t="str">
        <v>oas</v>
      </c>
      <c r="F14" s="5" t="str">
        <v>absolute_oas_le</v>
      </c>
    </row>
    <row r="15" spans="2:9" x14ac:dyDescent="0.25">
      <c r="B15" t="str">
        <v>CLT3414</v>
      </c>
      <c r="C15" t="str">
        <v>59333NW66</v>
      </c>
      <c r="D15" t="str">
        <v>4f88a124fd8c4f98a2a1d8c656bf2f2f</v>
      </c>
      <c r="E15">
        <v>-1.5550673754233579</v>
      </c>
      <c r="F15">
        <v>1.9984014443252818E-15</v>
      </c>
    </row>
    <row r="16" spans="2:9" x14ac:dyDescent="0.25">
      <c r="B16" t="str">
        <v>CLT3414</v>
      </c>
      <c r="C16" t="str">
        <v>60637ATQ5</v>
      </c>
      <c r="D16" t="str">
        <v>d5c2b3ace2354e789d175634bd588c80</v>
      </c>
      <c r="E16">
        <v>-1.5550673754233579</v>
      </c>
      <c r="F16">
        <v>1.9984014443252818E-15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>
        <v>-1.5550673754233579</v>
      </c>
      <c r="F17">
        <v>1.9984014443252818E-15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>
        <v>-1.5550673754233579</v>
      </c>
      <c r="F18">
        <v>1.9984014443252818E-15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>
        <v>-1.5550673754233579</v>
      </c>
      <c r="F19">
        <v>1.9984014443252818E-15</v>
      </c>
    </row>
    <row r="20" spans="2:6" x14ac:dyDescent="0.25">
      <c r="B20" t="str">
        <v>CLT3424</v>
      </c>
      <c r="C20" t="str">
        <v>97712DQT6</v>
      </c>
      <c r="D20" t="str">
        <v>17432dfb2ccd40259e5e984db8b825ef</v>
      </c>
      <c r="E20">
        <v>-1.553897718567012</v>
      </c>
      <c r="F20">
        <v>1.1696568563479559E-3</v>
      </c>
    </row>
    <row r="21" spans="2:6" x14ac:dyDescent="0.25">
      <c r="B21" t="str">
        <v>CLT3424</v>
      </c>
      <c r="C21" t="str">
        <v>25476FWE4</v>
      </c>
      <c r="D21" t="str">
        <v>0f68851375074095a8d7fabfdb4135a5</v>
      </c>
      <c r="E21">
        <v>-1.5438427170486027</v>
      </c>
      <c r="F21">
        <v>1.1224658374757279E-2</v>
      </c>
    </row>
    <row r="22" spans="2:6" x14ac:dyDescent="0.25">
      <c r="B22" t="str">
        <v>CLT3424</v>
      </c>
      <c r="C22" t="str">
        <v>45505TKA8</v>
      </c>
      <c r="D22" t="str">
        <v>cd884eb162764d22b1e212862fff2df8</v>
      </c>
      <c r="E22">
        <v>-1.5434691644850895</v>
      </c>
      <c r="F22">
        <v>1.1598210938270404E-2</v>
      </c>
    </row>
    <row r="23" spans="2:6" x14ac:dyDescent="0.25">
      <c r="B23" t="str">
        <v>CLT3424</v>
      </c>
      <c r="C23" t="str">
        <v>24919PJX3</v>
      </c>
      <c r="D23" t="str">
        <v>7cad460f1dcc40a1b04153dce2b49b00</v>
      </c>
      <c r="E23">
        <v>-1.5696167664927974</v>
      </c>
      <c r="F23">
        <v>1.4549391069437423E-2</v>
      </c>
    </row>
    <row r="24" spans="2:6" x14ac:dyDescent="0.25">
      <c r="B24" t="str">
        <v>CLT3424</v>
      </c>
      <c r="C24" t="str">
        <v>86804BBY7</v>
      </c>
      <c r="D24" t="str">
        <v>dd4f0795a6ee4f4c8cc1c421697c53b6</v>
      </c>
      <c r="E24">
        <v>-1.5382614715786522</v>
      </c>
      <c r="F24">
        <v>1.6805903844707704E-2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A966-FFBB-429B-9C02-9D214868F889}">
  <dimension ref="B2:I23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4" max="4" width="12.375" customWidth="1"/>
    <col min="5" max="5" width="44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25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>
        <v>5</v>
      </c>
      <c r="I3" s="11">
        <v>105.837</v>
      </c>
    </row>
    <row r="5" spans="2:9" x14ac:dyDescent="0.25">
      <c r="B5" t="s">
        <v>120</v>
      </c>
    </row>
    <row r="6" spans="2:9" x14ac:dyDescent="0.25">
      <c r="B6" t="s">
        <v>31</v>
      </c>
      <c r="C6" t="s">
        <v>109</v>
      </c>
      <c r="D6" t="s">
        <v>15</v>
      </c>
      <c r="E6">
        <v>0.01</v>
      </c>
    </row>
    <row r="7" spans="2:9" x14ac:dyDescent="0.25">
      <c r="C7" cm="1">
        <f t="array" ref="C7">_xlfn.DROP(_xll.SQL.QUERY(tmswap,D7),1)</f>
        <v>-1.5550673754233579</v>
      </c>
      <c r="D7" t="str" cm="1">
        <f t="array" ref="D7">"select "&amp;C6&amp;" from swapRequests where positionId = "&amp;sql(positionId)</f>
        <v>select oas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oas, </v>
      </c>
      <c r="E8" t="str" cm="1">
        <f t="array" ref="E8">relative(C7,C6)</f>
        <v>ABS((-1.55506737542336-oas)/-1.55506737542336)</v>
      </c>
      <c r="F8" t="s">
        <v>116</v>
      </c>
      <c r="G8" t="str">
        <f>_xlfn.TEXTJOIN("_",TRUE,B6:D6)</f>
        <v>relative_oas_le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tr" cm="1">
        <f t="array" ref="D10">le(G8,E6)</f>
        <v>relative_oas_le &lt;= 0.01</v>
      </c>
    </row>
    <row r="11" spans="2:9" x14ac:dyDescent="0.25">
      <c r="C11" s="3" t="s">
        <v>119</v>
      </c>
      <c r="D11" t="str">
        <f>G8</f>
        <v>relative_oas_le</v>
      </c>
    </row>
    <row r="12" spans="2:9" x14ac:dyDescent="0.25">
      <c r="C12" s="3" t="s">
        <v>118</v>
      </c>
      <c r="D12">
        <v>10</v>
      </c>
    </row>
    <row r="14" spans="2:9" x14ac:dyDescent="0.25">
      <c r="B14" s="5" t="str" cm="1">
        <f t="array" ref="B14:F23">_xll.SQL.QUERY(tmswap, C8:G12)</f>
        <v>clientId</v>
      </c>
      <c r="C14" s="5" t="str">
        <v>cusip</v>
      </c>
      <c r="D14" s="5" t="str">
        <v>positionId</v>
      </c>
      <c r="E14" s="5" t="str">
        <v>oas</v>
      </c>
      <c r="F14" s="5" t="str">
        <v>relative_oas_le</v>
      </c>
    </row>
    <row r="15" spans="2:9" x14ac:dyDescent="0.25">
      <c r="B15" t="str">
        <v>CLT3414</v>
      </c>
      <c r="C15" t="str">
        <v>59333NW66</v>
      </c>
      <c r="D15" t="str">
        <v>4f88a124fd8c4f98a2a1d8c656bf2f2f</v>
      </c>
      <c r="E15">
        <v>-1.5550673754233579</v>
      </c>
      <c r="F15">
        <v>1.2850899426664559E-15</v>
      </c>
    </row>
    <row r="16" spans="2:9" x14ac:dyDescent="0.25">
      <c r="B16" t="str">
        <v>CLT3414</v>
      </c>
      <c r="C16" t="str">
        <v>60637ATQ5</v>
      </c>
      <c r="D16" t="str">
        <v>d5c2b3ace2354e789d175634bd588c80</v>
      </c>
      <c r="E16">
        <v>-1.5550673754233579</v>
      </c>
      <c r="F16">
        <v>1.2850899426664559E-15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>
        <v>-1.5550673754233579</v>
      </c>
      <c r="F17">
        <v>1.2850899426664559E-15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>
        <v>-1.5550673754233579</v>
      </c>
      <c r="F18">
        <v>1.2850899426664559E-15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>
        <v>-1.5550673754233579</v>
      </c>
      <c r="F19">
        <v>1.2850899426664559E-15</v>
      </c>
    </row>
    <row r="20" spans="2:6" x14ac:dyDescent="0.25">
      <c r="B20" t="str">
        <v>CLT3424</v>
      </c>
      <c r="C20" t="str">
        <v>97712DQT6</v>
      </c>
      <c r="D20" t="str">
        <v>17432dfb2ccd40259e5e984db8b825ef</v>
      </c>
      <c r="E20">
        <v>-1.553897718567012</v>
      </c>
      <c r="F20">
        <v>7.5215831470293835E-4</v>
      </c>
    </row>
    <row r="21" spans="2:6" x14ac:dyDescent="0.25">
      <c r="B21" t="str">
        <v>CLT3424</v>
      </c>
      <c r="C21" t="str">
        <v>25476FWE4</v>
      </c>
      <c r="D21" t="str">
        <v>0f68851375074095a8d7fabfdb4135a5</v>
      </c>
      <c r="E21">
        <v>-1.5438427170486027</v>
      </c>
      <c r="F21">
        <v>7.2181170746389153E-3</v>
      </c>
    </row>
    <row r="22" spans="2:6" x14ac:dyDescent="0.25">
      <c r="B22" t="str">
        <v>CLT3424</v>
      </c>
      <c r="C22" t="str">
        <v>45505TKA8</v>
      </c>
      <c r="D22" t="str">
        <v>cd884eb162764d22b1e212862fff2df8</v>
      </c>
      <c r="E22">
        <v>-1.5434691644850895</v>
      </c>
      <c r="F22">
        <v>7.458333395434294E-3</v>
      </c>
    </row>
    <row r="23" spans="2:6" x14ac:dyDescent="0.25">
      <c r="B23" t="str">
        <v>CLT3424</v>
      </c>
      <c r="C23" t="str">
        <v>24919PJX3</v>
      </c>
      <c r="D23" t="str">
        <v>7cad460f1dcc40a1b04153dce2b49b00</v>
      </c>
      <c r="E23">
        <v>-1.5696167664927974</v>
      </c>
      <c r="F23">
        <v>9.356116203953168E-3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FB64-09FF-49A8-9B9E-608A626B1D40}">
  <dimension ref="B2:I21"/>
  <sheetViews>
    <sheetView workbookViewId="0">
      <selection activeCell="B2" sqref="B2:I3"/>
    </sheetView>
  </sheetViews>
  <sheetFormatPr defaultRowHeight="15.75" x14ac:dyDescent="0.25"/>
  <cols>
    <col min="1" max="1" width="3.625" customWidth="1"/>
    <col min="6" max="6" width="7.25" customWidth="1"/>
    <col min="11" max="11" width="15.75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16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2475</v>
      </c>
      <c r="F3" s="11">
        <v>3.222</v>
      </c>
      <c r="G3" s="11">
        <v>2475</v>
      </c>
      <c r="H3" s="11" t="str">
        <v>AZ</v>
      </c>
      <c r="I3" s="11">
        <v>105.837</v>
      </c>
    </row>
    <row r="7" spans="2:9" x14ac:dyDescent="0.25">
      <c r="B7" t="s">
        <v>124</v>
      </c>
      <c r="C7" t="s">
        <v>16</v>
      </c>
    </row>
    <row r="8" spans="2:9" x14ac:dyDescent="0.25">
      <c r="C8" cm="1">
        <f t="array" ref="C8">_xlfn.DROP(_xll.SQL.QUERY(tmswap,D8),1)</f>
        <v>2475</v>
      </c>
      <c r="D8" t="str" cm="1">
        <f t="array" ref="D8">"select "&amp;C7&amp;" from swapRequests where positionId = "&amp;sql(positionId)</f>
        <v>select quantity from swapRequests where positionId = '7d50ed8778a64c0bb477c7529931e7ca'</v>
      </c>
    </row>
    <row r="9" spans="2:9" x14ac:dyDescent="0.25">
      <c r="C9" t="s">
        <v>31</v>
      </c>
      <c r="D9" t="s">
        <v>16</v>
      </c>
      <c r="G9" t="str" cm="1">
        <f t="array" ref="G9">relative(C8,D9)</f>
        <v>ABS((2475-quantity)/2475)</v>
      </c>
      <c r="H9" t="s">
        <v>116</v>
      </c>
      <c r="I9" t="str">
        <f>_xlfn.TEXTJOIN("_",TRUE,C9:D9)</f>
        <v>relative_quantity</v>
      </c>
    </row>
    <row r="11" spans="2:9" x14ac:dyDescent="0.25">
      <c r="B11">
        <f>C8</f>
        <v>2475</v>
      </c>
      <c r="C11" t="s">
        <v>15</v>
      </c>
      <c r="D11">
        <v>500</v>
      </c>
      <c r="E11" t="b" cm="1">
        <f t="array" ref="E11">_xll.EVAL(le(B11,D11))</f>
        <v>0</v>
      </c>
      <c r="G11" t="s">
        <v>16</v>
      </c>
      <c r="H11" t="s">
        <v>15</v>
      </c>
      <c r="I11">
        <v>500</v>
      </c>
    </row>
    <row r="12" spans="2:9" x14ac:dyDescent="0.25">
      <c r="G12" t="str">
        <f>I9</f>
        <v>relative_quantity</v>
      </c>
      <c r="H12" t="s">
        <v>15</v>
      </c>
      <c r="I12">
        <v>0</v>
      </c>
    </row>
    <row r="14" spans="2:9" x14ac:dyDescent="0.25">
      <c r="B14">
        <f>C8</f>
        <v>2475</v>
      </c>
      <c r="C14" t="s">
        <v>101</v>
      </c>
      <c r="D14">
        <v>500</v>
      </c>
      <c r="E14" t="b" cm="1">
        <f t="array" ref="E14">_xll.EVAL(gt(B14,D14))</f>
        <v>1</v>
      </c>
      <c r="G14" t="s">
        <v>16</v>
      </c>
      <c r="H14" t="s">
        <v>17</v>
      </c>
      <c r="I14">
        <v>500</v>
      </c>
    </row>
    <row r="15" spans="2:9" x14ac:dyDescent="0.25">
      <c r="G15">
        <f>I12</f>
        <v>0</v>
      </c>
      <c r="H15" t="s">
        <v>15</v>
      </c>
      <c r="I15">
        <v>0.1</v>
      </c>
    </row>
    <row r="19" spans="3:7" x14ac:dyDescent="0.25">
      <c r="C19" t="s">
        <v>114</v>
      </c>
      <c r="D19" t="str">
        <f>_xlfn.TEXTJOIN(", ", TRUE, B2:E2)&amp;", "</f>
        <v xml:space="preserve">clientId, cusip, positionId, quantity, </v>
      </c>
      <c r="E19" t="str">
        <f>G9</f>
        <v>ABS((2475-quantity)/2475)</v>
      </c>
      <c r="F19" t="str">
        <f>H9</f>
        <v>AS</v>
      </c>
      <c r="G19" t="str">
        <f>I9</f>
        <v>relative_quantity</v>
      </c>
    </row>
    <row r="20" spans="3:7" x14ac:dyDescent="0.25">
      <c r="C20" t="s">
        <v>117</v>
      </c>
      <c r="D20" t="s">
        <v>91</v>
      </c>
    </row>
    <row r="21" spans="3:7" x14ac:dyDescent="0.25">
      <c r="C2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3D7-38A6-45C6-A578-78BBFCC40594}">
  <dimension ref="B2:N23"/>
  <sheetViews>
    <sheetView workbookViewId="0">
      <selection activeCell="D11" sqref="D11"/>
    </sheetView>
  </sheetViews>
  <sheetFormatPr defaultRowHeight="15.75" x14ac:dyDescent="0.25"/>
  <cols>
    <col min="1" max="1" width="3.625" customWidth="1"/>
    <col min="3" max="3" width="10.875" bestFit="1" customWidth="1"/>
    <col min="5" max="5" width="30.125" bestFit="1" customWidth="1"/>
  </cols>
  <sheetData>
    <row r="2" spans="2:14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127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14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4</v>
      </c>
      <c r="F3" s="11">
        <v>3.222</v>
      </c>
      <c r="G3" s="11">
        <v>2475</v>
      </c>
      <c r="H3" s="11" t="str">
        <v>AZ</v>
      </c>
      <c r="I3" s="11">
        <v>105.837</v>
      </c>
      <c r="L3">
        <v>1</v>
      </c>
      <c r="M3">
        <v>1</v>
      </c>
      <c r="N3">
        <v>1</v>
      </c>
    </row>
    <row r="4" spans="2:14" x14ac:dyDescent="0.25">
      <c r="L4">
        <v>1</v>
      </c>
      <c r="M4">
        <v>0</v>
      </c>
      <c r="N4">
        <v>0</v>
      </c>
    </row>
    <row r="5" spans="2:14" x14ac:dyDescent="0.25">
      <c r="B5" t="s">
        <v>131</v>
      </c>
      <c r="L5">
        <v>0</v>
      </c>
      <c r="M5">
        <v>1</v>
      </c>
      <c r="N5">
        <v>0</v>
      </c>
    </row>
    <row r="6" spans="2:14" x14ac:dyDescent="0.25">
      <c r="B6" t="s">
        <v>130</v>
      </c>
      <c r="C6" t="str">
        <f>E2</f>
        <v>useOfProceedsGroup</v>
      </c>
      <c r="D6">
        <v>4</v>
      </c>
      <c r="L6">
        <v>0</v>
      </c>
      <c r="M6">
        <v>0</v>
      </c>
      <c r="N6">
        <v>0</v>
      </c>
    </row>
    <row r="7" spans="2:14" x14ac:dyDescent="0.25">
      <c r="C7" cm="1">
        <f t="array" ref="C7">_xlfn.DROP(_xll.SQL.QUERY(tmswap,D7),1)</f>
        <v>4</v>
      </c>
      <c r="D7" t="str" cm="1">
        <f t="array" ref="D7">"select "&amp;C6&amp;" from swapRequests where positionId = "&amp;sql(positionId)</f>
        <v>select useOfProceedsGroup from swapRequests where positionId = '7d50ed8778a64c0bb477c7529931e7ca'</v>
      </c>
    </row>
    <row r="8" spans="2:14" x14ac:dyDescent="0.25">
      <c r="C8" s="3" t="s">
        <v>114</v>
      </c>
      <c r="D8" t="str">
        <f>_xlfn.TEXTJOIN(", ", TRUE, B2:E2)&amp;", "</f>
        <v xml:space="preserve">clientId, cusip, positionId, useOfProceedsGroup, </v>
      </c>
      <c r="E8" t="str">
        <f>C6</f>
        <v>useOfProceedsGroup</v>
      </c>
    </row>
    <row r="9" spans="2:14" x14ac:dyDescent="0.25">
      <c r="C9" s="3" t="s">
        <v>117</v>
      </c>
      <c r="D9" t="s">
        <v>91</v>
      </c>
    </row>
    <row r="10" spans="2:14" x14ac:dyDescent="0.25">
      <c r="C10" s="3" t="s">
        <v>115</v>
      </c>
      <c r="D10" t="str" cm="1">
        <f t="array" ref="D10">eq(D6,C6)</f>
        <v>4 = useOfProceedsGroup</v>
      </c>
    </row>
    <row r="11" spans="2:14" x14ac:dyDescent="0.25">
      <c r="C11" s="3" t="s">
        <v>118</v>
      </c>
      <c r="D11">
        <v>10</v>
      </c>
    </row>
    <row r="13" spans="2:14" x14ac:dyDescent="0.25">
      <c r="B13" s="14" t="str" cm="1">
        <f t="array" ref="B13:F23">_xll.SQL.QUERY(tmswap, C8:G11)</f>
        <v>clientId</v>
      </c>
      <c r="C13" s="5" t="str">
        <v>cusip</v>
      </c>
      <c r="D13" s="5" t="str">
        <v>positionId</v>
      </c>
      <c r="E13" s="5" t="str">
        <v>useOfProceedsGroup</v>
      </c>
      <c r="F13" s="5" t="str">
        <v>useOfProceedsGroup</v>
      </c>
    </row>
    <row r="14" spans="2:14" x14ac:dyDescent="0.25">
      <c r="B14" t="str">
        <v>CLT3414</v>
      </c>
      <c r="C14" t="str">
        <v>60637ATQ5</v>
      </c>
      <c r="D14" t="str">
        <v>d5c2b3ace2354e789d175634bd588c80</v>
      </c>
      <c r="E14">
        <v>4</v>
      </c>
      <c r="F14">
        <v>4</v>
      </c>
    </row>
    <row r="15" spans="2:14" x14ac:dyDescent="0.25">
      <c r="B15" t="str">
        <v>CLT3414</v>
      </c>
      <c r="C15" t="str">
        <v>56682HCT4</v>
      </c>
      <c r="D15" t="str">
        <v>0b0bbbed9ef041c699c3c230b4db6f0d</v>
      </c>
      <c r="E15">
        <v>4</v>
      </c>
      <c r="F15">
        <v>4</v>
      </c>
    </row>
    <row r="16" spans="2:14" x14ac:dyDescent="0.25">
      <c r="B16" t="str">
        <v>CLT3414</v>
      </c>
      <c r="C16" t="str">
        <v>56682HCT4</v>
      </c>
      <c r="D16" t="str">
        <v>73e88cd91df843fbbec3f56f049518e4</v>
      </c>
      <c r="E16">
        <v>4</v>
      </c>
      <c r="F16">
        <v>4</v>
      </c>
    </row>
    <row r="17" spans="2:6" x14ac:dyDescent="0.25">
      <c r="B17" t="str">
        <v>CLT3414</v>
      </c>
      <c r="C17" t="str">
        <v>56682HCT4</v>
      </c>
      <c r="D17" t="str">
        <v>7d50ed8778a64c0bb477c7529931e7ca</v>
      </c>
      <c r="E17">
        <v>4</v>
      </c>
      <c r="F17">
        <v>4</v>
      </c>
    </row>
    <row r="18" spans="2:6" x14ac:dyDescent="0.25">
      <c r="B18" t="str">
        <v>CLT3414</v>
      </c>
      <c r="C18" t="str">
        <v>645790MD5</v>
      </c>
      <c r="D18" t="str">
        <v>11bfd09803da4618b4920ce0fdced586</v>
      </c>
      <c r="E18">
        <v>4</v>
      </c>
      <c r="F18">
        <v>4</v>
      </c>
    </row>
    <row r="19" spans="2:6" x14ac:dyDescent="0.25">
      <c r="B19" t="str">
        <v>CLT3414</v>
      </c>
      <c r="C19" t="str">
        <v>717901BN1</v>
      </c>
      <c r="D19" t="str">
        <v>90d11992508b45c4a0fec22cf71caa05</v>
      </c>
      <c r="E19">
        <v>4</v>
      </c>
      <c r="F19">
        <v>4</v>
      </c>
    </row>
    <row r="20" spans="2:6" x14ac:dyDescent="0.25">
      <c r="B20" t="str">
        <v>CLT3414</v>
      </c>
      <c r="C20" t="str">
        <v>60637ATR3</v>
      </c>
      <c r="D20" t="str">
        <v>f5f8e84c39de4f6b9cdcf003745eea88</v>
      </c>
      <c r="E20">
        <v>4</v>
      </c>
      <c r="F20">
        <v>4</v>
      </c>
    </row>
    <row r="21" spans="2:6" x14ac:dyDescent="0.25">
      <c r="B21" t="str">
        <v>CLT3414</v>
      </c>
      <c r="C21" t="str">
        <v>717901BP6</v>
      </c>
      <c r="D21" t="str">
        <v>4d03b6afba97482498581696105b77a0</v>
      </c>
      <c r="E21">
        <v>4</v>
      </c>
      <c r="F21">
        <v>4</v>
      </c>
    </row>
    <row r="22" spans="2:6" x14ac:dyDescent="0.25">
      <c r="B22" t="str">
        <v>CLT3414</v>
      </c>
      <c r="C22" t="str">
        <v>160853VE4</v>
      </c>
      <c r="D22" t="str">
        <v>90cd89f395ba462d82ac3f99e281a176</v>
      </c>
      <c r="E22">
        <v>4</v>
      </c>
      <c r="F22">
        <v>4</v>
      </c>
    </row>
    <row r="23" spans="2:6" x14ac:dyDescent="0.25">
      <c r="B23" t="str">
        <v>CLT3414</v>
      </c>
      <c r="C23" t="str">
        <v>13080SXY5</v>
      </c>
      <c r="D23" t="str">
        <v>edcdf117489c49d084d4670c5f7317e9</v>
      </c>
      <c r="E23">
        <v>4</v>
      </c>
      <c r="F2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3790-C322-415B-B61D-F01B231BE685}">
  <dimension ref="B2:Q23"/>
  <sheetViews>
    <sheetView tabSelected="1" workbookViewId="0">
      <selection activeCell="O6" sqref="O6:O7"/>
    </sheetView>
  </sheetViews>
  <sheetFormatPr defaultRowHeight="15.75" x14ac:dyDescent="0.25"/>
  <cols>
    <col min="1" max="1" width="3.625" customWidth="1"/>
    <col min="3" max="3" width="10.875" bestFit="1" customWidth="1"/>
    <col min="5" max="5" width="23.5" bestFit="1" customWidth="1"/>
  </cols>
  <sheetData>
    <row r="2" spans="2:17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127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17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4</v>
      </c>
      <c r="F3" s="11">
        <v>3.222</v>
      </c>
      <c r="G3" s="11">
        <v>2475</v>
      </c>
      <c r="H3" s="11" t="str">
        <v>AZ</v>
      </c>
      <c r="I3" s="11">
        <v>105.837</v>
      </c>
      <c r="O3" s="2" t="s">
        <v>140</v>
      </c>
      <c r="P3" t="s">
        <v>141</v>
      </c>
    </row>
    <row r="4" spans="2:17" x14ac:dyDescent="0.25">
      <c r="O4" s="2" t="s">
        <v>142</v>
      </c>
      <c r="P4" s="2" t="s">
        <v>142</v>
      </c>
      <c r="Q4">
        <v>1</v>
      </c>
    </row>
    <row r="5" spans="2:17" x14ac:dyDescent="0.25">
      <c r="B5" t="s">
        <v>122</v>
      </c>
      <c r="O5" s="2" t="s">
        <v>142</v>
      </c>
      <c r="P5" t="s">
        <v>143</v>
      </c>
      <c r="Q5">
        <v>0</v>
      </c>
    </row>
    <row r="6" spans="2:17" x14ac:dyDescent="0.25">
      <c r="B6" t="s">
        <v>129</v>
      </c>
      <c r="C6" s="3" t="s">
        <v>137</v>
      </c>
      <c r="D6" t="str">
        <f>E2</f>
        <v>useOfProceedsGroup</v>
      </c>
      <c r="E6" cm="1">
        <f t="array" ref="E6">_xlfn.DROP(_xll.SQL.QUERY(tmswap,"select "&amp;D6&amp;" from swapRequests where positionId = "&amp;sql(positionId)), 1)</f>
        <v>4</v>
      </c>
      <c r="O6" t="s">
        <v>143</v>
      </c>
      <c r="P6" s="2" t="s">
        <v>142</v>
      </c>
      <c r="Q6">
        <v>0</v>
      </c>
    </row>
    <row r="7" spans="2:17" x14ac:dyDescent="0.25">
      <c r="C7" s="3" t="s">
        <v>134</v>
      </c>
      <c r="O7" t="s">
        <v>143</v>
      </c>
      <c r="P7" t="s">
        <v>143</v>
      </c>
      <c r="Q7">
        <v>1</v>
      </c>
    </row>
    <row r="8" spans="2:17" x14ac:dyDescent="0.25">
      <c r="C8" s="3" t="s">
        <v>114</v>
      </c>
      <c r="D8" t="str">
        <f>_xlfn.TEXTJOIN(", ", TRUE, B2:E2)&amp;", "</f>
        <v xml:space="preserve">clientId, cusip, positionId, useOfProceedsGroup, </v>
      </c>
      <c r="E8" t="str">
        <f>D6</f>
        <v>useOfProceedsGroup</v>
      </c>
    </row>
    <row r="9" spans="2:17" x14ac:dyDescent="0.25">
      <c r="C9" s="3" t="s">
        <v>117</v>
      </c>
      <c r="D9" t="s">
        <v>91</v>
      </c>
    </row>
    <row r="10" spans="2:17" x14ac:dyDescent="0.25">
      <c r="C10" s="3" t="s">
        <v>115</v>
      </c>
      <c r="D10" t="str" cm="1">
        <f t="array" ref="D10">ne(sql(C7),D6)&amp;" OR "&amp;eq(sql(E6),D6)</f>
        <v>'BIND' &lt;&gt; useOfProceedsGroup OR 4 = useOfProceedsGroup</v>
      </c>
      <c r="O10" t="s">
        <v>94</v>
      </c>
      <c r="P10" t="s">
        <v>94</v>
      </c>
      <c r="Q10">
        <v>1</v>
      </c>
    </row>
    <row r="11" spans="2:17" x14ac:dyDescent="0.25">
      <c r="C11" s="3" t="s">
        <v>118</v>
      </c>
      <c r="D11">
        <v>10</v>
      </c>
      <c r="O11" t="s">
        <v>94</v>
      </c>
      <c r="P11" t="s">
        <v>126</v>
      </c>
      <c r="Q11">
        <v>0</v>
      </c>
    </row>
    <row r="12" spans="2:17" x14ac:dyDescent="0.25">
      <c r="O12" t="s">
        <v>126</v>
      </c>
      <c r="P12" t="s">
        <v>94</v>
      </c>
      <c r="Q12">
        <v>1</v>
      </c>
    </row>
    <row r="13" spans="2:17" x14ac:dyDescent="0.25">
      <c r="B13" s="14" t="str" cm="1">
        <f t="array" ref="B13:F23">_xll.SQL.QUERY(tmswap, C8:G11)</f>
        <v>clientId</v>
      </c>
      <c r="C13" s="5" t="str">
        <v>cusip</v>
      </c>
      <c r="D13" s="5" t="str">
        <v>positionId</v>
      </c>
      <c r="E13" s="5" t="str">
        <v>useOfProceedsGroup</v>
      </c>
      <c r="F13" s="5" t="str">
        <v>useOfProceedsGroup</v>
      </c>
      <c r="O13" t="s">
        <v>126</v>
      </c>
      <c r="P13" t="s">
        <v>126</v>
      </c>
      <c r="Q13">
        <v>1</v>
      </c>
    </row>
    <row r="14" spans="2:17" x14ac:dyDescent="0.25">
      <c r="B14" t="str">
        <v>CLT3414</v>
      </c>
      <c r="C14" t="str">
        <v>215543MJ5</v>
      </c>
      <c r="D14" t="str">
        <v>c70516b606de46729f2ef9bd6e9e3df9</v>
      </c>
      <c r="E14">
        <v>2</v>
      </c>
      <c r="F14">
        <v>2</v>
      </c>
    </row>
    <row r="15" spans="2:17" x14ac:dyDescent="0.25">
      <c r="B15" t="str">
        <v>CLT3414</v>
      </c>
      <c r="C15" t="str">
        <v>59333NW66</v>
      </c>
      <c r="D15" t="str">
        <v>4f88a124fd8c4f98a2a1d8c656bf2f2f</v>
      </c>
      <c r="E15">
        <v>3</v>
      </c>
      <c r="F15">
        <v>3</v>
      </c>
      <c r="O15" t="s">
        <v>128</v>
      </c>
    </row>
    <row r="16" spans="2:17" x14ac:dyDescent="0.25">
      <c r="B16" t="str">
        <v>CLT3414</v>
      </c>
      <c r="C16" t="str">
        <v>60637ATQ5</v>
      </c>
      <c r="D16" t="str">
        <v>d5c2b3ace2354e789d175634bd588c80</v>
      </c>
      <c r="E16">
        <v>4</v>
      </c>
      <c r="F16">
        <v>4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>
        <v>4</v>
      </c>
      <c r="F17">
        <v>4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>
        <v>4</v>
      </c>
      <c r="F18">
        <v>4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>
        <v>4</v>
      </c>
      <c r="F19">
        <v>4</v>
      </c>
    </row>
    <row r="20" spans="2:6" x14ac:dyDescent="0.25">
      <c r="B20" t="str">
        <v>CLT3414</v>
      </c>
      <c r="C20" t="str">
        <v>664212CY1</v>
      </c>
      <c r="D20" t="str">
        <v>9b2923c7123e445c9e41085484f5b5a6</v>
      </c>
      <c r="E20">
        <v>2</v>
      </c>
      <c r="F20">
        <v>2</v>
      </c>
    </row>
    <row r="21" spans="2:6" x14ac:dyDescent="0.25">
      <c r="B21" t="str">
        <v>CLT3414</v>
      </c>
      <c r="C21" t="str">
        <v>57583PHD4</v>
      </c>
      <c r="D21" t="str">
        <v>3f51646282114da89a75ad2e1cf51e98</v>
      </c>
      <c r="E21">
        <v>7</v>
      </c>
      <c r="F21">
        <v>7</v>
      </c>
    </row>
    <row r="22" spans="2:6" x14ac:dyDescent="0.25">
      <c r="B22" t="str">
        <v>CLT3414</v>
      </c>
      <c r="C22" t="str">
        <v>662523N39</v>
      </c>
      <c r="D22" t="str">
        <v>c8c0409bb55f4be9b38dcc5fb455758e</v>
      </c>
      <c r="E22">
        <v>3</v>
      </c>
      <c r="F22">
        <v>3</v>
      </c>
    </row>
    <row r="23" spans="2:6" x14ac:dyDescent="0.25">
      <c r="B23" t="str">
        <v>CLT3414</v>
      </c>
      <c r="C23" t="str">
        <v>645790MD5</v>
      </c>
      <c r="D23" t="str">
        <v>11bfd09803da4618b4920ce0fdced586</v>
      </c>
      <c r="E23">
        <v>4</v>
      </c>
      <c r="F2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A9EB-C690-47AC-AB8E-35A874640307}">
  <dimension ref="B2:L27"/>
  <sheetViews>
    <sheetView workbookViewId="0">
      <selection activeCell="D5" sqref="D5"/>
    </sheetView>
  </sheetViews>
  <sheetFormatPr defaultRowHeight="15.75" x14ac:dyDescent="0.25"/>
  <cols>
    <col min="1" max="1" width="3.625" customWidth="1"/>
    <col min="3" max="3" width="11.875" bestFit="1" customWidth="1"/>
    <col min="4" max="4" width="10.875" bestFit="1" customWidth="1"/>
  </cols>
  <sheetData>
    <row r="2" spans="2:12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0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12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t="str" cm="1">
        <f t="array" ref="E3:I3">_xlfn.DROP(_xll.SQL.QUERY(tmswap,"select "&amp;_xlfn.TEXTJOIN(", ",TRUE,E2:I2)&amp;" from swapRequests where positionId = "&amp;sql(D3)),1)</f>
        <v>CLT3414</v>
      </c>
      <c r="F3" s="11">
        <v>3.222</v>
      </c>
      <c r="G3" s="11">
        <v>2475</v>
      </c>
      <c r="H3" s="11" t="str">
        <v>AZ</v>
      </c>
      <c r="I3" s="11">
        <v>105.837</v>
      </c>
    </row>
    <row r="5" spans="2:12" x14ac:dyDescent="0.25">
      <c r="B5" t="str">
        <f>E2</f>
        <v>clientId</v>
      </c>
      <c r="C5" t="s">
        <v>6</v>
      </c>
      <c r="D5" cm="1">
        <f t="array" ref="D5">_xll.\SQL.RULE_LOGICAL(B5,C5)</f>
        <v>2875130509200</v>
      </c>
    </row>
    <row r="6" spans="2:12" x14ac:dyDescent="0.25">
      <c r="B6" s="3" t="s">
        <v>137</v>
      </c>
      <c r="C6" t="str" cm="1">
        <f t="array" ref="C6">_xll.SQL.RULE.QUERY(D5)</f>
        <v>clientId</v>
      </c>
      <c r="D6" t="str" cm="1">
        <f t="array" ref="D6">_xlfn.DROP(_xll.SQL.QUERY(tmswap,"select "&amp;C6&amp;" from swapRequests where positionId = "&amp;sql(positionId)), 1)</f>
        <v>CLT3414</v>
      </c>
    </row>
    <row r="7" spans="2:12" x14ac:dyDescent="0.25">
      <c r="B7" s="3" t="s">
        <v>134</v>
      </c>
      <c r="C7" t="str" cm="1">
        <f t="array" ref="C7">_xll.SQL.RULE.BIND(D5)</f>
        <v>@clientId</v>
      </c>
      <c r="D7" t="str">
        <f>E3</f>
        <v>CLT3414</v>
      </c>
    </row>
    <row r="8" spans="2:12" x14ac:dyDescent="0.25">
      <c r="B8" s="3" t="s">
        <v>114</v>
      </c>
      <c r="C8" t="str">
        <f>_xlfn.TEXTJOIN(", ",TRUE,_xlfn.ANCHORARRAY(B2))&amp;", "</f>
        <v xml:space="preserve">clientId, cusip, positionId, </v>
      </c>
      <c r="D8" t="str" cm="1">
        <f t="array" ref="D8">_xll.SQL.RULE.SELECT(D5)</f>
        <v>clientId</v>
      </c>
      <c r="E8" t="s">
        <v>116</v>
      </c>
      <c r="F8" t="str" cm="1">
        <f t="array" ref="F8">_xll.SQL.RULE.AS(D5)</f>
        <v>clientId</v>
      </c>
      <c r="I8" t="str" cm="1">
        <f t="array" ref="I8">sql(D6)&amp;" &lt;&gt; clientId"</f>
        <v>'CLT3414' &lt;&gt; clientId</v>
      </c>
      <c r="K8" t="s">
        <v>116</v>
      </c>
      <c r="L8" t="s">
        <v>113</v>
      </c>
    </row>
    <row r="9" spans="2:12" x14ac:dyDescent="0.25">
      <c r="B9" s="3" t="s">
        <v>117</v>
      </c>
      <c r="C9" t="s">
        <v>91</v>
      </c>
    </row>
    <row r="10" spans="2:12" x14ac:dyDescent="0.25">
      <c r="B10" s="3" t="s">
        <v>115</v>
      </c>
      <c r="C10" t="str" cm="1">
        <f t="array" ref="C10">_xll.SQL.RULE.WHERE(D5)</f>
        <v>(@clientId &lt;&gt; clientId)</v>
      </c>
      <c r="I10" t="s">
        <v>139</v>
      </c>
    </row>
    <row r="11" spans="2:12" x14ac:dyDescent="0.25">
      <c r="B11" s="3" t="s">
        <v>118</v>
      </c>
      <c r="C11">
        <v>10</v>
      </c>
    </row>
    <row r="12" spans="2:12" x14ac:dyDescent="0.25">
      <c r="B12" s="3"/>
    </row>
    <row r="13" spans="2:12" x14ac:dyDescent="0.25">
      <c r="B13" s="3" t="s">
        <v>136</v>
      </c>
      <c r="C13" cm="1">
        <f t="array" ref="C13">_xll.\SQL.STMT(tmswap)</f>
        <v>2873494857840</v>
      </c>
    </row>
    <row r="14" spans="2:12" x14ac:dyDescent="0.25">
      <c r="B14" s="3" t="s">
        <v>135</v>
      </c>
      <c r="C14" cm="1">
        <f t="array" ref="C14">_xll.SQL.PREPARE(C13, B8:F11)</f>
        <v>2873494857840</v>
      </c>
      <c r="D14" t="str" cm="1">
        <f t="array" ref="D14">_xll.SQL.SQL(C14)</f>
        <v xml:space="preserve">SELECT clientId, cusip, positionId,  clientId AS clientId FROM swapRequests    WHERE (@clientId &lt;&gt; clientId)    LIMIT 10   </v>
      </c>
    </row>
    <row r="15" spans="2:12" x14ac:dyDescent="0.25">
      <c r="B15" s="3" t="s">
        <v>134</v>
      </c>
      <c r="C15" cm="1">
        <f t="array" ref="C15">_xll.SQL.BIND(C14, C7, D7)</f>
        <v>2873494857840</v>
      </c>
      <c r="D15" t="str" cm="1">
        <f t="array" ref="D15">_xll.SQL.SQL(C15,TRUE)</f>
        <v xml:space="preserve">SELECT clientId, cusip, positionId,  clientId AS clientId FROM swapRequests    WHERE ('CLT3414' &lt;&gt; clientId)    LIMIT 10   </v>
      </c>
    </row>
    <row r="17" spans="2:5" x14ac:dyDescent="0.25">
      <c r="B17" s="5" t="str" cm="1">
        <f t="array" ref="B17:E27">_xll.SQL.EXEC(C15)</f>
        <v>clientId</v>
      </c>
      <c r="C17" s="5" t="str">
        <v>cusip</v>
      </c>
      <c r="D17" s="5" t="str">
        <v>positionId</v>
      </c>
      <c r="E17" s="5" t="str">
        <v>clientId</v>
      </c>
    </row>
    <row r="18" spans="2:5" x14ac:dyDescent="0.25">
      <c r="B18" t="str">
        <v>CLT3424</v>
      </c>
      <c r="C18" t="str">
        <v>089563NF3</v>
      </c>
      <c r="D18" t="str">
        <v>9185c83341a64e2bbdb51d6ab649af4a</v>
      </c>
      <c r="E18" t="str">
        <v>CLT3424</v>
      </c>
    </row>
    <row r="19" spans="2:5" x14ac:dyDescent="0.25">
      <c r="B19" t="str">
        <v>CLT3424</v>
      </c>
      <c r="C19" t="str">
        <v>089563NG1</v>
      </c>
      <c r="D19" t="str">
        <v>46b6386108834679b36a6dae0120b3a2</v>
      </c>
      <c r="E19" t="str">
        <v>CLT3424</v>
      </c>
    </row>
    <row r="20" spans="2:5" x14ac:dyDescent="0.25">
      <c r="B20" t="str">
        <v>CLT3424</v>
      </c>
      <c r="C20" t="str">
        <v>088365JA0</v>
      </c>
      <c r="D20" t="str">
        <v>796324c045eb4296a425b5abcb157673</v>
      </c>
      <c r="E20" t="str">
        <v>CLT3424</v>
      </c>
    </row>
    <row r="21" spans="2:5" x14ac:dyDescent="0.25">
      <c r="B21" t="str">
        <v>CLT3424</v>
      </c>
      <c r="C21" t="str">
        <v>143357XK2</v>
      </c>
      <c r="D21" t="str">
        <v>d9d05bc0818e485e8128d8680d83d567</v>
      </c>
      <c r="E21" t="str">
        <v>CLT3424</v>
      </c>
    </row>
    <row r="22" spans="2:5" x14ac:dyDescent="0.25">
      <c r="B22" t="str">
        <v>CLT3424</v>
      </c>
      <c r="C22" t="str">
        <v>088365JB8</v>
      </c>
      <c r="D22" t="str">
        <v>e21720a5d36e4e61942bdaee37bbb762</v>
      </c>
      <c r="E22" t="str">
        <v>CLT3424</v>
      </c>
    </row>
    <row r="23" spans="2:5" x14ac:dyDescent="0.25">
      <c r="B23" t="str">
        <v>CLT3424</v>
      </c>
      <c r="C23" t="str">
        <v>000416U96</v>
      </c>
      <c r="D23" t="str">
        <v>69359e4aa0874e57abd9149e5916e97a</v>
      </c>
      <c r="E23" t="str">
        <v>CLT3424</v>
      </c>
    </row>
    <row r="24" spans="2:5" x14ac:dyDescent="0.25">
      <c r="B24" t="str">
        <v>CLT3424</v>
      </c>
      <c r="C24" t="str">
        <v>088281L24</v>
      </c>
      <c r="D24" t="str">
        <v>0756b68f713441ba92d84138c7e3c2ef</v>
      </c>
      <c r="E24" t="str">
        <v>CLT3424</v>
      </c>
    </row>
    <row r="25" spans="2:5" x14ac:dyDescent="0.25">
      <c r="B25" t="str">
        <v>CLT3424</v>
      </c>
      <c r="C25" t="str">
        <v>143287GQ7</v>
      </c>
      <c r="D25" t="str">
        <v>4d206b548def443ca7fcf9d6dff04090</v>
      </c>
      <c r="E25" t="str">
        <v>CLT3424</v>
      </c>
    </row>
    <row r="26" spans="2:5" x14ac:dyDescent="0.25">
      <c r="B26" t="str">
        <v>CLT3424</v>
      </c>
      <c r="C26" t="str">
        <v>088281L32</v>
      </c>
      <c r="D26" t="str">
        <v>57e31664c2f6462c85e0447ba47abbd0</v>
      </c>
      <c r="E26" t="str">
        <v>CLT3424</v>
      </c>
    </row>
    <row r="27" spans="2:5" x14ac:dyDescent="0.25">
      <c r="B27" t="str">
        <v>CLT3424</v>
      </c>
      <c r="C27" t="str">
        <v>003430BM6</v>
      </c>
      <c r="D27" t="str">
        <v>312c62a7d9ad4c3a9fef8487b92c9b27</v>
      </c>
      <c r="E27" t="str">
        <v>CLT3424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062D-77C7-49A5-AF63-55555AFA6835}">
  <dimension ref="B2:K28"/>
  <sheetViews>
    <sheetView workbookViewId="0">
      <selection activeCell="D5" sqref="D5"/>
    </sheetView>
  </sheetViews>
  <sheetFormatPr defaultRowHeight="15.75" x14ac:dyDescent="0.25"/>
  <cols>
    <col min="1" max="1" width="3.625" customWidth="1"/>
    <col min="3" max="3" width="34.375" bestFit="1" customWidth="1"/>
    <col min="4" max="4" width="33.5" customWidth="1"/>
    <col min="5" max="5" width="11.875" bestFit="1" customWidth="1"/>
  </cols>
  <sheetData>
    <row r="2" spans="2:11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11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 t="str">
        <v>AZ</v>
      </c>
      <c r="I3" s="11">
        <v>105.837</v>
      </c>
      <c r="K3" s="17" t="s">
        <v>92</v>
      </c>
    </row>
    <row r="4" spans="2:11" x14ac:dyDescent="0.25">
      <c r="K4" s="17" t="s">
        <v>31</v>
      </c>
    </row>
    <row r="5" spans="2:11" x14ac:dyDescent="0.25">
      <c r="B5" s="15" t="s">
        <v>92</v>
      </c>
      <c r="C5" t="str">
        <f>E2</f>
        <v>oas</v>
      </c>
      <c r="D5" t="s">
        <v>15</v>
      </c>
      <c r="E5">
        <v>10</v>
      </c>
      <c r="F5" cm="1">
        <f t="array" ref="F5">_xll.\SQL.RULE_MEASURE(B5,C5,D5)</f>
        <v>2873822554128</v>
      </c>
    </row>
    <row r="6" spans="2:11" x14ac:dyDescent="0.25">
      <c r="B6" s="3" t="s">
        <v>137</v>
      </c>
      <c r="C6" t="str" cm="1">
        <f t="array" ref="C6">_xll.SQL.RULE.QUERY(F5)</f>
        <v>oas</v>
      </c>
      <c r="D6" cm="1">
        <f t="array" ref="D6">_xlfn.DROP(_xll.SQL.QUERY(tmswap,"select "&amp;C6&amp;" from swapRequests where positionId = "&amp;sql(positionId)),1)</f>
        <v>-1.5550673754233579</v>
      </c>
    </row>
    <row r="7" spans="2:11" x14ac:dyDescent="0.25">
      <c r="B7" s="3" t="s">
        <v>134</v>
      </c>
      <c r="C7" t="str" cm="1">
        <f t="array" ref="C7">_xll.SQL.RULE.BIND(F5)</f>
        <v>@absolute_oas_le</v>
      </c>
      <c r="D7" s="8">
        <v>10</v>
      </c>
    </row>
    <row r="8" spans="2:11" x14ac:dyDescent="0.25">
      <c r="B8" s="3" t="s">
        <v>114</v>
      </c>
      <c r="C8" t="str">
        <f>_xlfn.TEXTJOIN(", ",TRUE,_xlfn.ANCHORARRAY(B2))&amp;", "</f>
        <v xml:space="preserve">clientId, cusip, positionId, </v>
      </c>
      <c r="D8" t="str" cm="1">
        <f t="array" ref="D8">_xll.SQL.RULE.SELECT(F5,oas)</f>
        <v>ABS(-1.555067375 - oas)</v>
      </c>
      <c r="E8" t="s">
        <v>116</v>
      </c>
      <c r="F8" t="str" cm="1">
        <f t="array" ref="F8">_xll.SQL.RULE.AS(F5)</f>
        <v>absolute_oas_le</v>
      </c>
    </row>
    <row r="9" spans="2:11" x14ac:dyDescent="0.25">
      <c r="B9" s="3" t="s">
        <v>117</v>
      </c>
      <c r="C9" t="s">
        <v>91</v>
      </c>
    </row>
    <row r="10" spans="2:11" x14ac:dyDescent="0.25">
      <c r="B10" s="3" t="s">
        <v>115</v>
      </c>
      <c r="C10" t="str" cm="1">
        <f t="array" ref="C10">_xll.SQL.RULE.WHERE(F5)</f>
        <v>(absolute_oas_le &lt;= @absolute_oas_le)</v>
      </c>
    </row>
    <row r="11" spans="2:11" x14ac:dyDescent="0.25">
      <c r="B11" s="3" t="s">
        <v>119</v>
      </c>
      <c r="C11" t="str">
        <f>F8</f>
        <v>absolute_oas_le</v>
      </c>
      <c r="D11" t="s">
        <v>138</v>
      </c>
    </row>
    <row r="12" spans="2:11" x14ac:dyDescent="0.25">
      <c r="B12" s="3" t="s">
        <v>118</v>
      </c>
      <c r="C12">
        <v>10</v>
      </c>
    </row>
    <row r="13" spans="2:11" x14ac:dyDescent="0.25">
      <c r="B13" s="3"/>
    </row>
    <row r="14" spans="2:11" x14ac:dyDescent="0.25">
      <c r="B14" s="3" t="s">
        <v>136</v>
      </c>
      <c r="C14" cm="1">
        <f t="array" ref="C14">_xll.\SQL.STMT(tmswap)</f>
        <v>2873494857280</v>
      </c>
    </row>
    <row r="15" spans="2:11" x14ac:dyDescent="0.25">
      <c r="B15" s="3" t="s">
        <v>135</v>
      </c>
      <c r="C15" cm="1">
        <f t="array" ref="C15">_xll.SQL.PREPARE(C14, B8:F12)</f>
        <v>2873494857280</v>
      </c>
      <c r="D15" t="str" cm="1">
        <f t="array" ref="D15">_xll.SQL.SQL(C15)</f>
        <v xml:space="preserve">SELECT clientId, cusip, positionId,  ABS(-1.555067375 - oas) AS absolute_oas_le FROM swapRequests    WHERE (absolute_oas_le &lt;= @absolute_oas_le)    ORDER BY absolute_oas_le ASC   LIMIT 10   </v>
      </c>
    </row>
    <row r="16" spans="2:11" x14ac:dyDescent="0.25">
      <c r="B16" s="3" t="s">
        <v>134</v>
      </c>
      <c r="C16" cm="1">
        <f t="array" ref="C16">_xll.SQL.BIND(C15, C7, D7)</f>
        <v>2873494857280</v>
      </c>
      <c r="D16" t="str" cm="1">
        <f t="array" ref="D16">_xll.SQL.SQL(C16,TRUE)</f>
        <v xml:space="preserve">SELECT clientId, cusip, positionId,  ABS(-1.555067375 - oas) AS absolute_oas_le FROM swapRequests    WHERE (absolute_oas_le &lt;= 10.0)    ORDER BY absolute_oas_le ASC   LIMIT 10   </v>
      </c>
    </row>
    <row r="18" spans="2:5" x14ac:dyDescent="0.25">
      <c r="B18" s="5" t="str" cm="1">
        <f t="array" ref="B18:E28">_xll.SQL.EXEC(C16)</f>
        <v>clientId</v>
      </c>
      <c r="C18" s="5" t="str">
        <v>cusip</v>
      </c>
      <c r="D18" s="5" t="str">
        <v>positionId</v>
      </c>
      <c r="E18" s="16" t="str">
        <v>absolute_oas_le</v>
      </c>
    </row>
    <row r="19" spans="2:5" x14ac:dyDescent="0.25">
      <c r="B19" t="str">
        <v>CLT3414</v>
      </c>
      <c r="C19" t="str">
        <v>59333NW66</v>
      </c>
      <c r="D19" t="str">
        <v>4f88a124fd8c4f98a2a1d8c656bf2f2f</v>
      </c>
      <c r="E19">
        <v>4.2335801531123707E-10</v>
      </c>
    </row>
    <row r="20" spans="2:5" x14ac:dyDescent="0.25">
      <c r="B20" t="str">
        <v>CLT3414</v>
      </c>
      <c r="C20" t="str">
        <v>60637ATQ5</v>
      </c>
      <c r="D20" t="str">
        <v>d5c2b3ace2354e789d175634bd588c80</v>
      </c>
      <c r="E20">
        <v>4.2335801531123707E-10</v>
      </c>
    </row>
    <row r="21" spans="2:5" x14ac:dyDescent="0.25">
      <c r="B21" t="str">
        <v>CLT3414</v>
      </c>
      <c r="C21" t="str">
        <v>56682HCT4</v>
      </c>
      <c r="D21" t="str">
        <v>0b0bbbed9ef041c699c3c230b4db6f0d</v>
      </c>
      <c r="E21">
        <v>4.2335801531123707E-10</v>
      </c>
    </row>
    <row r="22" spans="2:5" x14ac:dyDescent="0.25">
      <c r="B22" t="str">
        <v>CLT3414</v>
      </c>
      <c r="C22" t="str">
        <v>56682HCT4</v>
      </c>
      <c r="D22" t="str">
        <v>73e88cd91df843fbbec3f56f049518e4</v>
      </c>
      <c r="E22">
        <v>4.2335801531123707E-10</v>
      </c>
    </row>
    <row r="23" spans="2:5" x14ac:dyDescent="0.25">
      <c r="B23" t="str">
        <v>CLT3414</v>
      </c>
      <c r="C23" t="str">
        <v>56682HCT4</v>
      </c>
      <c r="D23" t="str">
        <v>7d50ed8778a64c0bb477c7529931e7ca</v>
      </c>
      <c r="E23">
        <v>4.2335801531123707E-10</v>
      </c>
    </row>
    <row r="24" spans="2:5" x14ac:dyDescent="0.25">
      <c r="B24" t="str">
        <v>CLT3424</v>
      </c>
      <c r="C24" t="str">
        <v>97712DQT6</v>
      </c>
      <c r="D24" t="str">
        <v>17432dfb2ccd40259e5e984db8b825ef</v>
      </c>
      <c r="E24">
        <v>1.1696564329879422E-3</v>
      </c>
    </row>
    <row r="25" spans="2:5" x14ac:dyDescent="0.25">
      <c r="B25" t="str">
        <v>CLT3424</v>
      </c>
      <c r="C25" t="str">
        <v>25476FWE4</v>
      </c>
      <c r="D25" t="str">
        <v>0f68851375074095a8d7fabfdb4135a5</v>
      </c>
      <c r="E25">
        <v>1.1224657951397266E-2</v>
      </c>
    </row>
    <row r="26" spans="2:5" x14ac:dyDescent="0.25">
      <c r="B26" t="str">
        <v>CLT3424</v>
      </c>
      <c r="C26" t="str">
        <v>45505TKA8</v>
      </c>
      <c r="D26" t="str">
        <v>cd884eb162764d22b1e212862fff2df8</v>
      </c>
      <c r="E26">
        <v>1.159821051491039E-2</v>
      </c>
    </row>
    <row r="27" spans="2:5" x14ac:dyDescent="0.25">
      <c r="B27" t="str">
        <v>CLT3424</v>
      </c>
      <c r="C27" t="str">
        <v>24919PJX3</v>
      </c>
      <c r="D27" t="str">
        <v>7cad460f1dcc40a1b04153dce2b49b00</v>
      </c>
      <c r="E27">
        <v>1.4549391492797437E-2</v>
      </c>
    </row>
    <row r="28" spans="2:5" x14ac:dyDescent="0.25">
      <c r="B28" t="str">
        <v>CLT3424</v>
      </c>
      <c r="C28" t="str">
        <v>86804BBY7</v>
      </c>
      <c r="D28" t="str">
        <v>dd4f0795a6ee4f4c8cc1c421697c53b6</v>
      </c>
      <c r="E28">
        <v>1.680590342134769E-2</v>
      </c>
    </row>
  </sheetData>
  <dataValidations count="1">
    <dataValidation type="list" allowBlank="1" showInputMessage="1" showErrorMessage="1" sqref="B5" xr:uid="{1FF7D696-213A-43B1-879D-B9796E6AD581}">
      <formula1>$K$3:$K$4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53593-49a7-4463-b207-0813a3f8082f">
      <Terms xmlns="http://schemas.microsoft.com/office/infopath/2007/PartnerControls"/>
    </lcf76f155ced4ddcb4097134ff3c332f>
    <TaxCatchAll xmlns="7b3e5f17-5322-463f-bba8-bd578bc18dd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55AA86904E94292C0C029A5024359" ma:contentTypeVersion="17" ma:contentTypeDescription="Create a new document." ma:contentTypeScope="" ma:versionID="9c28621ea8543e5fc7a35ba9a1a833cb">
  <xsd:schema xmlns:xsd="http://www.w3.org/2001/XMLSchema" xmlns:xs="http://www.w3.org/2001/XMLSchema" xmlns:p="http://schemas.microsoft.com/office/2006/metadata/properties" xmlns:ns2="7b3e5f17-5322-463f-bba8-bd578bc18dd2" xmlns:ns3="3cdf4850-e481-438f-9771-726c1c74d6ac" xmlns:ns4="9c253593-49a7-4463-b207-0813a3f8082f" targetNamespace="http://schemas.microsoft.com/office/2006/metadata/properties" ma:root="true" ma:fieldsID="53320a8e934f44b6d72dfed56c19e0f3" ns2:_="" ns3:_="" ns4:_="">
    <xsd:import namespace="7b3e5f17-5322-463f-bba8-bd578bc18dd2"/>
    <xsd:import namespace="3cdf4850-e481-438f-9771-726c1c74d6ac"/>
    <xsd:import namespace="9c253593-49a7-4463-b207-0813a3f808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2:TaxCatchAll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5f17-5322-463f-bba8-bd578bc18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914e27-e55c-42fe-95b7-035add4190b1}" ma:internalName="TaxCatchAll" ma:showField="CatchAllData" ma:web="7b3e5f17-5322-463f-bba8-bd578bc18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f4850-e481-438f-9771-726c1c74d6ac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53593-49a7-4463-b207-0813a3f80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380408-9fc6-4c87-936f-0046c47afc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3E607-EB69-4365-BB27-93CD0A14A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8AA54-9294-43B8-9562-1B43FAF50496}">
  <ds:schemaRefs>
    <ds:schemaRef ds:uri="http://schemas.microsoft.com/office/2006/metadata/properties"/>
    <ds:schemaRef ds:uri="http://schemas.microsoft.com/office/infopath/2007/PartnerControls"/>
    <ds:schemaRef ds:uri="9c253593-49a7-4463-b207-0813a3f8082f"/>
    <ds:schemaRef ds:uri="7b3e5f17-5322-463f-bba8-bd578bc18dd2"/>
  </ds:schemaRefs>
</ds:datastoreItem>
</file>

<file path=customXml/itemProps3.xml><?xml version="1.0" encoding="utf-8"?>
<ds:datastoreItem xmlns:ds="http://schemas.openxmlformats.org/officeDocument/2006/customXml" ds:itemID="{3D46F9E6-4F9A-4156-93B3-B2AC8347B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e5f17-5322-463f-bba8-bd578bc18dd2"/>
    <ds:schemaRef ds:uri="3cdf4850-e481-438f-9771-726c1c74d6ac"/>
    <ds:schemaRef ds:uri="9c253593-49a7-4463-b207-0813a3f80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Rules</vt:lpstr>
      <vt:lpstr>lambda</vt:lpstr>
      <vt:lpstr>tmswap</vt:lpstr>
      <vt:lpstr>examples</vt:lpstr>
      <vt:lpstr>no_crossing</vt:lpstr>
      <vt:lpstr>absolute</vt:lpstr>
      <vt:lpstr>relative</vt:lpstr>
      <vt:lpstr>cases</vt:lpstr>
      <vt:lpstr>equal</vt:lpstr>
      <vt:lpstr>implies</vt:lpstr>
      <vt:lpstr>logical</vt:lpstr>
      <vt:lpstr>measure</vt:lpstr>
      <vt:lpstr>bind</vt:lpstr>
      <vt:lpstr>clientId</vt:lpstr>
      <vt:lpstr>cmp</vt:lpstr>
      <vt:lpstr>cusip</vt:lpstr>
      <vt:lpstr>expr</vt:lpstr>
      <vt:lpstr>examples!name</vt:lpstr>
      <vt:lpstr>name</vt:lpstr>
      <vt:lpstr>absolute!oas</vt:lpstr>
      <vt:lpstr>relative!oas</vt:lpstr>
      <vt:lpstr>oas</vt:lpstr>
      <vt:lpstr>ops</vt:lpstr>
      <vt:lpstr>positionId</vt:lpstr>
      <vt:lpstr>prepare</vt:lpstr>
      <vt:lpstr>stmt</vt:lpstr>
      <vt:lpstr>table</vt:lpstr>
      <vt:lpstr>tmswap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guydavidsoniii@gmail.com</dc:creator>
  <cp:keywords/>
  <dc:description/>
  <cp:lastModifiedBy>Keith Lewis</cp:lastModifiedBy>
  <cp:revision/>
  <dcterms:created xsi:type="dcterms:W3CDTF">2022-10-02T12:21:37Z</dcterms:created>
  <dcterms:modified xsi:type="dcterms:W3CDTF">2023-09-13T20:00:50Z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0x010100D8455AA86904E94292C0C029A5024359</vt:lpwstr>
  </property>
  <property fmtid="{D5CDD505-2E9C-101B-9397-08002B2CF9AE}" pid="3" name="MediaServiceImageTags">
    <vt:lpwstr/>
  </property>
</Properties>
</file>