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B0A6FD19-8646-45B0-A100-685318EA3ABE}" xr6:coauthVersionLast="47" xr6:coauthVersionMax="47" xr10:uidLastSave="{00000000-0000-0000-0000-000000000000}"/>
  <bookViews>
    <workbookView xWindow="6390" yWindow="4545" windowWidth="28800" windowHeight="15345" firstSheet="2" activeTab="11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absolute" sheetId="19" r:id="rId6"/>
    <sheet name="relative" sheetId="21" r:id="rId7"/>
    <sheet name="implies" sheetId="22" r:id="rId8"/>
    <sheet name="equal" sheetId="18" r:id="rId9"/>
    <sheet name="cases" sheetId="20" r:id="rId10"/>
    <sheet name="logical" sheetId="23" r:id="rId11"/>
    <sheet name="measure" sheetId="24" r:id="rId12"/>
  </sheets>
  <definedNames>
    <definedName name="absolute" comment="comment">_xlfn.LAMBDA(_xlpm.a,_xlpm.b,"ABS("&amp;_xlpm.a&amp;"-"&amp;_xlpm.b&amp;")")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div">_xlfn.LAMBDA(_xlpm.a,_xlpm.b, _xlpm.a&amp;" / "&amp;_xlpm.b)</definedName>
    <definedName name="eq">_xlfn.LAMBDA(_xlpm.a,_xlpm.b, _xlpm.a&amp;" 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 localSheetId="7">_xlfn.LAMBDA(_xlpm.c,_xlpm.a,implies!rule(,_xlpm.a,_xlpm.c,))</definedName>
    <definedName name="logical" localSheetId="11">_xlfn.LAMBDA(_xlpm.c,_xlpm.a,measure!rule(,_xlpm.a,_xlpm.c,))</definedName>
    <definedName name="logical" localSheetId="6">_xlfn.LAMBDA(_xlpm.c,_xlpm.a,relative!rule(,_xlpm.a,_xlpm.c,))</definedName>
    <definedName name="logical">_xlfn.LAMBDA(_xlpm.c,_xlpm.a,rule(,_xlpm.a,_xlpm.c,))</definedName>
    <definedName name="lt">_xlfn.LAMBDA(_xlpm.a,_xlpm.b, _xlpm.a&amp;" &lt; "&amp;_xlpm.b)</definedName>
    <definedName name="match_type" localSheetId="7">_xlfn.LAMBDA(_xlpm.t,_xlpm.u,_xlfn.LET(_xlpm.type, [0]!cmp(_xlpm.t,"ne"), _xlpm.subtype, implies!rule("first",_xlpm.t,"eq", _xlpm.u), [0]!cmp([0]!array(_xlpm.type, _xlpm.subtype),"or")))</definedName>
    <definedName name="match_type" localSheetId="11">_xlfn.LAMBDA(_xlpm.t,_xlpm.u,_xlfn.LET(_xlpm.type, [0]!cmp(_xlpm.t,"ne"), _xlpm.subtype, measure!rule("first",_xlpm.t,"eq", _xlpm.u), [0]!cmp([0]!array(_xlpm.type, _xlpm.subtype),"or")))</definedName>
    <definedName name="match_type" localSheetId="6">_xlfn.LAMBDA(_xlpm.t,_xlpm.u,_xlfn.LET(_xlpm.type, [0]!cmp(_xlpm.t,"ne"), _xlpm.subtype, relative!rule("first",_xlpm.t,"eq", _xlpm.u), [0]!cmp([0]!array(_xlpm.type, _xlpm.subtype),"or")))</definedName>
    <definedName name="match_type">_xlfn.LAMBDA(_xlpm.t,_xlpm.u,_xlfn.LET(_xlpm.type, cmp(_xlpm.t,"ne"), _xlpm.subtype, rule("first",_xlpm.t,"eq", _xlpm.u), cmp(array(_xlpm.type, _xlpm.subtype),"or")))</definedName>
    <definedName name="member" localSheetId="7">_xlfn.LAMBDA(_xlpm.k,_xlpm.v, IF(LEN(_xlpm.v)=0,"",IF(JSON,quote(_xlpm.k),_xlpm.k)&amp;": "&amp;quote(_xlpm.v)))</definedName>
    <definedName name="member" localSheetId="11">_xlfn.LAMBDA(_xlpm.k,_xlpm.v, IF(LEN(_xlpm.v)=0,"",IF(JSON,quote(_xlpm.k),_xlpm.k)&amp;": "&amp;quote(_xlpm.v)))</definedName>
    <definedName name="member" localSheetId="6">_xlfn.LAMBDA(_xlpm.k,_xlpm.v, IF(LEN(_xlpm.v)=0,"",IF(JSON,quote(_xlpm.k),_xlpm.k)&amp;": "&amp;quote(_xlpm.v)))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absolute!$E$3</definedName>
    <definedName name="oas" localSheetId="6">relative!$E$3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_xlfn.LAMBDA(_xlpm.a,_xlpm.b,"ABS(("&amp;_xlpm.a&amp;"-"&amp;_xlpm.b&amp;")/"&amp;_xlpm.a&amp;")")</definedName>
    <definedName name="rule" localSheetId="7">_xlfn.LAMBDA(_xlpm.e,_xlpm.a,_xlpm.c,_xlpm.v, "{"&amp;_xlfn.TEXTJOIN(", ", TRUE, implies!member("expr",_xlpm.e), implies!member("args",_xlpm.a), implies!member("cmp", _xlpm.c), implies!member("value", _xlpm.v))&amp;"}")</definedName>
    <definedName name="rule" localSheetId="11">_xlfn.LAMBDA(_xlpm.e,_xlpm.a,_xlpm.c,_xlpm.v, "{"&amp;_xlfn.TEXTJOIN(", ", TRUE, measure!member("expr",_xlpm.e), measure!member("args",_xlpm.a), measure!member("cmp", _xlpm.c), measure!member("value", _xlpm.v))&amp;"}")</definedName>
    <definedName name="rule" localSheetId="6">_xlfn.LAMBDA(_xlpm.e,_xlpm.a,_xlpm.c,_xlpm.v, "{"&amp;_xlfn.TEXTJOIN(", ", TRUE, relative!member("expr",_xlpm.e), relative!member("args",_xlpm.a), relative!member("cmp", _xlpm.c), relative!member("value", _xlpm.v))&amp;"}")</definedName>
    <definedName name="rule">_xlfn.LAMBDA(_xlpm.e,_xlpm.a,_xlpm.c,_xlpm.v, "{"&amp;_xlfn.TEXTJOIN(", ", TRUE, member("expr",_xlpm.e), member("args",_xlpm.a), member("cmp", _xlpm.c), member("value", _xlpm.v))&amp;"}")</definedName>
    <definedName name="same_if" localSheetId="7">_xlfn.LAMBDA(_xlpm.a,_xlpm.v,_xlfn.LET(_xlpm.nin, implies!rule("first",_xlpm.a,"nin",_xlpm.v), _xlpm.same, [0]!cmp(_xlpm.a,"eq"), [0]!cmp([0]!array(_xlfn.HSTACK(_xlpm.nin,_xlpm.same)),"or")))</definedName>
    <definedName name="same_if" localSheetId="11">_xlfn.LAMBDA(_xlpm.a,_xlpm.v,_xlfn.LET(_xlpm.nin, measure!rule("first",_xlpm.a,"nin",_xlpm.v), _xlpm.same, [0]!cmp(_xlpm.a,"eq"), [0]!cmp([0]!array(_xlfn.HSTACK(_xlpm.nin,_xlpm.same)),"or")))</definedName>
    <definedName name="same_if" localSheetId="6">_xlfn.LAMBDA(_xlpm.a,_xlpm.v,_xlfn.LET(_xlpm.nin, relative!rule("first",_xlpm.a,"nin",_xlpm.v), _xlpm.same, [0]!cmp(_xlpm.a,"eq"), [0]!cmp([0]!array(_xlfn.HSTACK(_xlpm.nin,_xlpm.same)),"or")))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 localSheetId="7">_xlfn.LAMBDA(_xlpm.a,_xlpm.v,implies!rule("absdiff", _xlpm.a,"le", quote(_xlpm.v)))</definedName>
    <definedName name="similar" localSheetId="11">_xlfn.LAMBDA(_xlpm.a,_xlpm.v,measure!rule("absdiff", _xlpm.a,"le", quote(_xlpm.v)))</definedName>
    <definedName name="similar" localSheetId="6">_xlfn.LAMBDA(_xlpm.a,_xlpm.v,relative!rule("absdiff", _xlpm.a,"le", quote(_xlpm.v)))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sub">_xlfn.LAMBDA(_xlpm.a,_xlpm.b, _xlpm.a&amp;" - "&amp;_xlpm.b)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4" l="1"/>
  <c r="B3" i="24"/>
  <c r="B3" i="24" a="1"/>
  <c r="B2" i="24" a="1"/>
  <c r="B2" i="24" s="1"/>
  <c r="C8" i="24" s="1"/>
  <c r="B5" i="23"/>
  <c r="B3" i="23" a="1"/>
  <c r="B3" i="23" s="1"/>
  <c r="B2" i="23" a="1"/>
  <c r="B2" i="23" s="1"/>
  <c r="C8" i="23" s="1"/>
  <c r="C6" i="22"/>
  <c r="D7" i="22" s="1" a="1"/>
  <c r="D7" i="22" s="1"/>
  <c r="E8" i="18"/>
  <c r="D10" i="18" a="1"/>
  <c r="D10" i="18" s="1"/>
  <c r="E8" i="22"/>
  <c r="C6" i="18"/>
  <c r="B3" i="22" a="1"/>
  <c r="B3" i="22" s="1"/>
  <c r="B2" i="22" a="1"/>
  <c r="B2" i="22" s="1"/>
  <c r="D8" i="22" s="1"/>
  <c r="G15" i="20"/>
  <c r="F19" i="20"/>
  <c r="I9" i="20"/>
  <c r="G12" i="20" s="1"/>
  <c r="C20" i="15" a="1"/>
  <c r="C20" i="15" s="1"/>
  <c r="C19" i="15" a="1"/>
  <c r="C19" i="15" s="1"/>
  <c r="B2" i="20" a="1"/>
  <c r="B2" i="20" s="1"/>
  <c r="D19" i="20" s="1"/>
  <c r="B3" i="20" a="1"/>
  <c r="B3" i="20" s="1"/>
  <c r="G8" i="21"/>
  <c r="D10" i="21" s="1" a="1"/>
  <c r="D10" i="21" s="1"/>
  <c r="D7" i="21" a="1"/>
  <c r="D7" i="21" s="1"/>
  <c r="B3" i="21" a="1"/>
  <c r="B2" i="21" a="1"/>
  <c r="B2" i="21" s="1"/>
  <c r="D8" i="21" s="1"/>
  <c r="G12" i="15" a="1"/>
  <c r="G12" i="15" s="1"/>
  <c r="C12" i="15" a="1"/>
  <c r="C12" i="15" s="1"/>
  <c r="D8" i="20" a="1"/>
  <c r="D8" i="20" s="1"/>
  <c r="G23" i="15" a="1"/>
  <c r="G23" i="15" s="1"/>
  <c r="G22" i="15" a="1"/>
  <c r="G22" i="15" s="1"/>
  <c r="C23" i="15" a="1"/>
  <c r="C23" i="15" s="1"/>
  <c r="C22" i="15" a="1"/>
  <c r="C22" i="15" s="1"/>
  <c r="C17" i="15" a="1"/>
  <c r="C17" i="15" s="1"/>
  <c r="C16" i="15" a="1"/>
  <c r="C16" i="15" s="1"/>
  <c r="C15" i="15" a="1"/>
  <c r="C15" i="15" s="1"/>
  <c r="C14" i="15" a="1"/>
  <c r="C14" i="15" s="1"/>
  <c r="C13" i="15" a="1"/>
  <c r="C13" i="15" s="1"/>
  <c r="G8" i="19"/>
  <c r="D11" i="19" s="1"/>
  <c r="G8" i="17"/>
  <c r="D7" i="18" a="1"/>
  <c r="D7" i="18" s="1"/>
  <c r="B3" i="18" a="1"/>
  <c r="B3" i="18" s="1"/>
  <c r="B2" i="18" a="1"/>
  <c r="B2" i="18" s="1"/>
  <c r="D8" i="18" s="1"/>
  <c r="D7" i="19" a="1"/>
  <c r="D7" i="19" s="1"/>
  <c r="D7" i="17" a="1"/>
  <c r="D7" i="17" s="1"/>
  <c r="B3" i="19" a="1"/>
  <c r="B2" i="19" a="1"/>
  <c r="B2" i="19" s="1"/>
  <c r="D8" i="19" s="1"/>
  <c r="B3" i="17" a="1"/>
  <c r="B3" i="17" s="1"/>
  <c r="B2" i="17" a="1"/>
  <c r="B2" i="17" s="1"/>
  <c r="D8" i="17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F8" i="24" a="1"/>
  <c r="C10" i="24" a="1"/>
  <c r="D8" i="24" a="1"/>
  <c r="C7" i="24" a="1"/>
  <c r="E5" i="24" a="1"/>
  <c r="C13" i="24" a="1"/>
  <c r="E3" i="24" a="1"/>
  <c r="D5" i="23" a="1"/>
  <c r="G5" i="13" a="1"/>
  <c r="H15" i="15" a="1"/>
  <c r="H14" i="15" a="1"/>
  <c r="H13" i="15" a="1"/>
  <c r="H16" i="15" a="1"/>
  <c r="H22" i="15" a="1"/>
  <c r="G2" i="13" a="1"/>
  <c r="H12" i="15" a="1"/>
  <c r="G4" i="13" a="1"/>
  <c r="H23" i="15" a="1"/>
  <c r="H19" i="15" a="1"/>
  <c r="C2" i="16" a="1"/>
  <c r="H20" i="15" a="1"/>
  <c r="G6" i="13" a="1"/>
  <c r="G3" i="15" a="1"/>
  <c r="H17" i="15" a="1"/>
  <c r="F8" i="24" l="1"/>
  <c r="C10" i="24"/>
  <c r="D8" i="24"/>
  <c r="C7" i="24"/>
  <c r="E5" i="24"/>
  <c r="E3" i="24"/>
  <c r="C13" i="24"/>
  <c r="D5" i="23"/>
  <c r="G19" i="20"/>
  <c r="H20" i="15"/>
  <c r="H19" i="15"/>
  <c r="B3" i="21"/>
  <c r="D11" i="21"/>
  <c r="D10" i="19" a="1"/>
  <c r="D10" i="19" s="1"/>
  <c r="H12" i="15"/>
  <c r="H23" i="15"/>
  <c r="H22" i="15"/>
  <c r="B3" i="19"/>
  <c r="H13" i="15"/>
  <c r="H14" i="15"/>
  <c r="H15" i="15"/>
  <c r="H17" i="15"/>
  <c r="H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E3" i="23" a="1"/>
  <c r="E3" i="18" a="1"/>
  <c r="E3" i="19" a="1"/>
  <c r="C7" i="22" a="1"/>
  <c r="F5" i="16" a="1"/>
  <c r="G5" i="16" a="1"/>
  <c r="C8" i="20" a="1"/>
  <c r="C7" i="17" a="1"/>
  <c r="E3" i="22" a="1"/>
  <c r="C10" i="23" a="1"/>
  <c r="C7" i="18" a="1"/>
  <c r="C13" i="23" a="1"/>
  <c r="E5" i="16" a="1"/>
  <c r="E3" i="20" a="1"/>
  <c r="C5" i="16" a="1"/>
  <c r="E3" i="21" a="1"/>
  <c r="C7" i="19" a="1"/>
  <c r="B5" i="16" a="1"/>
  <c r="D8" i="23" a="1"/>
  <c r="C7" i="21" a="1"/>
  <c r="F8" i="23" a="1"/>
  <c r="C7" i="23" a="1"/>
  <c r="E3" i="17" a="1"/>
  <c r="C13" i="23" l="1"/>
  <c r="E3" i="23"/>
  <c r="D7" i="23" s="1"/>
  <c r="C7" i="23"/>
  <c r="C10" i="23"/>
  <c r="F8" i="23"/>
  <c r="D8" i="23"/>
  <c r="E3" i="22"/>
  <c r="C7" i="22"/>
  <c r="D10" i="22" s="1" a="1"/>
  <c r="D10" i="22" s="1"/>
  <c r="E3" i="20"/>
  <c r="C7" i="21"/>
  <c r="E8" i="21" s="1" a="1"/>
  <c r="E8" i="21" s="1"/>
  <c r="E3" i="21"/>
  <c r="C8" i="20"/>
  <c r="G9" i="20" s="1" a="1"/>
  <c r="G9" i="20" s="1"/>
  <c r="E19" i="20" s="1"/>
  <c r="B14" i="20"/>
  <c r="B11" i="20"/>
  <c r="C7" i="17"/>
  <c r="E8" i="17" s="1" a="1"/>
  <c r="E8" i="17" s="1"/>
  <c r="C7" i="19"/>
  <c r="E8" i="19" s="1" a="1"/>
  <c r="E8" i="19" s="1"/>
  <c r="E3" i="19"/>
  <c r="C7" i="18"/>
  <c r="E3" i="18"/>
  <c r="E3" i="17"/>
  <c r="G5" i="16"/>
  <c r="F5" i="16"/>
  <c r="E5" i="16"/>
  <c r="C5" i="16"/>
  <c r="B5" i="16"/>
  <c r="C14" i="24" a="1"/>
  <c r="C14" i="23" a="1"/>
  <c r="B13" i="18" a="1"/>
  <c r="B14" i="21" a="1"/>
  <c r="B13" i="22" a="1"/>
  <c r="B13" i="17" a="1"/>
  <c r="B14" i="19" a="1"/>
  <c r="H5" i="16" a="1"/>
  <c r="E14" i="20" a="1"/>
  <c r="C14" i="24" l="1"/>
  <c r="C14" i="23"/>
  <c r="B13" i="22"/>
  <c r="B13" i="18"/>
  <c r="B14" i="21"/>
  <c r="E14" i="20"/>
  <c r="B14" i="19"/>
  <c r="B13" i="17"/>
  <c r="H5" i="16"/>
  <c r="C15" i="24" a="1"/>
  <c r="D14" i="24" a="1"/>
  <c r="D14" i="23" a="1"/>
  <c r="C15" i="23" a="1"/>
  <c r="E11" i="20" a="1"/>
  <c r="D14" i="24" l="1"/>
  <c r="C15" i="24"/>
  <c r="C15" i="23"/>
  <c r="D14" i="23"/>
  <c r="E11" i="20"/>
  <c r="D15" i="24" a="1"/>
  <c r="B17" i="24" a="1"/>
  <c r="B17" i="23" a="1"/>
  <c r="D15" i="23" a="1"/>
  <c r="B17" i="24" l="1"/>
  <c r="D15" i="24"/>
  <c r="B17" i="23"/>
  <c r="D15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<sst xmlns="http://schemas.openxmlformats.org/spreadsheetml/2006/main" count="311" uniqueCount="137">
  <si>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</si>
  <si>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</si>
  <si>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</si>
  <si>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</si>
  <si>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</si>
  <si>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</si>
  <si>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</si>
  <si>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</si>
  <si>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</si>
  <si>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</si>
  <si>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</si>
  <si>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</si>
  <si>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</si>
  <si>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</si>
  <si>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</si>
  <si>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</si>
  <si>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</si>
  <si>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</si>
  <si>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</si>
  <si>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</si>
  <si>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</si>
  <si>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</si>
  <si>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</si>
  <si>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</si>
  <si>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</si>
  <si>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</si>
  <si>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</si>
  <si>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</si>
  <si>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</si>
  <si>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</si>
  <si>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</si>
  <si>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</si>
  <si>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</si>
  <si>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</si>
  <si>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</si>
  <si>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</si>
  <si>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</si>
  <si>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</si>
  <si>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</si>
  <si>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</si>
  <si>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</si>
  <si>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</si>
  <si>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</si>
  <si>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</si>
  <si>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</si>
  <si>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</si>
  <si>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</si>
  <si>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</si>
  <si>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</si>
  <si>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</si>
  <si>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</si>
  <si>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</si>
  <si>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</si>
  <si>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</si>
  <si>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</si>
  <si>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</si>
  <si>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</si>
  <si>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</si>
  <si>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</si>
  <si>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</si>
  <si>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</si>
  <si>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</si>
  <si>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</si>
  <si>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</si>
  <si>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</si>
  <si>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</si>
  <si>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</si>
  <si>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</si>
  <si>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</si>
  <si>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</si>
  <si>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</si>
  <si>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</si>
  <si>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</si>
  <si>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</si>
  <si>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</si>
  <si>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</si>
  <si>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</si>
  <si>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</si>
  <si>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</si>
  <si>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</si>
  <si>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</si>
  <si>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</si>
  <si>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</si>
  <si>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</si>
  <si>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</si>
  <si>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</si>
  <si>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</si>
  <si>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</si>
  <si>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</si>
  <si>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</si>
  <si>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</si>
  <si>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</si>
  <si>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</si>
  <si>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</si>
  <si>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</si>
  <si>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</si>
  <si>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</si>
  <si>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</si>
  <si>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</si>
  <si>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</si>
  <si>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</si>
  <si>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</si>
  <si>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</si>
  <si>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7d50ed8778a64c0bb477c7529931e7ca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</si>
  <si>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</si>
  <si>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</si>
  <si>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</si>
  <si>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</si>
  <si>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</si>
  <si>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</si>
  <si>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</si>
  <si>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</si>
  <si>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price</t>
  </si>
  <si>
    <t>clientId_ne</t>
  </si>
  <si>
    <t>SELECT</t>
  </si>
  <si>
    <t>WHERE</t>
  </si>
  <si>
    <t>AS</t>
  </si>
  <si>
    <t>FROM</t>
  </si>
  <si>
    <t>LIMIT</t>
  </si>
  <si>
    <t>ORDER BY</t>
  </si>
  <si>
    <t>Absolute value of difference less than tolerance.</t>
  </si>
  <si>
    <t>Clients must be different.</t>
  </si>
  <si>
    <t>Same state if issued in particular state</t>
  </si>
  <si>
    <t>settlementDate</t>
  </si>
  <si>
    <t>cases</t>
  </si>
  <si>
    <t>div</t>
  </si>
  <si>
    <t>XX</t>
  </si>
  <si>
    <t>useOfProceedsGroup</t>
  </si>
  <si>
    <t>A implies B = ~A or B</t>
  </si>
  <si>
    <t>implies</t>
  </si>
  <si>
    <t>equal</t>
  </si>
  <si>
    <t>Different use of proceeds or both have same value</t>
  </si>
  <si>
    <t>CLT3414</t>
  </si>
  <si>
    <t>215543MJ5</t>
  </si>
  <si>
    <t>BIND</t>
  </si>
  <si>
    <t>PREPARE</t>
  </si>
  <si>
    <t>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</si>
</sst>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5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H23"/>
  <sheetViews>
    <sheetView workbookViewId="0">
      <selection activeCell="D27" sqref="D27"/>
    </sheetView>
  </sheetViews>
  <sheetFormatPr defaultRowHeight="15.75" x14ac:dyDescent="0.25"/>
  <cols>
    <col min="3" max="3" width="18.125" bestFit="1" customWidth="1"/>
    <col min="4" max="4" width="20.25" customWidth="1"/>
    <col min="7" max="7" width="11.375" customWidth="1"/>
  </cols>
  <sheetData>
    <row r="2" spans="2:8" x14ac:dyDescent="0.25">
      <c r="B2" t="s">
        <v>105</v>
      </c>
    </row>
    <row r="3" spans="2:8" x14ac:dyDescent="0.25">
      <c r="B3" s="13" t="s">
        <v>106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8" x14ac:dyDescent="0.25">
      <c r="B4">
        <v>1.23</v>
      </c>
      <c r="C4" cm="1">
        <f t="array" ref="C4">sql(B4)</f>
        <v>1.23</v>
      </c>
    </row>
    <row r="5" spans="2:8" x14ac:dyDescent="0.25">
      <c r="B5" t="s">
        <v>104</v>
      </c>
      <c r="C5" t="str" cm="1">
        <f t="array" ref="C5">sql(B5)</f>
        <v>'string'</v>
      </c>
      <c r="D5" t="s">
        <v>107</v>
      </c>
    </row>
    <row r="6" spans="2:8" x14ac:dyDescent="0.25">
      <c r="B6" t="b">
        <v>1</v>
      </c>
      <c r="C6" t="str" cm="1">
        <f t="array" ref="C6">sql(B6)</f>
        <v>1=1</v>
      </c>
      <c r="D6" t="s">
        <v>108</v>
      </c>
    </row>
    <row r="7" spans="2:8" x14ac:dyDescent="0.25">
      <c r="B7" t="b">
        <v>0</v>
      </c>
      <c r="C7" t="str" cm="1">
        <f t="array" ref="C7">sql(B7)</f>
        <v>1=0</v>
      </c>
    </row>
    <row r="8" spans="2:8" x14ac:dyDescent="0.25">
      <c r="B8" t="s">
        <v>110</v>
      </c>
      <c r="C8" t="str" cm="1">
        <f t="array" ref="C8">sql(B8)</f>
        <v>[quoted]</v>
      </c>
    </row>
    <row r="9" spans="2:8" x14ac:dyDescent="0.25">
      <c r="B9" s="2" t="s">
        <v>111</v>
      </c>
      <c r="C9" t="str" cm="1">
        <f t="array" ref="C9">sql(B9)</f>
        <v>'quoted'</v>
      </c>
    </row>
    <row r="10" spans="2:8" x14ac:dyDescent="0.25">
      <c r="C10" t="str" cm="1">
        <f t="array" ref="C10">sql(B10)</f>
        <v/>
      </c>
    </row>
    <row r="12" spans="2:8" x14ac:dyDescent="0.25">
      <c r="B12" s="13" t="s">
        <v>11</v>
      </c>
      <c r="C12" t="str" cm="1">
        <f t="array" ref="C12">_xlfn.LAMBDA(_xlpm.a,_xlpm.b, _xlpm.a&amp;" = "&amp;_xlpm.b)(D12,E12)</f>
        <v>a = b</v>
      </c>
      <c r="D12" t="s">
        <v>30</v>
      </c>
      <c r="E12" t="s">
        <v>29</v>
      </c>
      <c r="G12" t="str" cm="1">
        <f t="array" ref="G12">eq(D12,E12)</f>
        <v>a = b</v>
      </c>
      <c r="H12" t="str" cm="1">
        <f t="array" ref="H12">_xll.XLL.GET.NAME(B12)</f>
        <v>=LAMBDA(a,b, a&amp;" = "&amp;b)</v>
      </c>
    </row>
    <row r="13" spans="2:8" x14ac:dyDescent="0.25">
      <c r="B13" s="13" t="s">
        <v>17</v>
      </c>
      <c r="C13" t="str" cm="1">
        <f t="array" ref="C13">_xlfn.LAMBDA(_xlpm.a,_xlpm.b, _xlpm.a&amp;" &gt;= "&amp;_xlpm.b)(D13,E13)</f>
        <v>a &gt;= b</v>
      </c>
      <c r="D13" t="s">
        <v>30</v>
      </c>
      <c r="E13" t="s">
        <v>29</v>
      </c>
      <c r="H13" t="str" cm="1">
        <f t="array" ref="H13">_xll.XLL.GET.NAME(B13)</f>
        <v>=LAMBDA(a,b, a&amp;" &gt;= "&amp;b)</v>
      </c>
    </row>
    <row r="14" spans="2:8" x14ac:dyDescent="0.25">
      <c r="B14" s="13" t="s">
        <v>101</v>
      </c>
      <c r="C14" t="str" cm="1">
        <f t="array" ref="C14">_xlfn.LAMBDA(_xlpm.a,_xlpm.b, _xlpm.a&amp;" &gt; "&amp;_xlpm.b)(D14,E14)</f>
        <v>a &gt; b</v>
      </c>
      <c r="D14" t="s">
        <v>30</v>
      </c>
      <c r="E14" t="s">
        <v>29</v>
      </c>
      <c r="H14" t="str" cm="1">
        <f t="array" ref="H14">_xll.XLL.GET.NAME(B14)</f>
        <v>=LAMBDA(a,b, a&amp;" &gt; "&amp;b)</v>
      </c>
    </row>
    <row r="15" spans="2:8" x14ac:dyDescent="0.25">
      <c r="B15" s="13" t="s">
        <v>15</v>
      </c>
      <c r="C15" t="str" cm="1">
        <f t="array" ref="C15">_xlfn.LAMBDA(_xlpm.a,_xlpm.b, _xlpm.a&amp;" &lt;= "&amp;_xlpm.b)(D15,E15)</f>
        <v>a &lt;= b</v>
      </c>
      <c r="D15" t="s">
        <v>30</v>
      </c>
      <c r="E15" t="s">
        <v>29</v>
      </c>
      <c r="H15" t="str" cm="1">
        <f t="array" ref="H15">_xll.XLL.GET.NAME(B15)</f>
        <v>=LAMBDA(a,b, a&amp;" &lt;= "&amp;b)</v>
      </c>
    </row>
    <row r="16" spans="2:8" x14ac:dyDescent="0.25">
      <c r="B16" s="13" t="s">
        <v>100</v>
      </c>
      <c r="C16" t="str" cm="1">
        <f t="array" ref="C16">_xlfn.LAMBDA(_xlpm.a,_xlpm.b, _xlpm.a&amp;" &lt; "&amp;_xlpm.b)(D16,E16)</f>
        <v>a &lt; b</v>
      </c>
      <c r="D16" t="s">
        <v>30</v>
      </c>
      <c r="E16" t="s">
        <v>29</v>
      </c>
      <c r="H16" t="str" cm="1">
        <f t="array" ref="H16">_xll.XLL.GET.NAME(B16)</f>
        <v>=LAMBDA(a,b, a&amp;" &lt; "&amp;b)</v>
      </c>
    </row>
    <row r="17" spans="2:8" x14ac:dyDescent="0.25">
      <c r="B17" s="13" t="s">
        <v>6</v>
      </c>
      <c r="C17" t="str" cm="1">
        <f t="array" ref="C17">_xlfn.LAMBDA(_xlpm.a,_xlpm.b, _xlpm.a&amp;" &lt;&gt; "&amp;_xlpm.b)(D17,E17)</f>
        <v>a &lt;&gt; b</v>
      </c>
      <c r="D17" t="s">
        <v>30</v>
      </c>
      <c r="E17" t="s">
        <v>29</v>
      </c>
      <c r="H17" t="str" cm="1">
        <f t="array" ref="H17">_xll.XLL.GET.NAME(B17)</f>
        <v>=LAMBDA(a,b, a&amp;" &lt;&gt; "&amp;b)</v>
      </c>
    </row>
    <row r="19" spans="2:8" x14ac:dyDescent="0.25">
      <c r="B19" s="13" t="s">
        <v>19</v>
      </c>
      <c r="C19" t="str" cm="1">
        <f t="array" ref="C19">_xlfn.LAMBDA(_xlpm.a,_xlpm.b, _xlpm.a&amp;" - "&amp;_xlpm.b)(D19,E19)</f>
        <v>a - b</v>
      </c>
      <c r="D19" t="s">
        <v>30</v>
      </c>
      <c r="E19" t="s">
        <v>29</v>
      </c>
      <c r="H19" t="str" cm="1">
        <f t="array" ref="H19">_xll.XLL.GET.NAME(B19)</f>
        <v>=LAMBDA(a,b, a&amp;" - "&amp;b)</v>
      </c>
    </row>
    <row r="20" spans="2:8" x14ac:dyDescent="0.25">
      <c r="B20" s="13" t="s">
        <v>125</v>
      </c>
      <c r="C20" t="str" cm="1">
        <f t="array" ref="C20">_xlfn.LAMBDA(_xlpm.a,_xlpm.b, _xlpm.a&amp;" / "&amp;_xlpm.b)(D20,E20)</f>
        <v>a / b</v>
      </c>
      <c r="D20" t="s">
        <v>30</v>
      </c>
      <c r="E20" t="s">
        <v>29</v>
      </c>
      <c r="H20" t="str" cm="1">
        <f t="array" ref="H20">_xll.XLL.GET.NAME(B20)</f>
        <v>=LAMBDA(a,b, a&amp;" / "&amp;b)</v>
      </c>
    </row>
    <row r="22" spans="2:8" x14ac:dyDescent="0.25">
      <c r="B22" s="13" t="s">
        <v>92</v>
      </c>
      <c r="C22" t="str" cm="1">
        <f t="array" ref="C22">_xlfn.LAMBDA(_xlpm.a,_xlpm.b,"ABS("&amp;_xlpm.a&amp;"-"&amp;_xlpm.b&amp;")")(D22,E22)</f>
        <v>ABS(a-b)</v>
      </c>
      <c r="D22" t="s">
        <v>30</v>
      </c>
      <c r="E22" t="s">
        <v>29</v>
      </c>
      <c r="G22" t="str" cm="1">
        <f t="array" ref="G22">absolute(D22,E22)</f>
        <v>ABS(a-b)</v>
      </c>
      <c r="H22" t="str" cm="1">
        <f t="array" ref="H22">_xll.XLL.GET.NAME(B22)</f>
        <v>=LAMBDA(a,b,"ABS("&amp;a&amp;"-"&amp;b&amp;")")</v>
      </c>
    </row>
    <row r="23" spans="2:8" x14ac:dyDescent="0.25">
      <c r="B23" s="13" t="s">
        <v>31</v>
      </c>
      <c r="C23" t="str" cm="1">
        <f t="array" ref="C23">_xlfn.LAMBDA(_xlpm.a,_xlpm.b,"ABS(("&amp;_xlpm.a&amp;"-"&amp;_xlpm.b&amp;")/"&amp;_xlpm.a&amp;")")(D23,E23)</f>
        <v>ABS((a-b)/a)</v>
      </c>
      <c r="D23" t="s">
        <v>30</v>
      </c>
      <c r="E23" t="s">
        <v>29</v>
      </c>
      <c r="G23" t="str" cm="1">
        <f t="array" ref="G23">relative(D23,E23)</f>
        <v>ABS((a-b)/a)</v>
      </c>
      <c r="H23" t="str" cm="1">
        <f t="array" ref="H23">_xll.XLL.GET.NAME(B23)</f>
        <v>=LAMBDA(a,b,"ABS(("&amp;a&amp;"-"&amp;b&amp;")/"&amp;a&amp;")")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E5" sqref="E5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2735673708480</v>
      </c>
    </row>
    <row r="3" spans="2:12" x14ac:dyDescent="0.25">
      <c r="B3" s="7" t="s">
        <v>91</v>
      </c>
      <c r="C3" s="10" t="s">
        <v>102</v>
      </c>
      <c r="E3" s="8" t="s">
        <v>132</v>
      </c>
      <c r="F3" s="8" t="s">
        <v>133</v>
      </c>
      <c r="G3" s="8" t="s">
        <v>103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">
        <v>8</v>
      </c>
      <c r="L4" s="12" t="s">
        <v>123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">_xlfn.DROP(_xll.SQL.QUERY(tmswap, "select "&amp;G4&amp;" from swapRequests where clientId = '"&amp;E3&amp;"' and cusip = '"&amp;F3&amp;"'"), 1)</f>
        <v>c70516b606de46729f2ef9bd6e9e3df9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 t="str">
        <v>AZ</v>
      </c>
      <c r="L5" s="11">
        <v>44984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</row>
    <row r="7" spans="2:12" x14ac:dyDescent="0.25">
      <c r="B7" t="str">
        <v>positions</v>
      </c>
      <c r="C7" t="str">
        <v>accountXref</v>
      </c>
      <c r="F7" t="str">
        <v>60637ATQ5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 L4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ABS((a-b)/a)</v>
      </c>
      <c r="G2" t="str" cm="1">
        <f t="array" ref="G2">_xll.XLL.GET.NAME(B2)</f>
        <v>=LAMBDA(a,b,"ABS(("&amp;a&amp;"-"&amp;b&amp;")/"&amp;a&amp;")")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ABS((1-2)/1)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ABS((2-1)/2)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ABS((2-2)/2)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3"/>
  <sheetViews>
    <sheetView workbookViewId="0">
      <selection activeCell="I3" sqref="I3"/>
    </sheetView>
  </sheetViews>
  <sheetFormatPr defaultRowHeight="15.75" x14ac:dyDescent="0.25"/>
  <cols>
    <col min="1" max="1" width="3.625" customWidth="1"/>
    <col min="2" max="3" width="10.625" bestFit="1" customWidth="1"/>
    <col min="4" max="4" width="23.375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0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121</v>
      </c>
    </row>
    <row r="6" spans="2:9" x14ac:dyDescent="0.25">
      <c r="B6" t="s">
        <v>7</v>
      </c>
      <c r="C6" t="s">
        <v>0</v>
      </c>
      <c r="D6" t="s">
        <v>6</v>
      </c>
    </row>
    <row r="7" spans="2:9" x14ac:dyDescent="0.25">
      <c r="C7" t="str" cm="1">
        <f t="array" ref="C7">_xlfn.DROP(_xll.SQL.QUERY(tmswap,D7),1)</f>
        <v>CLT3414</v>
      </c>
      <c r="D7" t="str" cm="1">
        <f t="array" ref="D7">"select "&amp;C6&amp;" from swapRequests where positionId = "&amp;sql(positionId)</f>
        <v>select clientId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clientId, </v>
      </c>
      <c r="E8" t="str" cm="1">
        <f t="array" ref="E8">ne(sql(C7),C6)</f>
        <v>'CLT3414' &lt;&gt; clientId</v>
      </c>
      <c r="F8" t="s">
        <v>116</v>
      </c>
      <c r="G8" t="str">
        <f>_xlfn.TEXTJOIN("_",TRUE,C6:D6)</f>
        <v>clientId_ne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">
        <v>113</v>
      </c>
    </row>
    <row r="11" spans="2:9" x14ac:dyDescent="0.25">
      <c r="C11" s="3" t="s">
        <v>118</v>
      </c>
      <c r="D11">
        <v>10</v>
      </c>
    </row>
    <row r="13" spans="2:9" x14ac:dyDescent="0.25">
      <c r="B13" s="5" t="str" cm="1">
        <f t="array" ref="B13:F23">_xll.SQL.QUERY(tmswap,C8:G11)</f>
        <v>clientId</v>
      </c>
      <c r="C13" s="5" t="str">
        <v>cusip</v>
      </c>
      <c r="D13" s="5" t="str">
        <v>positionId</v>
      </c>
      <c r="E13" s="5" t="str">
        <v>clientId</v>
      </c>
      <c r="F13" s="5" t="str">
        <v>clientId_ne</v>
      </c>
    </row>
    <row r="14" spans="2:9" x14ac:dyDescent="0.25">
      <c r="B14" t="str">
        <v>CLT3424</v>
      </c>
      <c r="C14" t="str">
        <v>089563NF3</v>
      </c>
      <c r="D14" t="str">
        <v>9185c83341a64e2bbdb51d6ab649af4a</v>
      </c>
      <c r="E14" t="str">
        <v>CLT3424</v>
      </c>
      <c r="F14">
        <v>1</v>
      </c>
    </row>
    <row r="15" spans="2:9" x14ac:dyDescent="0.25">
      <c r="B15" t="str">
        <v>CLT3424</v>
      </c>
      <c r="C15" t="str">
        <v>089563NG1</v>
      </c>
      <c r="D15" t="str">
        <v>46b6386108834679b36a6dae0120b3a2</v>
      </c>
      <c r="E15" t="str">
        <v>CLT3424</v>
      </c>
      <c r="F15">
        <v>1</v>
      </c>
    </row>
    <row r="16" spans="2:9" x14ac:dyDescent="0.25">
      <c r="B16" t="str">
        <v>CLT3424</v>
      </c>
      <c r="C16" t="str">
        <v>088365JA0</v>
      </c>
      <c r="D16" t="str">
        <v>796324c045eb4296a425b5abcb157673</v>
      </c>
      <c r="E16" t="str">
        <v>CLT3424</v>
      </c>
      <c r="F16">
        <v>1</v>
      </c>
    </row>
    <row r="17" spans="2:6" x14ac:dyDescent="0.25">
      <c r="B17" t="str">
        <v>CLT3424</v>
      </c>
      <c r="C17" t="str">
        <v>143357XK2</v>
      </c>
      <c r="D17" t="str">
        <v>d9d05bc0818e485e8128d8680d83d567</v>
      </c>
      <c r="E17" t="str">
        <v>CLT3424</v>
      </c>
      <c r="F17">
        <v>1</v>
      </c>
    </row>
    <row r="18" spans="2:6" x14ac:dyDescent="0.25">
      <c r="B18" t="str">
        <v>CLT3424</v>
      </c>
      <c r="C18" t="str">
        <v>088365JB8</v>
      </c>
      <c r="D18" t="str">
        <v>e21720a5d36e4e61942bdaee37bbb762</v>
      </c>
      <c r="E18" t="str">
        <v>CLT3424</v>
      </c>
      <c r="F18">
        <v>1</v>
      </c>
    </row>
    <row r="19" spans="2:6" x14ac:dyDescent="0.25">
      <c r="B19" t="str">
        <v>CLT3424</v>
      </c>
      <c r="C19" t="str">
        <v>000416U96</v>
      </c>
      <c r="D19" t="str">
        <v>69359e4aa0874e57abd9149e5916e97a</v>
      </c>
      <c r="E19" t="str">
        <v>CLT3424</v>
      </c>
      <c r="F19">
        <v>1</v>
      </c>
    </row>
    <row r="20" spans="2:6" x14ac:dyDescent="0.25">
      <c r="B20" t="str">
        <v>CLT3424</v>
      </c>
      <c r="C20" t="str">
        <v>088281L24</v>
      </c>
      <c r="D20" t="str">
        <v>0756b68f713441ba92d84138c7e3c2ef</v>
      </c>
      <c r="E20" t="str">
        <v>CLT3424</v>
      </c>
      <c r="F20">
        <v>1</v>
      </c>
    </row>
    <row r="21" spans="2:6" x14ac:dyDescent="0.25">
      <c r="B21" t="str">
        <v>CLT3424</v>
      </c>
      <c r="C21" t="str">
        <v>143287GQ7</v>
      </c>
      <c r="D21" t="str">
        <v>4d206b548def443ca7fcf9d6dff04090</v>
      </c>
      <c r="E21" t="str">
        <v>CLT3424</v>
      </c>
      <c r="F21">
        <v>1</v>
      </c>
    </row>
    <row r="22" spans="2:6" x14ac:dyDescent="0.25">
      <c r="B22" t="str">
        <v>CLT3424</v>
      </c>
      <c r="C22" t="str">
        <v>088281L32</v>
      </c>
      <c r="D22" t="str">
        <v>57e31664c2f6462c85e0447ba47abbd0</v>
      </c>
      <c r="E22" t="str">
        <v>CLT3424</v>
      </c>
      <c r="F22">
        <v>1</v>
      </c>
    </row>
    <row r="23" spans="2:6" x14ac:dyDescent="0.25">
      <c r="B23" t="str">
        <v>CLT3424</v>
      </c>
      <c r="C23" t="str">
        <v>003430BM6</v>
      </c>
      <c r="D23" t="str">
        <v>312c62a7d9ad4c3a9fef8487b92c9b27</v>
      </c>
      <c r="E23" t="str">
        <v>CLT3424</v>
      </c>
      <c r="F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24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4" max="4" width="12.375" customWidth="1"/>
    <col min="5" max="5" width="25.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92</v>
      </c>
      <c r="C6" t="s">
        <v>109</v>
      </c>
      <c r="D6" t="s">
        <v>15</v>
      </c>
      <c r="E6">
        <v>15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absolute(C7,C6)</f>
        <v>ABS(-1.55506737542336-oas)</v>
      </c>
      <c r="F8" t="s">
        <v>116</v>
      </c>
      <c r="G8" t="str">
        <f>_xlfn.TEXTJOIN("_",TRUE,B6:D6)</f>
        <v>absolute_oas_le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absolute_oas_le &lt;= 15</v>
      </c>
    </row>
    <row r="11" spans="2:9" x14ac:dyDescent="0.25">
      <c r="C11" s="3" t="s">
        <v>119</v>
      </c>
      <c r="D11" t="str">
        <f>G8</f>
        <v>absolute_oas_le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4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absolute_oas_le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1.9984014443252818E-15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1.9984014443252818E-15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1.9984014443252818E-15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1.9984014443252818E-15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1.9984014443252818E-15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1.1696568563479559E-3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1.1224658374757279E-2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1.1598210938270404E-2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1.4549391069437423E-2</v>
      </c>
    </row>
    <row r="24" spans="2:6" x14ac:dyDescent="0.25">
      <c r="B24" t="str">
        <v>CLT3424</v>
      </c>
      <c r="C24" t="str">
        <v>86804BBY7</v>
      </c>
      <c r="D24" t="str">
        <v>dd4f0795a6ee4f4c8cc1c421697c53b6</v>
      </c>
      <c r="E24">
        <v>-1.5382614715786522</v>
      </c>
      <c r="F24">
        <v>1.6805903844707704E-2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A966-FFBB-429B-9C02-9D214868F889}">
  <dimension ref="B2:I23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4" max="4" width="12.375" customWidth="1"/>
    <col min="5" max="5" width="44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25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>
        <v>5</v>
      </c>
      <c r="I3" s="11">
        <v>105.837</v>
      </c>
    </row>
    <row r="5" spans="2:9" x14ac:dyDescent="0.25">
      <c r="B5" t="s">
        <v>120</v>
      </c>
    </row>
    <row r="6" spans="2:9" x14ac:dyDescent="0.25">
      <c r="B6" t="s">
        <v>31</v>
      </c>
      <c r="C6" t="s">
        <v>109</v>
      </c>
      <c r="D6" t="s">
        <v>15</v>
      </c>
      <c r="E6">
        <v>0.01</v>
      </c>
    </row>
    <row r="7" spans="2:9" x14ac:dyDescent="0.25">
      <c r="C7" cm="1">
        <f t="array" ref="C7">_xlfn.DROP(_xll.SQL.QUERY(tmswap,D7),1)</f>
        <v>-1.5550673754233579</v>
      </c>
      <c r="D7" t="str" cm="1">
        <f t="array" ref="D7">"select "&amp;C6&amp;" from swapRequests where positionId = "&amp;sql(positionId)</f>
        <v>select oas from swapRequests where positionId = '7d50ed8778a64c0bb477c7529931e7ca'</v>
      </c>
    </row>
    <row r="8" spans="2:9" x14ac:dyDescent="0.25">
      <c r="C8" s="3" t="s">
        <v>114</v>
      </c>
      <c r="D8" t="str">
        <f>_xlfn.TEXTJOIN(", ", TRUE, B2:E2)&amp;", "</f>
        <v xml:space="preserve">clientId, cusip, positionId, oas, </v>
      </c>
      <c r="E8" t="str" cm="1">
        <f t="array" ref="E8">relative(C7,C6)</f>
        <v>ABS((-1.55506737542336-oas)/-1.55506737542336)</v>
      </c>
      <c r="F8" t="s">
        <v>116</v>
      </c>
      <c r="G8" t="str">
        <f>_xlfn.TEXTJOIN("_",TRUE,B6:D6)</f>
        <v>relative_oas_le</v>
      </c>
    </row>
    <row r="9" spans="2:9" x14ac:dyDescent="0.25">
      <c r="C9" s="3" t="s">
        <v>117</v>
      </c>
      <c r="D9" t="s">
        <v>91</v>
      </c>
    </row>
    <row r="10" spans="2:9" x14ac:dyDescent="0.25">
      <c r="C10" s="3" t="s">
        <v>115</v>
      </c>
      <c r="D10" t="str" cm="1">
        <f t="array" ref="D10">le(G8,E6)</f>
        <v>relative_oas_le &lt;= 0.01</v>
      </c>
    </row>
    <row r="11" spans="2:9" x14ac:dyDescent="0.25">
      <c r="C11" s="3" t="s">
        <v>119</v>
      </c>
      <c r="D11" t="str">
        <f>G8</f>
        <v>relative_oas_le</v>
      </c>
    </row>
    <row r="12" spans="2:9" x14ac:dyDescent="0.25">
      <c r="C12" s="3" t="s">
        <v>118</v>
      </c>
      <c r="D12">
        <v>10</v>
      </c>
    </row>
    <row r="14" spans="2:9" x14ac:dyDescent="0.25">
      <c r="B14" s="5" t="str" cm="1">
        <f t="array" ref="B14:F23">_xll.SQL.QUERY(tmswap, C8:G12)</f>
        <v>clientId</v>
      </c>
      <c r="C14" s="5" t="str">
        <v>cusip</v>
      </c>
      <c r="D14" s="5" t="str">
        <v>positionId</v>
      </c>
      <c r="E14" s="5" t="str">
        <v>oas</v>
      </c>
      <c r="F14" s="5" t="str">
        <v>relative_oas_le</v>
      </c>
    </row>
    <row r="15" spans="2:9" x14ac:dyDescent="0.25">
      <c r="B15" t="str">
        <v>CLT3414</v>
      </c>
      <c r="C15" t="str">
        <v>59333NW66</v>
      </c>
      <c r="D15" t="str">
        <v>4f88a124fd8c4f98a2a1d8c656bf2f2f</v>
      </c>
      <c r="E15">
        <v>-1.5550673754233579</v>
      </c>
      <c r="F15">
        <v>1.2850899426664559E-15</v>
      </c>
    </row>
    <row r="16" spans="2:9" x14ac:dyDescent="0.25">
      <c r="B16" t="str">
        <v>CLT3414</v>
      </c>
      <c r="C16" t="str">
        <v>60637ATQ5</v>
      </c>
      <c r="D16" t="str">
        <v>d5c2b3ace2354e789d175634bd588c80</v>
      </c>
      <c r="E16">
        <v>-1.5550673754233579</v>
      </c>
      <c r="F16">
        <v>1.2850899426664559E-15</v>
      </c>
    </row>
    <row r="17" spans="2:6" x14ac:dyDescent="0.25">
      <c r="B17" t="str">
        <v>CLT3414</v>
      </c>
      <c r="C17" t="str">
        <v>56682HCT4</v>
      </c>
      <c r="D17" t="str">
        <v>0b0bbbed9ef041c699c3c230b4db6f0d</v>
      </c>
      <c r="E17">
        <v>-1.5550673754233579</v>
      </c>
      <c r="F17">
        <v>1.2850899426664559E-15</v>
      </c>
    </row>
    <row r="18" spans="2:6" x14ac:dyDescent="0.25">
      <c r="B18" t="str">
        <v>CLT3414</v>
      </c>
      <c r="C18" t="str">
        <v>56682HCT4</v>
      </c>
      <c r="D18" t="str">
        <v>73e88cd91df843fbbec3f56f049518e4</v>
      </c>
      <c r="E18">
        <v>-1.5550673754233579</v>
      </c>
      <c r="F18">
        <v>1.2850899426664559E-15</v>
      </c>
    </row>
    <row r="19" spans="2:6" x14ac:dyDescent="0.25">
      <c r="B19" t="str">
        <v>CLT3414</v>
      </c>
      <c r="C19" t="str">
        <v>56682HCT4</v>
      </c>
      <c r="D19" t="str">
        <v>7d50ed8778a64c0bb477c7529931e7ca</v>
      </c>
      <c r="E19">
        <v>-1.5550673754233579</v>
      </c>
      <c r="F19">
        <v>1.2850899426664559E-15</v>
      </c>
    </row>
    <row r="20" spans="2:6" x14ac:dyDescent="0.25">
      <c r="B20" t="str">
        <v>CLT3424</v>
      </c>
      <c r="C20" t="str">
        <v>97712DQT6</v>
      </c>
      <c r="D20" t="str">
        <v>17432dfb2ccd40259e5e984db8b825ef</v>
      </c>
      <c r="E20">
        <v>-1.553897718567012</v>
      </c>
      <c r="F20">
        <v>7.5215831470293835E-4</v>
      </c>
    </row>
    <row r="21" spans="2:6" x14ac:dyDescent="0.25">
      <c r="B21" t="str">
        <v>CLT3424</v>
      </c>
      <c r="C21" t="str">
        <v>25476FWE4</v>
      </c>
      <c r="D21" t="str">
        <v>0f68851375074095a8d7fabfdb4135a5</v>
      </c>
      <c r="E21">
        <v>-1.5438427170486027</v>
      </c>
      <c r="F21">
        <v>7.2181170746389153E-3</v>
      </c>
    </row>
    <row r="22" spans="2:6" x14ac:dyDescent="0.25">
      <c r="B22" t="str">
        <v>CLT3424</v>
      </c>
      <c r="C22" t="str">
        <v>45505TKA8</v>
      </c>
      <c r="D22" t="str">
        <v>cd884eb162764d22b1e212862fff2df8</v>
      </c>
      <c r="E22">
        <v>-1.5434691644850895</v>
      </c>
      <c r="F22">
        <v>7.458333395434294E-3</v>
      </c>
    </row>
    <row r="23" spans="2:6" x14ac:dyDescent="0.25">
      <c r="B23" t="str">
        <v>CLT3424</v>
      </c>
      <c r="C23" t="str">
        <v>24919PJX3</v>
      </c>
      <c r="D23" t="str">
        <v>7cad460f1dcc40a1b04153dce2b49b00</v>
      </c>
      <c r="E23">
        <v>-1.5696167664927974</v>
      </c>
      <c r="F23">
        <v>9.356116203953168E-3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790-C322-415B-B61D-F01B231BE685}">
  <dimension ref="B2:N23"/>
  <sheetViews>
    <sheetView workbookViewId="0"/>
  </sheetViews>
  <sheetFormatPr defaultRowHeight="15.75" x14ac:dyDescent="0.25"/>
  <cols>
    <col min="1" max="1" width="3.625" customWidth="1"/>
    <col min="3" max="3" width="10.875" bestFit="1" customWidth="1"/>
    <col min="5" max="5" width="23.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</row>
    <row r="4" spans="2:14" x14ac:dyDescent="0.25">
      <c r="L4" t="s">
        <v>94</v>
      </c>
      <c r="M4" t="s">
        <v>94</v>
      </c>
      <c r="N4">
        <v>1</v>
      </c>
    </row>
    <row r="5" spans="2:14" x14ac:dyDescent="0.25">
      <c r="B5" t="s">
        <v>122</v>
      </c>
      <c r="L5" t="s">
        <v>94</v>
      </c>
      <c r="M5" t="s">
        <v>126</v>
      </c>
      <c r="N5">
        <v>0</v>
      </c>
    </row>
    <row r="6" spans="2:14" x14ac:dyDescent="0.25">
      <c r="B6" t="s">
        <v>129</v>
      </c>
      <c r="C6" t="str">
        <f>E2</f>
        <v>useOfProceedsGroup</v>
      </c>
      <c r="D6">
        <v>1</v>
      </c>
      <c r="L6" t="s">
        <v>126</v>
      </c>
      <c r="M6" t="s">
        <v>94</v>
      </c>
      <c r="N6">
        <v>1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  <c r="L7" t="s">
        <v>126</v>
      </c>
      <c r="M7" t="s">
        <v>126</v>
      </c>
      <c r="N7">
        <v>1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  <c r="L9" t="s">
        <v>128</v>
      </c>
    </row>
    <row r="10" spans="2:14" x14ac:dyDescent="0.25">
      <c r="C10" s="3" t="s">
        <v>115</v>
      </c>
      <c r="D10" t="str" cm="1">
        <f t="array" ref="D10">ne(sql(C7),C6)&amp;" OR "&amp;eq(sql(D6),C6)</f>
        <v>4 &lt;&gt; useOfProceedsGroup OR 1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215543MJ5</v>
      </c>
      <c r="D14" t="str">
        <v>c70516b606de46729f2ef9bd6e9e3df9</v>
      </c>
      <c r="E14">
        <v>2</v>
      </c>
      <c r="F14">
        <v>2</v>
      </c>
    </row>
    <row r="15" spans="2:14" x14ac:dyDescent="0.25">
      <c r="B15" t="str">
        <v>CLT3414</v>
      </c>
      <c r="C15" t="str">
        <v>59333NW66</v>
      </c>
      <c r="D15" t="str">
        <v>4f88a124fd8c4f98a2a1d8c656bf2f2f</v>
      </c>
      <c r="E15">
        <v>3</v>
      </c>
      <c r="F15">
        <v>3</v>
      </c>
    </row>
    <row r="16" spans="2:14" x14ac:dyDescent="0.25">
      <c r="B16" t="str">
        <v>CLT3414</v>
      </c>
      <c r="C16" t="str">
        <v>664212CY1</v>
      </c>
      <c r="D16" t="str">
        <v>9b2923c7123e445c9e41085484f5b5a6</v>
      </c>
      <c r="E16">
        <v>2</v>
      </c>
      <c r="F16">
        <v>2</v>
      </c>
    </row>
    <row r="17" spans="2:6" x14ac:dyDescent="0.25">
      <c r="B17" t="str">
        <v>CLT3414</v>
      </c>
      <c r="C17" t="str">
        <v>57583PHD4</v>
      </c>
      <c r="D17" t="str">
        <v>3f51646282114da89a75ad2e1cf51e98</v>
      </c>
      <c r="E17">
        <v>7</v>
      </c>
      <c r="F17">
        <v>7</v>
      </c>
    </row>
    <row r="18" spans="2:6" x14ac:dyDescent="0.25">
      <c r="B18" t="str">
        <v>CLT3414</v>
      </c>
      <c r="C18" t="str">
        <v>662523N39</v>
      </c>
      <c r="D18" t="str">
        <v>c8c0409bb55f4be9b38dcc5fb455758e</v>
      </c>
      <c r="E18">
        <v>3</v>
      </c>
      <c r="F18">
        <v>3</v>
      </c>
    </row>
    <row r="19" spans="2:6" x14ac:dyDescent="0.25">
      <c r="B19" t="str">
        <v>CLT3414</v>
      </c>
      <c r="C19" t="str">
        <v>40934TAV5</v>
      </c>
      <c r="D19" t="str">
        <v>582a1b4c7f6b48fc906d6137c5eeb67b</v>
      </c>
      <c r="E19">
        <v>7</v>
      </c>
      <c r="F19">
        <v>7</v>
      </c>
    </row>
    <row r="20" spans="2:6" x14ac:dyDescent="0.25">
      <c r="B20" t="str">
        <v>CLT3414</v>
      </c>
      <c r="C20" t="str">
        <v>40934TAV5</v>
      </c>
      <c r="D20" t="str">
        <v>aad4f22c79a6435b93a2096c9e445d7c</v>
      </c>
      <c r="E20">
        <v>7</v>
      </c>
      <c r="F20">
        <v>7</v>
      </c>
    </row>
    <row r="21" spans="2:6" x14ac:dyDescent="0.25">
      <c r="B21" t="str">
        <v>CLT3414</v>
      </c>
      <c r="C21" t="str">
        <v>40934TAV5</v>
      </c>
      <c r="D21" t="str">
        <v>aec895a251784eb998cd0c2d92990513</v>
      </c>
      <c r="E21">
        <v>7</v>
      </c>
      <c r="F21">
        <v>7</v>
      </c>
    </row>
    <row r="22" spans="2:6" x14ac:dyDescent="0.25">
      <c r="B22" t="str">
        <v>CLT3414</v>
      </c>
      <c r="C22" t="str">
        <v>13034AV49</v>
      </c>
      <c r="D22" t="str">
        <v>90c9cfc764564b259234a3e982b39e9f</v>
      </c>
      <c r="E22">
        <v>5</v>
      </c>
      <c r="F22">
        <v>5</v>
      </c>
    </row>
    <row r="23" spans="2:6" x14ac:dyDescent="0.25">
      <c r="B23" t="str">
        <v>CLT3414</v>
      </c>
      <c r="C23" t="str">
        <v>180848XS7</v>
      </c>
      <c r="D23" t="str">
        <v>e7af391d4aa84d6da34a3897c4dc9fbb</v>
      </c>
      <c r="E23">
        <v>7</v>
      </c>
      <c r="F2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2:N23"/>
  <sheetViews>
    <sheetView workbookViewId="0">
      <selection activeCell="D10" sqref="D10"/>
    </sheetView>
  </sheetViews>
  <sheetFormatPr defaultRowHeight="15.75" x14ac:dyDescent="0.25"/>
  <cols>
    <col min="1" max="1" width="3.625" customWidth="1"/>
    <col min="3" max="3" width="10.875" bestFit="1" customWidth="1"/>
    <col min="5" max="5" width="30.125" bestFit="1" customWidth="1"/>
  </cols>
  <sheetData>
    <row r="2" spans="2:14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127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14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4</v>
      </c>
      <c r="F3" s="11">
        <v>3.222</v>
      </c>
      <c r="G3" s="11">
        <v>2475</v>
      </c>
      <c r="H3" s="11" t="str">
        <v>AZ</v>
      </c>
      <c r="I3" s="11">
        <v>105.837</v>
      </c>
      <c r="L3">
        <v>1</v>
      </c>
      <c r="M3">
        <v>1</v>
      </c>
      <c r="N3">
        <v>1</v>
      </c>
    </row>
    <row r="4" spans="2:14" x14ac:dyDescent="0.25">
      <c r="L4">
        <v>1</v>
      </c>
      <c r="M4">
        <v>0</v>
      </c>
      <c r="N4">
        <v>0</v>
      </c>
    </row>
    <row r="5" spans="2:14" x14ac:dyDescent="0.25">
      <c r="B5" t="s">
        <v>131</v>
      </c>
      <c r="L5">
        <v>0</v>
      </c>
      <c r="M5">
        <v>1</v>
      </c>
      <c r="N5">
        <v>0</v>
      </c>
    </row>
    <row r="6" spans="2:14" x14ac:dyDescent="0.25">
      <c r="B6" t="s">
        <v>130</v>
      </c>
      <c r="C6" t="str">
        <f>E2</f>
        <v>useOfProceedsGroup</v>
      </c>
      <c r="D6">
        <v>4</v>
      </c>
      <c r="L6">
        <v>0</v>
      </c>
      <c r="M6">
        <v>0</v>
      </c>
      <c r="N6">
        <v>0</v>
      </c>
    </row>
    <row r="7" spans="2:14" x14ac:dyDescent="0.25">
      <c r="C7" cm="1">
        <f t="array" ref="C7">_xlfn.DROP(_xll.SQL.QUERY(tmswap,D7),1)</f>
        <v>4</v>
      </c>
      <c r="D7" t="str" cm="1">
        <f t="array" ref="D7">"select "&amp;C6&amp;" from swapRequests where positionId = "&amp;sql(positionId)</f>
        <v>select useOfProceedsGroup from swapRequests where positionId = '7d50ed8778a64c0bb477c7529931e7ca'</v>
      </c>
    </row>
    <row r="8" spans="2:14" x14ac:dyDescent="0.25">
      <c r="C8" s="3" t="s">
        <v>114</v>
      </c>
      <c r="D8" t="str">
        <f>_xlfn.TEXTJOIN(", ", TRUE, B2:E2)&amp;", "</f>
        <v xml:space="preserve">clientId, cusip, positionId, useOfProceedsGroup, </v>
      </c>
      <c r="E8" t="str">
        <f>C6</f>
        <v>useOfProceedsGroup</v>
      </c>
    </row>
    <row r="9" spans="2:14" x14ac:dyDescent="0.25">
      <c r="C9" s="3" t="s">
        <v>117</v>
      </c>
      <c r="D9" t="s">
        <v>91</v>
      </c>
    </row>
    <row r="10" spans="2:14" x14ac:dyDescent="0.25">
      <c r="C10" s="3" t="s">
        <v>115</v>
      </c>
      <c r="D10" t="str" cm="1">
        <f t="array" ref="D10">eq(D6,C6)</f>
        <v>4 = useOfProceedsGroup</v>
      </c>
    </row>
    <row r="11" spans="2:14" x14ac:dyDescent="0.25">
      <c r="C11" s="3" t="s">
        <v>118</v>
      </c>
      <c r="D11">
        <v>10</v>
      </c>
    </row>
    <row r="13" spans="2:14" x14ac:dyDescent="0.25">
      <c r="B13" s="14" t="str" cm="1">
        <f t="array" ref="B13:F23">_xll.SQL.QUERY(tmswap, C8:G11)</f>
        <v>clientId</v>
      </c>
      <c r="C13" s="5" t="str">
        <v>cusip</v>
      </c>
      <c r="D13" s="5" t="str">
        <v>positionId</v>
      </c>
      <c r="E13" s="5" t="str">
        <v>useOfProceedsGroup</v>
      </c>
      <c r="F13" s="5" t="str">
        <v>useOfProceedsGroup</v>
      </c>
    </row>
    <row r="14" spans="2:14" x14ac:dyDescent="0.25">
      <c r="B14" t="str">
        <v>CLT3414</v>
      </c>
      <c r="C14" t="str">
        <v>60637ATQ5</v>
      </c>
      <c r="D14" t="str">
        <v>d5c2b3ace2354e789d175634bd588c80</v>
      </c>
      <c r="E14">
        <v>4</v>
      </c>
      <c r="F14">
        <v>4</v>
      </c>
    </row>
    <row r="15" spans="2:14" x14ac:dyDescent="0.25">
      <c r="B15" t="str">
        <v>CLT3414</v>
      </c>
      <c r="C15" t="str">
        <v>56682HCT4</v>
      </c>
      <c r="D15" t="str">
        <v>0b0bbbed9ef041c699c3c230b4db6f0d</v>
      </c>
      <c r="E15">
        <v>4</v>
      </c>
      <c r="F15">
        <v>4</v>
      </c>
    </row>
    <row r="16" spans="2:14" x14ac:dyDescent="0.25">
      <c r="B16" t="str">
        <v>CLT3414</v>
      </c>
      <c r="C16" t="str">
        <v>56682HCT4</v>
      </c>
      <c r="D16" t="str">
        <v>73e88cd91df843fbbec3f56f049518e4</v>
      </c>
      <c r="E16">
        <v>4</v>
      </c>
      <c r="F16">
        <v>4</v>
      </c>
    </row>
    <row r="17" spans="2:6" x14ac:dyDescent="0.25">
      <c r="B17" t="str">
        <v>CLT3414</v>
      </c>
      <c r="C17" t="str">
        <v>56682HCT4</v>
      </c>
      <c r="D17" t="str">
        <v>7d50ed8778a64c0bb477c7529931e7ca</v>
      </c>
      <c r="E17">
        <v>4</v>
      </c>
      <c r="F17">
        <v>4</v>
      </c>
    </row>
    <row r="18" spans="2:6" x14ac:dyDescent="0.25">
      <c r="B18" t="str">
        <v>CLT3414</v>
      </c>
      <c r="C18" t="str">
        <v>645790MD5</v>
      </c>
      <c r="D18" t="str">
        <v>11bfd09803da4618b4920ce0fdced586</v>
      </c>
      <c r="E18">
        <v>4</v>
      </c>
      <c r="F18">
        <v>4</v>
      </c>
    </row>
    <row r="19" spans="2:6" x14ac:dyDescent="0.25">
      <c r="B19" t="str">
        <v>CLT3414</v>
      </c>
      <c r="C19" t="str">
        <v>717901BN1</v>
      </c>
      <c r="D19" t="str">
        <v>90d11992508b45c4a0fec22cf71caa05</v>
      </c>
      <c r="E19">
        <v>4</v>
      </c>
      <c r="F19">
        <v>4</v>
      </c>
    </row>
    <row r="20" spans="2:6" x14ac:dyDescent="0.25">
      <c r="B20" t="str">
        <v>CLT3414</v>
      </c>
      <c r="C20" t="str">
        <v>60637ATR3</v>
      </c>
      <c r="D20" t="str">
        <v>f5f8e84c39de4f6b9cdcf003745eea88</v>
      </c>
      <c r="E20">
        <v>4</v>
      </c>
      <c r="F20">
        <v>4</v>
      </c>
    </row>
    <row r="21" spans="2:6" x14ac:dyDescent="0.25">
      <c r="B21" t="str">
        <v>CLT3414</v>
      </c>
      <c r="C21" t="str">
        <v>717901BP6</v>
      </c>
      <c r="D21" t="str">
        <v>4d03b6afba97482498581696105b77a0</v>
      </c>
      <c r="E21">
        <v>4</v>
      </c>
      <c r="F21">
        <v>4</v>
      </c>
    </row>
    <row r="22" spans="2:6" x14ac:dyDescent="0.25">
      <c r="B22" t="str">
        <v>CLT3414</v>
      </c>
      <c r="C22" t="str">
        <v>160853VE4</v>
      </c>
      <c r="D22" t="str">
        <v>90cd89f395ba462d82ac3f99e281a176</v>
      </c>
      <c r="E22">
        <v>4</v>
      </c>
      <c r="F22">
        <v>4</v>
      </c>
    </row>
    <row r="23" spans="2:6" x14ac:dyDescent="0.25">
      <c r="B23" t="str">
        <v>CLT3414</v>
      </c>
      <c r="C23" t="str">
        <v>13080SXY5</v>
      </c>
      <c r="D23" t="str">
        <v>edcdf117489c49d084d4670c5f7317e9</v>
      </c>
      <c r="E23">
        <v>4</v>
      </c>
      <c r="F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B64-09FF-49A8-9B9E-608A626B1D40}">
  <dimension ref="B2:I21"/>
  <sheetViews>
    <sheetView workbookViewId="0">
      <selection activeCell="B2" sqref="B2:I3"/>
    </sheetView>
  </sheetViews>
  <sheetFormatPr defaultRowHeight="15.75" x14ac:dyDescent="0.25"/>
  <cols>
    <col min="1" max="1" width="3.625" customWidth="1"/>
    <col min="6" max="6" width="7.25" customWidth="1"/>
    <col min="11" max="11" width="15.75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16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2475</v>
      </c>
      <c r="F3" s="11">
        <v>3.222</v>
      </c>
      <c r="G3" s="11">
        <v>2475</v>
      </c>
      <c r="H3" s="11" t="str">
        <v>AZ</v>
      </c>
      <c r="I3" s="11">
        <v>105.837</v>
      </c>
    </row>
    <row r="7" spans="2:9" x14ac:dyDescent="0.25">
      <c r="B7" t="s">
        <v>124</v>
      </c>
      <c r="C7" t="s">
        <v>16</v>
      </c>
    </row>
    <row r="8" spans="2:9" x14ac:dyDescent="0.25">
      <c r="C8" cm="1">
        <f t="array" ref="C8">_xlfn.DROP(_xll.SQL.QUERY(tmswap,D8),1)</f>
        <v>2475</v>
      </c>
      <c r="D8" t="str" cm="1">
        <f t="array" ref="D8">"select "&amp;C7&amp;" from swapRequests where positionId = "&amp;sql(positionId)</f>
        <v>select quantity from swapRequests where positionId = '7d50ed8778a64c0bb477c7529931e7ca'</v>
      </c>
    </row>
    <row r="9" spans="2:9" x14ac:dyDescent="0.25">
      <c r="C9" t="s">
        <v>31</v>
      </c>
      <c r="D9" t="s">
        <v>16</v>
      </c>
      <c r="G9" t="str" cm="1">
        <f t="array" ref="G9">relative(C8,D9)</f>
        <v>ABS((2475-quantity)/2475)</v>
      </c>
      <c r="H9" t="s">
        <v>116</v>
      </c>
      <c r="I9" t="str">
        <f>_xlfn.TEXTJOIN("_",TRUE,C9:D9)</f>
        <v>relative_quantity</v>
      </c>
    </row>
    <row r="11" spans="2:9" x14ac:dyDescent="0.25">
      <c r="B11">
        <f>C8</f>
        <v>2475</v>
      </c>
      <c r="C11" t="s">
        <v>15</v>
      </c>
      <c r="D11">
        <v>500</v>
      </c>
      <c r="E11" t="b" cm="1">
        <f t="array" ref="E11">_xll.EVAL(le(B11,D11))</f>
        <v>0</v>
      </c>
      <c r="G11" t="s">
        <v>16</v>
      </c>
      <c r="H11" t="s">
        <v>15</v>
      </c>
      <c r="I11">
        <v>500</v>
      </c>
    </row>
    <row r="12" spans="2:9" x14ac:dyDescent="0.25">
      <c r="G12" t="str">
        <f>I9</f>
        <v>relative_quantity</v>
      </c>
      <c r="H12" t="s">
        <v>15</v>
      </c>
      <c r="I12">
        <v>0</v>
      </c>
    </row>
    <row r="14" spans="2:9" x14ac:dyDescent="0.25">
      <c r="B14">
        <f>C8</f>
        <v>2475</v>
      </c>
      <c r="C14" t="s">
        <v>101</v>
      </c>
      <c r="D14">
        <v>500</v>
      </c>
      <c r="E14" t="b" cm="1">
        <f t="array" ref="E14">_xll.EVAL(gt(B14,D14))</f>
        <v>1</v>
      </c>
      <c r="G14" t="s">
        <v>16</v>
      </c>
      <c r="H14" t="s">
        <v>17</v>
      </c>
      <c r="I14">
        <v>500</v>
      </c>
    </row>
    <row r="15" spans="2:9" x14ac:dyDescent="0.25">
      <c r="G15">
        <f>I12</f>
        <v>0</v>
      </c>
      <c r="H15" t="s">
        <v>15</v>
      </c>
      <c r="I15">
        <v>0.1</v>
      </c>
    </row>
    <row r="19" spans="3:7" x14ac:dyDescent="0.25">
      <c r="C19" t="s">
        <v>114</v>
      </c>
      <c r="D19" t="str">
        <f>_xlfn.TEXTJOIN(", ", TRUE, B2:E2)&amp;", "</f>
        <v xml:space="preserve">clientId, cusip, positionId, quantity, </v>
      </c>
      <c r="E19" t="str">
        <f>G9</f>
        <v>ABS((2475-quantity)/2475)</v>
      </c>
      <c r="F19" t="str">
        <f>H9</f>
        <v>AS</v>
      </c>
      <c r="G19" t="str">
        <f>I9</f>
        <v>relative_quantity</v>
      </c>
    </row>
    <row r="20" spans="3:7" x14ac:dyDescent="0.25">
      <c r="C20" t="s">
        <v>117</v>
      </c>
      <c r="D20" t="s">
        <v>91</v>
      </c>
    </row>
    <row r="21" spans="3:7" x14ac:dyDescent="0.25">
      <c r="C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A9EB-C690-47AC-AB8E-35A874640307}">
  <dimension ref="B2:I27"/>
  <sheetViews>
    <sheetView workbookViewId="0">
      <selection activeCell="G7" sqref="G7"/>
    </sheetView>
  </sheetViews>
  <sheetFormatPr defaultRowHeight="15.75" x14ac:dyDescent="0.25"/>
  <cols>
    <col min="1" max="1" width="3.625" customWidth="1"/>
    <col min="3" max="3" width="11.875" bestFit="1" customWidth="1"/>
    <col min="4" max="4" width="10.87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0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t="str" cm="1">
        <f t="array" ref="E3:I3">_xlfn.DROP(_xll.SQL.QUERY(tmswap,"select "&amp;_xlfn.TEXTJOIN(", ",TRUE,E2:I2)&amp;" from swapRequests where positionId = "&amp;sql(D3)),1)</f>
        <v>CLT3414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9" x14ac:dyDescent="0.25">
      <c r="B5" t="str">
        <f>E2</f>
        <v>clientId</v>
      </c>
      <c r="C5" t="s">
        <v>6</v>
      </c>
      <c r="D5" cm="1">
        <f t="array" ref="D5">_xll.\SQL.RULE_LOGICAL(B5,C5)</f>
        <v>2735670048064</v>
      </c>
    </row>
    <row r="7" spans="2:9" x14ac:dyDescent="0.25">
      <c r="B7" s="3" t="s">
        <v>134</v>
      </c>
      <c r="C7" t="str" cm="1">
        <f t="array" ref="C7">_xll.SQL.RULE.BIND(D5)</f>
        <v>@clientId</v>
      </c>
      <c r="D7" t="str">
        <f>E3</f>
        <v>CLT3414</v>
      </c>
    </row>
    <row r="8" spans="2:9" x14ac:dyDescent="0.25">
      <c r="B8" s="3" t="s">
        <v>114</v>
      </c>
      <c r="C8" t="str">
        <f>_xlfn.TEXTJOIN(", ",TRUE,_xlfn.ANCHORARRAY(B2))&amp;", "</f>
        <v xml:space="preserve">clientId, cusip, positionId, </v>
      </c>
      <c r="D8" t="str" cm="1">
        <f t="array" ref="D8">_xll.SQL.RULE.SELECT(D5)</f>
        <v>clientId</v>
      </c>
      <c r="E8" t="s">
        <v>116</v>
      </c>
      <c r="F8" t="str" cm="1">
        <f t="array" ref="F8">_xll.SQL.RULE.AS(D5)</f>
        <v>clientId</v>
      </c>
    </row>
    <row r="9" spans="2:9" x14ac:dyDescent="0.25">
      <c r="B9" s="3" t="s">
        <v>117</v>
      </c>
      <c r="C9" t="s">
        <v>91</v>
      </c>
    </row>
    <row r="10" spans="2:9" x14ac:dyDescent="0.25">
      <c r="B10" s="3" t="s">
        <v>115</v>
      </c>
      <c r="C10" t="str" cm="1">
        <f t="array" ref="C10">_xll.SQL.RULE.WHERE(D5)</f>
        <v>(@clientId &lt;&gt; clientId)</v>
      </c>
    </row>
    <row r="11" spans="2:9" x14ac:dyDescent="0.25">
      <c r="B11" s="3" t="s">
        <v>118</v>
      </c>
      <c r="C11">
        <v>10</v>
      </c>
    </row>
    <row r="12" spans="2:9" x14ac:dyDescent="0.25">
      <c r="B12" s="3"/>
    </row>
    <row r="13" spans="2:9" x14ac:dyDescent="0.25">
      <c r="B13" s="3" t="s">
        <v>136</v>
      </c>
      <c r="C13" cm="1">
        <f t="array" ref="C13">_xll.\SQL.STMT(tmswap)</f>
        <v>2734767253984</v>
      </c>
    </row>
    <row r="14" spans="2:9" x14ac:dyDescent="0.25">
      <c r="B14" s="3" t="s">
        <v>135</v>
      </c>
      <c r="C14" cm="1">
        <f t="array" ref="C14">_xll.SQL.PREPARE(C13, B8:F11)</f>
        <v>2734767253984</v>
      </c>
      <c r="D14" t="str" cm="1">
        <f t="array" ref="D14">_xll.SQL.SQL(C14)</f>
        <v xml:space="preserve">SELECT clientId, cusip, positionId,  clientId AS clientId FROM swapRequests    WHERE (@clientId &lt;&gt; clientId)    LIMIT 10   </v>
      </c>
    </row>
    <row r="15" spans="2:9" x14ac:dyDescent="0.25">
      <c r="B15" s="3" t="s">
        <v>134</v>
      </c>
      <c r="C15" cm="1">
        <f t="array" ref="C15">_xll.SQL.BIND(C14, C7, D7)</f>
        <v>2734767253984</v>
      </c>
      <c r="D15" t="str" cm="1">
        <f t="array" ref="D15">_xll.SQL.SQL(C15,TRUE)</f>
        <v xml:space="preserve">SELECT clientId, cusip, positionId,  clientId AS clientId FROM swapRequests    WHERE ('CLT3414' &lt;&gt; clientId)    LIMIT 10   </v>
      </c>
    </row>
    <row r="17" spans="2:5" x14ac:dyDescent="0.25">
      <c r="B17" s="5" t="str" cm="1">
        <f t="array" ref="B17:E27">_xll.SQL.EXEC(C15)</f>
        <v>clientId</v>
      </c>
      <c r="C17" s="5" t="str">
        <v>cusip</v>
      </c>
      <c r="D17" s="5" t="str">
        <v>positionId</v>
      </c>
      <c r="E17" s="5" t="str">
        <v>clientId</v>
      </c>
    </row>
    <row r="18" spans="2:5" x14ac:dyDescent="0.25">
      <c r="B18" t="str">
        <v>CLT3424</v>
      </c>
      <c r="C18" t="str">
        <v>089563NF3</v>
      </c>
      <c r="D18" t="str">
        <v>9185c83341a64e2bbdb51d6ab649af4a</v>
      </c>
      <c r="E18" t="str">
        <v>CLT3424</v>
      </c>
    </row>
    <row r="19" spans="2:5" x14ac:dyDescent="0.25">
      <c r="B19" t="str">
        <v>CLT3424</v>
      </c>
      <c r="C19" t="str">
        <v>089563NG1</v>
      </c>
      <c r="D19" t="str">
        <v>46b6386108834679b36a6dae0120b3a2</v>
      </c>
      <c r="E19" t="str">
        <v>CLT3424</v>
      </c>
    </row>
    <row r="20" spans="2:5" x14ac:dyDescent="0.25">
      <c r="B20" t="str">
        <v>CLT3424</v>
      </c>
      <c r="C20" t="str">
        <v>088365JA0</v>
      </c>
      <c r="D20" t="str">
        <v>796324c045eb4296a425b5abcb157673</v>
      </c>
      <c r="E20" t="str">
        <v>CLT3424</v>
      </c>
    </row>
    <row r="21" spans="2:5" x14ac:dyDescent="0.25">
      <c r="B21" t="str">
        <v>CLT3424</v>
      </c>
      <c r="C21" t="str">
        <v>143357XK2</v>
      </c>
      <c r="D21" t="str">
        <v>d9d05bc0818e485e8128d8680d83d567</v>
      </c>
      <c r="E21" t="str">
        <v>CLT3424</v>
      </c>
    </row>
    <row r="22" spans="2:5" x14ac:dyDescent="0.25">
      <c r="B22" t="str">
        <v>CLT3424</v>
      </c>
      <c r="C22" t="str">
        <v>088365JB8</v>
      </c>
      <c r="D22" t="str">
        <v>e21720a5d36e4e61942bdaee37bbb762</v>
      </c>
      <c r="E22" t="str">
        <v>CLT3424</v>
      </c>
    </row>
    <row r="23" spans="2:5" x14ac:dyDescent="0.25">
      <c r="B23" t="str">
        <v>CLT3424</v>
      </c>
      <c r="C23" t="str">
        <v>000416U96</v>
      </c>
      <c r="D23" t="str">
        <v>69359e4aa0874e57abd9149e5916e97a</v>
      </c>
      <c r="E23" t="str">
        <v>CLT3424</v>
      </c>
    </row>
    <row r="24" spans="2:5" x14ac:dyDescent="0.25">
      <c r="B24" t="str">
        <v>CLT3424</v>
      </c>
      <c r="C24" t="str">
        <v>088281L24</v>
      </c>
      <c r="D24" t="str">
        <v>0756b68f713441ba92d84138c7e3c2ef</v>
      </c>
      <c r="E24" t="str">
        <v>CLT3424</v>
      </c>
    </row>
    <row r="25" spans="2:5" x14ac:dyDescent="0.25">
      <c r="B25" t="str">
        <v>CLT3424</v>
      </c>
      <c r="C25" t="str">
        <v>143287GQ7</v>
      </c>
      <c r="D25" t="str">
        <v>4d206b548def443ca7fcf9d6dff04090</v>
      </c>
      <c r="E25" t="str">
        <v>CLT3424</v>
      </c>
    </row>
    <row r="26" spans="2:5" x14ac:dyDescent="0.25">
      <c r="B26" t="str">
        <v>CLT3424</v>
      </c>
      <c r="C26" t="str">
        <v>088281L32</v>
      </c>
      <c r="D26" t="str">
        <v>57e31664c2f6462c85e0447ba47abbd0</v>
      </c>
      <c r="E26" t="str">
        <v>CLT3424</v>
      </c>
    </row>
    <row r="27" spans="2:5" x14ac:dyDescent="0.25">
      <c r="B27" t="str">
        <v>CLT3424</v>
      </c>
      <c r="C27" t="str">
        <v>003430BM6</v>
      </c>
      <c r="D27" t="str">
        <v>312c62a7d9ad4c3a9fef8487b92c9b27</v>
      </c>
      <c r="E27" t="str">
        <v>CLT3424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62D-77C7-49A5-AF63-55555AFA6835}">
  <dimension ref="B2:I17"/>
  <sheetViews>
    <sheetView tabSelected="1" workbookViewId="0">
      <selection activeCell="F12" sqref="F12"/>
    </sheetView>
  </sheetViews>
  <sheetFormatPr defaultRowHeight="15.75" x14ac:dyDescent="0.25"/>
  <cols>
    <col min="1" max="1" width="3.625" customWidth="1"/>
    <col min="3" max="3" width="11.875" bestFit="1" customWidth="1"/>
    <col min="4" max="4" width="10.875" bestFit="1" customWidth="1"/>
    <col min="5" max="5" width="11.87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109</v>
      </c>
      <c r="F2" s="12" t="s">
        <v>26</v>
      </c>
      <c r="G2" s="12" t="s">
        <v>16</v>
      </c>
      <c r="H2" s="12" t="s">
        <v>8</v>
      </c>
      <c r="I2" s="12" t="s">
        <v>112</v>
      </c>
    </row>
    <row r="3" spans="2:9" x14ac:dyDescent="0.25">
      <c r="B3" t="str" cm="1">
        <f t="array" ref="B3:D3">tmswap!E3:G3</f>
        <v>CLT3414</v>
      </c>
      <c r="C3" t="str">
        <v>215543MJ5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-1.5550673754233579</v>
      </c>
      <c r="F3" s="11">
        <v>3.222</v>
      </c>
      <c r="G3" s="11">
        <v>2475</v>
      </c>
      <c r="H3" s="11" t="str">
        <v>AZ</v>
      </c>
      <c r="I3" s="11">
        <v>105.837</v>
      </c>
    </row>
    <row r="5" spans="2:9" x14ac:dyDescent="0.25">
      <c r="B5" t="s">
        <v>92</v>
      </c>
      <c r="C5" t="str">
        <f>E2</f>
        <v>oas</v>
      </c>
      <c r="D5" t="s">
        <v>15</v>
      </c>
      <c r="E5" cm="1">
        <f t="array" ref="E5">_xll.\SQL.RULE_MEASURE(B5,C5,D5)</f>
        <v>2734130910720</v>
      </c>
    </row>
    <row r="7" spans="2:9" x14ac:dyDescent="0.25">
      <c r="B7" s="3" t="s">
        <v>134</v>
      </c>
      <c r="C7" t="str" cm="1">
        <f t="array" ref="C7">_xll.SQL.RULE.BIND(E5)</f>
        <v>@absolute_oas_le</v>
      </c>
      <c r="D7">
        <v>10</v>
      </c>
    </row>
    <row r="8" spans="2:9" x14ac:dyDescent="0.25">
      <c r="B8" s="3" t="s">
        <v>114</v>
      </c>
      <c r="C8" t="str">
        <f>_xlfn.TEXTJOIN(", ",TRUE,_xlfn.ANCHORARRAY(B2))&amp;", "</f>
        <v xml:space="preserve">clientId, cusip, positionId, </v>
      </c>
      <c r="D8" t="e" cm="1">
        <f t="array" ref="D8">_xll.SQL.RULE.SELECT(E5)</f>
        <v>#N/A</v>
      </c>
      <c r="E8" t="s">
        <v>116</v>
      </c>
      <c r="F8" t="str" cm="1">
        <f t="array" ref="F8">_xll.SQL.RULE.AS(E5)</f>
        <v>absolute_oas_le</v>
      </c>
    </row>
    <row r="9" spans="2:9" x14ac:dyDescent="0.25">
      <c r="B9" s="3" t="s">
        <v>117</v>
      </c>
      <c r="C9" t="s">
        <v>91</v>
      </c>
    </row>
    <row r="10" spans="2:9" x14ac:dyDescent="0.25">
      <c r="B10" s="3" t="s">
        <v>115</v>
      </c>
      <c r="C10" t="str" cm="1">
        <f t="array" ref="C10">_xll.SQL.RULE.WHERE(E5)</f>
        <v>(absolute_oas_le &lt;= @absolute_oas_le)</v>
      </c>
    </row>
    <row r="11" spans="2:9" x14ac:dyDescent="0.25">
      <c r="B11" s="3" t="s">
        <v>118</v>
      </c>
      <c r="C11">
        <v>10</v>
      </c>
    </row>
    <row r="12" spans="2:9" x14ac:dyDescent="0.25">
      <c r="B12" s="3"/>
    </row>
    <row r="13" spans="2:9" x14ac:dyDescent="0.25">
      <c r="B13" s="3" t="s">
        <v>136</v>
      </c>
      <c r="C13" cm="1">
        <f t="array" ref="C13">_xll.\SQL.STMT(tmswap)</f>
        <v>2734767250064</v>
      </c>
    </row>
    <row r="14" spans="2:9" x14ac:dyDescent="0.25">
      <c r="B14" s="3" t="s">
        <v>135</v>
      </c>
      <c r="C14" t="e" cm="1">
        <f t="array" ref="C14">_xll.SQL.PREPARE(C13, B8:F11)</f>
        <v>#NUM!</v>
      </c>
      <c r="D14" t="e" cm="1">
        <f t="array" ref="D14">_xll.SQL.SQL(C14)</f>
        <v>#VALUE!</v>
      </c>
    </row>
    <row r="15" spans="2:9" x14ac:dyDescent="0.25">
      <c r="B15" s="3" t="s">
        <v>134</v>
      </c>
      <c r="C15" t="e" cm="1">
        <f t="array" ref="C15">_xll.SQL.BIND(C14, C7, D7)</f>
        <v>#VALUE!</v>
      </c>
      <c r="D15" t="e" cm="1">
        <f t="array" ref="D15">_xll.SQL.SQL(C15,TRUE)</f>
        <v>#VALUE!</v>
      </c>
    </row>
    <row r="17" spans="2:5" x14ac:dyDescent="0.25">
      <c r="B17" s="5" t="e" cm="1">
        <f t="array" ref="B17">_xll.SQL.EXEC(C15)</f>
        <v>#VALUE!</v>
      </c>
      <c r="C17" s="5"/>
      <c r="D17" s="5"/>
      <c r="E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3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</vt:i4>
      </vt:variant>
    </vt:vector>
  </HeadingPairs>
  <TitlesOfParts>
    <vt:vector size="28" baseType="lpstr">
      <vt:lpstr>Rules</vt:lpstr>
      <vt:lpstr>lambda</vt:lpstr>
      <vt:lpstr>tmswap</vt:lpstr>
      <vt:lpstr>examples</vt:lpstr>
      <vt:lpstr>no_crossing</vt:lpstr>
      <vt:lpstr>absolute</vt:lpstr>
      <vt:lpstr>relative</vt:lpstr>
      <vt:lpstr>implies</vt:lpstr>
      <vt:lpstr>equal</vt:lpstr>
      <vt:lpstr>cases</vt:lpstr>
      <vt:lpstr>logical</vt:lpstr>
      <vt:lpstr>measure</vt:lpstr>
      <vt:lpstr>bind</vt:lpstr>
      <vt:lpstr>clientId</vt:lpstr>
      <vt:lpstr>cmp</vt:lpstr>
      <vt:lpstr>cusip</vt:lpstr>
      <vt:lpstr>expr</vt:lpstr>
      <vt:lpstr>examples!name</vt:lpstr>
      <vt:lpstr>name</vt:lpstr>
      <vt:lpstr>absolute!oas</vt:lpstr>
      <vt:lpstr>relative!oas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2023-09-11T23:20:30Z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