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jingma/Desktop/"/>
    </mc:Choice>
  </mc:AlternateContent>
  <xr:revisionPtr revIDLastSave="0" documentId="13_ncr:1_{4A3EFDC0-04FA-F444-B10B-6826C3B2F5D3}" xr6:coauthVersionLast="45" xr6:coauthVersionMax="45" xr10:uidLastSave="{00000000-0000-0000-0000-000000000000}"/>
  <bookViews>
    <workbookView xWindow="0" yWindow="0" windowWidth="28800" windowHeight="18000" xr2:uid="{C3B301BF-8F4D-4BE0-BFEA-8540E8EEE4F8}"/>
  </bookViews>
  <sheets>
    <sheet name="Problem1a&amp;1c&amp;1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24" i="1"/>
  <c r="D26" i="1"/>
  <c r="D27" i="1"/>
  <c r="D28" i="1"/>
  <c r="D29" i="1"/>
  <c r="D30" i="1"/>
  <c r="D25" i="1"/>
  <c r="H3" i="1"/>
  <c r="F3" i="1"/>
  <c r="XFD1048550" i="1" l="1" a="1"/>
  <c r="XFD1048550" i="1" s="1"/>
  <c r="XFD1048551" i="1" a="1"/>
  <c r="XFD1048551" i="1"/>
  <c r="XFD1048552" i="1" a="1"/>
  <c r="XFD1048552" i="1" s="1"/>
  <c r="XFD1048553" i="1" a="1"/>
  <c r="XFD1048553" i="1"/>
  <c r="XFD1048554" i="1" a="1"/>
  <c r="XFD1048554" i="1" s="1"/>
  <c r="XFD1048555" i="1" a="1"/>
  <c r="XFD1048555" i="1" s="1"/>
  <c r="XFD1048556" i="1" a="1"/>
  <c r="XFD1048556" i="1" s="1"/>
  <c r="XFD1048557" i="1" a="1"/>
  <c r="XFD1048557" i="1" s="1"/>
  <c r="XFD1048558" i="1" a="1"/>
  <c r="XFD1048558" i="1" s="1"/>
  <c r="XFD1048559" i="1" a="1"/>
  <c r="XFD1048559" i="1"/>
  <c r="XFD1048560" i="1" a="1"/>
  <c r="XFD1048560" i="1" s="1"/>
  <c r="XFD1048561" i="1" a="1"/>
  <c r="XFD1048561" i="1"/>
  <c r="XFD1048562" i="1" a="1"/>
  <c r="XFD1048562" i="1" s="1"/>
  <c r="XFD1048563" i="1" a="1"/>
  <c r="XFD1048563" i="1" s="1"/>
  <c r="XFD1048564" i="1" a="1"/>
  <c r="XFD1048564" i="1" s="1"/>
  <c r="XFD1048565" i="1" a="1"/>
  <c r="XFD1048565" i="1" s="1"/>
  <c r="XFD1048566" i="1" a="1"/>
  <c r="XFD1048566" i="1" s="1"/>
  <c r="XFD1048567" i="1" a="1"/>
  <c r="XFD1048567" i="1"/>
  <c r="XFD1048568" i="1" a="1"/>
  <c r="XFD1048568" i="1" s="1"/>
  <c r="XFD1048569" i="1" a="1"/>
  <c r="XFD1048569" i="1"/>
  <c r="XFD1048570" i="1" a="1"/>
  <c r="XFD1048570" i="1" s="1"/>
  <c r="XFD1048571" i="1" a="1"/>
  <c r="XFD1048571" i="1" s="1"/>
  <c r="XFD1048572" i="1" a="1"/>
  <c r="XFD1048572" i="1" s="1"/>
  <c r="XFD1048573" i="1" a="1"/>
  <c r="XFD1048573" i="1" s="1"/>
  <c r="XFD1048574" i="1" a="1"/>
  <c r="XFD1048574" i="1" s="1"/>
  <c r="XFD1048575" i="1" a="1"/>
  <c r="XFD1048575" i="1"/>
  <c r="G3" i="1"/>
  <c r="F9" i="1" l="1"/>
  <c r="G9" i="1" s="1"/>
  <c r="F8" i="1"/>
  <c r="G8" i="1" s="1"/>
  <c r="F7" i="1"/>
  <c r="G7" i="1" s="1"/>
  <c r="F6" i="1"/>
  <c r="G6" i="1" s="1"/>
  <c r="F5" i="1"/>
  <c r="G5" i="1" s="1"/>
  <c r="F4" i="1"/>
  <c r="G4" i="1" s="1"/>
  <c r="C13" i="1"/>
  <c r="C14" i="1" s="1"/>
  <c r="C20" i="1" s="1"/>
  <c r="C16" i="1" l="1"/>
  <c r="C21" i="1" l="1"/>
  <c r="H8" i="1"/>
  <c r="H5" i="1"/>
  <c r="H4" i="1"/>
  <c r="H7" i="1"/>
  <c r="H6" i="1"/>
  <c r="H9" i="1"/>
  <c r="A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<sst xmlns="http://schemas.openxmlformats.org/spreadsheetml/2006/main" count="35" uniqueCount="28">
  <si>
    <t>IPTG (mM)</t>
  </si>
  <si>
    <t>&lt;n&gt; (mRNA/cell)</t>
  </si>
  <si>
    <t>low (mRNA/cell)</t>
  </si>
  <si>
    <t>high (mRNA/cell)</t>
  </si>
  <si>
    <t>OD600</t>
  </si>
  <si>
    <t>Equivilent(Cells/ml)</t>
  </si>
  <si>
    <t>V (sample volume)(ml)</t>
  </si>
  <si>
    <t>Nc*V (# of cells)</t>
  </si>
  <si>
    <t>&lt;n&gt; (nmol)</t>
  </si>
  <si>
    <t>Table 1 from problem 1</t>
  </si>
  <si>
    <t>Calculations</t>
  </si>
  <si>
    <t>Nc</t>
  </si>
  <si>
    <t>From ECMDB Escherichia coli Statistics</t>
  </si>
  <si>
    <t>Given Values</t>
  </si>
  <si>
    <t>Calculated Values</t>
  </si>
  <si>
    <t xml:space="preserve">Mc=E Coli Cell dry Mass (gdw/cell) </t>
  </si>
  <si>
    <t>Beta (gDW)=Mc*Nc*V</t>
  </si>
  <si>
    <t>&lt;n&gt;/Beta (nmol/gdw)=&lt;n&gt; (nmol) / Beta</t>
  </si>
  <si>
    <t>&lt;n&gt; (mol)=&lt;n&gt; (mRNA/cell) / Avogadro Number</t>
  </si>
  <si>
    <t>n</t>
  </si>
  <si>
    <t>Data from Fitting Solver</t>
  </si>
  <si>
    <t>Initial Estimate</t>
  </si>
  <si>
    <t>w1</t>
  </si>
  <si>
    <t>w2</t>
  </si>
  <si>
    <t>K</t>
  </si>
  <si>
    <t>gain</t>
  </si>
  <si>
    <t>m*</t>
  </si>
  <si>
    <t>log IPTG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</si>
</sst>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0" xfId="0" applyAlignment="1">
      <alignment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Fill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0" xfId="0" applyFont="1" applyBorder="1"/>
    <xf numFmtId="0" fontId="7" fillId="0" borderId="0" xfId="0" applyFont="1" applyBorder="1"/>
    <xf numFmtId="0" fontId="3" fillId="0" borderId="0" xfId="0" applyFont="1" applyBorder="1"/>
    <xf numFmtId="0" fontId="4" fillId="0" borderId="1" xfId="0" applyFont="1" applyFill="1" applyBorder="1" applyAlignment="1">
      <alignment horizontal="center"/>
    </xf>
    <xf numFmtId="0" fontId="0" fillId="0" borderId="0" xfId="0" applyFill="1"/>
    <xf numFmtId="0" fontId="4" fillId="0" borderId="1" xfId="0" applyFont="1" applyFill="1" applyBorder="1"/>
    <xf numFmtId="0" fontId="0" fillId="0" borderId="1" xfId="0" applyFill="1" applyBorder="1"/>
    <xf numFmtId="0" fontId="6" fillId="0" borderId="0" xfId="0" applyFont="1" applyFill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0" xfId="0" applyFont="1" applyFill="1"/>
    <xf numFmtId="0" fontId="2" fillId="0" borderId="0" xfId="0" applyFont="1" applyBorder="1" applyAlignment="1"/>
    <xf numFmtId="0" fontId="4" fillId="0" borderId="0" xfId="0" applyFont="1" applyBorder="1" applyAlignment="1"/>
    <xf numFmtId="0" fontId="0" fillId="0" borderId="0" xfId="0" applyFont="1" applyBorder="1"/>
    <xf numFmtId="0" fontId="0" fillId="0" borderId="1" xfId="0" applyFont="1" applyBorder="1"/>
    <xf numFmtId="0" fontId="1" fillId="0" borderId="1" xfId="0" applyFont="1" applyBorder="1" applyAlignment="1"/>
    <xf numFmtId="0" fontId="4" fillId="2" borderId="1" xfId="0" applyFont="1" applyFill="1" applyBorder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experimental and calculated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'Problem1a&amp;1c&amp;1d'!$C$24:$C$30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5.2999999999999999E-2</c:v>
                </c:pt>
                <c:pt idx="5">
                  <c:v>0.216</c:v>
                </c:pt>
                <c:pt idx="6">
                  <c:v>1</c:v>
                </c:pt>
              </c:numCache>
            </c:numRef>
          </c:xVal>
          <c:yVal>
            <c:numRef>
              <c:f>'Problem1a&amp;1c&amp;1d'!$B$24:$B$30</c:f>
              <c:numCache>
                <c:formatCode>General</c:formatCode>
                <c:ptCount val="7"/>
                <c:pt idx="0">
                  <c:v>1.0516993246983283E-9</c:v>
                </c:pt>
                <c:pt idx="1">
                  <c:v>1.1624045167718366E-9</c:v>
                </c:pt>
                <c:pt idx="2">
                  <c:v>2.2694564375069186E-9</c:v>
                </c:pt>
                <c:pt idx="3">
                  <c:v>3.7086239344625264E-9</c:v>
                </c:pt>
                <c:pt idx="4">
                  <c:v>4.7603232591608538E-9</c:v>
                </c:pt>
                <c:pt idx="5">
                  <c:v>5.1477914314181342E-9</c:v>
                </c:pt>
                <c:pt idx="6">
                  <c:v>5.1477914314181342E-9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2-1D4E-B2B4-69F81C9A39B4}"/>
            </c:ext>
          </c:extLst>
        </c:ser>
        <c:ser>
          <c:idx val="1"/>
          <c:order val="1"/>
          <c:tx>
            <c:v>calculated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'Problem1a&amp;1c&amp;1d'!$C$24:$C$30</c:f>
              <c:numCache>
                <c:formatCode>General</c:formatCode>
                <c:ptCount val="7"/>
                <c:pt idx="0">
                  <c:v>0</c:v>
                </c:pt>
                <c:pt idx="1">
                  <c:v>5.0000000000000001E-4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5.2999999999999999E-2</c:v>
                </c:pt>
                <c:pt idx="5">
                  <c:v>0.216</c:v>
                </c:pt>
                <c:pt idx="6">
                  <c:v>1</c:v>
                </c:pt>
              </c:numCache>
            </c:numRef>
          </c:xVal>
          <c:yVal>
            <c:numRef>
              <c:f>'Problem1a&amp;1c&amp;1d'!$E$24:$E$30</c:f>
              <c:numCache>
                <c:formatCode>0.00E+00</c:formatCode>
                <c:ptCount val="7"/>
                <c:pt idx="0">
                  <c:v>8.8333333333333349E-10</c:v>
                </c:pt>
                <c:pt idx="1">
                  <c:v>1.0228458755010783E-9</c:v>
                </c:pt>
                <c:pt idx="2">
                  <c:v>2.388363093042267E-9</c:v>
                </c:pt>
                <c:pt idx="3">
                  <c:v>3.5173714613170727E-9</c:v>
                </c:pt>
                <c:pt idx="4">
                  <c:v>4.847855786633611E-9</c:v>
                </c:pt>
                <c:pt idx="5">
                  <c:v>5.2077844092617107E-9</c:v>
                </c:pt>
                <c:pt idx="6">
                  <c:v>5.2841921747188976E-9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C2-1D4E-B2B4-69F81C9A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80"/>
        <c:axId val="1274112"/>
      </c:scatterChart>
      <c:valAx>
        <c:axId val="12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12"/>
        <c:crosses val="autoZero"/>
        <c:crossBetween val="midCat"/>
      </c:valAx>
      <c:valAx>
        <c:axId val="12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(nmol/gdw)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compare experimental and calculated data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767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calculated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'Problem1a&amp;1c&amp;1d'!$D$24:$D$30</c:f>
              <c:numCache>
                <c:formatCode>General</c:formatCode>
                <c:ptCount val="7"/>
                <c:pt idx="1">
                  <c:v>-3.3010299956639813</c:v>
                </c:pt>
                <c:pt idx="2">
                  <c:v>-2.3010299956639813</c:v>
                </c:pt>
                <c:pt idx="3">
                  <c:v>-1.9208187539523751</c:v>
                </c:pt>
                <c:pt idx="4">
                  <c:v>-1.2757241303992111</c:v>
                </c:pt>
                <c:pt idx="5">
                  <c:v>-0.6655462488490691</c:v>
                </c:pt>
                <c:pt idx="6">
                  <c:v>0</c:v>
                </c:pt>
              </c:numCache>
            </c:numRef>
          </c:xVal>
          <c:yVal>
            <c:numRef>
              <c:f>'Problem1a&amp;1c&amp;1d'!$E$24:$E$30</c:f>
              <c:numCache>
                <c:formatCode>0.00E+00</c:formatCode>
                <c:ptCount val="7"/>
                <c:pt idx="0">
                  <c:v>8.8333333333333349E-10</c:v>
                </c:pt>
                <c:pt idx="1">
                  <c:v>1.0228458755010783E-9</c:v>
                </c:pt>
                <c:pt idx="2">
                  <c:v>2.388363093042267E-9</c:v>
                </c:pt>
                <c:pt idx="3">
                  <c:v>3.5173714613170727E-9</c:v>
                </c:pt>
                <c:pt idx="4">
                  <c:v>4.847855786633611E-9</c:v>
                </c:pt>
                <c:pt idx="5">
                  <c:v>5.2077844092617107E-9</c:v>
                </c:pt>
                <c:pt idx="6">
                  <c:v>5.2841921747188976E-9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F-214D-8BF2-A477AA5AA650}"/>
            </c:ext>
          </c:extLst>
        </c:ser>
        <c:ser>
          <c:idx val="1"/>
          <c:order val="1"/>
          <c:tx>
            <c:v>experimental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'Problem1a&amp;1c&amp;1d'!$D$24:$D$30</c:f>
              <c:numCache>
                <c:formatCode>General</c:formatCode>
                <c:ptCount val="7"/>
                <c:pt idx="1">
                  <c:v>-3.3010299956639813</c:v>
                </c:pt>
                <c:pt idx="2">
                  <c:v>-2.3010299956639813</c:v>
                </c:pt>
                <c:pt idx="3">
                  <c:v>-1.9208187539523751</c:v>
                </c:pt>
                <c:pt idx="4">
                  <c:v>-1.2757241303992111</c:v>
                </c:pt>
                <c:pt idx="5">
                  <c:v>-0.6655462488490691</c:v>
                </c:pt>
                <c:pt idx="6">
                  <c:v>0</c:v>
                </c:pt>
              </c:numCache>
            </c:numRef>
          </c:xVal>
          <c:yVal>
            <c:numRef>
              <c:f>'Problem1a&amp;1c&amp;1d'!$B$24:$B$30</c:f>
              <c:numCache>
                <c:formatCode>General</c:formatCode>
                <c:ptCount val="7"/>
                <c:pt idx="0">
                  <c:v>1.0516993246983283E-9</c:v>
                </c:pt>
                <c:pt idx="1">
                  <c:v>1.1624045167718366E-9</c:v>
                </c:pt>
                <c:pt idx="2">
                  <c:v>2.2694564375069186E-9</c:v>
                </c:pt>
                <c:pt idx="3">
                  <c:v>3.7086239344625264E-9</c:v>
                </c:pt>
                <c:pt idx="4">
                  <c:v>4.7603232591608538E-9</c:v>
                </c:pt>
                <c:pt idx="5">
                  <c:v>5.1477914314181342E-9</c:v>
                </c:pt>
                <c:pt idx="6">
                  <c:v>5.1477914314181342E-9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2F-214D-8BF2-A477AA5AA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080"/>
        <c:axId val="8028320"/>
      </c:scatterChart>
      <c:valAx>
        <c:axId val="82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320"/>
        <c:crosses val="autoZero"/>
        <c:crossBetween val="midCat"/>
      </c:valAx>
      <c:valAx>
        <c:axId val="80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(nmol/gdw)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39</xdr:row>
      <xdr:rowOff>19050</xdr:rowOff>
    </xdr:from>
    <xdr:to>
      <xdr:col>3</xdr:col>
      <xdr:colOff>95250</xdr:colOff>
      <xdr:row>53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AC185-CF97-1249-9C5B-0BB6E4ED2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1454150</xdr:colOff>
      <xdr:row>39</xdr:row>
      <xdr:rowOff>184150</xdr:rowOff>
    </xdr:from>
    <xdr:to>
      <xdr:col>6</xdr:col>
      <xdr:colOff>222250</xdr:colOff>
      <xdr:row>54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9CEB10-8EB8-E34A-A66E-6C07528F8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330200</xdr:colOff>
      <xdr:row>55</xdr:row>
      <xdr:rowOff>139700</xdr:rowOff>
    </xdr:from>
    <xdr:ext cx="5902384" cy="95346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4E45E8A-BF99-5E44-AD8D-4ED800968C87}"/>
            </a:ext>
          </a:extLst>
        </xdr:cNvPr>
        <xdr:cNvSpPr txBox="1"/>
      </xdr:nvSpPr>
      <xdr:spPr>
        <a:xfrm>
          <a:off x="330200" y="10693400"/>
          <a:ext cx="5902384" cy="953466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d).The model has the correct shape, and the experimental and calculated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fits well. The promoter function u controls the shape of the response, and the parameters in K control the fit. From an analysis of the model, the K function is most sensitive to changes in the saturation and time constant values .</a:t>
          </a:r>
          <a:endParaRPr lang="en-US" b="1"/>
        </a:p>
        <a:p>
          <a:endParaRPr 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5E3B37E-2A76-B04C-97E2-2E082105B0D7}">
  <we:reference id="wa104100404" version="2.0.0.0" store="en-US" storeType="OMEX"/>
  <we:alternateReferences>
    <we:reference id="WA104100404" version="2.0.0.0" store="WA104100404" storeType="OMEX"/>
  </we:alternateReferences>
  <we:properties>
    <we:property name="UniqueID" value="&quot;20204121589265969320&quot;"/>
    <we:property name="VSpJfQQO" value="&quot;QCxMBlA=&quot;"/>
    <we:property name="VSpJQQkIODZHFxEaPw==" value="&quot;VA==&quot;"/>
    <we:property name="VSpJfwccAzpb" value="&quot;VQ==&quot;"/>
    <we:property name="VSpJQQkIODZHFxoRPw==" value="&quot;VQ==&quot;"/>
    <we:property name="VSpJQQkIODZHFwQGPQ==" value="&quot;VEVYAlZUfmI=&quot;"/>
    <we:property name="VSpJQQkIODZHFwcXNA==" value="&quot;VQ==&quot;"/>
    <we:property name="VSpJQQkIODZHFwYYIA==" value="&quot;VA==&quot;"/>
    <we:property name="VSpJQQkIODZHFwAbNA==" value="&quot;VEVYAw==&quot;"/>
    <we:property name="VSpJQQkIODZHFxcCPw==" value="&quot;VEVYAlZV&quot;"/>
    <we:property name="VSpJQQkIODZHFxkHNA==" value="&quot;VA==&quot;"/>
    <we:property name="VSpJQQkIODZHFwcHIg==" value="&quot;VVtY&quot;"/>
    <we:property name="VSpJQQkIODZHFwYHPA==" value="&quot;VA==&quot;"/>
    <we:property name="VSpJQQkIODZHFxkGLA==" value="&quot;VEVYBVM=&quot;"/>
    <we:property name="VSpJQQkIODZHFxkaMQ==" value="&quot;V1s=&quot;"/>
    <we:property name="VSpJQQkIODZHFwYWLg==" value="&quot;VQ==&quot;"/>
    <we:property name="VSpJQQkIODZHFxoAKg==" value="&quot;Vg==&quot;"/>
    <we:property name="VSpJQQkIODZHFxUXOw==" value="&quot;VEVYAlc=&quot;"/>
    <we:property name="VSpJQQkIODZHFwYRKw==" value="&quot;UQ==&quot;"/>
    <we:property name="VSpJQQkIODZHFxUGKw==" value="&quot;VQ==&quot;"/>
    <we:property name="VSpJQQkIODZHFwcAOQ==" value="&quot;VA==&quot;"/>
    <we:property name="VSpJQQkIODZHFxkRLA==" value="&quot;Vg==&quot;"/>
    <we:property name="VSpJQQkIODZHFwcbOw==" value="&quot;VA==&quot;"/>
    <we:property name="VSpJQQkIODZHFxgELA==" value="&quot;VA==&quot;"/>
    <we:property name="VSpJQQkIODZHFxgEKA==" value="&quot;VA==&quot;"/>
    <we:property name="VSpJQQkIODZHFxMVKA==" value="&quot;VEVYAlZUfmI=&quot;"/>
    <we:property name="VSpJQQkIODZHFx0EKw==" value="&quot;VEVRCw==&quot;"/>
    <we:property name="VSpJQQkIODZHFxIROQ==" value="&quot;VEVYAlZUfmI=&quot;"/>
    <we:property name="VSpJQQkIODZHFx0EMQ==" value="&quot;VQ==&quot;"/>
    <we:property name="VSpJQQkIODZHFx0EPA==" value="&quot;Vw==&quot;"/>
    <we:property name="VSpJZAcWJzJXJBEH" value="&quot;QCxMBlZeahQRfEc=&quot;"/>
    <we:property name="VSpJQQkIODZHFxEHLA==" value="&quot;VQ==&quot;"/>
    <we:property name="VSpJQQkIODZHFxoDLA==" value="&quot;VQ==&quot;"/>
    <we:property name="VSpJQQkIODZHFwAZKw==" value="&quot;VA==&quot;"/>
    <we:property name="VSpJQQkIODZHFx8dLg==" value="&quot;&quot;"/>
    <we:property name="NBkHVhMHOnN4IQxVKyBcRAEZN1wTCQ==" value="&quot;Vg==&quot;"/>
    <we:property name="NBkHVhMHOnN4IQxVKyBcRAEZN0ADCH8=" value="&quot;RFdVEg==&quot;"/>
    <we:property name="NBkHVhMHOnN4IQxVKyBcRAEZN0ADCHw=" value="&quot;RFVVEg==&quot;"/>
    <we:property name="NBkHVhMHOnN4IQxVKyBcRAEZN14OF38=" value="&quot;QChMA1deahAReUE=&quot;"/>
    <we:property name="NBkHVhMHOnN4IQxVKyBcRAEZN0AOF38=" value="&quot;QClMA1deahEReUE=&quot;"/>
    <we:property name="NBkHVhMHOnN4IQxVKyBcRAEZN14OF3w=" value="&quot;QC9MC1xACHcM&quot;"/>
    <we:property name="NBkHVhMHOnN4IQxVKyBcRAEZN0AOF3w=" value="&quot;VA==&quot;"/>
    <we:property name="NBkHVhMHOnN4IQxVDi5CWwUJBFcV" value="&quot;QC9MC1xACHcM&quot;"/>
    <we:property name="NBkHVhMHOnN4IQxVFy1a" value="&quot;QC9MA14=&quot;"/>
    <we:property name="NBkHVhMHOnN4IQxVFS5Ifw0F" value="&quot;VQ==&quot;"/>
    <we:property name="NBkHVhMHOnN4IQxVKyBcRAEZN1cIAw==" value="&quot;VA==&quot;"/>
  </we:properties>
  <we:bindings>
    <we:binding id="refEdit" type="matrix" appref="{995A0E85-043C-7640-ACF3-3EB8ABC34D3F}"/>
    <we:binding id="Worker" type="matrix" appref="{B3DD85A2-6D9F-8744-B4CE-2712B6EC6AE2}"/>
    <we:binding id="Var0" type="matrix" appref="{A4245FEF-E277-E545-B335-23721A842461}"/>
    <we:binding id="Obj" type="matrix" appref="{6AF0F39D-4EAF-9144-9DFC-5D6C7AA45C2E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7CF0-7032-4498-A816-5C01F69C2136}">
  <dimension ref="A1:XFD1048575"/>
  <sheetViews>
    <sheetView tabSelected="1" topLeftCell="A20" workbookViewId="0">
      <selection activeCell="D32" sqref="D32"/>
    </sheetView>
  </sheetViews>
  <sheetFormatPr baseColWidth="10" defaultColWidth="8.83203125" defaultRowHeight="15"/>
  <cols>
    <col min="2" max="2" width="34.1640625" bestFit="1" customWidth="1"/>
    <col min="3" max="3" width="19.1640625" bestFit="1" customWidth="1"/>
    <col min="4" max="4" width="21.83203125" bestFit="1" customWidth="1"/>
    <col min="5" max="5" width="16.5" bestFit="1" customWidth="1"/>
    <col min="6" max="6" width="37.83203125" bestFit="1" customWidth="1"/>
    <col min="7" max="7" width="31.83203125" bestFit="1" customWidth="1"/>
    <col min="8" max="8" width="31" bestFit="1" customWidth="1"/>
    <col min="9" max="9" width="17.5" bestFit="1" customWidth="1"/>
    <col min="10" max="10" width="11" bestFit="1" customWidth="1"/>
  </cols>
  <sheetData>
    <row r="1" spans="1:9">
      <c r="A1" s="15" t="s">
        <v>9</v>
      </c>
      <c r="B1" s="15"/>
      <c r="C1" s="15"/>
      <c r="D1" s="15"/>
      <c r="E1" s="16"/>
      <c r="F1" s="15" t="s">
        <v>10</v>
      </c>
      <c r="G1" s="15"/>
      <c r="H1" s="15"/>
    </row>
    <row r="2" spans="1:9">
      <c r="A2" s="17" t="s">
        <v>0</v>
      </c>
      <c r="B2" s="17" t="s">
        <v>1</v>
      </c>
      <c r="C2" s="17" t="s">
        <v>2</v>
      </c>
      <c r="D2" s="17" t="s">
        <v>3</v>
      </c>
      <c r="E2" s="16"/>
      <c r="F2" s="17" t="s">
        <v>18</v>
      </c>
      <c r="G2" s="17" t="s">
        <v>8</v>
      </c>
      <c r="H2" s="28" t="s">
        <v>17</v>
      </c>
      <c r="I2" s="2"/>
    </row>
    <row r="3" spans="1:9">
      <c r="A3" s="18">
        <v>0</v>
      </c>
      <c r="B3" s="18">
        <v>19</v>
      </c>
      <c r="C3" s="18">
        <v>18</v>
      </c>
      <c r="D3" s="18">
        <v>20</v>
      </c>
      <c r="E3" s="16"/>
      <c r="F3" s="18">
        <f>B3/(6.022*10^23)</f>
        <v>3.1550979740949853E-23</v>
      </c>
      <c r="G3" s="18">
        <f>F3*10^9</f>
        <v>3.1550979740949851E-14</v>
      </c>
      <c r="H3" s="29">
        <f>G3/$C$21</f>
        <v>1.0516993246983283E-9</v>
      </c>
    </row>
    <row r="4" spans="1:9">
      <c r="A4" s="18">
        <f>5*10^-4</f>
        <v>5.0000000000000001E-4</v>
      </c>
      <c r="B4" s="18">
        <v>21</v>
      </c>
      <c r="C4" s="18">
        <v>17</v>
      </c>
      <c r="D4" s="18">
        <v>26</v>
      </c>
      <c r="E4" s="16"/>
      <c r="F4" s="18">
        <f>B4/(6.022*10^23)</f>
        <v>3.4872135503155098E-23</v>
      </c>
      <c r="G4" s="18">
        <f t="shared" ref="G4:G9" si="0">F4*10^9</f>
        <v>3.4872135503155101E-14</v>
      </c>
      <c r="H4" s="29">
        <f>G4/$C$21</f>
        <v>1.1624045167718366E-9</v>
      </c>
    </row>
    <row r="5" spans="1:9">
      <c r="A5" s="18">
        <v>5.0000000000000001E-3</v>
      </c>
      <c r="B5" s="18">
        <v>41</v>
      </c>
      <c r="C5" s="18">
        <v>37</v>
      </c>
      <c r="D5" s="18">
        <v>44</v>
      </c>
      <c r="E5" s="16"/>
      <c r="F5" s="18">
        <f>B5/(6.022*10^23)</f>
        <v>6.8083693125207576E-23</v>
      </c>
      <c r="G5" s="18">
        <f t="shared" si="0"/>
        <v>6.808369312520757E-14</v>
      </c>
      <c r="H5" s="29">
        <f>G5/$C$21</f>
        <v>2.2694564375069186E-9</v>
      </c>
    </row>
    <row r="6" spans="1:9">
      <c r="A6" s="18">
        <v>1.2E-2</v>
      </c>
      <c r="B6" s="18">
        <v>67</v>
      </c>
      <c r="C6" s="18">
        <v>65</v>
      </c>
      <c r="D6" s="18">
        <v>69</v>
      </c>
      <c r="E6" s="16"/>
      <c r="F6" s="18">
        <f>B6/(6.022*10^23)</f>
        <v>1.1125871803387581E-22</v>
      </c>
      <c r="G6" s="18">
        <f t="shared" si="0"/>
        <v>1.1125871803387581E-13</v>
      </c>
      <c r="H6" s="29">
        <f>G6/$C$21</f>
        <v>3.7086239344625264E-9</v>
      </c>
    </row>
    <row r="7" spans="1:9">
      <c r="A7" s="18">
        <v>5.2999999999999999E-2</v>
      </c>
      <c r="B7" s="18">
        <v>86</v>
      </c>
      <c r="C7" s="18">
        <v>84</v>
      </c>
      <c r="D7" s="18">
        <v>88</v>
      </c>
      <c r="E7" s="16"/>
      <c r="F7" s="18">
        <f>B7/(6.022*10^23)</f>
        <v>1.4280969777482565E-22</v>
      </c>
      <c r="G7" s="18">
        <f t="shared" si="0"/>
        <v>1.4280969777482564E-13</v>
      </c>
      <c r="H7" s="29">
        <f>G7/$C$21</f>
        <v>4.7603232591608538E-9</v>
      </c>
    </row>
    <row r="8" spans="1:9">
      <c r="A8" s="18">
        <v>0.216</v>
      </c>
      <c r="B8" s="18">
        <v>93</v>
      </c>
      <c r="C8" s="18">
        <v>91</v>
      </c>
      <c r="D8" s="18">
        <v>95</v>
      </c>
      <c r="E8" s="16"/>
      <c r="F8" s="18">
        <f>B8/(6.022*10^23)</f>
        <v>1.5443374294254402E-22</v>
      </c>
      <c r="G8" s="18">
        <f t="shared" si="0"/>
        <v>1.5443374294254403E-13</v>
      </c>
      <c r="H8" s="29">
        <f>G8/$C$21</f>
        <v>5.1477914314181342E-9</v>
      </c>
    </row>
    <row r="9" spans="1:9">
      <c r="A9" s="18">
        <v>1</v>
      </c>
      <c r="B9" s="18">
        <v>93</v>
      </c>
      <c r="C9" s="18">
        <v>92</v>
      </c>
      <c r="D9" s="18">
        <v>94</v>
      </c>
      <c r="E9" s="16"/>
      <c r="F9" s="18">
        <f>B9/(6.022*10^23)</f>
        <v>1.5443374294254402E-22</v>
      </c>
      <c r="G9" s="18">
        <f t="shared" si="0"/>
        <v>1.5443374294254403E-13</v>
      </c>
      <c r="H9" s="29">
        <f>G9/$C$21</f>
        <v>5.1477914314181342E-9</v>
      </c>
    </row>
    <row r="10" spans="1:9">
      <c r="A10" s="16"/>
      <c r="B10" s="16"/>
      <c r="C10" s="16"/>
      <c r="D10" s="16"/>
      <c r="E10" s="16"/>
      <c r="F10" s="16"/>
      <c r="G10" s="16"/>
      <c r="H10" s="16"/>
    </row>
    <row r="11" spans="1:9">
      <c r="A11" s="16"/>
      <c r="B11" s="15" t="s">
        <v>13</v>
      </c>
      <c r="C11" s="15"/>
      <c r="D11" s="16"/>
      <c r="E11" s="16"/>
      <c r="F11" s="16"/>
      <c r="G11" s="16"/>
      <c r="H11" s="16"/>
    </row>
    <row r="12" spans="1:9">
      <c r="A12" s="16"/>
      <c r="B12" s="17" t="s">
        <v>4</v>
      </c>
      <c r="C12" s="18">
        <v>0.1</v>
      </c>
      <c r="D12" s="16"/>
      <c r="E12" s="16"/>
      <c r="F12" s="16"/>
      <c r="G12" s="16"/>
      <c r="H12" s="16"/>
    </row>
    <row r="13" spans="1:9">
      <c r="A13" s="16"/>
      <c r="B13" s="17" t="s">
        <v>5</v>
      </c>
      <c r="C13" s="18">
        <f>10^8</f>
        <v>100000000</v>
      </c>
      <c r="D13" s="16"/>
      <c r="E13" s="16"/>
      <c r="F13" s="16"/>
      <c r="G13" s="16"/>
      <c r="H13" s="16"/>
    </row>
    <row r="14" spans="1:9">
      <c r="A14" s="16"/>
      <c r="B14" s="17" t="s">
        <v>11</v>
      </c>
      <c r="C14" s="18">
        <f>C13</f>
        <v>100000000</v>
      </c>
      <c r="D14" s="16"/>
      <c r="E14" s="16"/>
      <c r="F14" s="16"/>
      <c r="G14" s="16"/>
      <c r="H14" s="16"/>
    </row>
    <row r="15" spans="1:9">
      <c r="A15" s="16"/>
      <c r="B15" s="17" t="s">
        <v>6</v>
      </c>
      <c r="C15" s="18">
        <v>1</v>
      </c>
      <c r="D15" s="16"/>
      <c r="E15" s="16"/>
      <c r="F15" s="16"/>
      <c r="G15" s="16"/>
      <c r="H15" s="16"/>
    </row>
    <row r="16" spans="1:9">
      <c r="A16" s="16"/>
      <c r="B16" s="17" t="s">
        <v>15</v>
      </c>
      <c r="C16" s="18">
        <f>3*10^-13</f>
        <v>3.0000000000000003E-13</v>
      </c>
      <c r="D16" s="16"/>
      <c r="E16" s="16"/>
      <c r="F16" s="16"/>
      <c r="G16" s="16"/>
      <c r="H16" s="16"/>
    </row>
    <row r="17" spans="1:11">
      <c r="A17" s="16"/>
      <c r="B17" s="19" t="s">
        <v>12</v>
      </c>
      <c r="C17" s="16"/>
      <c r="D17" s="16"/>
      <c r="E17" s="16"/>
      <c r="F17" s="16"/>
      <c r="G17" s="16"/>
      <c r="H17" s="16"/>
    </row>
    <row r="18" spans="1:11">
      <c r="A18" s="16"/>
      <c r="B18" s="16"/>
      <c r="C18" s="16"/>
      <c r="D18" s="16"/>
      <c r="E18" s="16"/>
      <c r="F18" s="16"/>
      <c r="G18" s="16"/>
      <c r="H18" s="16"/>
    </row>
    <row r="19" spans="1:11">
      <c r="A19" s="16"/>
      <c r="B19" s="20" t="s">
        <v>14</v>
      </c>
      <c r="C19" s="21"/>
      <c r="D19" s="16"/>
      <c r="E19" s="16"/>
      <c r="F19" s="16"/>
      <c r="G19" s="16"/>
      <c r="H19" s="16"/>
    </row>
    <row r="20" spans="1:11">
      <c r="A20" s="16"/>
      <c r="B20" s="17" t="s">
        <v>7</v>
      </c>
      <c r="C20" s="18">
        <f>$C$14*$C$15</f>
        <v>100000000</v>
      </c>
      <c r="D20" s="16"/>
      <c r="E20" s="22"/>
      <c r="F20" s="16"/>
      <c r="G20" s="16"/>
      <c r="H20" s="16"/>
    </row>
    <row r="21" spans="1:11">
      <c r="A21" s="16"/>
      <c r="B21" s="17" t="s">
        <v>16</v>
      </c>
      <c r="C21" s="18">
        <f>$C$16*$C$20</f>
        <v>3.0000000000000004E-5</v>
      </c>
      <c r="D21" s="16"/>
      <c r="E21" s="22"/>
      <c r="F21" s="16"/>
      <c r="G21" s="16"/>
      <c r="H21" s="16"/>
    </row>
    <row r="22" spans="1:11">
      <c r="A22" s="16"/>
      <c r="B22" s="16"/>
      <c r="C22" s="16"/>
      <c r="D22" s="16"/>
      <c r="E22" s="22"/>
      <c r="F22" s="16"/>
      <c r="G22" s="16"/>
      <c r="H22" s="16"/>
    </row>
    <row r="23" spans="1:11">
      <c r="B23" s="4" t="s">
        <v>17</v>
      </c>
      <c r="C23" s="4" t="s">
        <v>0</v>
      </c>
      <c r="D23" s="4" t="s">
        <v>27</v>
      </c>
      <c r="E23" s="4" t="s">
        <v>26</v>
      </c>
    </row>
    <row r="24" spans="1:11">
      <c r="B24" s="26">
        <v>1.0516993246983283E-9</v>
      </c>
      <c r="C24" s="1">
        <v>0</v>
      </c>
      <c r="D24" s="1"/>
      <c r="E24" s="30">
        <f>$C$37*(($C$34+$C$35*((C24^$C$38)/($C$36^$C$38+C24^$C$38)))/(1+$C$34+$C$35*((C24^$C$38)/($C$36^$C$38+C24^$C$38))))</f>
        <v>8.8333333333333349E-10</v>
      </c>
    </row>
    <row r="25" spans="1:11" ht="16">
      <c r="B25" s="27">
        <v>1.1624045167718366E-9</v>
      </c>
      <c r="C25" s="27">
        <v>5.0000000000000001E-4</v>
      </c>
      <c r="D25" s="27">
        <f>LOG(C25)</f>
        <v>-3.3010299956639813</v>
      </c>
      <c r="E25" s="30">
        <f t="shared" ref="E25:E30" si="1">$C$37*(($C$34+$C$35*((C25^$C$38)/($C$36^$C$38+C25^$C$38)))/(1+$C$34+$C$35*((C25^$C$38)/($C$36^$C$38+C25^$C$38))))</f>
        <v>1.0228458755010783E-9</v>
      </c>
      <c r="F25" s="23"/>
      <c r="G25" s="9"/>
      <c r="H25" s="9"/>
      <c r="I25" s="9"/>
      <c r="J25" s="9"/>
      <c r="K25" s="9"/>
    </row>
    <row r="26" spans="1:11" ht="16">
      <c r="B26" s="26">
        <v>2.2694564375069186E-9</v>
      </c>
      <c r="C26" s="26">
        <v>5.0000000000000001E-3</v>
      </c>
      <c r="D26" s="27">
        <f t="shared" ref="D26:D30" si="2">LOG(C26)</f>
        <v>-2.3010299956639813</v>
      </c>
      <c r="E26" s="30">
        <f t="shared" si="1"/>
        <v>2.388363093042267E-9</v>
      </c>
      <c r="F26" s="10"/>
      <c r="G26" s="9"/>
      <c r="H26" s="9"/>
      <c r="I26" s="9"/>
      <c r="J26" s="9"/>
      <c r="K26" s="9"/>
    </row>
    <row r="27" spans="1:11" ht="16">
      <c r="B27" s="26">
        <v>3.7086239344625264E-9</v>
      </c>
      <c r="C27" s="1">
        <v>1.2E-2</v>
      </c>
      <c r="D27" s="27">
        <f t="shared" si="2"/>
        <v>-1.9208187539523751</v>
      </c>
      <c r="E27" s="30">
        <f t="shared" si="1"/>
        <v>3.5173714613170727E-9</v>
      </c>
      <c r="F27" s="9"/>
      <c r="G27" s="9"/>
      <c r="H27" s="9"/>
      <c r="I27" s="9"/>
      <c r="J27" s="9"/>
      <c r="K27" s="9"/>
    </row>
    <row r="28" spans="1:11" ht="16">
      <c r="B28" s="26">
        <v>4.7603232591608538E-9</v>
      </c>
      <c r="C28" s="1">
        <v>5.2999999999999999E-2</v>
      </c>
      <c r="D28" s="27">
        <f t="shared" si="2"/>
        <v>-1.2757241303992111</v>
      </c>
      <c r="E28" s="30">
        <f t="shared" si="1"/>
        <v>4.847855786633611E-9</v>
      </c>
      <c r="F28" s="9"/>
      <c r="G28" s="9"/>
      <c r="H28" s="9"/>
      <c r="I28" s="9"/>
      <c r="J28" s="9"/>
      <c r="K28" s="9"/>
    </row>
    <row r="29" spans="1:11" ht="16">
      <c r="B29" s="26">
        <v>5.1477914314181342E-9</v>
      </c>
      <c r="C29" s="1">
        <v>0.216</v>
      </c>
      <c r="D29" s="27">
        <f t="shared" si="2"/>
        <v>-0.6655462488490691</v>
      </c>
      <c r="E29" s="30">
        <f t="shared" si="1"/>
        <v>5.2077844092617107E-9</v>
      </c>
      <c r="F29" s="9"/>
      <c r="G29" s="9"/>
      <c r="H29" s="9"/>
      <c r="I29" s="9"/>
      <c r="J29" s="9"/>
      <c r="K29" s="9"/>
    </row>
    <row r="30" spans="1:11" ht="16">
      <c r="B30" s="26">
        <v>5.1477914314181342E-9</v>
      </c>
      <c r="C30" s="18">
        <v>1</v>
      </c>
      <c r="D30" s="27">
        <f t="shared" si="2"/>
        <v>0</v>
      </c>
      <c r="E30" s="30">
        <f t="shared" si="1"/>
        <v>5.2841921747188976E-9</v>
      </c>
      <c r="F30" s="9"/>
      <c r="G30" s="9"/>
      <c r="H30" s="9"/>
      <c r="I30" s="9"/>
      <c r="J30" s="9"/>
      <c r="K30" s="9"/>
    </row>
    <row r="31" spans="1:11">
      <c r="B31" s="25"/>
      <c r="C31" s="9"/>
      <c r="D31" s="9"/>
      <c r="E31" s="9"/>
      <c r="F31" s="9"/>
      <c r="G31" s="9"/>
      <c r="H31" s="9"/>
      <c r="I31" s="9"/>
      <c r="J31" s="9"/>
      <c r="K31" s="9"/>
    </row>
    <row r="32" spans="1:11">
      <c r="B32" s="24"/>
      <c r="C32" s="24"/>
      <c r="D32" s="24"/>
      <c r="E32" s="9"/>
      <c r="F32" s="9"/>
      <c r="G32" s="9"/>
      <c r="H32" s="9"/>
      <c r="I32" s="9"/>
      <c r="J32" s="9"/>
      <c r="K32" s="9"/>
    </row>
    <row r="33" spans="2:11">
      <c r="B33" s="3" t="s">
        <v>20</v>
      </c>
      <c r="C33" s="3"/>
      <c r="E33" s="6" t="s">
        <v>21</v>
      </c>
      <c r="F33" s="7"/>
      <c r="G33" s="9"/>
      <c r="H33" s="9"/>
      <c r="I33" s="9"/>
      <c r="J33" s="9"/>
      <c r="K33" s="9"/>
    </row>
    <row r="34" spans="2:11">
      <c r="B34" s="4" t="s">
        <v>22</v>
      </c>
      <c r="C34" s="29">
        <v>0.2</v>
      </c>
      <c r="E34" s="4" t="s">
        <v>22</v>
      </c>
      <c r="F34" s="1">
        <v>0.5</v>
      </c>
      <c r="G34" s="9"/>
      <c r="H34" s="9"/>
      <c r="I34" s="9"/>
      <c r="J34" s="9"/>
      <c r="K34" s="9"/>
    </row>
    <row r="35" spans="2:11">
      <c r="B35" s="4" t="s">
        <v>23</v>
      </c>
      <c r="C35" s="29">
        <v>5000</v>
      </c>
      <c r="E35" s="4" t="s">
        <v>23</v>
      </c>
      <c r="F35" s="1">
        <v>300</v>
      </c>
      <c r="G35" s="9"/>
      <c r="H35" s="9"/>
      <c r="I35" s="9"/>
      <c r="J35" s="9"/>
      <c r="K35" s="9"/>
    </row>
    <row r="36" spans="2:11">
      <c r="B36" s="4" t="s">
        <v>24</v>
      </c>
      <c r="C36" s="30">
        <v>9</v>
      </c>
      <c r="E36" s="4" t="s">
        <v>24</v>
      </c>
      <c r="F36" s="1">
        <v>0.5</v>
      </c>
      <c r="G36" s="9"/>
      <c r="H36" s="9"/>
      <c r="I36" s="9"/>
      <c r="J36" s="9"/>
      <c r="K36" s="9"/>
    </row>
    <row r="37" spans="2:11">
      <c r="B37" s="4" t="s">
        <v>25</v>
      </c>
      <c r="C37" s="29">
        <v>5.3000000000000003E-9</v>
      </c>
      <c r="E37" s="4" t="s">
        <v>25</v>
      </c>
      <c r="F37" s="1">
        <v>1.5</v>
      </c>
      <c r="G37" s="9"/>
      <c r="H37" s="9"/>
      <c r="I37" s="9"/>
      <c r="J37" s="9"/>
      <c r="K37" s="9"/>
    </row>
    <row r="38" spans="2:11">
      <c r="B38" s="4" t="s">
        <v>19</v>
      </c>
      <c r="C38" s="29">
        <v>1.2</v>
      </c>
      <c r="E38" s="4" t="s">
        <v>19</v>
      </c>
      <c r="F38" s="1">
        <v>1.5</v>
      </c>
      <c r="G38" s="9"/>
      <c r="H38" s="9"/>
      <c r="I38" s="9"/>
      <c r="J38" s="9"/>
      <c r="K38" s="9"/>
    </row>
    <row r="39" spans="2:11">
      <c r="B39" s="10"/>
      <c r="C39" s="9"/>
      <c r="D39" s="9"/>
      <c r="E39" s="9"/>
      <c r="F39" s="11"/>
      <c r="G39" s="11"/>
      <c r="H39" s="9"/>
      <c r="I39" s="11"/>
      <c r="J39" s="11"/>
      <c r="K39" s="9"/>
    </row>
    <row r="40" spans="2:11">
      <c r="B40" s="10"/>
      <c r="C40" s="9"/>
      <c r="D40" s="9"/>
      <c r="E40" s="9"/>
      <c r="F40" s="9"/>
      <c r="G40" s="9"/>
      <c r="H40" s="9"/>
      <c r="I40" s="9"/>
      <c r="J40" s="9"/>
      <c r="K40" s="9"/>
    </row>
    <row r="41" spans="2:11">
      <c r="B41" s="10"/>
      <c r="C41" s="9"/>
      <c r="D41" s="9"/>
      <c r="E41" s="9"/>
      <c r="F41" s="9"/>
      <c r="G41" s="9"/>
      <c r="H41" s="9"/>
      <c r="I41" s="9"/>
      <c r="J41" s="9"/>
      <c r="K41" s="9"/>
    </row>
    <row r="42" spans="2:11">
      <c r="B42" s="10"/>
      <c r="C42" s="9"/>
      <c r="D42" s="9"/>
      <c r="E42" s="9"/>
      <c r="F42" s="9"/>
      <c r="G42" s="9"/>
      <c r="H42" s="9"/>
      <c r="I42" s="9"/>
      <c r="J42" s="9"/>
      <c r="K42" s="9"/>
    </row>
    <row r="43" spans="2:11">
      <c r="B43" s="10"/>
      <c r="C43" s="9"/>
      <c r="D43" s="9"/>
      <c r="E43" s="9"/>
      <c r="F43" s="9"/>
      <c r="G43" s="9"/>
      <c r="H43" s="9"/>
      <c r="I43" s="9"/>
      <c r="J43" s="9"/>
      <c r="K43" s="9"/>
    </row>
    <row r="44" spans="2:11">
      <c r="B44" s="10"/>
      <c r="C44" s="9"/>
      <c r="D44" s="9"/>
      <c r="E44" s="9"/>
      <c r="F44" s="9"/>
      <c r="G44" s="9"/>
      <c r="H44" s="9"/>
      <c r="I44" s="9"/>
      <c r="J44" s="9"/>
      <c r="K44" s="9"/>
    </row>
    <row r="45" spans="2:11">
      <c r="B45" s="10"/>
      <c r="C45" s="9"/>
      <c r="D45" s="9"/>
      <c r="E45" s="9"/>
      <c r="F45" s="9"/>
      <c r="G45" s="9"/>
      <c r="H45" s="9"/>
      <c r="I45" s="9"/>
      <c r="J45" s="9"/>
      <c r="K45" s="9"/>
    </row>
    <row r="46" spans="2:11">
      <c r="B46" s="10"/>
      <c r="C46" s="9"/>
      <c r="D46" s="9"/>
      <c r="E46" s="9"/>
      <c r="F46" s="9"/>
      <c r="G46" s="9"/>
      <c r="H46" s="9"/>
      <c r="I46" s="9"/>
      <c r="J46" s="9"/>
      <c r="K46" s="9"/>
    </row>
    <row r="47" spans="2:11">
      <c r="B47" s="10"/>
      <c r="C47" s="9"/>
      <c r="D47" s="9"/>
      <c r="E47" s="9"/>
      <c r="F47" s="9"/>
      <c r="G47" s="9"/>
      <c r="H47" s="9"/>
      <c r="I47" s="9"/>
      <c r="J47" s="9"/>
      <c r="K47" s="9"/>
    </row>
    <row r="48" spans="2:11">
      <c r="B48" s="10"/>
      <c r="C48" s="9"/>
      <c r="D48" s="9"/>
      <c r="E48" s="9"/>
      <c r="F48" s="9"/>
      <c r="G48" s="9"/>
      <c r="H48" s="9"/>
      <c r="I48" s="9"/>
      <c r="J48" s="9"/>
      <c r="K48" s="9"/>
    </row>
    <row r="49" spans="2:11"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2:11">
      <c r="B50" s="8"/>
      <c r="C50" s="9"/>
      <c r="D50" s="9"/>
      <c r="E50" s="9"/>
      <c r="F50" s="9"/>
      <c r="G50" s="9"/>
      <c r="H50" s="9"/>
      <c r="I50" s="9"/>
      <c r="J50" s="9"/>
      <c r="K50" s="9"/>
    </row>
    <row r="51" spans="2:11">
      <c r="B51" s="10"/>
      <c r="C51" s="9"/>
      <c r="D51" s="9"/>
      <c r="E51" s="9"/>
      <c r="F51" s="9"/>
      <c r="G51" s="9"/>
      <c r="H51" s="9"/>
      <c r="I51" s="9"/>
      <c r="J51" s="9"/>
      <c r="K51" s="9"/>
    </row>
    <row r="52" spans="2:11">
      <c r="B52" s="9"/>
      <c r="C52" s="9"/>
      <c r="D52" s="9"/>
      <c r="E52" s="12"/>
      <c r="F52" s="9"/>
      <c r="G52" s="9"/>
      <c r="H52" s="9"/>
      <c r="I52" s="9"/>
      <c r="J52" s="9"/>
      <c r="K52" s="9"/>
    </row>
    <row r="53" spans="2:11">
      <c r="B53" s="13"/>
      <c r="C53" s="10"/>
      <c r="D53" s="10"/>
      <c r="E53" s="10"/>
      <c r="F53" s="10"/>
      <c r="G53" s="9"/>
      <c r="H53" s="9"/>
      <c r="I53" s="9"/>
      <c r="J53" s="9"/>
      <c r="K53" s="9"/>
    </row>
    <row r="54" spans="2:11">
      <c r="B54" s="14"/>
      <c r="C54" s="9"/>
      <c r="D54" s="9"/>
      <c r="E54" s="9"/>
      <c r="F54" s="9"/>
      <c r="G54" s="9"/>
      <c r="H54" s="9"/>
      <c r="I54" s="9"/>
      <c r="J54" s="9"/>
      <c r="K54" s="9"/>
    </row>
    <row r="55" spans="2:11">
      <c r="B55" s="14"/>
      <c r="C55" s="9"/>
      <c r="D55" s="9"/>
      <c r="E55" s="9"/>
      <c r="F55" s="9"/>
      <c r="G55" s="9"/>
      <c r="H55" s="9"/>
      <c r="I55" s="9"/>
      <c r="J55" s="9"/>
      <c r="K55" s="9"/>
    </row>
    <row r="56" spans="2:11">
      <c r="B56" s="14"/>
      <c r="C56" s="9"/>
      <c r="D56" s="9"/>
      <c r="E56" s="9"/>
      <c r="F56" s="9"/>
      <c r="G56" s="9"/>
      <c r="H56" s="9"/>
      <c r="I56" s="9"/>
      <c r="J56" s="9"/>
      <c r="K56" s="9"/>
    </row>
    <row r="57" spans="2:11">
      <c r="B57" s="14"/>
      <c r="C57" s="9"/>
      <c r="D57" s="9"/>
      <c r="E57" s="9"/>
      <c r="F57" s="9"/>
      <c r="G57" s="9"/>
      <c r="H57" s="9"/>
      <c r="I57" s="9"/>
      <c r="J57" s="9"/>
      <c r="K57" s="9"/>
    </row>
    <row r="58" spans="2:11">
      <c r="B58" s="14"/>
      <c r="C58" s="9"/>
      <c r="D58" s="9"/>
      <c r="E58" s="9"/>
      <c r="F58" s="9"/>
      <c r="G58" s="9"/>
      <c r="H58" s="9"/>
      <c r="I58" s="9"/>
      <c r="J58" s="9"/>
      <c r="K58" s="9"/>
    </row>
    <row r="59" spans="2:11">
      <c r="B59" s="14"/>
      <c r="C59" s="9"/>
      <c r="D59" s="9"/>
      <c r="E59" s="9"/>
      <c r="F59" s="9"/>
      <c r="G59" s="9"/>
      <c r="H59" s="9"/>
      <c r="I59" s="9"/>
      <c r="J59" s="9"/>
      <c r="K59" s="9"/>
    </row>
    <row r="60" spans="2:11">
      <c r="B60" s="14"/>
      <c r="C60" s="9"/>
      <c r="D60" s="9"/>
      <c r="E60" s="9"/>
      <c r="F60" s="9"/>
      <c r="G60" s="9"/>
      <c r="H60" s="9"/>
      <c r="I60" s="9"/>
      <c r="J60" s="9"/>
      <c r="K60" s="9"/>
    </row>
    <row r="61" spans="2:11"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2:11"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2:11"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2:11">
      <c r="B64" s="9"/>
      <c r="C64" s="9"/>
      <c r="D64" s="9"/>
      <c r="E64" s="9"/>
      <c r="F64" s="9"/>
      <c r="G64" s="9"/>
      <c r="H64" s="9"/>
      <c r="I64" s="9"/>
      <c r="J64" s="9"/>
      <c r="K64" s="9"/>
    </row>
    <row r="66" spans="4:4">
      <c r="D66" s="5"/>
    </row>
    <row r="67" spans="4:4">
      <c r="D67" s="5"/>
    </row>
    <row r="70" spans="4:4">
      <c r="D70" s="5"/>
    </row>
    <row r="71" spans="4:4">
      <c r="D71" s="5"/>
    </row>
    <row r="78" spans="4:4">
      <c r="D78" s="5"/>
    </row>
    <row r="79" spans="4:4">
      <c r="D79" s="5"/>
    </row>
    <row r="1048550" spans="16384:16384">
      <c r="XFD1048550" t="e" cm="1">
        <f t="array" ref="XFD1048550">solver_pre</f>
        <v>#NAME?</v>
      </c>
    </row>
    <row r="1048551" spans="16384:16384">
      <c r="XFD1048551" t="e" cm="1">
        <f t="array" ref="XFD1048551">solver_scl</f>
        <v>#NAME?</v>
      </c>
    </row>
    <row r="1048552" spans="16384:16384">
      <c r="XFD1048552" t="e" cm="1">
        <f t="array" ref="XFD1048552">solver_rlx</f>
        <v>#NAME?</v>
      </c>
    </row>
    <row r="1048553" spans="16384:16384">
      <c r="XFD1048553" t="e" cm="1">
        <f t="array" ref="XFD1048553">solver_tol</f>
        <v>#NAME?</v>
      </c>
    </row>
    <row r="1048554" spans="16384:16384">
      <c r="XFD1048554" t="e" cm="1">
        <f t="array" ref="XFD1048554">solver_cvg</f>
        <v>#NAME?</v>
      </c>
    </row>
    <row r="1048555" spans="16384:16384">
      <c r="XFD1048555" t="e" cm="1">
        <f t="array" ref="XFD1048555">AREAS(solver_adj1)</f>
        <v>#NAME?</v>
      </c>
    </row>
    <row r="1048556" spans="16384:16384">
      <c r="XFD1048556" t="e" cm="1">
        <f t="array" ref="XFD1048556">solver_ssz</f>
        <v>#NAME?</v>
      </c>
    </row>
    <row r="1048557" spans="16384:16384">
      <c r="XFD1048557" t="e" cm="1">
        <f t="array" ref="XFD1048557">solver_rsd</f>
        <v>#NAME?</v>
      </c>
    </row>
    <row r="1048558" spans="16384:16384">
      <c r="XFD1048558" t="e" cm="1">
        <f t="array" ref="XFD1048558">solver_mrt</f>
        <v>#NAME?</v>
      </c>
    </row>
    <row r="1048559" spans="16384:16384">
      <c r="XFD1048559" t="e" cm="1">
        <f t="array" ref="XFD1048559">solver_mni</f>
        <v>#NAME?</v>
      </c>
    </row>
    <row r="1048560" spans="16384:16384">
      <c r="XFD1048560" t="e" cm="1">
        <f t="array" ref="XFD1048560">solver_rbv</f>
        <v>#NAME?</v>
      </c>
    </row>
    <row r="1048561" spans="16384:16384">
      <c r="XFD1048561" t="e" cm="1">
        <f t="array" ref="XFD1048561">solver_neg</f>
        <v>#NAME?</v>
      </c>
    </row>
    <row r="1048562" spans="16384:16384">
      <c r="XFD1048562" t="e" cm="1">
        <f t="array" ref="XFD1048562">solver_ntr</f>
        <v>#NAME?</v>
      </c>
    </row>
    <row r="1048563" spans="16384:16384">
      <c r="XFD1048563" t="e" cm="1">
        <f t="array" ref="XFD1048563">solver_acc</f>
        <v>#NAME?</v>
      </c>
    </row>
    <row r="1048564" spans="16384:16384">
      <c r="XFD1048564" t="e" cm="1">
        <f t="array" ref="XFD1048564">solver_res</f>
        <v>#NAME?</v>
      </c>
    </row>
    <row r="1048565" spans="16384:16384">
      <c r="XFD1048565" t="e" cm="1">
        <f t="array" ref="XFD1048565">solver_ars</f>
        <v>#NAME?</v>
      </c>
    </row>
    <row r="1048566" spans="16384:16384">
      <c r="XFD1048566" t="e" cm="1">
        <f t="array" ref="XFD1048566">solver_sta</f>
        <v>#NAME?</v>
      </c>
    </row>
    <row r="1048567" spans="16384:16384">
      <c r="XFD1048567" t="e" cm="1">
        <f t="array" ref="XFD1048567">solver_met</f>
        <v>#NAME?</v>
      </c>
    </row>
    <row r="1048568" spans="16384:16384">
      <c r="XFD1048568" t="e" cm="1">
        <f t="array" ref="XFD1048568">solver_soc</f>
        <v>#NAME?</v>
      </c>
    </row>
    <row r="1048569" spans="16384:16384">
      <c r="XFD1048569" t="e" cm="1">
        <f t="array" ref="XFD1048569">solver_lpt</f>
        <v>#NAME?</v>
      </c>
    </row>
    <row r="1048570" spans="16384:16384">
      <c r="XFD1048570" t="e" cm="1">
        <f t="array" ref="XFD1048570">solver_lpp</f>
        <v>#NAME?</v>
      </c>
    </row>
    <row r="1048571" spans="16384:16384">
      <c r="XFD1048571" t="e" cm="1">
        <f t="array" ref="XFD1048571">solver_gap</f>
        <v>#NAME?</v>
      </c>
    </row>
    <row r="1048572" spans="16384:16384">
      <c r="XFD1048572" t="e" cm="1">
        <f t="array" ref="XFD1048572">solver_ips</f>
        <v>#NAME?</v>
      </c>
    </row>
    <row r="1048573" spans="16384:16384">
      <c r="XFD1048573" t="e" cm="1">
        <f t="array" ref="XFD1048573">solver_fea</f>
        <v>#NAME?</v>
      </c>
    </row>
    <row r="1048574" spans="16384:16384">
      <c r="XFD1048574" t="e" cm="1">
        <f t="array" ref="XFD1048574">solver_ipi</f>
        <v>#NAME?</v>
      </c>
    </row>
    <row r="1048575" spans="16384:16384">
      <c r="XFD1048575" t="e" cm="1">
        <f t="array" ref="XFD1048575">solver_ipd</f>
        <v>#NAME?</v>
      </c>
    </row>
  </sheetData>
  <mergeCells count="8">
    <mergeCell ref="F39:G39"/>
    <mergeCell ref="I39:J39"/>
    <mergeCell ref="B33:C33"/>
    <mergeCell ref="E33:F33"/>
    <mergeCell ref="A1:D1"/>
    <mergeCell ref="B11:C11"/>
    <mergeCell ref="F1:H1"/>
    <mergeCell ref="B19:C19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995A0E85-043C-7640-ACF3-3EB8ABC34D3F}">
          <xm:f>'Problem1a&amp;1c&amp;1d'!1:1048576</xm:f>
        </x15:webExtension>
        <x15:webExtension appRef="{B3DD85A2-6D9F-8744-B4CE-2712B6EC6AE2}">
          <xm:f>'Problem1a&amp;1c&amp;1d'!XFD1048550:XFD1048575</xm:f>
        </x15:webExtension>
        <x15:webExtension appRef="{A4245FEF-E277-E545-B335-23721A842461}">
          <xm:f>#REF!</xm:f>
        </x15:webExtension>
        <x15:webExtension appRef="{6AF0F39D-4EAF-9144-9DFC-5D6C7AA45C2E}">
          <xm:f>#REF!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Problem1a&amp;1c&amp;1d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</dc:creator>
  <cp:lastModifiedBy>Ma, Xiaojing</cp:lastModifiedBy>
  <dcterms:created xsi:type="dcterms:W3CDTF">2020-05-08T18:02:08Z</dcterms:created>
  <dcterms:modified xsi:type="dcterms:W3CDTF">2020-05-12T13:27:37Z</dcterms:modified>
</cp:coreProperties>
</file>