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0" documentId="8_{D18900E2-CBDE-416A-BE19-89DCAE237ED0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BBG Adj Highligh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2" l="1"/>
  <c r="E38" i="2"/>
  <c r="F37" i="2"/>
  <c r="G36" i="2"/>
  <c r="G48" i="2"/>
  <c r="G34" i="2"/>
  <c r="F50" i="2"/>
  <c r="E50" i="2"/>
  <c r="E37" i="2"/>
  <c r="F48" i="2"/>
  <c r="G47" i="2"/>
  <c r="E36" i="2"/>
  <c r="G33" i="2"/>
  <c r="F42" i="2"/>
  <c r="G37" i="2"/>
  <c r="F34" i="2"/>
  <c r="E32" i="2"/>
  <c r="F36" i="2"/>
  <c r="E34" i="2"/>
  <c r="F47" i="2"/>
  <c r="G44" i="2"/>
  <c r="E48" i="2"/>
  <c r="F33" i="2"/>
  <c r="G30" i="2"/>
  <c r="E47" i="2"/>
  <c r="F32" i="2"/>
  <c r="G42" i="2"/>
  <c r="G32" i="2"/>
  <c r="G31" i="2"/>
  <c r="F44" i="2"/>
  <c r="E33" i="2"/>
  <c r="F40" i="2"/>
  <c r="E44" i="2"/>
  <c r="F38" i="2"/>
  <c r="G40" i="2"/>
  <c r="F31" i="2"/>
  <c r="G38" i="2"/>
  <c r="F30" i="2"/>
  <c r="E30" i="2"/>
  <c r="E31" i="2"/>
  <c r="E40" i="2"/>
  <c r="E42" i="2"/>
  <c r="J56" i="2" l="1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49" i="2"/>
  <c r="I49" i="2"/>
  <c r="H49" i="2"/>
  <c r="G56" i="2" l="1"/>
  <c r="G52" i="2"/>
  <c r="G55" i="2"/>
  <c r="G54" i="2"/>
  <c r="G53" i="2"/>
  <c r="G49" i="2"/>
  <c r="F49" i="2"/>
  <c r="E49" i="2"/>
  <c r="K50" i="2"/>
  <c r="K36" i="2"/>
  <c r="K44" i="2"/>
  <c r="K42" i="2"/>
  <c r="K40" i="2"/>
  <c r="K38" i="2"/>
</calcChain>
</file>

<file path=xl/sharedStrings.xml><?xml version="1.0" encoding="utf-8"?>
<sst xmlns="http://schemas.openxmlformats.org/spreadsheetml/2006/main" count="79" uniqueCount="71">
  <si>
    <t>Market Cap</t>
  </si>
  <si>
    <t>In Millions of USD</t>
  </si>
  <si>
    <t>FY 2018</t>
  </si>
  <si>
    <t>FY 2019</t>
  </si>
  <si>
    <t>FY 2020</t>
  </si>
  <si>
    <t>FY 2021 Est</t>
  </si>
  <si>
    <t>FY 2022 Est</t>
  </si>
  <si>
    <t>12 Months Ending</t>
  </si>
  <si>
    <t>12/31/2018</t>
  </si>
  <si>
    <t>12/31/2019</t>
  </si>
  <si>
    <t>12/31/2020</t>
  </si>
  <si>
    <t>12/31/2021</t>
  </si>
  <si>
    <t>12/31/2022</t>
  </si>
  <si>
    <t>Market Capitalization</t>
  </si>
  <si>
    <t>HISTORICAL_MARKET_CAP</t>
  </si>
  <si>
    <t>- Cash &amp; Equivalents</t>
  </si>
  <si>
    <t>CASH_AND_MARKETABLE_SECURITIES</t>
  </si>
  <si>
    <t>+ Preferred &amp; Other</t>
  </si>
  <si>
    <t>PREFERRED_EQUITY_&amp;_MINORITY_INT</t>
  </si>
  <si>
    <t>+ Total Debt</t>
  </si>
  <si>
    <t>SHORT_AND_LONG_TERM_DEBT</t>
  </si>
  <si>
    <t>Enterprise Value</t>
  </si>
  <si>
    <t>ENTERPRISE_VALUE</t>
  </si>
  <si>
    <t>Revenue, Adj</t>
  </si>
  <si>
    <t>SALES_REV_TURN</t>
  </si>
  <si>
    <t xml:space="preserve">  Growth %, YoY</t>
  </si>
  <si>
    <t>SALES_GROWTH</t>
  </si>
  <si>
    <t>Gross Profit, Adj</t>
  </si>
  <si>
    <t>GROSS_PROFIT</t>
  </si>
  <si>
    <t xml:space="preserve">  Margin %</t>
  </si>
  <si>
    <t>EBITDA, Adj</t>
  </si>
  <si>
    <t>EBITDA</t>
  </si>
  <si>
    <t>Net Income, Adj</t>
  </si>
  <si>
    <t>EARN_FOR_COMMON</t>
  </si>
  <si>
    <t>EPS, Adj</t>
  </si>
  <si>
    <t>IS_DIL_EPS_CONT_OPS</t>
  </si>
  <si>
    <t>—</t>
  </si>
  <si>
    <t>Cash from Operations</t>
  </si>
  <si>
    <t>CF_CASH_FROM_OPER</t>
  </si>
  <si>
    <t>Capital Expenditures</t>
  </si>
  <si>
    <t>CAPITAL_EXPEND</t>
  </si>
  <si>
    <t>Free Cash Flow</t>
  </si>
  <si>
    <t>CF_FREE_CASH_FLOW</t>
  </si>
  <si>
    <t>Source: Bloomberg</t>
  </si>
  <si>
    <t>FY 2023 Est</t>
  </si>
  <si>
    <t>3yr CAGR</t>
  </si>
  <si>
    <t xml:space="preserve">  % of Sales</t>
  </si>
  <si>
    <t>Block Inc (SQ US)</t>
  </si>
  <si>
    <t>Base Case Assumptions</t>
  </si>
  <si>
    <t>Upside Scenario</t>
  </si>
  <si>
    <t>Downside Scenario</t>
  </si>
  <si>
    <t>EV/Sales</t>
  </si>
  <si>
    <t>EV/EBITDA</t>
  </si>
  <si>
    <t>P/E</t>
  </si>
  <si>
    <t>Investment thesis</t>
  </si>
  <si>
    <t>Curr Price</t>
  </si>
  <si>
    <t>Ent Value</t>
  </si>
  <si>
    <t>FY End</t>
  </si>
  <si>
    <t>Next Report</t>
  </si>
  <si>
    <t>SI % of Float</t>
  </si>
  <si>
    <t>Days to exit</t>
  </si>
  <si>
    <t>EV/Gross Profit</t>
  </si>
  <si>
    <t>EV/FCF</t>
  </si>
  <si>
    <t>Analyst:</t>
  </si>
  <si>
    <t>SKM</t>
  </si>
  <si>
    <t>Industry:</t>
  </si>
  <si>
    <t>Country:</t>
  </si>
  <si>
    <t>Data &amp; Tranx</t>
  </si>
  <si>
    <t>US</t>
  </si>
  <si>
    <t>Co. Description</t>
  </si>
  <si>
    <t>Block Inc provides mobile payment solutions. The Company develops point-of-sale software that helps in digital receipts, inventory, and sales reports, as well as offers analytics and feedback. Block also provides financial and marketing services.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</si>
</sst>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"/>
    <numFmt numFmtId="167" formatCode="0.0\x"/>
    <numFmt numFmtId="168" formatCode="&quot;$&quot;#,##0"/>
  </numFmts>
  <fonts count="3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Calibri"/>
      <family val="2"/>
    </font>
    <font>
      <sz val="10"/>
      <color indexed="63"/>
      <name val="Calibri"/>
      <family val="2"/>
    </font>
    <font>
      <sz val="10"/>
      <color indexed="8"/>
      <name val="Calibri"/>
      <family val="2"/>
    </font>
    <font>
      <i/>
      <sz val="10"/>
      <color indexed="63"/>
      <name val="Calibri"/>
      <family val="2"/>
    </font>
    <font>
      <i/>
      <sz val="10"/>
      <color indexed="8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6"/>
      <name val="Calibri"/>
      <family val="2"/>
    </font>
    <font>
      <b/>
      <sz val="10"/>
      <color rgb="FFFF0000"/>
      <name val="Calibri"/>
      <family val="2"/>
    </font>
    <font>
      <i/>
      <sz val="10"/>
      <color rgb="FFFF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7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10" applyNumberFormat="0" applyAlignment="0" applyProtection="0"/>
    <xf numFmtId="0" fontId="22" fillId="7" borderId="13" applyNumberFormat="0" applyAlignment="0" applyProtection="0"/>
    <xf numFmtId="0" fontId="24" fillId="0" borderId="0" applyNumberFormat="0" applyFill="0" applyBorder="0" applyAlignment="0" applyProtection="0"/>
    <xf numFmtId="0" fontId="5" fillId="33" borderId="2">
      <alignment horizontal="right"/>
    </xf>
    <xf numFmtId="0" fontId="4" fillId="34" borderId="0" applyNumberFormat="0" applyBorder="0" applyProtection="0">
      <alignment horizontal="center"/>
    </xf>
    <xf numFmtId="0" fontId="5" fillId="33" borderId="4">
      <alignment horizontal="right"/>
    </xf>
    <xf numFmtId="0" fontId="5" fillId="33" borderId="4">
      <alignment horizontal="left"/>
    </xf>
    <xf numFmtId="0" fontId="9" fillId="35" borderId="5" applyNumberFormat="0" applyAlignment="0" applyProtection="0"/>
    <xf numFmtId="0" fontId="6" fillId="34" borderId="6"/>
    <xf numFmtId="0" fontId="8" fillId="34" borderId="6"/>
    <xf numFmtId="0" fontId="7" fillId="34" borderId="6"/>
    <xf numFmtId="0" fontId="15" fillId="2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10" applyNumberFormat="0" applyAlignment="0" applyProtection="0"/>
    <xf numFmtId="0" fontId="21" fillId="0" borderId="12" applyNumberFormat="0" applyFill="0" applyAlignment="0" applyProtection="0"/>
    <xf numFmtId="0" fontId="17" fillId="4" borderId="0" applyNumberFormat="0" applyBorder="0" applyAlignment="0" applyProtection="0"/>
    <xf numFmtId="0" fontId="10" fillId="8" borderId="14" applyNumberFormat="0" applyFont="0" applyAlignment="0" applyProtection="0"/>
    <xf numFmtId="0" fontId="19" fillId="6" borderId="11" applyNumberFormat="0" applyAlignment="0" applyProtection="0"/>
    <xf numFmtId="0" fontId="11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3" fillId="0" borderId="0" applyNumberFormat="0" applyFill="0" applyBorder="0" applyAlignment="0" applyProtection="0"/>
    <xf numFmtId="0" fontId="3" fillId="33" borderId="16" applyNumberFormat="0" applyProtection="0">
      <alignment horizontal="left" vertical="center" readingOrder="1"/>
    </xf>
    <xf numFmtId="0" fontId="5" fillId="33" borderId="2">
      <alignment horizontal="left"/>
    </xf>
    <xf numFmtId="166" fontId="1" fillId="34" borderId="3">
      <alignment horizontal="right"/>
    </xf>
    <xf numFmtId="3" fontId="6" fillId="34" borderId="3">
      <alignment horizontal="right"/>
    </xf>
    <xf numFmtId="166" fontId="6" fillId="34" borderId="3">
      <alignment horizontal="right"/>
    </xf>
    <xf numFmtId="166" fontId="9" fillId="34" borderId="3">
      <alignment horizontal="right"/>
    </xf>
  </cellStyleXfs>
  <cellXfs count="93">
    <xf numFmtId="0" fontId="0" fillId="0" borderId="0" xfId="0"/>
    <xf numFmtId="0" fontId="28" fillId="0" borderId="17" xfId="35" applyNumberFormat="1" applyFont="1" applyFill="1" applyBorder="1" applyAlignment="1" applyProtection="1"/>
    <xf numFmtId="0" fontId="33" fillId="0" borderId="0" xfId="31" applyFont="1" applyFill="1" applyBorder="1" applyAlignment="1">
      <alignment horizontal="left"/>
    </xf>
    <xf numFmtId="167" fontId="27" fillId="0" borderId="3" xfId="0" applyNumberFormat="1" applyFont="1" applyFill="1" applyBorder="1"/>
    <xf numFmtId="0" fontId="32" fillId="0" borderId="3" xfId="34" applyFont="1" applyFill="1" applyBorder="1"/>
    <xf numFmtId="0" fontId="27" fillId="0" borderId="18" xfId="0" applyFont="1" applyFill="1" applyBorder="1"/>
    <xf numFmtId="0" fontId="31" fillId="0" borderId="3" xfId="36" applyNumberFormat="1" applyFont="1" applyFill="1" applyBorder="1" applyAlignment="1" applyProtection="1"/>
    <xf numFmtId="0" fontId="29" fillId="0" borderId="3" xfId="37" applyNumberFormat="1" applyFont="1" applyFill="1" applyBorder="1" applyAlignment="1" applyProtection="1"/>
    <xf numFmtId="14" fontId="33" fillId="0" borderId="18" xfId="30" applyNumberFormat="1" applyFont="1" applyFill="1" applyBorder="1" applyAlignment="1" applyProtection="1">
      <alignment horizontal="center"/>
    </xf>
    <xf numFmtId="0" fontId="33" fillId="0" borderId="18" xfId="52" applyFont="1" applyFill="1" applyBorder="1">
      <alignment horizontal="left"/>
    </xf>
    <xf numFmtId="0" fontId="33" fillId="0" borderId="17" xfId="32" applyNumberFormat="1" applyFont="1" applyFill="1" applyBorder="1" applyAlignment="1" applyProtection="1">
      <alignment horizontal="center"/>
    </xf>
    <xf numFmtId="3" fontId="28" fillId="0" borderId="0" xfId="54" applyNumberFormat="1" applyFont="1" applyFill="1" applyBorder="1" applyAlignment="1" applyProtection="1">
      <alignment horizontal="right"/>
    </xf>
    <xf numFmtId="0" fontId="33" fillId="0" borderId="0" xfId="52" applyFont="1" applyFill="1" applyBorder="1">
      <alignment horizontal="left"/>
    </xf>
    <xf numFmtId="0" fontId="33" fillId="0" borderId="0" xfId="33" applyNumberFormat="1" applyFont="1" applyFill="1" applyBorder="1" applyAlignment="1" applyProtection="1">
      <alignment horizontal="left"/>
    </xf>
    <xf numFmtId="0" fontId="31" fillId="0" borderId="0" xfId="36" applyNumberFormat="1" applyFont="1" applyFill="1" applyBorder="1" applyAlignment="1" applyProtection="1"/>
    <xf numFmtId="0" fontId="29" fillId="0" borderId="0" xfId="37" applyNumberFormat="1" applyFont="1" applyFill="1" applyBorder="1" applyAlignment="1" applyProtection="1"/>
    <xf numFmtId="0" fontId="33" fillId="0" borderId="17" xfId="33" applyNumberFormat="1" applyFont="1" applyFill="1" applyBorder="1" applyAlignment="1" applyProtection="1">
      <alignment horizontal="left"/>
    </xf>
    <xf numFmtId="0" fontId="4" fillId="0" borderId="0" xfId="31" applyFont="1" applyFill="1" applyBorder="1" applyAlignment="1">
      <alignment horizontal="center"/>
    </xf>
    <xf numFmtId="0" fontId="35" fillId="0" borderId="0" xfId="51" applyFont="1" applyFill="1" applyBorder="1" applyAlignment="1">
      <alignment horizontal="left" vertical="center" readingOrder="1"/>
    </xf>
    <xf numFmtId="0" fontId="28" fillId="0" borderId="0" xfId="35" applyNumberFormat="1" applyFont="1" applyFill="1" applyBorder="1" applyAlignment="1" applyProtection="1"/>
    <xf numFmtId="0" fontId="27" fillId="0" borderId="0" xfId="0" applyFont="1" applyFill="1" applyBorder="1"/>
    <xf numFmtId="0" fontId="32" fillId="0" borderId="0" xfId="34" applyFont="1" applyFill="1" applyBorder="1"/>
    <xf numFmtId="0" fontId="28" fillId="0" borderId="3" xfId="35" applyNumberFormat="1" applyFont="1" applyFill="1" applyBorder="1" applyAlignment="1" applyProtection="1"/>
    <xf numFmtId="4" fontId="36" fillId="0" borderId="3" xfId="55" applyNumberFormat="1" applyFont="1" applyFill="1" applyBorder="1" applyAlignment="1" applyProtection="1">
      <alignment horizontal="right"/>
    </xf>
    <xf numFmtId="165" fontId="37" fillId="0" borderId="3" xfId="56" applyNumberFormat="1" applyFont="1" applyFill="1" applyBorder="1" applyAlignment="1" applyProtection="1">
      <alignment horizontal="right"/>
    </xf>
    <xf numFmtId="3" fontId="36" fillId="0" borderId="3" xfId="55" applyNumberFormat="1" applyFont="1" applyFill="1" applyBorder="1" applyAlignment="1" applyProtection="1">
      <alignment horizontal="right"/>
    </xf>
    <xf numFmtId="0" fontId="33" fillId="0" borderId="18" xfId="30" applyNumberFormat="1" applyFont="1" applyFill="1" applyBorder="1" applyAlignment="1" applyProtection="1">
      <alignment horizontal="center"/>
    </xf>
    <xf numFmtId="0" fontId="34" fillId="0" borderId="17" xfId="0" applyFont="1" applyFill="1" applyBorder="1" applyAlignment="1">
      <alignment horizontal="center"/>
    </xf>
    <xf numFmtId="164" fontId="27" fillId="0" borderId="3" xfId="0" applyNumberFormat="1" applyFont="1" applyFill="1" applyBorder="1"/>
    <xf numFmtId="0" fontId="27" fillId="0" borderId="3" xfId="0" applyFont="1" applyFill="1" applyBorder="1"/>
    <xf numFmtId="4" fontId="28" fillId="0" borderId="3" xfId="55" applyNumberFormat="1" applyFont="1" applyFill="1" applyBorder="1" applyAlignment="1" applyProtection="1">
      <alignment horizontal="right"/>
    </xf>
    <xf numFmtId="165" fontId="32" fillId="0" borderId="3" xfId="56" applyNumberFormat="1" applyFont="1" applyFill="1" applyBorder="1" applyAlignment="1" applyProtection="1">
      <alignment horizontal="right"/>
    </xf>
    <xf numFmtId="3" fontId="28" fillId="0" borderId="3" xfId="54" applyNumberFormat="1" applyFont="1" applyFill="1" applyBorder="1" applyAlignment="1" applyProtection="1">
      <alignment horizontal="right"/>
    </xf>
    <xf numFmtId="3" fontId="30" fillId="0" borderId="3" xfId="53" applyNumberFormat="1" applyFont="1" applyFill="1" applyBorder="1" applyAlignment="1" applyProtection="1">
      <alignment horizontal="right"/>
    </xf>
    <xf numFmtId="3" fontId="28" fillId="0" borderId="3" xfId="55" applyNumberFormat="1" applyFont="1" applyFill="1" applyBorder="1" applyAlignment="1" applyProtection="1">
      <alignment horizontal="right"/>
    </xf>
    <xf numFmtId="0" fontId="4" fillId="0" borderId="0" xfId="31" applyFont="1" applyFill="1" applyAlignment="1">
      <alignment horizontal="center"/>
    </xf>
    <xf numFmtId="0" fontId="27" fillId="0" borderId="0" xfId="0" applyFont="1" applyFill="1"/>
    <xf numFmtId="0" fontId="2" fillId="0" borderId="0" xfId="26" applyNumberFormat="1" applyFont="1" applyFill="1" applyBorder="1" applyAlignment="1" applyProtection="1"/>
    <xf numFmtId="0" fontId="27" fillId="0" borderId="17" xfId="0" applyFont="1" applyFill="1" applyBorder="1"/>
    <xf numFmtId="167" fontId="27" fillId="0" borderId="17" xfId="0" applyNumberFormat="1" applyFont="1" applyFill="1" applyBorder="1"/>
    <xf numFmtId="0" fontId="34" fillId="0" borderId="0" xfId="0" applyFont="1" applyFill="1" applyBorder="1"/>
    <xf numFmtId="0" fontId="35" fillId="0" borderId="25" xfId="51" applyFont="1" applyFill="1" applyBorder="1" applyAlignment="1">
      <alignment horizontal="left" vertical="center" readingOrder="1"/>
    </xf>
    <xf numFmtId="0" fontId="35" fillId="0" borderId="26" xfId="51" applyFont="1" applyFill="1" applyBorder="1" applyAlignment="1">
      <alignment horizontal="left" vertical="center" readingOrder="1"/>
    </xf>
    <xf numFmtId="0" fontId="35" fillId="0" borderId="27" xfId="51" applyFont="1" applyFill="1" applyBorder="1" applyAlignment="1">
      <alignment horizontal="left" vertical="center" readingOrder="1"/>
    </xf>
    <xf numFmtId="0" fontId="4" fillId="0" borderId="28" xfId="31" applyFont="1" applyFill="1" applyBorder="1" applyAlignment="1">
      <alignment horizontal="center"/>
    </xf>
    <xf numFmtId="0" fontId="4" fillId="0" borderId="29" xfId="31" applyFont="1" applyFill="1" applyBorder="1" applyAlignment="1">
      <alignment horizontal="center"/>
    </xf>
    <xf numFmtId="14" fontId="4" fillId="0" borderId="0" xfId="31" applyNumberFormat="1" applyFont="1" applyFill="1" applyBorder="1" applyAlignment="1">
      <alignment horizontal="right"/>
    </xf>
    <xf numFmtId="168" fontId="4" fillId="0" borderId="0" xfId="31" applyNumberFormat="1" applyFont="1" applyFill="1" applyBorder="1" applyAlignment="1">
      <alignment horizontal="right"/>
    </xf>
    <xf numFmtId="0" fontId="4" fillId="0" borderId="0" xfId="31" applyFont="1" applyFill="1" applyBorder="1" applyAlignment="1">
      <alignment horizontal="right"/>
    </xf>
    <xf numFmtId="9" fontId="4" fillId="0" borderId="0" xfId="31" applyNumberFormat="1" applyFont="1" applyFill="1" applyBorder="1" applyAlignment="1">
      <alignment horizontal="right"/>
    </xf>
    <xf numFmtId="0" fontId="33" fillId="0" borderId="0" xfId="31" applyFont="1" applyFill="1" applyBorder="1" applyAlignment="1"/>
    <xf numFmtId="0" fontId="33" fillId="0" borderId="28" xfId="33" applyNumberFormat="1" applyFont="1" applyFill="1" applyBorder="1" applyAlignment="1" applyProtection="1">
      <alignment horizontal="left"/>
    </xf>
    <xf numFmtId="0" fontId="27" fillId="0" borderId="29" xfId="0" applyFont="1" applyFill="1" applyBorder="1"/>
    <xf numFmtId="0" fontId="33" fillId="0" borderId="28" xfId="52" applyFont="1" applyFill="1" applyBorder="1">
      <alignment horizontal="left"/>
    </xf>
    <xf numFmtId="0" fontId="28" fillId="0" borderId="28" xfId="35" applyNumberFormat="1" applyFont="1" applyFill="1" applyBorder="1" applyAlignment="1" applyProtection="1"/>
    <xf numFmtId="0" fontId="29" fillId="0" borderId="28" xfId="37" applyNumberFormat="1" applyFont="1" applyFill="1" applyBorder="1" applyAlignment="1" applyProtection="1"/>
    <xf numFmtId="3" fontId="28" fillId="0" borderId="28" xfId="54" applyNumberFormat="1" applyFont="1" applyFill="1" applyBorder="1" applyAlignment="1" applyProtection="1">
      <alignment horizontal="right"/>
    </xf>
    <xf numFmtId="0" fontId="31" fillId="0" borderId="28" xfId="36" applyNumberFormat="1" applyFont="1" applyFill="1" applyBorder="1" applyAlignment="1" applyProtection="1"/>
    <xf numFmtId="0" fontId="32" fillId="0" borderId="28" xfId="34" applyFont="1" applyFill="1" applyBorder="1"/>
    <xf numFmtId="0" fontId="32" fillId="0" borderId="29" xfId="34" applyFont="1" applyFill="1" applyBorder="1"/>
    <xf numFmtId="0" fontId="27" fillId="0" borderId="28" xfId="0" applyFont="1" applyFill="1" applyBorder="1"/>
    <xf numFmtId="0" fontId="27" fillId="0" borderId="30" xfId="0" applyFont="1" applyFill="1" applyBorder="1"/>
    <xf numFmtId="0" fontId="27" fillId="0" borderId="31" xfId="0" applyFont="1" applyFill="1" applyBorder="1"/>
    <xf numFmtId="0" fontId="27" fillId="0" borderId="32" xfId="0" applyFont="1" applyFill="1" applyBorder="1"/>
    <xf numFmtId="0" fontId="4" fillId="0" borderId="26" xfId="51" applyFont="1" applyFill="1" applyBorder="1" applyAlignment="1">
      <alignment horizontal="center" readingOrder="1"/>
    </xf>
    <xf numFmtId="10" fontId="4" fillId="0" borderId="0" xfId="31" applyNumberFormat="1" applyFont="1" applyFill="1" applyBorder="1" applyAlignment="1">
      <alignment horizontal="center"/>
    </xf>
    <xf numFmtId="0" fontId="27" fillId="0" borderId="21" xfId="0" applyFont="1" applyFill="1" applyBorder="1" applyAlignment="1">
      <alignment horizontal="left" vertical="top" wrapText="1"/>
    </xf>
    <xf numFmtId="0" fontId="27" fillId="0" borderId="5" xfId="0" applyFont="1" applyFill="1" applyBorder="1" applyAlignment="1">
      <alignment horizontal="left" vertical="top" wrapText="1"/>
    </xf>
    <xf numFmtId="0" fontId="27" fillId="0" borderId="22" xfId="0" applyFont="1" applyFill="1" applyBorder="1" applyAlignment="1">
      <alignment horizontal="left" vertical="top" wrapText="1"/>
    </xf>
    <xf numFmtId="0" fontId="27" fillId="0" borderId="20" xfId="0" applyFont="1" applyFill="1" applyBorder="1" applyAlignment="1">
      <alignment horizontal="left" vertical="top" wrapText="1"/>
    </xf>
    <xf numFmtId="0" fontId="27" fillId="0" borderId="0" xfId="0" applyFont="1" applyFill="1" applyBorder="1" applyAlignment="1">
      <alignment horizontal="left" vertical="top" wrapText="1"/>
    </xf>
    <xf numFmtId="0" fontId="27" fillId="0" borderId="19" xfId="0" applyFont="1" applyFill="1" applyBorder="1" applyAlignment="1">
      <alignment horizontal="left" vertical="top" wrapText="1"/>
    </xf>
    <xf numFmtId="0" fontId="27" fillId="0" borderId="23" xfId="0" applyFont="1" applyFill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/>
    </xf>
    <xf numFmtId="0" fontId="27" fillId="0" borderId="24" xfId="0" applyFont="1" applyFill="1" applyBorder="1" applyAlignment="1">
      <alignment horizontal="left" vertical="top" wrapText="1"/>
    </xf>
    <xf numFmtId="0" fontId="33" fillId="0" borderId="21" xfId="31" applyFont="1" applyFill="1" applyBorder="1" applyAlignment="1">
      <alignment horizontal="left" vertical="top" wrapText="1"/>
    </xf>
    <xf numFmtId="0" fontId="33" fillId="0" borderId="5" xfId="31" applyFont="1" applyFill="1" applyBorder="1" applyAlignment="1">
      <alignment horizontal="left" vertical="top" wrapText="1"/>
    </xf>
    <xf numFmtId="0" fontId="33" fillId="0" borderId="22" xfId="31" applyFont="1" applyFill="1" applyBorder="1" applyAlignment="1">
      <alignment horizontal="left" vertical="top" wrapText="1"/>
    </xf>
    <xf numFmtId="0" fontId="33" fillId="0" borderId="20" xfId="31" applyFont="1" applyFill="1" applyBorder="1" applyAlignment="1">
      <alignment horizontal="left" vertical="top" wrapText="1"/>
    </xf>
    <xf numFmtId="0" fontId="33" fillId="0" borderId="0" xfId="31" applyFont="1" applyFill="1" applyBorder="1" applyAlignment="1">
      <alignment horizontal="left" vertical="top" wrapText="1"/>
    </xf>
    <xf numFmtId="0" fontId="33" fillId="0" borderId="19" xfId="31" applyFont="1" applyFill="1" applyBorder="1" applyAlignment="1">
      <alignment horizontal="left" vertical="top" wrapText="1"/>
    </xf>
    <xf numFmtId="0" fontId="33" fillId="0" borderId="23" xfId="31" applyFont="1" applyFill="1" applyBorder="1" applyAlignment="1">
      <alignment horizontal="left" vertical="top" wrapText="1"/>
    </xf>
    <xf numFmtId="0" fontId="33" fillId="0" borderId="1" xfId="31" applyFont="1" applyFill="1" applyBorder="1" applyAlignment="1">
      <alignment horizontal="left" vertical="top" wrapText="1"/>
    </xf>
    <xf numFmtId="0" fontId="33" fillId="0" borderId="24" xfId="31" applyFont="1" applyFill="1" applyBorder="1" applyAlignment="1">
      <alignment horizontal="left" vertical="top" wrapText="1"/>
    </xf>
    <xf numFmtId="0" fontId="4" fillId="0" borderId="21" xfId="31" applyFont="1" applyFill="1" applyBorder="1" applyAlignment="1">
      <alignment horizontal="left" vertical="top" wrapText="1"/>
    </xf>
    <xf numFmtId="0" fontId="4" fillId="0" borderId="5" xfId="31" applyFont="1" applyFill="1" applyBorder="1" applyAlignment="1">
      <alignment horizontal="left" vertical="top" wrapText="1"/>
    </xf>
    <xf numFmtId="0" fontId="4" fillId="0" borderId="22" xfId="31" applyFont="1" applyFill="1" applyBorder="1" applyAlignment="1">
      <alignment horizontal="left" vertical="top" wrapText="1"/>
    </xf>
    <xf numFmtId="0" fontId="4" fillId="0" borderId="20" xfId="31" applyFont="1" applyFill="1" applyBorder="1" applyAlignment="1">
      <alignment horizontal="left" vertical="top" wrapText="1"/>
    </xf>
    <xf numFmtId="0" fontId="4" fillId="0" borderId="0" xfId="31" applyFont="1" applyFill="1" applyBorder="1" applyAlignment="1">
      <alignment horizontal="left" vertical="top" wrapText="1"/>
    </xf>
    <xf numFmtId="0" fontId="4" fillId="0" borderId="19" xfId="31" applyFont="1" applyFill="1" applyBorder="1" applyAlignment="1">
      <alignment horizontal="left" vertical="top" wrapText="1"/>
    </xf>
    <xf numFmtId="0" fontId="4" fillId="0" borderId="23" xfId="31" applyFont="1" applyFill="1" applyBorder="1" applyAlignment="1">
      <alignment horizontal="left" vertical="top" wrapText="1"/>
    </xf>
    <xf numFmtId="0" fontId="4" fillId="0" borderId="1" xfId="31" applyFont="1" applyFill="1" applyBorder="1" applyAlignment="1">
      <alignment horizontal="left" vertical="top" wrapText="1"/>
    </xf>
    <xf numFmtId="0" fontId="4" fillId="0" borderId="24" xfId="31" applyFont="1" applyFill="1" applyBorder="1" applyAlignment="1">
      <alignment horizontal="left" vertical="top" wrapText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2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4" xr:uid="{00000000-0005-0000-0000-000023000000}"/>
    <cellStyle name="fa_data_bold_3_grouped" xfId="55" xr:uid="{00000000-0005-0000-0000-000024000000}"/>
    <cellStyle name="fa_data_italic_3_grouped" xfId="56" xr:uid="{00000000-0005-0000-0000-000025000000}"/>
    <cellStyle name="fa_data_standard_3_grouped" xfId="53" xr:uid="{00000000-0005-0000-0000-000026000000}"/>
    <cellStyle name="fa_footer_italic" xfId="34" xr:uid="{00000000-0005-0000-0000-000027000000}"/>
    <cellStyle name="fa_row_header_bold" xfId="35" xr:uid="{00000000-0005-0000-0000-000028000000}"/>
    <cellStyle name="fa_row_header_italic" xfId="36" xr:uid="{00000000-0005-0000-0000-000029000000}"/>
    <cellStyle name="fa_row_header_standard" xfId="37" xr:uid="{00000000-0005-0000-0000-00002A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BDH|12397669795131488651</stp>
        <tr r="F37" s="2"/>
      </tp>
    </main>
    <main first="bofaddin.rtdserver">
      <tp t="b">
        <v>0</v>
        <stp/>
        <stp>BDH|16007927056208900957</stp>
        <tr r="F36" s="2"/>
      </tp>
    </main>
    <main first="bofaddin.rtdserver">
      <tp t="b">
        <v>0</v>
        <stp/>
        <stp>BDH|17292827399736076804</stp>
        <tr r="G44" s="2"/>
      </tp>
      <tp t="b">
        <v>0</v>
        <stp/>
        <stp>BDH|11761186253628562518</stp>
        <tr r="F30" s="2"/>
      </tp>
    </main>
    <main first="bofaddin.rtdserver">
      <tp t="b">
        <v>0</v>
        <stp/>
        <stp>BDH|11495036490672018375</stp>
        <tr r="E38" s="2"/>
      </tp>
      <tp t="b">
        <v>0</v>
        <stp/>
        <stp>BDH|11100179092068166893</stp>
        <tr r="E30" s="2"/>
      </tp>
    </main>
    <main first="bofaddin.rtdserver">
      <tp t="b">
        <v>0</v>
        <stp/>
        <stp>BDH|11090665399455285549</stp>
        <tr r="E32" s="2"/>
      </tp>
    </main>
    <main first="bofaddin.rtdserver">
      <tp t="b">
        <v>0</v>
        <stp/>
        <stp>BDH|10093592492395818625</stp>
        <tr r="G40" s="2"/>
      </tp>
      <tp t="b">
        <v>0</v>
        <stp/>
        <stp>BDH|16293131824392780898</stp>
        <tr r="G31" s="2"/>
      </tp>
    </main>
    <main first="bofaddin.rtdserver">
      <tp t="b">
        <v>0</v>
        <stp/>
        <stp>BDH|11411019933276831896</stp>
        <tr r="E31" s="2"/>
      </tp>
    </main>
    <main first="bofaddin.rtdserver">
      <tp t="b">
        <v>0</v>
        <stp/>
        <stp>BDH|14831073185806991698</stp>
        <tr r="E48" s="2"/>
      </tp>
    </main>
    <main first="bofaddin.rtdserver">
      <tp t="b">
        <v>0</v>
        <stp/>
        <stp>BDH|12860662913111966892</stp>
        <tr r="G32" s="2"/>
      </tp>
    </main>
    <main first="bofaddin.rtdserver">
      <tp t="b">
        <v>0</v>
        <stp/>
        <stp>BDH|17414830040244925276</stp>
        <tr r="E37" s="2"/>
      </tp>
    </main>
    <main first="bofaddin.rtdserver">
      <tp t="b">
        <v>0</v>
        <stp/>
        <stp>BDH|12470494102352773643</stp>
        <tr r="F48" s="2"/>
      </tp>
    </main>
    <main first="bofaddin.rtdserver">
      <tp t="b">
        <v>0</v>
        <stp/>
        <stp>BDH|15848820584461971766</stp>
        <tr r="F31" s="2"/>
      </tp>
    </main>
    <main first="bofaddin.rtdserver">
      <tp t="b">
        <v>0</v>
        <stp/>
        <stp>BDH|12068409745024383111</stp>
        <tr r="F34" s="2"/>
      </tp>
      <tp t="b">
        <v>0</v>
        <stp/>
        <stp>BDH|12044693326242196357</stp>
        <tr r="G33" s="2"/>
      </tp>
    </main>
    <main first="bofaddin.rtdserver">
      <tp t="b">
        <v>0</v>
        <stp/>
        <stp>BDH|10522455070731291637</stp>
        <tr r="F40" s="2"/>
      </tp>
      <tp t="b">
        <v>0</v>
        <stp/>
        <stp>BDH|12479107285648974750</stp>
        <tr r="F47" s="2"/>
      </tp>
    </main>
    <main first="bofaddin.rtdserver">
      <tp t="b">
        <v>0</v>
        <stp/>
        <stp>BDH|9750322870446921668</stp>
        <tr r="G50" s="2"/>
      </tp>
    </main>
    <main first="bofaddin.rtdserver">
      <tp t="b">
        <v>0</v>
        <stp/>
        <stp>BDH|6760429249598470131</stp>
        <tr r="G42" s="2"/>
      </tp>
      <tp t="b">
        <v>0</v>
        <stp/>
        <stp>BDH|6548772752352739955</stp>
        <tr r="E40" s="2"/>
      </tp>
    </main>
    <main first="bofaddin.rtdserver">
      <tp t="b">
        <v>0</v>
        <stp/>
        <stp>BDH|5430563110001592805</stp>
        <tr r="F33" s="2"/>
      </tp>
    </main>
    <main first="bofaddin.rtdserver">
      <tp t="b">
        <v>0</v>
        <stp/>
        <stp>BDH|9069229288359305347</stp>
        <tr r="E42" s="2"/>
      </tp>
    </main>
    <main first="bofaddin.rtdserver">
      <tp t="b">
        <v>0</v>
        <stp/>
        <stp>BDH|2681169210952879488</stp>
        <tr r="G37" s="2"/>
      </tp>
    </main>
    <main first="bofaddin.rtdserver">
      <tp t="b">
        <v>0</v>
        <stp/>
        <stp>BDH|6748142208323660148</stp>
        <tr r="E44" s="2"/>
      </tp>
    </main>
    <main first="bofaddin.rtdserver">
      <tp t="b">
        <v>0</v>
        <stp/>
        <stp>BDH|9570462135168513306</stp>
        <tr r="E47" s="2"/>
      </tp>
    </main>
    <main first="bofaddin.rtdserver">
      <tp t="b">
        <v>0</v>
        <stp/>
        <stp>BDH|5026220379403194537</stp>
        <tr r="E50" s="2"/>
      </tp>
      <tp t="b">
        <v>0</v>
        <stp/>
        <stp>BDH|9542805916936864023</stp>
        <tr r="G30" s="2"/>
      </tp>
    </main>
    <main first="bofaddin.rtdserver">
      <tp t="b">
        <v>0</v>
        <stp/>
        <stp>BDH|7688626831824053069</stp>
        <tr r="E34" s="2"/>
      </tp>
      <tp t="b">
        <v>0</v>
        <stp/>
        <stp>BDH|2145621688832797895</stp>
        <tr r="G36" s="2"/>
      </tp>
      <tp t="b">
        <v>0</v>
        <stp/>
        <stp>BDH|2148469655322373749</stp>
        <tr r="G47" s="2"/>
      </tp>
    </main>
    <main first="bofaddin.rtdserver">
      <tp t="b">
        <v>0</v>
        <stp/>
        <stp>BDH|1371647631955330600</stp>
        <tr r="E33" s="2"/>
      </tp>
    </main>
    <main first="bofaddin.rtdserver">
      <tp t="b">
        <v>0</v>
        <stp/>
        <stp>BDH|7491558706034834670</stp>
        <tr r="F42" s="2"/>
      </tp>
      <tp t="b">
        <v>0</v>
        <stp/>
        <stp>BDH|8352734522924438986</stp>
        <tr r="F32" s="2"/>
      </tp>
    </main>
    <main first="bofaddin.rtdserver">
      <tp t="b">
        <v>0</v>
        <stp/>
        <stp>BDH|1211171247020959542</stp>
        <tr r="F44" s="2"/>
      </tp>
      <tp t="b">
        <v>0</v>
        <stp/>
        <stp>BDH|7055276777231411290</stp>
        <tr r="G34" s="2"/>
      </tp>
      <tp t="b">
        <v>0</v>
        <stp/>
        <stp>BDH|2343459253914386667</stp>
        <tr r="G38" s="2"/>
      </tp>
    </main>
    <main first="bofaddin.rtdserver">
      <tp t="b">
        <v>0</v>
        <stp/>
        <stp>BDH|9083037099143452138</stp>
        <tr r="E36" s="2"/>
      </tp>
    </main>
    <main first="bofaddin.rtdserver">
      <tp t="b">
        <v>0</v>
        <stp/>
        <stp>BDH|2678144711393963204</stp>
        <tr r="F38" s="2"/>
      </tp>
      <tp t="b">
        <v>0</v>
        <stp/>
        <stp>BDH|5590456287433972927</stp>
        <tr r="G48" s="2"/>
      </tp>
    </main>
    <main first="bofaddin.rtdserver">
      <tp t="b">
        <v>0</v>
        <stp/>
        <stp>BDH|590993146969029679</stp>
        <tr r="F50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212911</xdr:colOff>
      <xdr:row>11</xdr:row>
      <xdr:rowOff>9023</xdr:rowOff>
    </xdr:from>
    <xdr:to>
      <xdr:col>7</xdr:col>
      <xdr:colOff>907678</xdr:colOff>
      <xdr:row>26</xdr:row>
      <xdr:rowOff>1607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5D0C5-2A09-4447-A972-2CD6AAB2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029" y="2182964"/>
          <a:ext cx="4908178" cy="2850084"/>
        </a:xfrm>
        <a:prstGeom prst="rect">
          <a:avLst/>
        </a:prstGeom>
      </xdr:spPr>
    </xdr:pic>
    <xdr:clientData/>
  </xdr:twoCellAnchor>
  <xdr:twoCellAnchor editAs="oneCell">
    <xdr:from>
      <xdr:col>9</xdr:col>
      <xdr:colOff>750794</xdr:colOff>
      <xdr:row>1</xdr:row>
      <xdr:rowOff>14901</xdr:rowOff>
    </xdr:from>
    <xdr:to>
      <xdr:col>10</xdr:col>
      <xdr:colOff>894790</xdr:colOff>
      <xdr:row>2</xdr:row>
      <xdr:rowOff>167376</xdr:rowOff>
    </xdr:to>
    <xdr:pic>
      <xdr:nvPicPr>
        <xdr:cNvPr id="3" name="Picture 2" descr="Related image">
          <a:extLst>
            <a:ext uri="{FF2B5EF4-FFF2-40B4-BE49-F238E27FC236}">
              <a16:creationId xmlns:a16="http://schemas.microsoft.com/office/drawing/2014/main" id="{9C96662D-031B-43F6-99FB-904120AEF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0912" y="205401"/>
          <a:ext cx="1085290" cy="421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topLeftCell="B4" zoomScale="85" zoomScaleNormal="85" workbookViewId="0">
      <selection activeCell="K38" sqref="K38"/>
    </sheetView>
  </sheetViews>
  <sheetFormatPr defaultColWidth="9.15625" defaultRowHeight="14.4" outlineLevelCol="1" x14ac:dyDescent="0.55000000000000004"/>
  <cols>
    <col min="1" max="1" width="31" style="20" hidden="1" customWidth="1" outlineLevel="1"/>
    <col min="2" max="2" width="3.26171875" style="20" customWidth="1" collapsed="1"/>
    <col min="3" max="3" width="3.26171875" style="20" customWidth="1"/>
    <col min="4" max="4" width="17.41796875" style="36" customWidth="1"/>
    <col min="5" max="11" width="14.15625" style="36" customWidth="1"/>
    <col min="12" max="12" width="3.26171875" style="36" customWidth="1"/>
    <col min="13" max="15" width="14.15625" style="36" customWidth="1"/>
    <col min="16" max="16384" width="9.15625" style="36"/>
  </cols>
  <sheetData>
    <row r="1" spans="1:15" ht="14.7" thickBot="1" x14ac:dyDescent="0.6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s="40" customFormat="1" ht="20.399999999999999" x14ac:dyDescent="0.55000000000000004">
      <c r="A2" s="18"/>
      <c r="B2" s="18"/>
      <c r="C2" s="41"/>
      <c r="D2" s="42" t="s">
        <v>47</v>
      </c>
      <c r="E2" s="42"/>
      <c r="F2" s="64" t="s">
        <v>63</v>
      </c>
      <c r="G2" s="64" t="s">
        <v>65</v>
      </c>
      <c r="H2" s="64" t="s">
        <v>66</v>
      </c>
      <c r="I2" s="64"/>
      <c r="J2" s="42"/>
      <c r="K2" s="42"/>
      <c r="L2" s="43"/>
      <c r="M2" s="18"/>
      <c r="N2" s="18"/>
      <c r="O2" s="18"/>
    </row>
    <row r="3" spans="1:15" x14ac:dyDescent="0.55000000000000004">
      <c r="A3" s="17"/>
      <c r="B3" s="17"/>
      <c r="C3" s="44"/>
      <c r="D3" s="17"/>
      <c r="E3" s="17"/>
      <c r="F3" s="17" t="s">
        <v>64</v>
      </c>
      <c r="G3" s="65" t="s">
        <v>67</v>
      </c>
      <c r="H3" s="17" t="s">
        <v>68</v>
      </c>
      <c r="I3" s="17"/>
      <c r="J3" s="17"/>
      <c r="K3" s="17"/>
      <c r="L3" s="45"/>
      <c r="M3" s="35"/>
      <c r="N3" s="35"/>
      <c r="O3" s="35"/>
    </row>
    <row r="4" spans="1:15" x14ac:dyDescent="0.55000000000000004">
      <c r="A4" s="17"/>
      <c r="B4" s="17"/>
      <c r="C4" s="44"/>
      <c r="D4" s="2" t="s">
        <v>54</v>
      </c>
      <c r="E4" s="17"/>
      <c r="F4" s="17"/>
      <c r="G4" s="20"/>
      <c r="H4" s="20"/>
      <c r="I4" s="20"/>
      <c r="J4" s="2" t="s">
        <v>57</v>
      </c>
      <c r="K4" s="46">
        <v>44561</v>
      </c>
      <c r="L4" s="45"/>
      <c r="M4" s="35"/>
      <c r="N4" s="35"/>
      <c r="O4" s="35"/>
    </row>
    <row r="5" spans="1:15" x14ac:dyDescent="0.55000000000000004">
      <c r="A5" s="17"/>
      <c r="B5" s="17"/>
      <c r="C5" s="44"/>
      <c r="D5" s="75"/>
      <c r="E5" s="76"/>
      <c r="F5" s="76"/>
      <c r="G5" s="76"/>
      <c r="H5" s="77"/>
      <c r="I5" s="20"/>
      <c r="J5" s="2" t="s">
        <v>58</v>
      </c>
      <c r="K5" s="46">
        <v>44597</v>
      </c>
      <c r="L5" s="45"/>
      <c r="M5" s="35"/>
      <c r="N5" s="35"/>
      <c r="O5" s="35"/>
    </row>
    <row r="6" spans="1:15" x14ac:dyDescent="0.55000000000000004">
      <c r="A6" s="17"/>
      <c r="B6" s="17"/>
      <c r="C6" s="44"/>
      <c r="D6" s="78"/>
      <c r="E6" s="79"/>
      <c r="F6" s="79"/>
      <c r="G6" s="79"/>
      <c r="H6" s="80"/>
      <c r="I6" s="20"/>
      <c r="J6" s="2" t="s">
        <v>55</v>
      </c>
      <c r="K6" s="47">
        <v>160</v>
      </c>
      <c r="L6" s="45"/>
      <c r="M6" s="35"/>
      <c r="N6" s="35"/>
      <c r="O6" s="35"/>
    </row>
    <row r="7" spans="1:15" x14ac:dyDescent="0.55000000000000004">
      <c r="A7" s="17"/>
      <c r="B7" s="17"/>
      <c r="C7" s="44"/>
      <c r="D7" s="78"/>
      <c r="E7" s="79"/>
      <c r="F7" s="79"/>
      <c r="G7" s="79"/>
      <c r="H7" s="80"/>
      <c r="I7" s="20"/>
      <c r="J7" s="2" t="s">
        <v>0</v>
      </c>
      <c r="K7" s="47">
        <v>73407</v>
      </c>
      <c r="L7" s="45"/>
      <c r="M7" s="35"/>
      <c r="N7" s="35"/>
      <c r="O7" s="35"/>
    </row>
    <row r="8" spans="1:15" x14ac:dyDescent="0.55000000000000004">
      <c r="A8" s="17"/>
      <c r="B8" s="17"/>
      <c r="C8" s="44"/>
      <c r="D8" s="78"/>
      <c r="E8" s="79"/>
      <c r="F8" s="79"/>
      <c r="G8" s="79"/>
      <c r="H8" s="80"/>
      <c r="I8" s="20"/>
      <c r="J8" s="2" t="s">
        <v>56</v>
      </c>
      <c r="K8" s="47">
        <v>73300</v>
      </c>
      <c r="L8" s="45"/>
      <c r="M8" s="35"/>
      <c r="N8" s="35"/>
      <c r="O8" s="35"/>
    </row>
    <row r="9" spans="1:15" x14ac:dyDescent="0.55000000000000004">
      <c r="A9" s="17"/>
      <c r="B9" s="17"/>
      <c r="C9" s="44"/>
      <c r="D9" s="78"/>
      <c r="E9" s="79"/>
      <c r="F9" s="79"/>
      <c r="G9" s="79"/>
      <c r="H9" s="80"/>
      <c r="I9" s="20"/>
      <c r="J9" s="2" t="s">
        <v>60</v>
      </c>
      <c r="K9" s="48">
        <v>4</v>
      </c>
      <c r="L9" s="45"/>
      <c r="M9" s="35"/>
      <c r="N9" s="35"/>
      <c r="O9" s="35"/>
    </row>
    <row r="10" spans="1:15" x14ac:dyDescent="0.55000000000000004">
      <c r="A10" s="17"/>
      <c r="B10" s="17"/>
      <c r="C10" s="44"/>
      <c r="D10" s="81"/>
      <c r="E10" s="82"/>
      <c r="F10" s="82"/>
      <c r="G10" s="82"/>
      <c r="H10" s="83"/>
      <c r="I10" s="20"/>
      <c r="J10" s="2" t="s">
        <v>59</v>
      </c>
      <c r="K10" s="49">
        <v>0.1</v>
      </c>
      <c r="L10" s="45"/>
      <c r="M10" s="35"/>
      <c r="N10" s="35"/>
      <c r="O10" s="35"/>
    </row>
    <row r="11" spans="1:15" x14ac:dyDescent="0.55000000000000004">
      <c r="A11" s="17"/>
      <c r="B11" s="17"/>
      <c r="C11" s="44"/>
      <c r="D11" s="17"/>
      <c r="E11" s="17"/>
      <c r="F11" s="17"/>
      <c r="G11" s="17"/>
      <c r="H11" s="17"/>
      <c r="I11" s="17"/>
      <c r="J11" s="17"/>
      <c r="K11" s="17"/>
      <c r="L11" s="45"/>
      <c r="M11" s="35"/>
      <c r="N11" s="35"/>
      <c r="O11" s="35"/>
    </row>
    <row r="12" spans="1:15" x14ac:dyDescent="0.55000000000000004">
      <c r="A12" s="17"/>
      <c r="B12" s="17"/>
      <c r="C12" s="44"/>
      <c r="D12" s="17"/>
      <c r="E12" s="17"/>
      <c r="F12" s="17"/>
      <c r="G12" s="17"/>
      <c r="H12" s="17"/>
      <c r="I12" s="50" t="s">
        <v>48</v>
      </c>
      <c r="J12" s="17"/>
      <c r="K12" s="17"/>
      <c r="L12" s="45"/>
      <c r="M12" s="35"/>
      <c r="N12" s="35"/>
      <c r="O12" s="35"/>
    </row>
    <row r="13" spans="1:15" x14ac:dyDescent="0.55000000000000004">
      <c r="A13" s="17"/>
      <c r="B13" s="17"/>
      <c r="C13" s="44"/>
      <c r="D13" s="17"/>
      <c r="E13" s="17"/>
      <c r="F13" s="17"/>
      <c r="G13" s="17"/>
      <c r="H13" s="17"/>
      <c r="I13" s="84"/>
      <c r="J13" s="85"/>
      <c r="K13" s="86"/>
      <c r="L13" s="45"/>
      <c r="M13" s="35"/>
      <c r="N13" s="35"/>
      <c r="O13" s="35"/>
    </row>
    <row r="14" spans="1:15" x14ac:dyDescent="0.55000000000000004">
      <c r="A14" s="17"/>
      <c r="B14" s="17"/>
      <c r="C14" s="44"/>
      <c r="D14" s="17"/>
      <c r="E14" s="17"/>
      <c r="F14" s="17"/>
      <c r="G14" s="17"/>
      <c r="H14" s="17"/>
      <c r="I14" s="87"/>
      <c r="J14" s="88"/>
      <c r="K14" s="89"/>
      <c r="L14" s="45"/>
      <c r="M14" s="35"/>
      <c r="N14" s="35"/>
      <c r="O14" s="35"/>
    </row>
    <row r="15" spans="1:15" x14ac:dyDescent="0.55000000000000004">
      <c r="A15" s="17"/>
      <c r="B15" s="17"/>
      <c r="C15" s="44"/>
      <c r="D15" s="17"/>
      <c r="E15" s="17"/>
      <c r="F15" s="17"/>
      <c r="G15" s="20"/>
      <c r="H15" s="17"/>
      <c r="I15" s="87"/>
      <c r="J15" s="88"/>
      <c r="K15" s="89"/>
      <c r="L15" s="45"/>
      <c r="M15" s="35"/>
      <c r="N15" s="35"/>
      <c r="O15" s="35"/>
    </row>
    <row r="16" spans="1:15" x14ac:dyDescent="0.55000000000000004">
      <c r="A16" s="17"/>
      <c r="B16" s="17"/>
      <c r="C16" s="44"/>
      <c r="D16" s="17"/>
      <c r="E16" s="17"/>
      <c r="F16" s="17"/>
      <c r="G16" s="17"/>
      <c r="H16" s="17"/>
      <c r="I16" s="90"/>
      <c r="J16" s="91"/>
      <c r="K16" s="92"/>
      <c r="L16" s="45"/>
      <c r="M16" s="35"/>
      <c r="N16" s="35"/>
      <c r="O16" s="35"/>
    </row>
    <row r="17" spans="1:15" x14ac:dyDescent="0.55000000000000004">
      <c r="A17" s="17"/>
      <c r="B17" s="17"/>
      <c r="C17" s="44"/>
      <c r="D17" s="17"/>
      <c r="E17" s="17"/>
      <c r="F17" s="17"/>
      <c r="G17" s="17"/>
      <c r="H17" s="17"/>
      <c r="I17" s="50" t="s">
        <v>49</v>
      </c>
      <c r="J17" s="17"/>
      <c r="K17" s="17"/>
      <c r="L17" s="45"/>
      <c r="M17" s="35"/>
      <c r="N17" s="35"/>
      <c r="O17" s="35"/>
    </row>
    <row r="18" spans="1:15" x14ac:dyDescent="0.55000000000000004">
      <c r="A18" s="17"/>
      <c r="B18" s="17"/>
      <c r="C18" s="44"/>
      <c r="D18" s="17"/>
      <c r="E18" s="17"/>
      <c r="F18" s="17"/>
      <c r="G18" s="17"/>
      <c r="H18" s="17"/>
      <c r="I18" s="84"/>
      <c r="J18" s="85"/>
      <c r="K18" s="86"/>
      <c r="L18" s="45"/>
      <c r="M18" s="35"/>
      <c r="N18" s="35"/>
      <c r="O18" s="35"/>
    </row>
    <row r="19" spans="1:15" x14ac:dyDescent="0.55000000000000004">
      <c r="A19" s="17"/>
      <c r="B19" s="17"/>
      <c r="C19" s="44"/>
      <c r="D19" s="17"/>
      <c r="E19" s="17"/>
      <c r="F19" s="17"/>
      <c r="G19" s="17"/>
      <c r="H19" s="17"/>
      <c r="I19" s="87"/>
      <c r="J19" s="88"/>
      <c r="K19" s="89"/>
      <c r="L19" s="45"/>
      <c r="M19" s="35"/>
      <c r="N19" s="35"/>
      <c r="O19" s="35"/>
    </row>
    <row r="20" spans="1:15" x14ac:dyDescent="0.55000000000000004">
      <c r="A20" s="17"/>
      <c r="B20" s="17"/>
      <c r="C20" s="44"/>
      <c r="D20" s="17"/>
      <c r="E20" s="17"/>
      <c r="F20" s="17"/>
      <c r="G20" s="17"/>
      <c r="H20" s="17"/>
      <c r="I20" s="87"/>
      <c r="J20" s="88"/>
      <c r="K20" s="89"/>
      <c r="L20" s="45"/>
      <c r="M20" s="35"/>
      <c r="N20" s="35"/>
      <c r="O20" s="35"/>
    </row>
    <row r="21" spans="1:15" x14ac:dyDescent="0.55000000000000004">
      <c r="A21" s="17"/>
      <c r="B21" s="17"/>
      <c r="C21" s="44"/>
      <c r="D21" s="17"/>
      <c r="E21" s="17"/>
      <c r="F21" s="17"/>
      <c r="G21" s="17"/>
      <c r="H21" s="17"/>
      <c r="I21" s="90"/>
      <c r="J21" s="91"/>
      <c r="K21" s="92"/>
      <c r="L21" s="45"/>
      <c r="M21" s="35"/>
      <c r="N21" s="35"/>
      <c r="O21" s="35"/>
    </row>
    <row r="22" spans="1:15" x14ac:dyDescent="0.55000000000000004">
      <c r="A22" s="17"/>
      <c r="B22" s="17"/>
      <c r="C22" s="44"/>
      <c r="D22" s="17"/>
      <c r="E22" s="17"/>
      <c r="F22" s="17"/>
      <c r="G22" s="17"/>
      <c r="H22" s="17"/>
      <c r="I22" s="50" t="s">
        <v>50</v>
      </c>
      <c r="J22" s="17"/>
      <c r="K22" s="17"/>
      <c r="L22" s="45"/>
      <c r="M22" s="35"/>
      <c r="N22" s="35"/>
      <c r="O22" s="35"/>
    </row>
    <row r="23" spans="1:15" x14ac:dyDescent="0.55000000000000004">
      <c r="A23" s="17"/>
      <c r="B23" s="17"/>
      <c r="C23" s="44"/>
      <c r="D23" s="17"/>
      <c r="E23" s="17"/>
      <c r="F23" s="17"/>
      <c r="G23" s="17"/>
      <c r="H23" s="17"/>
      <c r="I23" s="84"/>
      <c r="J23" s="85"/>
      <c r="K23" s="86"/>
      <c r="L23" s="45"/>
      <c r="M23" s="35"/>
      <c r="N23" s="35"/>
      <c r="O23" s="35"/>
    </row>
    <row r="24" spans="1:15" x14ac:dyDescent="0.55000000000000004">
      <c r="A24" s="17"/>
      <c r="B24" s="17"/>
      <c r="C24" s="44"/>
      <c r="D24" s="17"/>
      <c r="E24" s="17"/>
      <c r="F24" s="17"/>
      <c r="G24" s="17"/>
      <c r="H24" s="17"/>
      <c r="I24" s="87"/>
      <c r="J24" s="88"/>
      <c r="K24" s="89"/>
      <c r="L24" s="45"/>
      <c r="M24" s="35"/>
      <c r="N24" s="35"/>
      <c r="O24" s="35"/>
    </row>
    <row r="25" spans="1:15" x14ac:dyDescent="0.55000000000000004">
      <c r="A25" s="17"/>
      <c r="B25" s="17"/>
      <c r="C25" s="44"/>
      <c r="D25" s="17"/>
      <c r="E25" s="17"/>
      <c r="F25" s="17"/>
      <c r="G25" s="17"/>
      <c r="H25" s="17"/>
      <c r="I25" s="87"/>
      <c r="J25" s="88"/>
      <c r="K25" s="89"/>
      <c r="L25" s="45"/>
      <c r="M25" s="35"/>
      <c r="N25" s="35"/>
      <c r="O25" s="35"/>
    </row>
    <row r="26" spans="1:15" x14ac:dyDescent="0.55000000000000004">
      <c r="A26" s="17"/>
      <c r="B26" s="17"/>
      <c r="C26" s="44"/>
      <c r="D26" s="17"/>
      <c r="E26" s="17"/>
      <c r="F26" s="17"/>
      <c r="G26" s="17"/>
      <c r="H26" s="17"/>
      <c r="I26" s="90"/>
      <c r="J26" s="91"/>
      <c r="K26" s="92"/>
      <c r="L26" s="45"/>
      <c r="M26" s="35"/>
      <c r="N26" s="35"/>
      <c r="O26" s="35"/>
    </row>
    <row r="27" spans="1:15" x14ac:dyDescent="0.55000000000000004">
      <c r="A27" s="17"/>
      <c r="B27" s="17"/>
      <c r="C27" s="44"/>
      <c r="D27" s="17"/>
      <c r="E27" s="17"/>
      <c r="F27" s="17"/>
      <c r="G27" s="17"/>
      <c r="H27" s="17"/>
      <c r="I27" s="17"/>
      <c r="J27" s="17"/>
      <c r="K27" s="17"/>
      <c r="L27" s="45"/>
      <c r="M27" s="35"/>
      <c r="N27" s="35"/>
      <c r="O27" s="35"/>
    </row>
    <row r="28" spans="1:15" x14ac:dyDescent="0.55000000000000004">
      <c r="A28" s="13"/>
      <c r="B28" s="13"/>
      <c r="C28" s="51"/>
      <c r="D28" s="16" t="s">
        <v>1</v>
      </c>
      <c r="E28" s="10" t="s">
        <v>2</v>
      </c>
      <c r="F28" s="10" t="s">
        <v>3</v>
      </c>
      <c r="G28" s="10" t="s">
        <v>4</v>
      </c>
      <c r="H28" s="10" t="s">
        <v>5</v>
      </c>
      <c r="I28" s="10" t="s">
        <v>6</v>
      </c>
      <c r="J28" s="10" t="s">
        <v>44</v>
      </c>
      <c r="K28" s="27"/>
      <c r="L28" s="52"/>
    </row>
    <row r="29" spans="1:15" x14ac:dyDescent="0.55000000000000004">
      <c r="A29" s="12"/>
      <c r="B29" s="12"/>
      <c r="C29" s="53"/>
      <c r="D29" s="9" t="s">
        <v>7</v>
      </c>
      <c r="E29" s="26" t="s">
        <v>8</v>
      </c>
      <c r="F29" s="26" t="s">
        <v>9</v>
      </c>
      <c r="G29" s="26" t="s">
        <v>10</v>
      </c>
      <c r="H29" s="26" t="s">
        <v>11</v>
      </c>
      <c r="I29" s="26" t="s">
        <v>12</v>
      </c>
      <c r="J29" s="8">
        <v>45291</v>
      </c>
      <c r="K29" s="26" t="s">
        <v>45</v>
      </c>
      <c r="L29" s="52"/>
    </row>
    <row r="30" spans="1:15" x14ac:dyDescent="0.55000000000000004">
      <c r="A30" s="19" t="s">
        <v>14</v>
      </c>
      <c r="B30" s="19"/>
      <c r="C30" s="54"/>
      <c r="D30" s="22" t="s">
        <v>13</v>
      </c>
      <c r="E30" s="34">
        <f>_xll.BDH("SQ US Equity","HISTORICAL_MARKET_CAP","FY 2018","FY 2018","Currency=USD","Period=FY","BEST_FPERIOD_OVERRIDE=FY","FILING_STATUS=MR","SCALING_FORMAT=MLN","Sort=A","Dates=H","DateFormat=P","Fill=—","Direction=H","UseDPDF=Y")</f>
        <v>23392.222699999998</v>
      </c>
      <c r="F30" s="34">
        <f>_xll.BDH("SQ US Equity","HISTORICAL_MARKET_CAP","FY 2019","FY 2019","Currency=USD","Period=FY","BEST_FPERIOD_OVERRIDE=FY","FILING_STATUS=MR","SCALING_FORMAT=MLN","Sort=A","Dates=H","DateFormat=P","Fill=—","Direction=H","UseDPDF=Y")</f>
        <v>27075.7628</v>
      </c>
      <c r="G30" s="34">
        <f>_xll.BDH("SQ US Equity","HISTORICAL_MARKET_CAP","FY 2020","FY 2020","Currency=USD","Period=FY","BEST_FPERIOD_OVERRIDE=FY","FILING_STATUS=MR","SCALING_FORMAT=MLN","Sort=A","Dates=H","DateFormat=P","Fill=—","Direction=H","UseDPDF=Y")</f>
        <v>99284.054600000003</v>
      </c>
      <c r="H30" s="34"/>
      <c r="I30" s="34"/>
      <c r="J30" s="34"/>
      <c r="K30" s="29"/>
      <c r="L30" s="52"/>
    </row>
    <row r="31" spans="1:15" x14ac:dyDescent="0.55000000000000004">
      <c r="A31" s="15" t="s">
        <v>16</v>
      </c>
      <c r="B31" s="15"/>
      <c r="C31" s="55"/>
      <c r="D31" s="7" t="s">
        <v>15</v>
      </c>
      <c r="E31" s="33">
        <f>_xll.BDH("SQ US Equity","CASH_AND_MARKETABLE_SECURITIES","FY 2018","FY 2018","Currency=USD","Period=FY","BEST_FPERIOD_OVERRIDE=FY","FILING_STATUS=MR","SCALING_FORMAT=MLN","Sort=A","Dates=H","DateFormat=P","Fill=—","Direction=H","UseDPDF=Y")</f>
        <v>1124.164</v>
      </c>
      <c r="F31" s="33">
        <f>_xll.BDH("SQ US Equity","CASH_AND_MARKETABLE_SECURITIES","FY 2019","FY 2019","Currency=USD","Period=FY","BEST_FPERIOD_OVERRIDE=FY","FILING_STATUS=MR","SCALING_FORMAT=MLN","Sort=A","Dates=H","DateFormat=P","Fill=—","Direction=H","UseDPDF=Y")</f>
        <v>1539.5740000000001</v>
      </c>
      <c r="G31" s="33">
        <f>_xll.BDH("SQ US Equity","CASH_AND_MARKETABLE_SECURITIES","FY 2020","FY 2020","Currency=USD","Period=FY","BEST_FPERIOD_OVERRIDE=FY","FILING_STATUS=MR","SCALING_FORMAT=MLN","Sort=A","Dates=H","DateFormat=P","Fill=—","Direction=H","UseDPDF=Y")</f>
        <v>3853.17</v>
      </c>
      <c r="H31" s="33"/>
      <c r="I31" s="33"/>
      <c r="J31" s="33"/>
      <c r="K31" s="29"/>
      <c r="L31" s="52"/>
    </row>
    <row r="32" spans="1:15" x14ac:dyDescent="0.55000000000000004">
      <c r="A32" s="15" t="s">
        <v>18</v>
      </c>
      <c r="B32" s="15"/>
      <c r="C32" s="55"/>
      <c r="D32" s="7" t="s">
        <v>17</v>
      </c>
      <c r="E32" s="33">
        <f>_xll.BDH("SQ US Equity","PREFERRED_EQUITY_&amp;_MINORITY_INT","FY 2018","FY 2018","Currency=USD","Period=FY","BEST_FPERIOD_OVERRIDE=FY","FILING_STATUS=MR","SCALING_FORMAT=MLN","Sort=A","Dates=H","DateFormat=P","Fill=—","Direction=H","UseDPDF=Y")</f>
        <v>0</v>
      </c>
      <c r="F32" s="33">
        <f>_xll.BDH("SQ US Equity","PREFERRED_EQUITY_&amp;_MINORITY_INT","FY 2019","FY 2019","Currency=USD","Period=FY","BEST_FPERIOD_OVERRIDE=FY","FILING_STATUS=MR","SCALING_FORMAT=MLN","Sort=A","Dates=H","DateFormat=P","Fill=—","Direction=H","UseDPDF=Y")</f>
        <v>0</v>
      </c>
      <c r="G32" s="33">
        <f>_xll.BDH("SQ US Equity","PREFERRED_EQUITY_&amp;_MINORITY_INT","FY 2020","FY 2020","Currency=USD","Period=FY","BEST_FPERIOD_OVERRIDE=FY","FILING_STATUS=MR","SCALING_FORMAT=MLN","Sort=A","Dates=H","DateFormat=P","Fill=—","Direction=H","UseDPDF=Y")</f>
        <v>0</v>
      </c>
      <c r="H32" s="33"/>
      <c r="I32" s="33"/>
      <c r="J32" s="33"/>
      <c r="K32" s="29"/>
      <c r="L32" s="52"/>
    </row>
    <row r="33" spans="1:12" x14ac:dyDescent="0.55000000000000004">
      <c r="A33" s="15" t="s">
        <v>20</v>
      </c>
      <c r="B33" s="15"/>
      <c r="C33" s="55"/>
      <c r="D33" s="7" t="s">
        <v>19</v>
      </c>
      <c r="E33" s="33">
        <f>_xll.BDH("SQ US Equity","SHORT_AND_LONG_TERM_DEBT","FY 2018","FY 2018","Currency=USD","Period=FY","BEST_FPERIOD_OVERRIDE=FY","FILING_STATUS=MR","SCALING_FORMAT=MLN","Sort=A","Dates=H","DateFormat=P","Fill=—","Direction=H","UseDPDF=Y")</f>
        <v>907.17</v>
      </c>
      <c r="F33" s="33">
        <f>_xll.BDH("SQ US Equity","SHORT_AND_LONG_TERM_DEBT","FY 2019","FY 2019","Currency=USD","Period=FY","BEST_FPERIOD_OVERRIDE=FY","FILING_STATUS=MR","SCALING_FORMAT=MLN","Sort=A","Dates=H","DateFormat=P","Fill=—","Direction=H","UseDPDF=Y")</f>
        <v>1077.383</v>
      </c>
      <c r="G33" s="33">
        <f>_xll.BDH("SQ US Equity","SHORT_AND_LONG_TERM_DEBT","FY 2020","FY 2020","Currency=USD","Period=FY","BEST_FPERIOD_OVERRIDE=FY","FILING_STATUS=MR","SCALING_FORMAT=MLN","Sort=A","Dates=H","DateFormat=P","Fill=—","Direction=H","UseDPDF=Y")</f>
        <v>3029.3330000000001</v>
      </c>
      <c r="H33" s="33"/>
      <c r="I33" s="33"/>
      <c r="J33" s="33"/>
      <c r="K33" s="29"/>
      <c r="L33" s="52"/>
    </row>
    <row r="34" spans="1:12" x14ac:dyDescent="0.55000000000000004">
      <c r="A34" s="19" t="s">
        <v>22</v>
      </c>
      <c r="B34" s="19"/>
      <c r="C34" s="54"/>
      <c r="D34" s="22" t="s">
        <v>21</v>
      </c>
      <c r="E34" s="34">
        <f>_xll.BDH("SQ US Equity","ENTERPRISE_VALUE","FY 2018","FY 2018","Currency=USD","Period=FY","BEST_FPERIOD_OVERRIDE=FY","FILING_STATUS=MR","SCALING_FORMAT=MLN","Sort=A","Dates=H","DateFormat=P","Fill=—","Direction=H","UseDPDF=Y")</f>
        <v>23175.2287</v>
      </c>
      <c r="F34" s="34">
        <f>_xll.BDH("SQ US Equity","ENTERPRISE_VALUE","FY 2019","FY 2019","Currency=USD","Period=FY","BEST_FPERIOD_OVERRIDE=FY","FILING_STATUS=MR","SCALING_FORMAT=MLN","Sort=A","Dates=H","DateFormat=P","Fill=—","Direction=H","UseDPDF=Y")</f>
        <v>26613.571800000002</v>
      </c>
      <c r="G34" s="34">
        <f>_xll.BDH("SQ US Equity","ENTERPRISE_VALUE","FY 2020","FY 2020","Currency=USD","Period=FY","BEST_FPERIOD_OVERRIDE=FY","FILING_STATUS=MR","SCALING_FORMAT=MLN","Sort=A","Dates=H","DateFormat=P","Fill=—","Direction=H","UseDPDF=Y")</f>
        <v>98460.217600000004</v>
      </c>
      <c r="H34" s="34"/>
      <c r="I34" s="34"/>
      <c r="J34" s="34"/>
      <c r="K34" s="29"/>
      <c r="L34" s="52"/>
    </row>
    <row r="35" spans="1:12" x14ac:dyDescent="0.55000000000000004">
      <c r="A35" s="11"/>
      <c r="B35" s="11"/>
      <c r="C35" s="56"/>
      <c r="D35" s="22"/>
      <c r="E35" s="32"/>
      <c r="F35" s="32"/>
      <c r="G35" s="32"/>
      <c r="H35" s="32"/>
      <c r="I35" s="32"/>
      <c r="J35" s="32"/>
      <c r="K35" s="29"/>
      <c r="L35" s="52"/>
    </row>
    <row r="36" spans="1:12" x14ac:dyDescent="0.55000000000000004">
      <c r="A36" s="19" t="s">
        <v>24</v>
      </c>
      <c r="B36" s="19"/>
      <c r="C36" s="54"/>
      <c r="D36" s="22" t="s">
        <v>23</v>
      </c>
      <c r="E36" s="34">
        <f>_xll.BDH("SQ US Equity","SALES_REV_TURN","FY 2018","FY 2018","Currency=USD","Period=FY","BEST_FPERIOD_OVERRIDE=FY","FILING_STATUS=MR","SCALING_FORMAT=MLN","FA_ADJUSTED=Adjusted","Sort=A","Dates=H","DateFormat=P","Fill=—","Direction=H","UseDPDF=Y")</f>
        <v>3298.1770000000001</v>
      </c>
      <c r="F36" s="34">
        <f>_xll.BDH("SQ US Equity","SALES_REV_TURN","FY 2019","FY 2019","Currency=USD","Period=FY","BEST_FPERIOD_OVERRIDE=FY","FILING_STATUS=MR","SCALING_FORMAT=MLN","FA_ADJUSTED=Adjusted","Sort=A","Dates=H","DateFormat=P","Fill=—","Direction=H","UseDPDF=Y")</f>
        <v>4713.5</v>
      </c>
      <c r="G36" s="34">
        <f>_xll.BDH("SQ US Equity","SALES_REV_TURN","FY 2020","FY 2020","Currency=USD","Period=FY","BEST_FPERIOD_OVERRIDE=FY","FILING_STATUS=MR","SCALING_FORMAT=MLN","FA_ADJUSTED=Adjusted","Sort=A","Dates=H","DateFormat=P","Fill=—","Direction=H","UseDPDF=Y")</f>
        <v>9497.5779999999995</v>
      </c>
      <c r="H36" s="34">
        <v>17623.485000000001</v>
      </c>
      <c r="I36" s="34">
        <v>18904.697</v>
      </c>
      <c r="J36" s="25">
        <v>18904.697</v>
      </c>
      <c r="K36" s="28">
        <f>((J36/G36)^(1/3)-1)*100</f>
        <v>25.791786204977306</v>
      </c>
      <c r="L36" s="52"/>
    </row>
    <row r="37" spans="1:12" x14ac:dyDescent="0.55000000000000004">
      <c r="A37" s="14" t="s">
        <v>26</v>
      </c>
      <c r="B37" s="14"/>
      <c r="C37" s="57"/>
      <c r="D37" s="6" t="s">
        <v>25</v>
      </c>
      <c r="E37" s="31">
        <f>_xll.BDH("SQ US Equity","SALES_GROWTH","FY 2018","FY 2018","Currency=USD","Period=FY","BEST_FPERIOD_OVERRIDE=FY","FILING_STATUS=MR","FA_ADJUSTED=Adjusted","Sort=A","Dates=H","DateFormat=P","Fill=—","Direction=H","UseDPDF=Y")</f>
        <v>48.952100000000002</v>
      </c>
      <c r="F37" s="31">
        <f>_xll.BDH("SQ US Equity","SALES_GROWTH","FY 2019","FY 2019","Currency=USD","Period=FY","BEST_FPERIOD_OVERRIDE=FY","FILING_STATUS=MR","FA_ADJUSTED=Adjusted","Sort=A","Dates=H","DateFormat=P","Fill=—","Direction=H","UseDPDF=Y")</f>
        <v>42.912300000000002</v>
      </c>
      <c r="G37" s="31">
        <f>_xll.BDH("SQ US Equity","SALES_GROWTH","FY 2020","FY 2020","Currency=USD","Period=FY","BEST_FPERIOD_OVERRIDE=FY","FILING_STATUS=MR","FA_ADJUSTED=Adjusted","Sort=A","Dates=H","DateFormat=P","Fill=—","Direction=H","UseDPDF=Y")</f>
        <v>101.4974</v>
      </c>
      <c r="H37" s="31">
        <v>85.557675862203993</v>
      </c>
      <c r="I37" s="31">
        <v>7.26991284640921</v>
      </c>
      <c r="J37" s="24">
        <v>7.26991284640921</v>
      </c>
      <c r="K37" s="29"/>
      <c r="L37" s="52"/>
    </row>
    <row r="38" spans="1:12" x14ac:dyDescent="0.55000000000000004">
      <c r="A38" s="19" t="s">
        <v>28</v>
      </c>
      <c r="B38" s="19"/>
      <c r="C38" s="54"/>
      <c r="D38" s="22" t="s">
        <v>27</v>
      </c>
      <c r="E38" s="34">
        <f>_xll.BDH("SQ US Equity","GROSS_PROFIT","FY 2018","FY 2018","Currency=USD","Period=FY","BEST_FPERIOD_OVERRIDE=FY","FILING_STATUS=MR","SCALING_FORMAT=MLN","FA_ADJUSTED=Adjusted","Sort=A","Dates=H","DateFormat=P","Fill=—","Direction=H","UseDPDF=Y")</f>
        <v>1303.7</v>
      </c>
      <c r="F38" s="34">
        <f>_xll.BDH("SQ US Equity","GROSS_PROFIT","FY 2019","FY 2019","Currency=USD","Period=FY","BEST_FPERIOD_OVERRIDE=FY","FILING_STATUS=MR","SCALING_FORMAT=MLN","FA_ADJUSTED=Adjusted","Sort=A","Dates=H","DateFormat=P","Fill=—","Direction=H","UseDPDF=Y")</f>
        <v>1889.6849999999999</v>
      </c>
      <c r="G38" s="34">
        <f>_xll.BDH("SQ US Equity","GROSS_PROFIT","FY 2020","FY 2020","Currency=USD","Period=FY","BEST_FPERIOD_OVERRIDE=FY","FILING_STATUS=MR","SCALING_FORMAT=MLN","FA_ADJUSTED=Adjusted","Sort=A","Dates=H","DateFormat=P","Fill=—","Direction=H","UseDPDF=Y")</f>
        <v>2733.4090000000001</v>
      </c>
      <c r="H38" s="34">
        <v>4375.2063860999997</v>
      </c>
      <c r="I38" s="34">
        <v>5474.8002512000003</v>
      </c>
      <c r="J38" s="25">
        <v>5474.8002512000003</v>
      </c>
      <c r="K38" s="28">
        <f>((J38/G38)^(1/3)-1)*100</f>
        <v>26.053396679595831</v>
      </c>
      <c r="L38" s="52"/>
    </row>
    <row r="39" spans="1:12" x14ac:dyDescent="0.55000000000000004">
      <c r="A39" s="14" t="s">
        <v>28</v>
      </c>
      <c r="B39" s="14"/>
      <c r="C39" s="57"/>
      <c r="D39" s="6" t="s">
        <v>29</v>
      </c>
      <c r="E39" s="31">
        <v>39.527896774490898</v>
      </c>
      <c r="F39" s="31">
        <v>40.090909090909101</v>
      </c>
      <c r="G39" s="31">
        <v>28.7800637172972</v>
      </c>
      <c r="H39" s="31">
        <v>24.826000000000001</v>
      </c>
      <c r="I39" s="31">
        <v>28.96</v>
      </c>
      <c r="J39" s="24">
        <v>28.96</v>
      </c>
      <c r="K39" s="29"/>
      <c r="L39" s="52"/>
    </row>
    <row r="40" spans="1:12" x14ac:dyDescent="0.55000000000000004">
      <c r="A40" s="19" t="s">
        <v>31</v>
      </c>
      <c r="B40" s="19"/>
      <c r="C40" s="54"/>
      <c r="D40" s="22" t="s">
        <v>30</v>
      </c>
      <c r="E40" s="34">
        <f>_xll.BDH("SQ US Equity","EBITDA","FY 2018","FY 2018","Currency=USD","Period=FY","BEST_FPERIOD_OVERRIDE=FY","FILING_STATUS=MR","SCALING_FORMAT=MLN","FA_ADJUSTED=Adjusted","Sort=A","Dates=H","DateFormat=P","Fill=—","Direction=H","UseDPDF=Y")</f>
        <v>39.642000000000003</v>
      </c>
      <c r="F40" s="34">
        <f>_xll.BDH("SQ US Equity","EBITDA","FY 2019","FY 2019","Currency=USD","Period=FY","BEST_FPERIOD_OVERRIDE=FY","FILING_STATUS=MR","SCALING_FORMAT=MLN","FA_ADJUSTED=Adjusted","Sort=A","Dates=H","DateFormat=P","Fill=—","Direction=H","UseDPDF=Y")</f>
        <v>157.357</v>
      </c>
      <c r="G40" s="34">
        <f>_xll.BDH("SQ US Equity","EBITDA","FY 2020","FY 2020","Currency=USD","Period=FY","BEST_FPERIOD_OVERRIDE=FY","FILING_STATUS=MR","SCALING_FORMAT=MLN","FA_ADJUSTED=Adjusted","Sort=A","Dates=H","DateFormat=P","Fill=—","Direction=H","UseDPDF=Y")</f>
        <v>-150.41499999999999</v>
      </c>
      <c r="H40" s="34">
        <v>984</v>
      </c>
      <c r="I40" s="34">
        <v>1058.412</v>
      </c>
      <c r="J40" s="25">
        <v>1058.412</v>
      </c>
      <c r="K40" s="28">
        <f>((J40/G40)^(1/3)-1)*100</f>
        <v>-291.62604476841614</v>
      </c>
      <c r="L40" s="52"/>
    </row>
    <row r="41" spans="1:12" x14ac:dyDescent="0.55000000000000004">
      <c r="A41" s="14" t="s">
        <v>31</v>
      </c>
      <c r="B41" s="14"/>
      <c r="C41" s="57"/>
      <c r="D41" s="6" t="s">
        <v>29</v>
      </c>
      <c r="E41" s="31">
        <v>1.20193670624712</v>
      </c>
      <c r="F41" s="31">
        <v>3.3384321629362499</v>
      </c>
      <c r="G41" s="31">
        <v>-1.58371955460645</v>
      </c>
      <c r="H41" s="31">
        <v>5.5834586632553096</v>
      </c>
      <c r="I41" s="31">
        <v>5.5986721183629697</v>
      </c>
      <c r="J41" s="24">
        <v>5.5986721183629697</v>
      </c>
      <c r="K41" s="29"/>
      <c r="L41" s="52"/>
    </row>
    <row r="42" spans="1:12" x14ac:dyDescent="0.55000000000000004">
      <c r="A42" s="19" t="s">
        <v>33</v>
      </c>
      <c r="B42" s="19"/>
      <c r="C42" s="54"/>
      <c r="D42" s="22" t="s">
        <v>32</v>
      </c>
      <c r="E42" s="34">
        <f>_xll.BDH("SQ US Equity","EARN_FOR_COMMON","FY 2018","FY 2018","Currency=USD","Period=FY","BEST_FPERIOD_OVERRIDE=FY","FILING_STATUS=MR","SCALING_FORMAT=MLN","FA_ADJUSTED=Adjusted","Sort=A","Dates=H","DateFormat=P","Fill=—","Direction=H","UseDPDF=Y")</f>
        <v>-38.472000000000001</v>
      </c>
      <c r="F42" s="34">
        <f>_xll.BDH("SQ US Equity","EARN_FOR_COMMON","FY 2019","FY 2019","Currency=USD","Period=FY","BEST_FPERIOD_OVERRIDE=FY","FILING_STATUS=MR","SCALING_FORMAT=MLN","FA_ADJUSTED=Adjusted","Sort=A","Dates=H","DateFormat=P","Fill=—","Direction=H","UseDPDF=Y")</f>
        <v>31.161999999999999</v>
      </c>
      <c r="G42" s="34">
        <f>_xll.BDH("SQ US Equity","EARN_FOR_COMMON","FY 2020","FY 2020","Currency=USD","Period=FY","BEST_FPERIOD_OVERRIDE=FY","FILING_STATUS=MR","SCALING_FORMAT=MLN","FA_ADJUSTED=Adjusted","Sort=A","Dates=H","DateFormat=P","Fill=—","Direction=H","UseDPDF=Y")</f>
        <v>-2.3546</v>
      </c>
      <c r="H42" s="34">
        <v>886.25</v>
      </c>
      <c r="I42" s="34">
        <v>966.38699999999994</v>
      </c>
      <c r="J42" s="25">
        <v>966.38699999999994</v>
      </c>
      <c r="K42" s="28">
        <f>((J42/G42)^(1/3)-1)*100</f>
        <v>-843.15256278714764</v>
      </c>
      <c r="L42" s="52"/>
    </row>
    <row r="43" spans="1:12" x14ac:dyDescent="0.55000000000000004">
      <c r="A43" s="14" t="s">
        <v>33</v>
      </c>
      <c r="B43" s="14"/>
      <c r="C43" s="57"/>
      <c r="D43" s="6" t="s">
        <v>29</v>
      </c>
      <c r="E43" s="31">
        <v>-1.1664625640164199</v>
      </c>
      <c r="F43" s="31">
        <v>0.66112230826349805</v>
      </c>
      <c r="G43" s="31">
        <v>-2.4791899576923699E-2</v>
      </c>
      <c r="H43" s="31">
        <v>5.0288010572256301</v>
      </c>
      <c r="I43" s="31">
        <v>5.1118883312438204</v>
      </c>
      <c r="J43" s="24">
        <v>5.1118883312438204</v>
      </c>
      <c r="K43" s="29"/>
      <c r="L43" s="52"/>
    </row>
    <row r="44" spans="1:12" x14ac:dyDescent="0.55000000000000004">
      <c r="A44" s="19" t="s">
        <v>35</v>
      </c>
      <c r="B44" s="19"/>
      <c r="C44" s="54"/>
      <c r="D44" s="22" t="s">
        <v>34</v>
      </c>
      <c r="E44" s="30">
        <f>_xll.BDH("SQ US Equity","IS_DIL_EPS_CONT_OPS","FY 2018","FY 2018","Currency=USD","Period=FY","BEST_FPERIOD_OVERRIDE=FY","FILING_STATUS=MR","Sort=A","Dates=H","DateFormat=P","Fill=—","Direction=H","UseDPDF=Y")</f>
        <v>-9.4799999999999995E-2</v>
      </c>
      <c r="F44" s="30">
        <f>_xll.BDH("SQ US Equity","IS_DIL_EPS_CONT_OPS","FY 2019","FY 2019","Currency=USD","Period=FY","BEST_FPERIOD_OVERRIDE=FY","FILING_STATUS=MR","Sort=A","Dates=H","DateFormat=P","Fill=—","Direction=H","UseDPDF=Y")</f>
        <v>7.1300000000000002E-2</v>
      </c>
      <c r="G44" s="30">
        <f>_xll.BDH("SQ US Equity","IS_DIL_EPS_CONT_OPS","FY 2020","FY 2020","Currency=USD","Period=FY","BEST_FPERIOD_OVERRIDE=FY","FILING_STATUS=MR","Sort=A","Dates=H","DateFormat=P","Fill=—","Direction=H","UseDPDF=Y")</f>
        <v>-6.8999999999999999E-3</v>
      </c>
      <c r="H44" s="30">
        <v>1.675</v>
      </c>
      <c r="I44" s="30">
        <v>1.7989999999999999</v>
      </c>
      <c r="J44" s="23">
        <v>1.7989999999999999</v>
      </c>
      <c r="K44" s="28">
        <f>((J44/G44)^(1/3)-1)*100</f>
        <v>-738.84282899150128</v>
      </c>
      <c r="L44" s="52"/>
    </row>
    <row r="45" spans="1:12" x14ac:dyDescent="0.55000000000000004">
      <c r="A45" s="14" t="s">
        <v>35</v>
      </c>
      <c r="B45" s="14"/>
      <c r="C45" s="57"/>
      <c r="D45" s="6" t="s">
        <v>25</v>
      </c>
      <c r="E45" s="31">
        <v>44.1361879624829</v>
      </c>
      <c r="F45" s="31" t="s">
        <v>36</v>
      </c>
      <c r="G45" s="31" t="s">
        <v>36</v>
      </c>
      <c r="H45" s="31"/>
      <c r="I45" s="31">
        <v>7.4029850746268604</v>
      </c>
      <c r="J45" s="24">
        <v>7.4029850746268604</v>
      </c>
      <c r="K45" s="29"/>
      <c r="L45" s="52"/>
    </row>
    <row r="46" spans="1:12" x14ac:dyDescent="0.55000000000000004">
      <c r="A46" s="11"/>
      <c r="B46" s="11"/>
      <c r="C46" s="56"/>
      <c r="D46" s="22"/>
      <c r="E46" s="32"/>
      <c r="F46" s="32"/>
      <c r="G46" s="32"/>
      <c r="H46" s="32"/>
      <c r="I46" s="32"/>
      <c r="J46" s="32"/>
      <c r="K46" s="29"/>
      <c r="L46" s="52"/>
    </row>
    <row r="47" spans="1:12" x14ac:dyDescent="0.55000000000000004">
      <c r="A47" s="19" t="s">
        <v>38</v>
      </c>
      <c r="B47" s="19"/>
      <c r="C47" s="54"/>
      <c r="D47" s="22" t="s">
        <v>37</v>
      </c>
      <c r="E47" s="34">
        <f>_xll.BDH("SQ US Equity","CF_CASH_FROM_OPER","FY 2018","FY 2018","Currency=USD","Period=FY","BEST_FPERIOD_OVERRIDE=FY","FILING_STATUS=MR","SCALING_FORMAT=MLN","Sort=A","Dates=H","DateFormat=P","Fill=—","Direction=H","UseDPDF=Y")</f>
        <v>295.08</v>
      </c>
      <c r="F47" s="34">
        <f>_xll.BDH("SQ US Equity","CF_CASH_FROM_OPER","FY 2019","FY 2019","Currency=USD","Period=FY","BEST_FPERIOD_OVERRIDE=FY","FILING_STATUS=MR","SCALING_FORMAT=MLN","Sort=A","Dates=H","DateFormat=P","Fill=—","Direction=H","UseDPDF=Y")</f>
        <v>465.69900000000001</v>
      </c>
      <c r="G47" s="34">
        <f>_xll.BDH("SQ US Equity","CF_CASH_FROM_OPER","FY 2020","FY 2020","Currency=USD","Period=FY","BEST_FPERIOD_OVERRIDE=FY","FILING_STATUS=MR","SCALING_FORMAT=MLN","Sort=A","Dates=H","DateFormat=P","Fill=—","Direction=H","UseDPDF=Y")</f>
        <v>381.60300000000001</v>
      </c>
      <c r="H47" s="34"/>
      <c r="I47" s="34"/>
      <c r="J47" s="34"/>
      <c r="K47" s="29"/>
      <c r="L47" s="52"/>
    </row>
    <row r="48" spans="1:12" x14ac:dyDescent="0.55000000000000004">
      <c r="A48" s="19" t="s">
        <v>40</v>
      </c>
      <c r="B48" s="19"/>
      <c r="C48" s="54"/>
      <c r="D48" s="22" t="s">
        <v>39</v>
      </c>
      <c r="E48" s="34">
        <f>_xll.BDH("SQ US Equity","CAPITAL_EXPEND","FY 2018","FY 2018","Currency=USD","Period=FY","BEST_FPERIOD_OVERRIDE=FY","FILING_STATUS=MR","SCALING_FORMAT=MLN","Sort=A","Dates=H","DateFormat=P","Fill=—","Direction=H","UseDPDF=Y")</f>
        <v>-61.203000000000003</v>
      </c>
      <c r="F48" s="34">
        <f>_xll.BDH("SQ US Equity","CAPITAL_EXPEND","FY 2019","FY 2019","Currency=USD","Period=FY","BEST_FPERIOD_OVERRIDE=FY","FILING_STATUS=MR","SCALING_FORMAT=MLN","Sort=A","Dates=H","DateFormat=P","Fill=—","Direction=H","UseDPDF=Y")</f>
        <v>-62.497999999999998</v>
      </c>
      <c r="G48" s="34">
        <f>_xll.BDH("SQ US Equity","CAPITAL_EXPEND","FY 2020","FY 2020","Currency=USD","Period=FY","BEST_FPERIOD_OVERRIDE=FY","FILING_STATUS=MR","SCALING_FORMAT=MLN","Sort=A","Dates=H","DateFormat=P","Fill=—","Direction=H","UseDPDF=Y")</f>
        <v>-138.40199999999999</v>
      </c>
      <c r="H48" s="34">
        <v>-163</v>
      </c>
      <c r="I48" s="34">
        <v>-225.286</v>
      </c>
      <c r="J48" s="25">
        <v>-225.286</v>
      </c>
      <c r="K48" s="29"/>
      <c r="L48" s="52"/>
    </row>
    <row r="49" spans="1:15" x14ac:dyDescent="0.55000000000000004">
      <c r="A49" s="19"/>
      <c r="B49" s="19"/>
      <c r="C49" s="54"/>
      <c r="D49" s="6" t="s">
        <v>46</v>
      </c>
      <c r="E49" s="31">
        <f>(-E48/E36)*100</f>
        <v>1.8556614760214505</v>
      </c>
      <c r="F49" s="31">
        <f t="shared" ref="F49:J49" si="0">(-F48/F36)*100</f>
        <v>1.3259361408719634</v>
      </c>
      <c r="G49" s="31">
        <f t="shared" si="0"/>
        <v>1.4572346760405652</v>
      </c>
      <c r="H49" s="31">
        <f t="shared" si="0"/>
        <v>0.92490219726688561</v>
      </c>
      <c r="I49" s="31">
        <f t="shared" si="0"/>
        <v>1.1916932601458781</v>
      </c>
      <c r="J49" s="24">
        <f t="shared" si="0"/>
        <v>1.1916932601458781</v>
      </c>
      <c r="K49" s="29"/>
      <c r="L49" s="52"/>
    </row>
    <row r="50" spans="1:15" x14ac:dyDescent="0.55000000000000004">
      <c r="A50" s="19" t="s">
        <v>42</v>
      </c>
      <c r="B50" s="19"/>
      <c r="C50" s="54"/>
      <c r="D50" s="22" t="s">
        <v>41</v>
      </c>
      <c r="E50" s="34">
        <f>_xll.BDH("SQ US Equity","CF_FREE_CASH_FLOW","FY 2018","FY 2018","Currency=USD","Period=FY","BEST_FPERIOD_OVERRIDE=FY","FILING_STATUS=MR","SCALING_FORMAT=MLN","Sort=A","Dates=H","DateFormat=P","Fill=—","Direction=H","UseDPDF=Y")</f>
        <v>233.87700000000001</v>
      </c>
      <c r="F50" s="34">
        <f>_xll.BDH("SQ US Equity","CF_FREE_CASH_FLOW","FY 2019","FY 2019","Currency=USD","Period=FY","BEST_FPERIOD_OVERRIDE=FY","FILING_STATUS=MR","SCALING_FORMAT=MLN","Sort=A","Dates=H","DateFormat=P","Fill=—","Direction=H","UseDPDF=Y")</f>
        <v>403.20100000000002</v>
      </c>
      <c r="G50" s="34">
        <f>_xll.BDH("SQ US Equity","CF_FREE_CASH_FLOW","FY 2020","FY 2020","Currency=USD","Period=FY","BEST_FPERIOD_OVERRIDE=FY","FILING_STATUS=MR","SCALING_FORMAT=MLN","Sort=A","Dates=H","DateFormat=P","Fill=—","Direction=H","UseDPDF=Y")</f>
        <v>243.20099999999999</v>
      </c>
      <c r="H50" s="34">
        <v>876.84299999999996</v>
      </c>
      <c r="I50" s="34">
        <v>980.45</v>
      </c>
      <c r="J50" s="25">
        <v>980.45</v>
      </c>
      <c r="K50" s="28">
        <f>((J50/G50)^(1/3)-1)*100</f>
        <v>59.154906394258447</v>
      </c>
      <c r="L50" s="52"/>
    </row>
    <row r="51" spans="1:15" s="20" customFormat="1" x14ac:dyDescent="0.55000000000000004">
      <c r="A51" s="21"/>
      <c r="B51" s="21"/>
      <c r="C51" s="58"/>
      <c r="D51" s="29"/>
      <c r="E51" s="4"/>
      <c r="F51" s="4"/>
      <c r="G51" s="4"/>
      <c r="H51" s="4"/>
      <c r="I51" s="4"/>
      <c r="J51" s="4"/>
      <c r="K51" s="4"/>
      <c r="L51" s="59"/>
      <c r="M51" s="21"/>
      <c r="N51" s="21"/>
      <c r="O51" s="21"/>
    </row>
    <row r="52" spans="1:15" x14ac:dyDescent="0.55000000000000004">
      <c r="C52" s="60"/>
      <c r="D52" s="1" t="s">
        <v>51</v>
      </c>
      <c r="E52" s="38"/>
      <c r="F52" s="38"/>
      <c r="G52" s="39">
        <f>$K$8/G36</f>
        <v>7.7177570955458332</v>
      </c>
      <c r="H52" s="39">
        <f>$K$8/H36</f>
        <v>4.1592227643964854</v>
      </c>
      <c r="I52" s="39">
        <f>$K$8/I36</f>
        <v>3.8773432866974806</v>
      </c>
      <c r="J52" s="39">
        <f>$K$8/J36</f>
        <v>3.8773432866974806</v>
      </c>
      <c r="K52" s="39"/>
      <c r="L52" s="52"/>
    </row>
    <row r="53" spans="1:15" x14ac:dyDescent="0.55000000000000004">
      <c r="C53" s="60"/>
      <c r="D53" s="22" t="s">
        <v>61</v>
      </c>
      <c r="E53" s="29"/>
      <c r="F53" s="29"/>
      <c r="G53" s="3">
        <f>$K$8/G38</f>
        <v>26.816330816207891</v>
      </c>
      <c r="H53" s="3">
        <f>$K$8/H38</f>
        <v>16.753495385468806</v>
      </c>
      <c r="I53" s="3">
        <f>$K$8/I38</f>
        <v>13.3886163214692</v>
      </c>
      <c r="J53" s="3">
        <f>$K$8/J38</f>
        <v>13.3886163214692</v>
      </c>
      <c r="K53" s="29"/>
      <c r="L53" s="52"/>
    </row>
    <row r="54" spans="1:15" x14ac:dyDescent="0.55000000000000004">
      <c r="C54" s="60"/>
      <c r="D54" s="22" t="s">
        <v>52</v>
      </c>
      <c r="E54" s="29"/>
      <c r="F54" s="29"/>
      <c r="G54" s="3">
        <f>$K$8/G40</f>
        <v>-487.31841904065419</v>
      </c>
      <c r="H54" s="3">
        <f>$K$8/H40</f>
        <v>74.49186991869918</v>
      </c>
      <c r="I54" s="3">
        <f>$K$8/I40</f>
        <v>69.25469476914472</v>
      </c>
      <c r="J54" s="3">
        <f>$K$8/J40</f>
        <v>69.25469476914472</v>
      </c>
      <c r="K54" s="29"/>
      <c r="L54" s="52"/>
    </row>
    <row r="55" spans="1:15" x14ac:dyDescent="0.55000000000000004">
      <c r="C55" s="60"/>
      <c r="D55" s="22" t="s">
        <v>53</v>
      </c>
      <c r="E55" s="29"/>
      <c r="F55" s="29"/>
      <c r="G55" s="3">
        <f>$K$6/G44</f>
        <v>-23188.405797101448</v>
      </c>
      <c r="H55" s="3">
        <f>$K$6/H44</f>
        <v>95.522388059701484</v>
      </c>
      <c r="I55" s="3">
        <f>$K$6/I44</f>
        <v>88.938299055030569</v>
      </c>
      <c r="J55" s="3">
        <f>$K$6/J44</f>
        <v>88.938299055030569</v>
      </c>
      <c r="K55" s="29"/>
      <c r="L55" s="52"/>
    </row>
    <row r="56" spans="1:15" x14ac:dyDescent="0.55000000000000004">
      <c r="C56" s="60"/>
      <c r="D56" s="22" t="s">
        <v>62</v>
      </c>
      <c r="E56" s="29"/>
      <c r="F56" s="29"/>
      <c r="G56" s="3">
        <f>$K$8/G50</f>
        <v>301.39678701979022</v>
      </c>
      <c r="H56" s="3">
        <f>$K$8/H50</f>
        <v>83.595352873889624</v>
      </c>
      <c r="I56" s="3">
        <f>$K$8/I50</f>
        <v>74.761589066245094</v>
      </c>
      <c r="J56" s="3">
        <f>$K$8/J50</f>
        <v>74.761589066245094</v>
      </c>
      <c r="K56" s="29"/>
      <c r="L56" s="52"/>
    </row>
    <row r="57" spans="1:15" x14ac:dyDescent="0.55000000000000004">
      <c r="C57" s="60"/>
      <c r="D57" s="5"/>
      <c r="E57" s="5"/>
      <c r="F57" s="5"/>
      <c r="G57" s="5"/>
      <c r="H57" s="5"/>
      <c r="I57" s="5"/>
      <c r="J57" s="5"/>
      <c r="K57" s="5"/>
      <c r="L57" s="52"/>
    </row>
    <row r="58" spans="1:15" x14ac:dyDescent="0.55000000000000004">
      <c r="C58" s="60"/>
      <c r="D58" s="20"/>
      <c r="E58" s="20"/>
      <c r="F58" s="20"/>
      <c r="G58" s="20"/>
      <c r="H58" s="20"/>
      <c r="I58" s="20"/>
      <c r="J58" s="20"/>
      <c r="K58" s="20"/>
      <c r="L58" s="52"/>
    </row>
    <row r="59" spans="1:15" x14ac:dyDescent="0.55000000000000004">
      <c r="C59" s="60"/>
      <c r="D59" s="19" t="s">
        <v>69</v>
      </c>
      <c r="E59" s="20"/>
      <c r="F59" s="20"/>
      <c r="G59" s="20"/>
      <c r="H59" s="20"/>
      <c r="I59" s="20"/>
      <c r="J59" s="20"/>
      <c r="K59" s="20"/>
      <c r="L59" s="52"/>
    </row>
    <row r="60" spans="1:15" x14ac:dyDescent="0.55000000000000004">
      <c r="C60" s="60"/>
      <c r="D60" s="66" t="s">
        <v>70</v>
      </c>
      <c r="E60" s="67"/>
      <c r="F60" s="67"/>
      <c r="G60" s="67"/>
      <c r="H60" s="67"/>
      <c r="I60" s="67"/>
      <c r="J60" s="67"/>
      <c r="K60" s="68"/>
      <c r="L60" s="52"/>
    </row>
    <row r="61" spans="1:15" x14ac:dyDescent="0.55000000000000004">
      <c r="C61" s="60"/>
      <c r="D61" s="69"/>
      <c r="E61" s="70"/>
      <c r="F61" s="70"/>
      <c r="G61" s="70"/>
      <c r="H61" s="70"/>
      <c r="I61" s="70"/>
      <c r="J61" s="70"/>
      <c r="K61" s="71"/>
      <c r="L61" s="52"/>
    </row>
    <row r="62" spans="1:15" x14ac:dyDescent="0.55000000000000004">
      <c r="C62" s="60"/>
      <c r="D62" s="69"/>
      <c r="E62" s="70"/>
      <c r="F62" s="70"/>
      <c r="G62" s="70"/>
      <c r="H62" s="70"/>
      <c r="I62" s="70"/>
      <c r="J62" s="70"/>
      <c r="K62" s="71"/>
      <c r="L62" s="52"/>
    </row>
    <row r="63" spans="1:15" x14ac:dyDescent="0.55000000000000004">
      <c r="C63" s="60"/>
      <c r="D63" s="72"/>
      <c r="E63" s="73"/>
      <c r="F63" s="73"/>
      <c r="G63" s="73"/>
      <c r="H63" s="73"/>
      <c r="I63" s="73"/>
      <c r="J63" s="73"/>
      <c r="K63" s="74"/>
      <c r="L63" s="52"/>
    </row>
    <row r="64" spans="1:15" x14ac:dyDescent="0.55000000000000004">
      <c r="C64" s="60"/>
      <c r="D64" s="21" t="s">
        <v>43</v>
      </c>
      <c r="E64" s="20"/>
      <c r="F64" s="20"/>
      <c r="G64" s="20"/>
      <c r="H64" s="20"/>
      <c r="I64" s="20"/>
      <c r="J64" s="20"/>
      <c r="K64" s="20"/>
      <c r="L64" s="52"/>
    </row>
    <row r="65" spans="3:12" ht="14.7" thickBot="1" x14ac:dyDescent="0.6">
      <c r="C65" s="61"/>
      <c r="D65" s="62"/>
      <c r="E65" s="62"/>
      <c r="F65" s="62"/>
      <c r="G65" s="62"/>
      <c r="H65" s="62"/>
      <c r="I65" s="62"/>
      <c r="J65" s="62"/>
      <c r="K65" s="62"/>
      <c r="L65" s="63"/>
    </row>
  </sheetData>
  <mergeCells count="5">
    <mergeCell ref="D60:K63"/>
    <mergeCell ref="D5:H10"/>
    <mergeCell ref="I13:K16"/>
    <mergeCell ref="I18:K21"/>
    <mergeCell ref="I23:K26"/>
  </mergeCells>
  <pageMargins left="0.7" right="0.7" top="0.75" bottom="0.75" header="0.3" footer="0.3"/>
  <pageSetup paperSize="9" orientation="portrait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BBG Adj Highlights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Xie, Shibin (AllianzGI)</cp:lastModifiedBy>
  <dcterms:created xsi:type="dcterms:W3CDTF">2013-04-03T15:49:21Z</dcterms:created>
  <dcterms:modified xsi:type="dcterms:W3CDTF">2021-12-22T19:04:06Z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2021-12-20T21:07:42Z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b282ce06-0f18-4575-bf46-6d74e1ee4413</vt:lpwstr>
  </property>
  <property fmtid="{D5CDD505-2E9C-101B-9397-08002B2CF9AE}" pid="8" name="MSIP_Label_511d2ef4-471a-450b-b804-da016b8121de_ContentBits">
    <vt:lpwstr>2</vt:lpwstr>
  </property>
</Properties>
</file>