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0" documentId="8_{D1D08DBD-7537-4201-8E0E-97D66DEBABB1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ingle Perio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93" i="2" l="1"/>
  <c r="AR193" i="2"/>
  <c r="AF193" i="2"/>
  <c r="T193" i="2"/>
  <c r="H193" i="2"/>
  <c r="AV192" i="2"/>
  <c r="AJ192" i="2"/>
  <c r="X192" i="2"/>
  <c r="L192" i="2"/>
  <c r="AZ191" i="2"/>
  <c r="AN191" i="2"/>
  <c r="AB191" i="2"/>
  <c r="P191" i="2"/>
  <c r="BD189" i="2"/>
  <c r="AR189" i="2"/>
  <c r="AF189" i="2"/>
  <c r="T189" i="2"/>
  <c r="H189" i="2"/>
  <c r="AV188" i="2"/>
  <c r="AJ188" i="2"/>
  <c r="X188" i="2"/>
  <c r="L188" i="2"/>
  <c r="AZ187" i="2"/>
  <c r="AN187" i="2"/>
  <c r="AB187" i="2"/>
  <c r="P187" i="2"/>
  <c r="BD185" i="2"/>
  <c r="AR185" i="2"/>
  <c r="AF185" i="2"/>
  <c r="T185" i="2"/>
  <c r="H185" i="2"/>
  <c r="AV184" i="2"/>
  <c r="AJ184" i="2"/>
  <c r="X184" i="2"/>
  <c r="L184" i="2"/>
  <c r="AZ183" i="2"/>
  <c r="AN183" i="2"/>
  <c r="AB183" i="2"/>
  <c r="P183" i="2"/>
  <c r="BD182" i="2"/>
  <c r="AR182" i="2"/>
  <c r="AF182" i="2"/>
  <c r="T182" i="2"/>
  <c r="H182" i="2"/>
  <c r="AV179" i="2"/>
  <c r="AJ179" i="2"/>
  <c r="X179" i="2"/>
  <c r="L179" i="2"/>
  <c r="AZ178" i="2"/>
  <c r="AN178" i="2"/>
  <c r="AB178" i="2"/>
  <c r="P178" i="2"/>
  <c r="BD177" i="2"/>
  <c r="AR177" i="2"/>
  <c r="AF177" i="2"/>
  <c r="T177" i="2"/>
  <c r="H177" i="2"/>
  <c r="AV176" i="2"/>
  <c r="AJ176" i="2"/>
  <c r="X176" i="2"/>
  <c r="L176" i="2"/>
  <c r="AZ173" i="2"/>
  <c r="AN173" i="2"/>
  <c r="AB173" i="2"/>
  <c r="P173" i="2"/>
  <c r="BD172" i="2"/>
  <c r="AR172" i="2"/>
  <c r="AF172" i="2"/>
  <c r="T172" i="2"/>
  <c r="H172" i="2"/>
  <c r="AV171" i="2"/>
  <c r="AJ171" i="2"/>
  <c r="X171" i="2"/>
  <c r="L171" i="2"/>
  <c r="AZ170" i="2"/>
  <c r="AN170" i="2"/>
  <c r="AB170" i="2"/>
  <c r="P170" i="2"/>
  <c r="BD167" i="2"/>
  <c r="AR167" i="2"/>
  <c r="AF167" i="2"/>
  <c r="T167" i="2"/>
  <c r="H167" i="2"/>
  <c r="AV166" i="2"/>
  <c r="AJ166" i="2"/>
  <c r="X166" i="2"/>
  <c r="L166" i="2"/>
  <c r="AZ165" i="2"/>
  <c r="AN165" i="2"/>
  <c r="AB165" i="2"/>
  <c r="P165" i="2"/>
  <c r="BD164" i="2"/>
  <c r="AR164" i="2"/>
  <c r="AF164" i="2"/>
  <c r="T164" i="2"/>
  <c r="H164" i="2"/>
  <c r="AV163" i="2"/>
  <c r="AJ163" i="2"/>
  <c r="X163" i="2"/>
  <c r="L163" i="2"/>
  <c r="AZ162" i="2"/>
  <c r="AN162" i="2"/>
  <c r="AB162" i="2"/>
  <c r="P162" i="2"/>
  <c r="BD161" i="2"/>
  <c r="AR161" i="2"/>
  <c r="AF161" i="2"/>
  <c r="T161" i="2"/>
  <c r="H161" i="2"/>
  <c r="AV159" i="2"/>
  <c r="AJ159" i="2"/>
  <c r="X159" i="2"/>
  <c r="L159" i="2"/>
  <c r="AZ158" i="2"/>
  <c r="AN158" i="2"/>
  <c r="AB158" i="2"/>
  <c r="P158" i="2"/>
  <c r="BD157" i="2"/>
  <c r="AR157" i="2"/>
  <c r="AF157" i="2"/>
  <c r="T157" i="2"/>
  <c r="H157" i="2"/>
  <c r="AV156" i="2"/>
  <c r="AJ156" i="2"/>
  <c r="X156" i="2"/>
  <c r="L156" i="2"/>
  <c r="AZ155" i="2"/>
  <c r="BC193" i="2"/>
  <c r="AQ193" i="2"/>
  <c r="AE193" i="2"/>
  <c r="S193" i="2"/>
  <c r="G193" i="2"/>
  <c r="AU192" i="2"/>
  <c r="AI192" i="2"/>
  <c r="W192" i="2"/>
  <c r="K192" i="2"/>
  <c r="AY191" i="2"/>
  <c r="AM191" i="2"/>
  <c r="AA191" i="2"/>
  <c r="O191" i="2"/>
  <c r="BC189" i="2"/>
  <c r="AQ189" i="2"/>
  <c r="AE189" i="2"/>
  <c r="S189" i="2"/>
  <c r="G189" i="2"/>
  <c r="AU188" i="2"/>
  <c r="AI188" i="2"/>
  <c r="W188" i="2"/>
  <c r="K188" i="2"/>
  <c r="AY187" i="2"/>
  <c r="AM187" i="2"/>
  <c r="AA187" i="2"/>
  <c r="O187" i="2"/>
  <c r="BC185" i="2"/>
  <c r="AQ185" i="2"/>
  <c r="AE185" i="2"/>
  <c r="S185" i="2"/>
  <c r="G185" i="2"/>
  <c r="AU184" i="2"/>
  <c r="AI184" i="2"/>
  <c r="W184" i="2"/>
  <c r="K184" i="2"/>
  <c r="AY183" i="2"/>
  <c r="AM183" i="2"/>
  <c r="AA183" i="2"/>
  <c r="O183" i="2"/>
  <c r="BC182" i="2"/>
  <c r="AQ182" i="2"/>
  <c r="AE182" i="2"/>
  <c r="S182" i="2"/>
  <c r="G182" i="2"/>
  <c r="AU179" i="2"/>
  <c r="AI179" i="2"/>
  <c r="W179" i="2"/>
  <c r="K179" i="2"/>
  <c r="AY178" i="2"/>
  <c r="AM178" i="2"/>
  <c r="AA178" i="2"/>
  <c r="O178" i="2"/>
  <c r="BC177" i="2"/>
  <c r="AQ177" i="2"/>
  <c r="AE177" i="2"/>
  <c r="S177" i="2"/>
  <c r="G177" i="2"/>
  <c r="AU176" i="2"/>
  <c r="AI176" i="2"/>
  <c r="W176" i="2"/>
  <c r="K176" i="2"/>
  <c r="AY173" i="2"/>
  <c r="AM173" i="2"/>
  <c r="AA173" i="2"/>
  <c r="O173" i="2"/>
  <c r="BC172" i="2"/>
  <c r="AQ172" i="2"/>
  <c r="AE172" i="2"/>
  <c r="S172" i="2"/>
  <c r="G172" i="2"/>
  <c r="AU171" i="2"/>
  <c r="AI171" i="2"/>
  <c r="W171" i="2"/>
  <c r="K171" i="2"/>
  <c r="AY170" i="2"/>
  <c r="AM170" i="2"/>
  <c r="AA170" i="2"/>
  <c r="O170" i="2"/>
  <c r="BC167" i="2"/>
  <c r="AQ167" i="2"/>
  <c r="AE167" i="2"/>
  <c r="S167" i="2"/>
  <c r="G167" i="2"/>
  <c r="AU166" i="2"/>
  <c r="AI166" i="2"/>
  <c r="W166" i="2"/>
  <c r="K166" i="2"/>
  <c r="AY165" i="2"/>
  <c r="AM165" i="2"/>
  <c r="AA165" i="2"/>
  <c r="O165" i="2"/>
  <c r="BC164" i="2"/>
  <c r="AQ164" i="2"/>
  <c r="AE164" i="2"/>
  <c r="S164" i="2"/>
  <c r="BA193" i="2"/>
  <c r="AO193" i="2"/>
  <c r="AC193" i="2"/>
  <c r="Q193" i="2"/>
  <c r="E193" i="2"/>
  <c r="AS192" i="2"/>
  <c r="AG192" i="2"/>
  <c r="U192" i="2"/>
  <c r="I192" i="2"/>
  <c r="AW191" i="2"/>
  <c r="AK191" i="2"/>
  <c r="Y191" i="2"/>
  <c r="M191" i="2"/>
  <c r="BA189" i="2"/>
  <c r="AO189" i="2"/>
  <c r="AC189" i="2"/>
  <c r="Q189" i="2"/>
  <c r="E189" i="2"/>
  <c r="AS188" i="2"/>
  <c r="AG188" i="2"/>
  <c r="U188" i="2"/>
  <c r="I188" i="2"/>
  <c r="AW187" i="2"/>
  <c r="AK187" i="2"/>
  <c r="Y187" i="2"/>
  <c r="M187" i="2"/>
  <c r="BA185" i="2"/>
  <c r="AO185" i="2"/>
  <c r="AC185" i="2"/>
  <c r="Q185" i="2"/>
  <c r="E185" i="2"/>
  <c r="AS184" i="2"/>
  <c r="AG184" i="2"/>
  <c r="U184" i="2"/>
  <c r="I184" i="2"/>
  <c r="AW183" i="2"/>
  <c r="AK183" i="2"/>
  <c r="Y183" i="2"/>
  <c r="M183" i="2"/>
  <c r="BA182" i="2"/>
  <c r="AO182" i="2"/>
  <c r="AC182" i="2"/>
  <c r="Q182" i="2"/>
  <c r="E182" i="2"/>
  <c r="AS179" i="2"/>
  <c r="AG179" i="2"/>
  <c r="U179" i="2"/>
  <c r="I179" i="2"/>
  <c r="AW178" i="2"/>
  <c r="AK178" i="2"/>
  <c r="Y178" i="2"/>
  <c r="M178" i="2"/>
  <c r="BA177" i="2"/>
  <c r="AO177" i="2"/>
  <c r="AC177" i="2"/>
  <c r="Q177" i="2"/>
  <c r="E177" i="2"/>
  <c r="AS176" i="2"/>
  <c r="AG176" i="2"/>
  <c r="U176" i="2"/>
  <c r="I176" i="2"/>
  <c r="AW173" i="2"/>
  <c r="AK173" i="2"/>
  <c r="Y173" i="2"/>
  <c r="M173" i="2"/>
  <c r="BA172" i="2"/>
  <c r="AO172" i="2"/>
  <c r="AC172" i="2"/>
  <c r="Q172" i="2"/>
  <c r="E172" i="2"/>
  <c r="AS171" i="2"/>
  <c r="AG171" i="2"/>
  <c r="U171" i="2"/>
  <c r="I171" i="2"/>
  <c r="AW170" i="2"/>
  <c r="AK170" i="2"/>
  <c r="Y170" i="2"/>
  <c r="M170" i="2"/>
  <c r="BA167" i="2"/>
  <c r="AO167" i="2"/>
  <c r="AC167" i="2"/>
  <c r="Q167" i="2"/>
  <c r="E167" i="2"/>
  <c r="AS166" i="2"/>
  <c r="AG166" i="2"/>
  <c r="U166" i="2"/>
  <c r="I166" i="2"/>
  <c r="AW165" i="2"/>
  <c r="AK165" i="2"/>
  <c r="Y165" i="2"/>
  <c r="M165" i="2"/>
  <c r="BA164" i="2"/>
  <c r="AO164" i="2"/>
  <c r="AC164" i="2"/>
  <c r="Q164" i="2"/>
  <c r="E164" i="2"/>
  <c r="AS163" i="2"/>
  <c r="AG163" i="2"/>
  <c r="U163" i="2"/>
  <c r="I163" i="2"/>
  <c r="AW162" i="2"/>
  <c r="AK162" i="2"/>
  <c r="Y162" i="2"/>
  <c r="M162" i="2"/>
  <c r="BA161" i="2"/>
  <c r="AO161" i="2"/>
  <c r="AC161" i="2"/>
  <c r="Q161" i="2"/>
  <c r="E161" i="2"/>
  <c r="AS159" i="2"/>
  <c r="AG159" i="2"/>
  <c r="U159" i="2"/>
  <c r="I159" i="2"/>
  <c r="AW158" i="2"/>
  <c r="AK158" i="2"/>
  <c r="Y158" i="2"/>
  <c r="M158" i="2"/>
  <c r="BA157" i="2"/>
  <c r="AO157" i="2"/>
  <c r="AC157" i="2"/>
  <c r="Q157" i="2"/>
  <c r="E157" i="2"/>
  <c r="AS156" i="2"/>
  <c r="AZ193" i="2"/>
  <c r="AN193" i="2"/>
  <c r="AB193" i="2"/>
  <c r="P193" i="2"/>
  <c r="BD192" i="2"/>
  <c r="AR192" i="2"/>
  <c r="AF192" i="2"/>
  <c r="T192" i="2"/>
  <c r="H192" i="2"/>
  <c r="AV191" i="2"/>
  <c r="AJ191" i="2"/>
  <c r="X191" i="2"/>
  <c r="L191" i="2"/>
  <c r="AZ189" i="2"/>
  <c r="AN189" i="2"/>
  <c r="AB189" i="2"/>
  <c r="P189" i="2"/>
  <c r="BD188" i="2"/>
  <c r="AR188" i="2"/>
  <c r="AF188" i="2"/>
  <c r="T188" i="2"/>
  <c r="H188" i="2"/>
  <c r="AV187" i="2"/>
  <c r="AJ187" i="2"/>
  <c r="X187" i="2"/>
  <c r="L187" i="2"/>
  <c r="AZ185" i="2"/>
  <c r="AN185" i="2"/>
  <c r="AB185" i="2"/>
  <c r="P185" i="2"/>
  <c r="BD184" i="2"/>
  <c r="AR184" i="2"/>
  <c r="AF184" i="2"/>
  <c r="T184" i="2"/>
  <c r="H184" i="2"/>
  <c r="AV183" i="2"/>
  <c r="AJ183" i="2"/>
  <c r="X183" i="2"/>
  <c r="L183" i="2"/>
  <c r="AZ182" i="2"/>
  <c r="AN182" i="2"/>
  <c r="AB182" i="2"/>
  <c r="P182" i="2"/>
  <c r="BD179" i="2"/>
  <c r="AR179" i="2"/>
  <c r="AF179" i="2"/>
  <c r="T179" i="2"/>
  <c r="H179" i="2"/>
  <c r="AV178" i="2"/>
  <c r="AJ178" i="2"/>
  <c r="X178" i="2"/>
  <c r="L178" i="2"/>
  <c r="AZ177" i="2"/>
  <c r="AN177" i="2"/>
  <c r="AB177" i="2"/>
  <c r="P177" i="2"/>
  <c r="BD176" i="2"/>
  <c r="AR176" i="2"/>
  <c r="AF176" i="2"/>
  <c r="T176" i="2"/>
  <c r="H176" i="2"/>
  <c r="AV173" i="2"/>
  <c r="AJ173" i="2"/>
  <c r="X173" i="2"/>
  <c r="L173" i="2"/>
  <c r="AZ172" i="2"/>
  <c r="AN172" i="2"/>
  <c r="AB172" i="2"/>
  <c r="P172" i="2"/>
  <c r="BD171" i="2"/>
  <c r="AR171" i="2"/>
  <c r="AF171" i="2"/>
  <c r="T171" i="2"/>
  <c r="H171" i="2"/>
  <c r="AV170" i="2"/>
  <c r="AJ170" i="2"/>
  <c r="X170" i="2"/>
  <c r="L170" i="2"/>
  <c r="AZ167" i="2"/>
  <c r="AN167" i="2"/>
  <c r="AB167" i="2"/>
  <c r="P167" i="2"/>
  <c r="BD166" i="2"/>
  <c r="AR166" i="2"/>
  <c r="AF166" i="2"/>
  <c r="T166" i="2"/>
  <c r="H166" i="2"/>
  <c r="AV165" i="2"/>
  <c r="AJ165" i="2"/>
  <c r="X165" i="2"/>
  <c r="L165" i="2"/>
  <c r="AZ164" i="2"/>
  <c r="AN164" i="2"/>
  <c r="AB164" i="2"/>
  <c r="P164" i="2"/>
  <c r="BD163" i="2"/>
  <c r="AR163" i="2"/>
  <c r="AF163" i="2"/>
  <c r="T163" i="2"/>
  <c r="H163" i="2"/>
  <c r="AV162" i="2"/>
  <c r="AJ162" i="2"/>
  <c r="X162" i="2"/>
  <c r="L162" i="2"/>
  <c r="AZ161" i="2"/>
  <c r="AN161" i="2"/>
  <c r="AB161" i="2"/>
  <c r="P161" i="2"/>
  <c r="BD159" i="2"/>
  <c r="AR159" i="2"/>
  <c r="AW193" i="2"/>
  <c r="AK193" i="2"/>
  <c r="Y193" i="2"/>
  <c r="M193" i="2"/>
  <c r="BA192" i="2"/>
  <c r="AO192" i="2"/>
  <c r="AC192" i="2"/>
  <c r="Q192" i="2"/>
  <c r="E192" i="2"/>
  <c r="AS191" i="2"/>
  <c r="AG191" i="2"/>
  <c r="U191" i="2"/>
  <c r="I191" i="2"/>
  <c r="AW189" i="2"/>
  <c r="AK189" i="2"/>
  <c r="Y189" i="2"/>
  <c r="M189" i="2"/>
  <c r="BA188" i="2"/>
  <c r="AO188" i="2"/>
  <c r="AC188" i="2"/>
  <c r="Q188" i="2"/>
  <c r="E188" i="2"/>
  <c r="AS187" i="2"/>
  <c r="AG187" i="2"/>
  <c r="U187" i="2"/>
  <c r="I187" i="2"/>
  <c r="AW185" i="2"/>
  <c r="AK185" i="2"/>
  <c r="Y185" i="2"/>
  <c r="M185" i="2"/>
  <c r="BA184" i="2"/>
  <c r="AO184" i="2"/>
  <c r="AC184" i="2"/>
  <c r="Q184" i="2"/>
  <c r="E184" i="2"/>
  <c r="AS183" i="2"/>
  <c r="AG183" i="2"/>
  <c r="U183" i="2"/>
  <c r="I183" i="2"/>
  <c r="AW182" i="2"/>
  <c r="AK182" i="2"/>
  <c r="Y182" i="2"/>
  <c r="M182" i="2"/>
  <c r="BA179" i="2"/>
  <c r="AO179" i="2"/>
  <c r="AC179" i="2"/>
  <c r="Q179" i="2"/>
  <c r="E179" i="2"/>
  <c r="AS178" i="2"/>
  <c r="AG178" i="2"/>
  <c r="U178" i="2"/>
  <c r="I178" i="2"/>
  <c r="AW177" i="2"/>
  <c r="AK177" i="2"/>
  <c r="Y177" i="2"/>
  <c r="M177" i="2"/>
  <c r="BA176" i="2"/>
  <c r="AO176" i="2"/>
  <c r="AC176" i="2"/>
  <c r="Q176" i="2"/>
  <c r="E176" i="2"/>
  <c r="AS173" i="2"/>
  <c r="AG173" i="2"/>
  <c r="U173" i="2"/>
  <c r="I173" i="2"/>
  <c r="AW172" i="2"/>
  <c r="AK172" i="2"/>
  <c r="Y172" i="2"/>
  <c r="M172" i="2"/>
  <c r="BA171" i="2"/>
  <c r="AO171" i="2"/>
  <c r="AC171" i="2"/>
  <c r="Q171" i="2"/>
  <c r="E171" i="2"/>
  <c r="AS170" i="2"/>
  <c r="AG170" i="2"/>
  <c r="U170" i="2"/>
  <c r="I170" i="2"/>
  <c r="AW167" i="2"/>
  <c r="AK167" i="2"/>
  <c r="Y167" i="2"/>
  <c r="M167" i="2"/>
  <c r="BA166" i="2"/>
  <c r="AO166" i="2"/>
  <c r="AC166" i="2"/>
  <c r="Q166" i="2"/>
  <c r="E166" i="2"/>
  <c r="AS165" i="2"/>
  <c r="AG165" i="2"/>
  <c r="U165" i="2"/>
  <c r="I165" i="2"/>
  <c r="AW164" i="2"/>
  <c r="AK164" i="2"/>
  <c r="Y164" i="2"/>
  <c r="M164" i="2"/>
  <c r="BA163" i="2"/>
  <c r="AO163" i="2"/>
  <c r="AC163" i="2"/>
  <c r="Q163" i="2"/>
  <c r="E163" i="2"/>
  <c r="AS162" i="2"/>
  <c r="AG162" i="2"/>
  <c r="U162" i="2"/>
  <c r="I162" i="2"/>
  <c r="AW161" i="2"/>
  <c r="AK161" i="2"/>
  <c r="Y161" i="2"/>
  <c r="M161" i="2"/>
  <c r="BA159" i="2"/>
  <c r="AO159" i="2"/>
  <c r="AC159" i="2"/>
  <c r="AV193" i="2"/>
  <c r="AJ193" i="2"/>
  <c r="X193" i="2"/>
  <c r="L193" i="2"/>
  <c r="AZ192" i="2"/>
  <c r="AN192" i="2"/>
  <c r="AB192" i="2"/>
  <c r="P192" i="2"/>
  <c r="BD191" i="2"/>
  <c r="AR191" i="2"/>
  <c r="AF191" i="2"/>
  <c r="T191" i="2"/>
  <c r="H191" i="2"/>
  <c r="AS193" i="2"/>
  <c r="AG193" i="2"/>
  <c r="U193" i="2"/>
  <c r="I193" i="2"/>
  <c r="AW192" i="2"/>
  <c r="AK192" i="2"/>
  <c r="Y192" i="2"/>
  <c r="M192" i="2"/>
  <c r="BA191" i="2"/>
  <c r="AO191" i="2"/>
  <c r="AC191" i="2"/>
  <c r="Q191" i="2"/>
  <c r="E191" i="2"/>
  <c r="AS189" i="2"/>
  <c r="AG189" i="2"/>
  <c r="U189" i="2"/>
  <c r="I189" i="2"/>
  <c r="AW188" i="2"/>
  <c r="AK188" i="2"/>
  <c r="Y188" i="2"/>
  <c r="M188" i="2"/>
  <c r="BA187" i="2"/>
  <c r="AO187" i="2"/>
  <c r="AC187" i="2"/>
  <c r="Q187" i="2"/>
  <c r="E187" i="2"/>
  <c r="AS185" i="2"/>
  <c r="AG185" i="2"/>
  <c r="U185" i="2"/>
  <c r="I185" i="2"/>
  <c r="AW184" i="2"/>
  <c r="AK184" i="2"/>
  <c r="Y184" i="2"/>
  <c r="M184" i="2"/>
  <c r="BA183" i="2"/>
  <c r="AO183" i="2"/>
  <c r="AC183" i="2"/>
  <c r="Q183" i="2"/>
  <c r="E183" i="2"/>
  <c r="AS182" i="2"/>
  <c r="AG182" i="2"/>
  <c r="U182" i="2"/>
  <c r="I182" i="2"/>
  <c r="AW179" i="2"/>
  <c r="AK179" i="2"/>
  <c r="Y179" i="2"/>
  <c r="M179" i="2"/>
  <c r="BA178" i="2"/>
  <c r="AO178" i="2"/>
  <c r="AC178" i="2"/>
  <c r="Q178" i="2"/>
  <c r="E178" i="2"/>
  <c r="AS177" i="2"/>
  <c r="AG177" i="2"/>
  <c r="U177" i="2"/>
  <c r="I177" i="2"/>
  <c r="AW176" i="2"/>
  <c r="AK176" i="2"/>
  <c r="Y176" i="2"/>
  <c r="M176" i="2"/>
  <c r="BA173" i="2"/>
  <c r="AO173" i="2"/>
  <c r="AC173" i="2"/>
  <c r="Q173" i="2"/>
  <c r="E173" i="2"/>
  <c r="AS172" i="2"/>
  <c r="AG172" i="2"/>
  <c r="U172" i="2"/>
  <c r="I172" i="2"/>
  <c r="AW171" i="2"/>
  <c r="AK171" i="2"/>
  <c r="Y171" i="2"/>
  <c r="M171" i="2"/>
  <c r="BA170" i="2"/>
  <c r="AO170" i="2"/>
  <c r="AC170" i="2"/>
  <c r="Q170" i="2"/>
  <c r="E170" i="2"/>
  <c r="AS167" i="2"/>
  <c r="AG167" i="2"/>
  <c r="U167" i="2"/>
  <c r="I167" i="2"/>
  <c r="AW166" i="2"/>
  <c r="AK166" i="2"/>
  <c r="Y166" i="2"/>
  <c r="M166" i="2"/>
  <c r="BA165" i="2"/>
  <c r="AO165" i="2"/>
  <c r="AC165" i="2"/>
  <c r="Q165" i="2"/>
  <c r="E165" i="2"/>
  <c r="AS164" i="2"/>
  <c r="AG164" i="2"/>
  <c r="U164" i="2"/>
  <c r="I164" i="2"/>
  <c r="AW163" i="2"/>
  <c r="AK163" i="2"/>
  <c r="Y163" i="2"/>
  <c r="M163" i="2"/>
  <c r="BA162" i="2"/>
  <c r="AO162" i="2"/>
  <c r="AC162" i="2"/>
  <c r="Q162" i="2"/>
  <c r="E162" i="2"/>
  <c r="AS161" i="2"/>
  <c r="AG161" i="2"/>
  <c r="U161" i="2"/>
  <c r="I161" i="2"/>
  <c r="AW159" i="2"/>
  <c r="AK159" i="2"/>
  <c r="Y159" i="2"/>
  <c r="BB193" i="2"/>
  <c r="Z193" i="2"/>
  <c r="AX192" i="2"/>
  <c r="S192" i="2"/>
  <c r="AQ191" i="2"/>
  <c r="N191" i="2"/>
  <c r="AM189" i="2"/>
  <c r="O189" i="2"/>
  <c r="AQ188" i="2"/>
  <c r="S188" i="2"/>
  <c r="AU187" i="2"/>
  <c r="W187" i="2"/>
  <c r="AY185" i="2"/>
  <c r="AA185" i="2"/>
  <c r="BC184" i="2"/>
  <c r="AE184" i="2"/>
  <c r="G184" i="2"/>
  <c r="AI183" i="2"/>
  <c r="K183" i="2"/>
  <c r="AM182" i="2"/>
  <c r="O182" i="2"/>
  <c r="AQ179" i="2"/>
  <c r="S179" i="2"/>
  <c r="AU178" i="2"/>
  <c r="W178" i="2"/>
  <c r="AY177" i="2"/>
  <c r="AA177" i="2"/>
  <c r="BC176" i="2"/>
  <c r="AE176" i="2"/>
  <c r="G176" i="2"/>
  <c r="AI173" i="2"/>
  <c r="K173" i="2"/>
  <c r="AM172" i="2"/>
  <c r="O172" i="2"/>
  <c r="AQ171" i="2"/>
  <c r="S171" i="2"/>
  <c r="AU170" i="2"/>
  <c r="W170" i="2"/>
  <c r="AY167" i="2"/>
  <c r="AA167" i="2"/>
  <c r="BC166" i="2"/>
  <c r="AE166" i="2"/>
  <c r="G166" i="2"/>
  <c r="AI165" i="2"/>
  <c r="K165" i="2"/>
  <c r="AM164" i="2"/>
  <c r="O164" i="2"/>
  <c r="AU163" i="2"/>
  <c r="AA163" i="2"/>
  <c r="F163" i="2"/>
  <c r="AL162" i="2"/>
  <c r="R162" i="2"/>
  <c r="AV161" i="2"/>
  <c r="AA161" i="2"/>
  <c r="G161" i="2"/>
  <c r="AM159" i="2"/>
  <c r="T159" i="2"/>
  <c r="F159" i="2"/>
  <c r="AR158" i="2"/>
  <c r="AD158" i="2"/>
  <c r="O158" i="2"/>
  <c r="AZ157" i="2"/>
  <c r="AL157" i="2"/>
  <c r="X157" i="2"/>
  <c r="J157" i="2"/>
  <c r="AU156" i="2"/>
  <c r="AG156" i="2"/>
  <c r="T156" i="2"/>
  <c r="G156" i="2"/>
  <c r="AT155" i="2"/>
  <c r="AH155" i="2"/>
  <c r="V155" i="2"/>
  <c r="J155" i="2"/>
  <c r="AX151" i="2"/>
  <c r="AL151" i="2"/>
  <c r="Z151" i="2"/>
  <c r="N151" i="2"/>
  <c r="BB150" i="2"/>
  <c r="AP150" i="2"/>
  <c r="AD150" i="2"/>
  <c r="R150" i="2"/>
  <c r="F150" i="2"/>
  <c r="AT149" i="2"/>
  <c r="AH149" i="2"/>
  <c r="V149" i="2"/>
  <c r="J149" i="2"/>
  <c r="AX147" i="2"/>
  <c r="AL147" i="2"/>
  <c r="Z147" i="2"/>
  <c r="N147" i="2"/>
  <c r="BB146" i="2"/>
  <c r="AP146" i="2"/>
  <c r="AD146" i="2"/>
  <c r="R146" i="2"/>
  <c r="F146" i="2"/>
  <c r="AT145" i="2"/>
  <c r="AH145" i="2"/>
  <c r="V145" i="2"/>
  <c r="J145" i="2"/>
  <c r="AX142" i="2"/>
  <c r="AL142" i="2"/>
  <c r="Z142" i="2"/>
  <c r="N142" i="2"/>
  <c r="BB141" i="2"/>
  <c r="AP141" i="2"/>
  <c r="AD141" i="2"/>
  <c r="R141" i="2"/>
  <c r="F141" i="2"/>
  <c r="AT140" i="2"/>
  <c r="AH140" i="2"/>
  <c r="V140" i="2"/>
  <c r="J140" i="2"/>
  <c r="AX139" i="2"/>
  <c r="AL139" i="2"/>
  <c r="Z139" i="2"/>
  <c r="N139" i="2"/>
  <c r="BB138" i="2"/>
  <c r="AP138" i="2"/>
  <c r="AD138" i="2"/>
  <c r="R138" i="2"/>
  <c r="F138" i="2"/>
  <c r="AT137" i="2"/>
  <c r="AH137" i="2"/>
  <c r="V137" i="2"/>
  <c r="J137" i="2"/>
  <c r="AX136" i="2"/>
  <c r="AL136" i="2"/>
  <c r="Z136" i="2"/>
  <c r="N136" i="2"/>
  <c r="BB135" i="2"/>
  <c r="AP135" i="2"/>
  <c r="AD135" i="2"/>
  <c r="R135" i="2"/>
  <c r="AY193" i="2"/>
  <c r="W193" i="2"/>
  <c r="AT192" i="2"/>
  <c r="R192" i="2"/>
  <c r="AP191" i="2"/>
  <c r="K191" i="2"/>
  <c r="AL189" i="2"/>
  <c r="N189" i="2"/>
  <c r="AP188" i="2"/>
  <c r="R188" i="2"/>
  <c r="AT187" i="2"/>
  <c r="V187" i="2"/>
  <c r="AX185" i="2"/>
  <c r="Z185" i="2"/>
  <c r="BB184" i="2"/>
  <c r="AD184" i="2"/>
  <c r="F184" i="2"/>
  <c r="AH183" i="2"/>
  <c r="J183" i="2"/>
  <c r="AL182" i="2"/>
  <c r="N182" i="2"/>
  <c r="AP179" i="2"/>
  <c r="R179" i="2"/>
  <c r="AT178" i="2"/>
  <c r="V178" i="2"/>
  <c r="AX177" i="2"/>
  <c r="Z177" i="2"/>
  <c r="BB176" i="2"/>
  <c r="AD176" i="2"/>
  <c r="F176" i="2"/>
  <c r="AH173" i="2"/>
  <c r="J173" i="2"/>
  <c r="AL172" i="2"/>
  <c r="N172" i="2"/>
  <c r="AP171" i="2"/>
  <c r="R171" i="2"/>
  <c r="AT170" i="2"/>
  <c r="V170" i="2"/>
  <c r="AX167" i="2"/>
  <c r="Z167" i="2"/>
  <c r="BB166" i="2"/>
  <c r="AD166" i="2"/>
  <c r="F166" i="2"/>
  <c r="AH165" i="2"/>
  <c r="J165" i="2"/>
  <c r="AL164" i="2"/>
  <c r="N164" i="2"/>
  <c r="AT163" i="2"/>
  <c r="Z163" i="2"/>
  <c r="BD162" i="2"/>
  <c r="AI162" i="2"/>
  <c r="O162" i="2"/>
  <c r="AU161" i="2"/>
  <c r="Z161" i="2"/>
  <c r="F161" i="2"/>
  <c r="AL159" i="2"/>
  <c r="S159" i="2"/>
  <c r="E159" i="2"/>
  <c r="AQ158" i="2"/>
  <c r="AC158" i="2"/>
  <c r="N158" i="2"/>
  <c r="AY157" i="2"/>
  <c r="AK157" i="2"/>
  <c r="W157" i="2"/>
  <c r="I157" i="2"/>
  <c r="AT156" i="2"/>
  <c r="AF156" i="2"/>
  <c r="S156" i="2"/>
  <c r="F156" i="2"/>
  <c r="AS155" i="2"/>
  <c r="AG155" i="2"/>
  <c r="U155" i="2"/>
  <c r="I155" i="2"/>
  <c r="AW151" i="2"/>
  <c r="AK151" i="2"/>
  <c r="Y151" i="2"/>
  <c r="M151" i="2"/>
  <c r="BA150" i="2"/>
  <c r="AO150" i="2"/>
  <c r="AC150" i="2"/>
  <c r="Q150" i="2"/>
  <c r="E150" i="2"/>
  <c r="AS149" i="2"/>
  <c r="AG149" i="2"/>
  <c r="U149" i="2"/>
  <c r="I149" i="2"/>
  <c r="AW147" i="2"/>
  <c r="AK147" i="2"/>
  <c r="Y147" i="2"/>
  <c r="M147" i="2"/>
  <c r="BA146" i="2"/>
  <c r="AO146" i="2"/>
  <c r="AC146" i="2"/>
  <c r="Q146" i="2"/>
  <c r="E146" i="2"/>
  <c r="AS145" i="2"/>
  <c r="AG145" i="2"/>
  <c r="U145" i="2"/>
  <c r="I145" i="2"/>
  <c r="AW142" i="2"/>
  <c r="AK142" i="2"/>
  <c r="Y142" i="2"/>
  <c r="M142" i="2"/>
  <c r="BA141" i="2"/>
  <c r="AO141" i="2"/>
  <c r="AC141" i="2"/>
  <c r="Q141" i="2"/>
  <c r="E141" i="2"/>
  <c r="AS140" i="2"/>
  <c r="AG140" i="2"/>
  <c r="U140" i="2"/>
  <c r="I140" i="2"/>
  <c r="AW139" i="2"/>
  <c r="AK139" i="2"/>
  <c r="Y139" i="2"/>
  <c r="M139" i="2"/>
  <c r="BA138" i="2"/>
  <c r="AO138" i="2"/>
  <c r="AC138" i="2"/>
  <c r="Q138" i="2"/>
  <c r="E138" i="2"/>
  <c r="AS137" i="2"/>
  <c r="AG137" i="2"/>
  <c r="U137" i="2"/>
  <c r="I137" i="2"/>
  <c r="AW136" i="2"/>
  <c r="AK136" i="2"/>
  <c r="AX193" i="2"/>
  <c r="V193" i="2"/>
  <c r="AQ192" i="2"/>
  <c r="O192" i="2"/>
  <c r="AL191" i="2"/>
  <c r="J191" i="2"/>
  <c r="AJ189" i="2"/>
  <c r="L189" i="2"/>
  <c r="AN188" i="2"/>
  <c r="P188" i="2"/>
  <c r="AR187" i="2"/>
  <c r="T187" i="2"/>
  <c r="AV185" i="2"/>
  <c r="X185" i="2"/>
  <c r="AZ184" i="2"/>
  <c r="AB184" i="2"/>
  <c r="BD183" i="2"/>
  <c r="AF183" i="2"/>
  <c r="H183" i="2"/>
  <c r="AJ182" i="2"/>
  <c r="L182" i="2"/>
  <c r="AN179" i="2"/>
  <c r="P179" i="2"/>
  <c r="AR178" i="2"/>
  <c r="T178" i="2"/>
  <c r="AV177" i="2"/>
  <c r="X177" i="2"/>
  <c r="AZ176" i="2"/>
  <c r="AB176" i="2"/>
  <c r="BD173" i="2"/>
  <c r="AF173" i="2"/>
  <c r="H173" i="2"/>
  <c r="AJ172" i="2"/>
  <c r="L172" i="2"/>
  <c r="AN171" i="2"/>
  <c r="P171" i="2"/>
  <c r="AR170" i="2"/>
  <c r="T170" i="2"/>
  <c r="AV167" i="2"/>
  <c r="X167" i="2"/>
  <c r="AZ166" i="2"/>
  <c r="AB166" i="2"/>
  <c r="BD165" i="2"/>
  <c r="AF165" i="2"/>
  <c r="H165" i="2"/>
  <c r="AJ164" i="2"/>
  <c r="L164" i="2"/>
  <c r="AQ163" i="2"/>
  <c r="W163" i="2"/>
  <c r="BC162" i="2"/>
  <c r="AH162" i="2"/>
  <c r="N162" i="2"/>
  <c r="AT161" i="2"/>
  <c r="X161" i="2"/>
  <c r="BC159" i="2"/>
  <c r="AI159" i="2"/>
  <c r="R159" i="2"/>
  <c r="BD158" i="2"/>
  <c r="AP158" i="2"/>
  <c r="AA158" i="2"/>
  <c r="L158" i="2"/>
  <c r="AX157" i="2"/>
  <c r="AJ157" i="2"/>
  <c r="V157" i="2"/>
  <c r="G157" i="2"/>
  <c r="AR156" i="2"/>
  <c r="AE156" i="2"/>
  <c r="R156" i="2"/>
  <c r="E156" i="2"/>
  <c r="AR155" i="2"/>
  <c r="AF155" i="2"/>
  <c r="T155" i="2"/>
  <c r="H155" i="2"/>
  <c r="AV151" i="2"/>
  <c r="AJ151" i="2"/>
  <c r="X151" i="2"/>
  <c r="L151" i="2"/>
  <c r="AZ150" i="2"/>
  <c r="AN150" i="2"/>
  <c r="AB150" i="2"/>
  <c r="P150" i="2"/>
  <c r="BD149" i="2"/>
  <c r="AR149" i="2"/>
  <c r="AF149" i="2"/>
  <c r="T149" i="2"/>
  <c r="H149" i="2"/>
  <c r="AV147" i="2"/>
  <c r="AJ147" i="2"/>
  <c r="X147" i="2"/>
  <c r="L147" i="2"/>
  <c r="AZ146" i="2"/>
  <c r="AN146" i="2"/>
  <c r="AB146" i="2"/>
  <c r="P146" i="2"/>
  <c r="BD145" i="2"/>
  <c r="AR145" i="2"/>
  <c r="AF145" i="2"/>
  <c r="T145" i="2"/>
  <c r="H145" i="2"/>
  <c r="AV142" i="2"/>
  <c r="AJ142" i="2"/>
  <c r="X142" i="2"/>
  <c r="L142" i="2"/>
  <c r="AZ141" i="2"/>
  <c r="AN141" i="2"/>
  <c r="AB141" i="2"/>
  <c r="P141" i="2"/>
  <c r="BD140" i="2"/>
  <c r="AR140" i="2"/>
  <c r="AF140" i="2"/>
  <c r="T140" i="2"/>
  <c r="H140" i="2"/>
  <c r="AV139" i="2"/>
  <c r="AJ139" i="2"/>
  <c r="X139" i="2"/>
  <c r="L139" i="2"/>
  <c r="AZ138" i="2"/>
  <c r="AN138" i="2"/>
  <c r="AB138" i="2"/>
  <c r="P138" i="2"/>
  <c r="BD137" i="2"/>
  <c r="AR137" i="2"/>
  <c r="AF137" i="2"/>
  <c r="T137" i="2"/>
  <c r="H137" i="2"/>
  <c r="AV136" i="2"/>
  <c r="AJ136" i="2"/>
  <c r="AU193" i="2"/>
  <c r="R193" i="2"/>
  <c r="AP192" i="2"/>
  <c r="N192" i="2"/>
  <c r="AI191" i="2"/>
  <c r="G191" i="2"/>
  <c r="AI189" i="2"/>
  <c r="K189" i="2"/>
  <c r="AM188" i="2"/>
  <c r="O188" i="2"/>
  <c r="AQ187" i="2"/>
  <c r="S187" i="2"/>
  <c r="AU185" i="2"/>
  <c r="W185" i="2"/>
  <c r="AY184" i="2"/>
  <c r="AA184" i="2"/>
  <c r="BC183" i="2"/>
  <c r="AE183" i="2"/>
  <c r="G183" i="2"/>
  <c r="AI182" i="2"/>
  <c r="K182" i="2"/>
  <c r="AM179" i="2"/>
  <c r="O179" i="2"/>
  <c r="AQ178" i="2"/>
  <c r="S178" i="2"/>
  <c r="AU177" i="2"/>
  <c r="W177" i="2"/>
  <c r="AY176" i="2"/>
  <c r="AA176" i="2"/>
  <c r="BC173" i="2"/>
  <c r="AE173" i="2"/>
  <c r="G173" i="2"/>
  <c r="AI172" i="2"/>
  <c r="K172" i="2"/>
  <c r="AM171" i="2"/>
  <c r="O171" i="2"/>
  <c r="AQ170" i="2"/>
  <c r="S170" i="2"/>
  <c r="AU167" i="2"/>
  <c r="W167" i="2"/>
  <c r="AY166" i="2"/>
  <c r="AA166" i="2"/>
  <c r="BC165" i="2"/>
  <c r="AE165" i="2"/>
  <c r="G165" i="2"/>
  <c r="AI164" i="2"/>
  <c r="K164" i="2"/>
  <c r="AP163" i="2"/>
  <c r="V163" i="2"/>
  <c r="BB162" i="2"/>
  <c r="AF162" i="2"/>
  <c r="K162" i="2"/>
  <c r="AQ161" i="2"/>
  <c r="W161" i="2"/>
  <c r="BB159" i="2"/>
  <c r="AH159" i="2"/>
  <c r="Q159" i="2"/>
  <c r="BC158" i="2"/>
  <c r="AO158" i="2"/>
  <c r="Z158" i="2"/>
  <c r="K158" i="2"/>
  <c r="AW157" i="2"/>
  <c r="AI157" i="2"/>
  <c r="U157" i="2"/>
  <c r="F157" i="2"/>
  <c r="AQ156" i="2"/>
  <c r="AD156" i="2"/>
  <c r="Q156" i="2"/>
  <c r="BD155" i="2"/>
  <c r="AQ155" i="2"/>
  <c r="AE155" i="2"/>
  <c r="S155" i="2"/>
  <c r="G155" i="2"/>
  <c r="AU151" i="2"/>
  <c r="AI151" i="2"/>
  <c r="W151" i="2"/>
  <c r="K151" i="2"/>
  <c r="AY150" i="2"/>
  <c r="AM150" i="2"/>
  <c r="AA150" i="2"/>
  <c r="O150" i="2"/>
  <c r="BC149" i="2"/>
  <c r="AQ149" i="2"/>
  <c r="AE149" i="2"/>
  <c r="S149" i="2"/>
  <c r="G149" i="2"/>
  <c r="AU147" i="2"/>
  <c r="AI147" i="2"/>
  <c r="W147" i="2"/>
  <c r="K147" i="2"/>
  <c r="AY146" i="2"/>
  <c r="AM146" i="2"/>
  <c r="AA146" i="2"/>
  <c r="O146" i="2"/>
  <c r="BC145" i="2"/>
  <c r="AQ145" i="2"/>
  <c r="AE145" i="2"/>
  <c r="S145" i="2"/>
  <c r="G145" i="2"/>
  <c r="AU142" i="2"/>
  <c r="AI142" i="2"/>
  <c r="W142" i="2"/>
  <c r="K142" i="2"/>
  <c r="AY141" i="2"/>
  <c r="AM141" i="2"/>
  <c r="AA141" i="2"/>
  <c r="O141" i="2"/>
  <c r="BC140" i="2"/>
  <c r="AQ140" i="2"/>
  <c r="AE140" i="2"/>
  <c r="S140" i="2"/>
  <c r="G140" i="2"/>
  <c r="AU139" i="2"/>
  <c r="AI139" i="2"/>
  <c r="W139" i="2"/>
  <c r="K139" i="2"/>
  <c r="AY138" i="2"/>
  <c r="AM138" i="2"/>
  <c r="AA138" i="2"/>
  <c r="O138" i="2"/>
  <c r="BC137" i="2"/>
  <c r="AQ137" i="2"/>
  <c r="AE137" i="2"/>
  <c r="S137" i="2"/>
  <c r="G137" i="2"/>
  <c r="AU136" i="2"/>
  <c r="AT193" i="2"/>
  <c r="O193" i="2"/>
  <c r="AM192" i="2"/>
  <c r="J192" i="2"/>
  <c r="AH191" i="2"/>
  <c r="F191" i="2"/>
  <c r="AH189" i="2"/>
  <c r="J189" i="2"/>
  <c r="AL188" i="2"/>
  <c r="N188" i="2"/>
  <c r="AP187" i="2"/>
  <c r="R187" i="2"/>
  <c r="AT185" i="2"/>
  <c r="V185" i="2"/>
  <c r="AX184" i="2"/>
  <c r="Z184" i="2"/>
  <c r="BB183" i="2"/>
  <c r="AD183" i="2"/>
  <c r="F183" i="2"/>
  <c r="AH182" i="2"/>
  <c r="J182" i="2"/>
  <c r="AL179" i="2"/>
  <c r="N179" i="2"/>
  <c r="AP178" i="2"/>
  <c r="R178" i="2"/>
  <c r="AT177" i="2"/>
  <c r="V177" i="2"/>
  <c r="AX176" i="2"/>
  <c r="Z176" i="2"/>
  <c r="BB173" i="2"/>
  <c r="AD173" i="2"/>
  <c r="F173" i="2"/>
  <c r="AH172" i="2"/>
  <c r="J172" i="2"/>
  <c r="AL171" i="2"/>
  <c r="N171" i="2"/>
  <c r="AP170" i="2"/>
  <c r="R170" i="2"/>
  <c r="AT167" i="2"/>
  <c r="V167" i="2"/>
  <c r="AX166" i="2"/>
  <c r="Z166" i="2"/>
  <c r="BB165" i="2"/>
  <c r="AD165" i="2"/>
  <c r="F165" i="2"/>
  <c r="AH164" i="2"/>
  <c r="J164" i="2"/>
  <c r="AN163" i="2"/>
  <c r="S163" i="2"/>
  <c r="AY162" i="2"/>
  <c r="AE162" i="2"/>
  <c r="J162" i="2"/>
  <c r="AP161" i="2"/>
  <c r="V161" i="2"/>
  <c r="AZ159" i="2"/>
  <c r="AF159" i="2"/>
  <c r="P159" i="2"/>
  <c r="BB158" i="2"/>
  <c r="AM158" i="2"/>
  <c r="X158" i="2"/>
  <c r="J158" i="2"/>
  <c r="AV157" i="2"/>
  <c r="AH157" i="2"/>
  <c r="S157" i="2"/>
  <c r="BD156" i="2"/>
  <c r="AP156" i="2"/>
  <c r="AC156" i="2"/>
  <c r="P156" i="2"/>
  <c r="BC155" i="2"/>
  <c r="AP155" i="2"/>
  <c r="AD155" i="2"/>
  <c r="R155" i="2"/>
  <c r="F155" i="2"/>
  <c r="AT151" i="2"/>
  <c r="AH151" i="2"/>
  <c r="V151" i="2"/>
  <c r="J151" i="2"/>
  <c r="AX150" i="2"/>
  <c r="AL150" i="2"/>
  <c r="Z150" i="2"/>
  <c r="N150" i="2"/>
  <c r="BB149" i="2"/>
  <c r="AP149" i="2"/>
  <c r="AD149" i="2"/>
  <c r="R149" i="2"/>
  <c r="F149" i="2"/>
  <c r="AT147" i="2"/>
  <c r="AH147" i="2"/>
  <c r="V147" i="2"/>
  <c r="J147" i="2"/>
  <c r="AX146" i="2"/>
  <c r="AL146" i="2"/>
  <c r="Z146" i="2"/>
  <c r="N146" i="2"/>
  <c r="BB145" i="2"/>
  <c r="AP145" i="2"/>
  <c r="AD145" i="2"/>
  <c r="R145" i="2"/>
  <c r="F145" i="2"/>
  <c r="AT142" i="2"/>
  <c r="AH142" i="2"/>
  <c r="V142" i="2"/>
  <c r="J142" i="2"/>
  <c r="AX141" i="2"/>
  <c r="AL141" i="2"/>
  <c r="Z141" i="2"/>
  <c r="N141" i="2"/>
  <c r="BB140" i="2"/>
  <c r="AP140" i="2"/>
  <c r="AD140" i="2"/>
  <c r="R140" i="2"/>
  <c r="F140" i="2"/>
  <c r="AT139" i="2"/>
  <c r="AH139" i="2"/>
  <c r="V139" i="2"/>
  <c r="J139" i="2"/>
  <c r="AX138" i="2"/>
  <c r="AL138" i="2"/>
  <c r="Z138" i="2"/>
  <c r="N138" i="2"/>
  <c r="BB137" i="2"/>
  <c r="AP137" i="2"/>
  <c r="AD137" i="2"/>
  <c r="R137" i="2"/>
  <c r="F137" i="2"/>
  <c r="AT136" i="2"/>
  <c r="AH136" i="2"/>
  <c r="AP193" i="2"/>
  <c r="N193" i="2"/>
  <c r="AL192" i="2"/>
  <c r="G192" i="2"/>
  <c r="AE191" i="2"/>
  <c r="BB189" i="2"/>
  <c r="AD189" i="2"/>
  <c r="F189" i="2"/>
  <c r="AH188" i="2"/>
  <c r="J188" i="2"/>
  <c r="AL187" i="2"/>
  <c r="N187" i="2"/>
  <c r="AP185" i="2"/>
  <c r="R185" i="2"/>
  <c r="AT184" i="2"/>
  <c r="V184" i="2"/>
  <c r="AX183" i="2"/>
  <c r="Z183" i="2"/>
  <c r="BB182" i="2"/>
  <c r="AD182" i="2"/>
  <c r="F182" i="2"/>
  <c r="AH179" i="2"/>
  <c r="J179" i="2"/>
  <c r="AL178" i="2"/>
  <c r="N178" i="2"/>
  <c r="AP177" i="2"/>
  <c r="R177" i="2"/>
  <c r="AT176" i="2"/>
  <c r="V176" i="2"/>
  <c r="AX173" i="2"/>
  <c r="Z173" i="2"/>
  <c r="BB172" i="2"/>
  <c r="AD172" i="2"/>
  <c r="F172" i="2"/>
  <c r="AH171" i="2"/>
  <c r="J171" i="2"/>
  <c r="AL170" i="2"/>
  <c r="N170" i="2"/>
  <c r="AP167" i="2"/>
  <c r="R167" i="2"/>
  <c r="AT166" i="2"/>
  <c r="V166" i="2"/>
  <c r="AX165" i="2"/>
  <c r="Z165" i="2"/>
  <c r="BB164" i="2"/>
  <c r="AD164" i="2"/>
  <c r="G164" i="2"/>
  <c r="AM163" i="2"/>
  <c r="R163" i="2"/>
  <c r="AX162" i="2"/>
  <c r="AD162" i="2"/>
  <c r="H162" i="2"/>
  <c r="AM161" i="2"/>
  <c r="S161" i="2"/>
  <c r="AY159" i="2"/>
  <c r="AE159" i="2"/>
  <c r="O159" i="2"/>
  <c r="BA158" i="2"/>
  <c r="AL158" i="2"/>
  <c r="W158" i="2"/>
  <c r="I158" i="2"/>
  <c r="AU157" i="2"/>
  <c r="AG157" i="2"/>
  <c r="R157" i="2"/>
  <c r="BC156" i="2"/>
  <c r="AO156" i="2"/>
  <c r="AB156" i="2"/>
  <c r="O156" i="2"/>
  <c r="BB155" i="2"/>
  <c r="AO155" i="2"/>
  <c r="AC155" i="2"/>
  <c r="Q155" i="2"/>
  <c r="E155" i="2"/>
  <c r="AS151" i="2"/>
  <c r="AG151" i="2"/>
  <c r="U151" i="2"/>
  <c r="I151" i="2"/>
  <c r="AW150" i="2"/>
  <c r="AK150" i="2"/>
  <c r="Y150" i="2"/>
  <c r="M150" i="2"/>
  <c r="BA149" i="2"/>
  <c r="AO149" i="2"/>
  <c r="AC149" i="2"/>
  <c r="Q149" i="2"/>
  <c r="E149" i="2"/>
  <c r="AS147" i="2"/>
  <c r="AG147" i="2"/>
  <c r="U147" i="2"/>
  <c r="I147" i="2"/>
  <c r="AW146" i="2"/>
  <c r="AK146" i="2"/>
  <c r="Y146" i="2"/>
  <c r="M146" i="2"/>
  <c r="BA145" i="2"/>
  <c r="AO145" i="2"/>
  <c r="AC145" i="2"/>
  <c r="Q145" i="2"/>
  <c r="E145" i="2"/>
  <c r="AS142" i="2"/>
  <c r="AG142" i="2"/>
  <c r="U142" i="2"/>
  <c r="I142" i="2"/>
  <c r="AW141" i="2"/>
  <c r="AK141" i="2"/>
  <c r="Y141" i="2"/>
  <c r="M141" i="2"/>
  <c r="BA140" i="2"/>
  <c r="AO140" i="2"/>
  <c r="AC140" i="2"/>
  <c r="Q140" i="2"/>
  <c r="E140" i="2"/>
  <c r="AS139" i="2"/>
  <c r="AG139" i="2"/>
  <c r="U139" i="2"/>
  <c r="I139" i="2"/>
  <c r="AW138" i="2"/>
  <c r="AK138" i="2"/>
  <c r="Y138" i="2"/>
  <c r="M138" i="2"/>
  <c r="BA137" i="2"/>
  <c r="AO137" i="2"/>
  <c r="AM193" i="2"/>
  <c r="K193" i="2"/>
  <c r="AH192" i="2"/>
  <c r="F192" i="2"/>
  <c r="AD191" i="2"/>
  <c r="AY189" i="2"/>
  <c r="AA189" i="2"/>
  <c r="BC188" i="2"/>
  <c r="AE188" i="2"/>
  <c r="G188" i="2"/>
  <c r="AI187" i="2"/>
  <c r="K187" i="2"/>
  <c r="AM185" i="2"/>
  <c r="O185" i="2"/>
  <c r="AQ184" i="2"/>
  <c r="S184" i="2"/>
  <c r="AU183" i="2"/>
  <c r="W183" i="2"/>
  <c r="AY182" i="2"/>
  <c r="AA182" i="2"/>
  <c r="BC179" i="2"/>
  <c r="AE179" i="2"/>
  <c r="G179" i="2"/>
  <c r="AI178" i="2"/>
  <c r="K178" i="2"/>
  <c r="AM177" i="2"/>
  <c r="O177" i="2"/>
  <c r="AQ176" i="2"/>
  <c r="S176" i="2"/>
  <c r="AU173" i="2"/>
  <c r="W173" i="2"/>
  <c r="AY172" i="2"/>
  <c r="AA172" i="2"/>
  <c r="BC171" i="2"/>
  <c r="AE171" i="2"/>
  <c r="G171" i="2"/>
  <c r="AI170" i="2"/>
  <c r="K170" i="2"/>
  <c r="AM167" i="2"/>
  <c r="O167" i="2"/>
  <c r="AQ166" i="2"/>
  <c r="S166" i="2"/>
  <c r="AU165" i="2"/>
  <c r="W165" i="2"/>
  <c r="AY164" i="2"/>
  <c r="AA164" i="2"/>
  <c r="F164" i="2"/>
  <c r="AL163" i="2"/>
  <c r="P163" i="2"/>
  <c r="AU162" i="2"/>
  <c r="AA162" i="2"/>
  <c r="G162" i="2"/>
  <c r="AL161" i="2"/>
  <c r="R161" i="2"/>
  <c r="AX159" i="2"/>
  <c r="AD159" i="2"/>
  <c r="N159" i="2"/>
  <c r="AY158" i="2"/>
  <c r="AJ158" i="2"/>
  <c r="V158" i="2"/>
  <c r="H158" i="2"/>
  <c r="AT157" i="2"/>
  <c r="AE157" i="2"/>
  <c r="P157" i="2"/>
  <c r="BB156" i="2"/>
  <c r="AN156" i="2"/>
  <c r="AA156" i="2"/>
  <c r="N156" i="2"/>
  <c r="BA155" i="2"/>
  <c r="AN155" i="2"/>
  <c r="AB155" i="2"/>
  <c r="P155" i="2"/>
  <c r="BD151" i="2"/>
  <c r="AR151" i="2"/>
  <c r="AF151" i="2"/>
  <c r="T151" i="2"/>
  <c r="H151" i="2"/>
  <c r="AV150" i="2"/>
  <c r="AJ150" i="2"/>
  <c r="X150" i="2"/>
  <c r="L150" i="2"/>
  <c r="AZ149" i="2"/>
  <c r="AN149" i="2"/>
  <c r="AB149" i="2"/>
  <c r="P149" i="2"/>
  <c r="BD147" i="2"/>
  <c r="AR147" i="2"/>
  <c r="AF147" i="2"/>
  <c r="T147" i="2"/>
  <c r="H147" i="2"/>
  <c r="AV146" i="2"/>
  <c r="AJ146" i="2"/>
  <c r="X146" i="2"/>
  <c r="L146" i="2"/>
  <c r="AZ145" i="2"/>
  <c r="AN145" i="2"/>
  <c r="AB145" i="2"/>
  <c r="P145" i="2"/>
  <c r="BD142" i="2"/>
  <c r="AR142" i="2"/>
  <c r="AF142" i="2"/>
  <c r="T142" i="2"/>
  <c r="H142" i="2"/>
  <c r="AV141" i="2"/>
  <c r="AJ141" i="2"/>
  <c r="X141" i="2"/>
  <c r="L141" i="2"/>
  <c r="AZ140" i="2"/>
  <c r="AN140" i="2"/>
  <c r="AB140" i="2"/>
  <c r="P140" i="2"/>
  <c r="BD139" i="2"/>
  <c r="AR139" i="2"/>
  <c r="AF139" i="2"/>
  <c r="T139" i="2"/>
  <c r="H139" i="2"/>
  <c r="AV138" i="2"/>
  <c r="AJ138" i="2"/>
  <c r="X138" i="2"/>
  <c r="L138" i="2"/>
  <c r="AZ137" i="2"/>
  <c r="AN137" i="2"/>
  <c r="AB137" i="2"/>
  <c r="AL193" i="2"/>
  <c r="J193" i="2"/>
  <c r="AE192" i="2"/>
  <c r="BC191" i="2"/>
  <c r="Z191" i="2"/>
  <c r="AX189" i="2"/>
  <c r="Z189" i="2"/>
  <c r="BB188" i="2"/>
  <c r="AD188" i="2"/>
  <c r="F188" i="2"/>
  <c r="AH187" i="2"/>
  <c r="J187" i="2"/>
  <c r="AL185" i="2"/>
  <c r="N185" i="2"/>
  <c r="AP184" i="2"/>
  <c r="R184" i="2"/>
  <c r="AT183" i="2"/>
  <c r="V183" i="2"/>
  <c r="AX182" i="2"/>
  <c r="Z182" i="2"/>
  <c r="BB179" i="2"/>
  <c r="AD179" i="2"/>
  <c r="F179" i="2"/>
  <c r="AH178" i="2"/>
  <c r="J178" i="2"/>
  <c r="AL177" i="2"/>
  <c r="N177" i="2"/>
  <c r="AP176" i="2"/>
  <c r="R176" i="2"/>
  <c r="AT173" i="2"/>
  <c r="V173" i="2"/>
  <c r="AX172" i="2"/>
  <c r="Z172" i="2"/>
  <c r="BB171" i="2"/>
  <c r="AD171" i="2"/>
  <c r="F171" i="2"/>
  <c r="AH170" i="2"/>
  <c r="J170" i="2"/>
  <c r="AL167" i="2"/>
  <c r="N167" i="2"/>
  <c r="AP166" i="2"/>
  <c r="R166" i="2"/>
  <c r="AT165" i="2"/>
  <c r="V165" i="2"/>
  <c r="AX164" i="2"/>
  <c r="Z164" i="2"/>
  <c r="BC163" i="2"/>
  <c r="AI163" i="2"/>
  <c r="O163" i="2"/>
  <c r="AT162" i="2"/>
  <c r="Z162" i="2"/>
  <c r="F162" i="2"/>
  <c r="AJ161" i="2"/>
  <c r="O161" i="2"/>
  <c r="AU159" i="2"/>
  <c r="AB159" i="2"/>
  <c r="M159" i="2"/>
  <c r="AX158" i="2"/>
  <c r="AI158" i="2"/>
  <c r="U158" i="2"/>
  <c r="G158" i="2"/>
  <c r="AS157" i="2"/>
  <c r="AD157" i="2"/>
  <c r="O157" i="2"/>
  <c r="BA156" i="2"/>
  <c r="AM156" i="2"/>
  <c r="Z156" i="2"/>
  <c r="M156" i="2"/>
  <c r="AY155" i="2"/>
  <c r="AM155" i="2"/>
  <c r="AA155" i="2"/>
  <c r="O155" i="2"/>
  <c r="BC151" i="2"/>
  <c r="AQ151" i="2"/>
  <c r="AE151" i="2"/>
  <c r="S151" i="2"/>
  <c r="G151" i="2"/>
  <c r="AU150" i="2"/>
  <c r="AI150" i="2"/>
  <c r="W150" i="2"/>
  <c r="K150" i="2"/>
  <c r="AY149" i="2"/>
  <c r="AM149" i="2"/>
  <c r="AA149" i="2"/>
  <c r="O149" i="2"/>
  <c r="BC147" i="2"/>
  <c r="AQ147" i="2"/>
  <c r="AE147" i="2"/>
  <c r="S147" i="2"/>
  <c r="G147" i="2"/>
  <c r="AU146" i="2"/>
  <c r="AI146" i="2"/>
  <c r="W146" i="2"/>
  <c r="K146" i="2"/>
  <c r="AY145" i="2"/>
  <c r="AM145" i="2"/>
  <c r="AA145" i="2"/>
  <c r="O145" i="2"/>
  <c r="BC142" i="2"/>
  <c r="AQ142" i="2"/>
  <c r="AE142" i="2"/>
  <c r="S142" i="2"/>
  <c r="G142" i="2"/>
  <c r="AU141" i="2"/>
  <c r="AI141" i="2"/>
  <c r="W141" i="2"/>
  <c r="K141" i="2"/>
  <c r="AY140" i="2"/>
  <c r="AM140" i="2"/>
  <c r="AA140" i="2"/>
  <c r="O140" i="2"/>
  <c r="BC139" i="2"/>
  <c r="AQ139" i="2"/>
  <c r="AE139" i="2"/>
  <c r="S139" i="2"/>
  <c r="G139" i="2"/>
  <c r="AU138" i="2"/>
  <c r="AI138" i="2"/>
  <c r="W138" i="2"/>
  <c r="K138" i="2"/>
  <c r="AI193" i="2"/>
  <c r="F193" i="2"/>
  <c r="AD192" i="2"/>
  <c r="BB191" i="2"/>
  <c r="W191" i="2"/>
  <c r="AV189" i="2"/>
  <c r="X189" i="2"/>
  <c r="AZ188" i="2"/>
  <c r="AB188" i="2"/>
  <c r="BD187" i="2"/>
  <c r="AF187" i="2"/>
  <c r="H187" i="2"/>
  <c r="AJ185" i="2"/>
  <c r="L185" i="2"/>
  <c r="AN184" i="2"/>
  <c r="P184" i="2"/>
  <c r="AR183" i="2"/>
  <c r="T183" i="2"/>
  <c r="AV182" i="2"/>
  <c r="X182" i="2"/>
  <c r="AZ179" i="2"/>
  <c r="AB179" i="2"/>
  <c r="BD178" i="2"/>
  <c r="AF178" i="2"/>
  <c r="H178" i="2"/>
  <c r="AJ177" i="2"/>
  <c r="L177" i="2"/>
  <c r="AN176" i="2"/>
  <c r="P176" i="2"/>
  <c r="AR173" i="2"/>
  <c r="T173" i="2"/>
  <c r="AV172" i="2"/>
  <c r="X172" i="2"/>
  <c r="AZ171" i="2"/>
  <c r="AB171" i="2"/>
  <c r="BD170" i="2"/>
  <c r="AF170" i="2"/>
  <c r="H170" i="2"/>
  <c r="AJ167" i="2"/>
  <c r="L167" i="2"/>
  <c r="AN166" i="2"/>
  <c r="P166" i="2"/>
  <c r="AR165" i="2"/>
  <c r="T165" i="2"/>
  <c r="AV164" i="2"/>
  <c r="X164" i="2"/>
  <c r="BB163" i="2"/>
  <c r="AH163" i="2"/>
  <c r="N163" i="2"/>
  <c r="AR162" i="2"/>
  <c r="W162" i="2"/>
  <c r="BC161" i="2"/>
  <c r="AI161" i="2"/>
  <c r="N161" i="2"/>
  <c r="AT159" i="2"/>
  <c r="AA159" i="2"/>
  <c r="K159" i="2"/>
  <c r="AV158" i="2"/>
  <c r="AH158" i="2"/>
  <c r="T158" i="2"/>
  <c r="F158" i="2"/>
  <c r="AQ157" i="2"/>
  <c r="AB157" i="2"/>
  <c r="N157" i="2"/>
  <c r="AZ156" i="2"/>
  <c r="AL156" i="2"/>
  <c r="Y156" i="2"/>
  <c r="K156" i="2"/>
  <c r="AX155" i="2"/>
  <c r="AL155" i="2"/>
  <c r="Z155" i="2"/>
  <c r="N155" i="2"/>
  <c r="BB151" i="2"/>
  <c r="AP151" i="2"/>
  <c r="AD151" i="2"/>
  <c r="R151" i="2"/>
  <c r="F151" i="2"/>
  <c r="AT150" i="2"/>
  <c r="AH150" i="2"/>
  <c r="V150" i="2"/>
  <c r="J150" i="2"/>
  <c r="AX149" i="2"/>
  <c r="AL149" i="2"/>
  <c r="Z149" i="2"/>
  <c r="N149" i="2"/>
  <c r="BB147" i="2"/>
  <c r="AP147" i="2"/>
  <c r="AD147" i="2"/>
  <c r="R147" i="2"/>
  <c r="F147" i="2"/>
  <c r="AT146" i="2"/>
  <c r="AH146" i="2"/>
  <c r="V146" i="2"/>
  <c r="J146" i="2"/>
  <c r="AX145" i="2"/>
  <c r="AL145" i="2"/>
  <c r="Z145" i="2"/>
  <c r="N145" i="2"/>
  <c r="BB142" i="2"/>
  <c r="AP142" i="2"/>
  <c r="AD142" i="2"/>
  <c r="R142" i="2"/>
  <c r="F142" i="2"/>
  <c r="AT141" i="2"/>
  <c r="AH141" i="2"/>
  <c r="V141" i="2"/>
  <c r="J141" i="2"/>
  <c r="AX140" i="2"/>
  <c r="AL140" i="2"/>
  <c r="Z140" i="2"/>
  <c r="N140" i="2"/>
  <c r="BB139" i="2"/>
  <c r="AP139" i="2"/>
  <c r="AD139" i="2"/>
  <c r="R139" i="2"/>
  <c r="F139" i="2"/>
  <c r="AT138" i="2"/>
  <c r="AH138" i="2"/>
  <c r="V138" i="2"/>
  <c r="J138" i="2"/>
  <c r="AX137" i="2"/>
  <c r="AL137" i="2"/>
  <c r="Z137" i="2"/>
  <c r="N137" i="2"/>
  <c r="BB136" i="2"/>
  <c r="AP136" i="2"/>
  <c r="AD136" i="2"/>
  <c r="AH193" i="2"/>
  <c r="V191" i="2"/>
  <c r="AA188" i="2"/>
  <c r="AI185" i="2"/>
  <c r="AQ183" i="2"/>
  <c r="AY179" i="2"/>
  <c r="G178" i="2"/>
  <c r="O176" i="2"/>
  <c r="W172" i="2"/>
  <c r="AE170" i="2"/>
  <c r="AM166" i="2"/>
  <c r="AU164" i="2"/>
  <c r="K163" i="2"/>
  <c r="AH161" i="2"/>
  <c r="J159" i="2"/>
  <c r="E158" i="2"/>
  <c r="AY156" i="2"/>
  <c r="AW155" i="2"/>
  <c r="BA151" i="2"/>
  <c r="E151" i="2"/>
  <c r="I150" i="2"/>
  <c r="M149" i="2"/>
  <c r="Q147" i="2"/>
  <c r="U146" i="2"/>
  <c r="Y145" i="2"/>
  <c r="AC142" i="2"/>
  <c r="AG141" i="2"/>
  <c r="AK140" i="2"/>
  <c r="AO139" i="2"/>
  <c r="AS138" i="2"/>
  <c r="AY137" i="2"/>
  <c r="W137" i="2"/>
  <c r="AY136" i="2"/>
  <c r="AB136" i="2"/>
  <c r="O136" i="2"/>
  <c r="BA135" i="2"/>
  <c r="AN135" i="2"/>
  <c r="AA135" i="2"/>
  <c r="N135" i="2"/>
  <c r="BB134" i="2"/>
  <c r="AP134" i="2"/>
  <c r="AD134" i="2"/>
  <c r="R134" i="2"/>
  <c r="F134" i="2"/>
  <c r="AT133" i="2"/>
  <c r="AH133" i="2"/>
  <c r="V133" i="2"/>
  <c r="J133" i="2"/>
  <c r="AX132" i="2"/>
  <c r="AL132" i="2"/>
  <c r="Z132" i="2"/>
  <c r="N132" i="2"/>
  <c r="BB131" i="2"/>
  <c r="AP131" i="2"/>
  <c r="AD131" i="2"/>
  <c r="R131" i="2"/>
  <c r="F131" i="2"/>
  <c r="AT130" i="2"/>
  <c r="AH130" i="2"/>
  <c r="V130" i="2"/>
  <c r="J130" i="2"/>
  <c r="AX129" i="2"/>
  <c r="AL129" i="2"/>
  <c r="Z129" i="2"/>
  <c r="N129" i="2"/>
  <c r="BB128" i="2"/>
  <c r="AP128" i="2"/>
  <c r="AD128" i="2"/>
  <c r="R128" i="2"/>
  <c r="F128" i="2"/>
  <c r="AT125" i="2"/>
  <c r="AH125" i="2"/>
  <c r="V125" i="2"/>
  <c r="J125" i="2"/>
  <c r="AX124" i="2"/>
  <c r="AL124" i="2"/>
  <c r="Z124" i="2"/>
  <c r="N124" i="2"/>
  <c r="BB123" i="2"/>
  <c r="AP123" i="2"/>
  <c r="AD123" i="2"/>
  <c r="R123" i="2"/>
  <c r="F123" i="2"/>
  <c r="AT122" i="2"/>
  <c r="AH122" i="2"/>
  <c r="V122" i="2"/>
  <c r="J122" i="2"/>
  <c r="AX121" i="2"/>
  <c r="AL121" i="2"/>
  <c r="Z121" i="2"/>
  <c r="N121" i="2"/>
  <c r="BB120" i="2"/>
  <c r="AP120" i="2"/>
  <c r="AD120" i="2"/>
  <c r="R120" i="2"/>
  <c r="F120" i="2"/>
  <c r="AT119" i="2"/>
  <c r="AH119" i="2"/>
  <c r="V119" i="2"/>
  <c r="J119" i="2"/>
  <c r="AX118" i="2"/>
  <c r="AL118" i="2"/>
  <c r="Z118" i="2"/>
  <c r="N118" i="2"/>
  <c r="BB117" i="2"/>
  <c r="AP117" i="2"/>
  <c r="AD117" i="2"/>
  <c r="R117" i="2"/>
  <c r="F117" i="2"/>
  <c r="AT116" i="2"/>
  <c r="AH116" i="2"/>
  <c r="V116" i="2"/>
  <c r="J116" i="2"/>
  <c r="AX115" i="2"/>
  <c r="AL115" i="2"/>
  <c r="Z115" i="2"/>
  <c r="AD193" i="2"/>
  <c r="S191" i="2"/>
  <c r="Z188" i="2"/>
  <c r="AH185" i="2"/>
  <c r="AP183" i="2"/>
  <c r="AX179" i="2"/>
  <c r="F178" i="2"/>
  <c r="N176" i="2"/>
  <c r="V172" i="2"/>
  <c r="AD170" i="2"/>
  <c r="AL166" i="2"/>
  <c r="AT164" i="2"/>
  <c r="J163" i="2"/>
  <c r="AE161" i="2"/>
  <c r="H159" i="2"/>
  <c r="BC157" i="2"/>
  <c r="AX156" i="2"/>
  <c r="AV155" i="2"/>
  <c r="AZ151" i="2"/>
  <c r="BD150" i="2"/>
  <c r="H150" i="2"/>
  <c r="L149" i="2"/>
  <c r="P147" i="2"/>
  <c r="T146" i="2"/>
  <c r="X145" i="2"/>
  <c r="AB142" i="2"/>
  <c r="AF141" i="2"/>
  <c r="AJ140" i="2"/>
  <c r="AN139" i="2"/>
  <c r="AR138" i="2"/>
  <c r="AW137" i="2"/>
  <c r="Q137" i="2"/>
  <c r="AS136" i="2"/>
  <c r="AA136" i="2"/>
  <c r="M136" i="2"/>
  <c r="AZ135" i="2"/>
  <c r="AM135" i="2"/>
  <c r="Z135" i="2"/>
  <c r="M135" i="2"/>
  <c r="BA134" i="2"/>
  <c r="AO134" i="2"/>
  <c r="AC134" i="2"/>
  <c r="Q134" i="2"/>
  <c r="E134" i="2"/>
  <c r="AS133" i="2"/>
  <c r="AG133" i="2"/>
  <c r="U133" i="2"/>
  <c r="I133" i="2"/>
  <c r="AW132" i="2"/>
  <c r="AK132" i="2"/>
  <c r="Y132" i="2"/>
  <c r="M132" i="2"/>
  <c r="BA131" i="2"/>
  <c r="AO131" i="2"/>
  <c r="AC131" i="2"/>
  <c r="Q131" i="2"/>
  <c r="E131" i="2"/>
  <c r="AS130" i="2"/>
  <c r="AG130" i="2"/>
  <c r="U130" i="2"/>
  <c r="I130" i="2"/>
  <c r="AW129" i="2"/>
  <c r="AK129" i="2"/>
  <c r="Y129" i="2"/>
  <c r="M129" i="2"/>
  <c r="BA128" i="2"/>
  <c r="AO128" i="2"/>
  <c r="AC128" i="2"/>
  <c r="Q128" i="2"/>
  <c r="E128" i="2"/>
  <c r="AS125" i="2"/>
  <c r="AG125" i="2"/>
  <c r="U125" i="2"/>
  <c r="I125" i="2"/>
  <c r="AW124" i="2"/>
  <c r="AK124" i="2"/>
  <c r="Y124" i="2"/>
  <c r="M124" i="2"/>
  <c r="BA123" i="2"/>
  <c r="AO123" i="2"/>
  <c r="AC123" i="2"/>
  <c r="Q123" i="2"/>
  <c r="E123" i="2"/>
  <c r="AS122" i="2"/>
  <c r="AG122" i="2"/>
  <c r="U122" i="2"/>
  <c r="I122" i="2"/>
  <c r="AW121" i="2"/>
  <c r="AK121" i="2"/>
  <c r="Y121" i="2"/>
  <c r="M121" i="2"/>
  <c r="BA120" i="2"/>
  <c r="AO120" i="2"/>
  <c r="AC120" i="2"/>
  <c r="Q120" i="2"/>
  <c r="E120" i="2"/>
  <c r="AS119" i="2"/>
  <c r="AG119" i="2"/>
  <c r="U119" i="2"/>
  <c r="I119" i="2"/>
  <c r="AW118" i="2"/>
  <c r="AK118" i="2"/>
  <c r="Y118" i="2"/>
  <c r="M118" i="2"/>
  <c r="BA117" i="2"/>
  <c r="AO117" i="2"/>
  <c r="AC117" i="2"/>
  <c r="Q117" i="2"/>
  <c r="E117" i="2"/>
  <c r="AS116" i="2"/>
  <c r="AG116" i="2"/>
  <c r="U116" i="2"/>
  <c r="I116" i="2"/>
  <c r="AW115" i="2"/>
  <c r="AK115" i="2"/>
  <c r="Y115" i="2"/>
  <c r="M115" i="2"/>
  <c r="BA114" i="2"/>
  <c r="AO114" i="2"/>
  <c r="AC114" i="2"/>
  <c r="Q114" i="2"/>
  <c r="E114" i="2"/>
  <c r="AS113" i="2"/>
  <c r="AG113" i="2"/>
  <c r="U113" i="2"/>
  <c r="I113" i="2"/>
  <c r="AW112" i="2"/>
  <c r="AA193" i="2"/>
  <c r="R191" i="2"/>
  <c r="V188" i="2"/>
  <c r="AD185" i="2"/>
  <c r="AL183" i="2"/>
  <c r="AT179" i="2"/>
  <c r="BB177" i="2"/>
  <c r="J176" i="2"/>
  <c r="R172" i="2"/>
  <c r="Z170" i="2"/>
  <c r="AH166" i="2"/>
  <c r="AP164" i="2"/>
  <c r="G163" i="2"/>
  <c r="AD161" i="2"/>
  <c r="G159" i="2"/>
  <c r="BB157" i="2"/>
  <c r="AW156" i="2"/>
  <c r="AU155" i="2"/>
  <c r="AY151" i="2"/>
  <c r="BC150" i="2"/>
  <c r="G150" i="2"/>
  <c r="K149" i="2"/>
  <c r="O147" i="2"/>
  <c r="S146" i="2"/>
  <c r="W145" i="2"/>
  <c r="AA142" i="2"/>
  <c r="AE141" i="2"/>
  <c r="AI140" i="2"/>
  <c r="AM139" i="2"/>
  <c r="BC192" i="2"/>
  <c r="AU189" i="2"/>
  <c r="BC187" i="2"/>
  <c r="K185" i="2"/>
  <c r="S183" i="2"/>
  <c r="AA179" i="2"/>
  <c r="AI177" i="2"/>
  <c r="AQ173" i="2"/>
  <c r="AY171" i="2"/>
  <c r="G170" i="2"/>
  <c r="O166" i="2"/>
  <c r="W164" i="2"/>
  <c r="AQ162" i="2"/>
  <c r="L161" i="2"/>
  <c r="AU158" i="2"/>
  <c r="AP157" i="2"/>
  <c r="AK156" i="2"/>
  <c r="AK155" i="2"/>
  <c r="AO151" i="2"/>
  <c r="AS150" i="2"/>
  <c r="AW149" i="2"/>
  <c r="BA147" i="2"/>
  <c r="E147" i="2"/>
  <c r="I146" i="2"/>
  <c r="M145" i="2"/>
  <c r="Q142" i="2"/>
  <c r="U141" i="2"/>
  <c r="Y140" i="2"/>
  <c r="AC139" i="2"/>
  <c r="AG138" i="2"/>
  <c r="AU137" i="2"/>
  <c r="O137" i="2"/>
  <c r="AQ136" i="2"/>
  <c r="X136" i="2"/>
  <c r="K136" i="2"/>
  <c r="AX135" i="2"/>
  <c r="AK135" i="2"/>
  <c r="X135" i="2"/>
  <c r="K135" i="2"/>
  <c r="AY134" i="2"/>
  <c r="AM134" i="2"/>
  <c r="AA134" i="2"/>
  <c r="O134" i="2"/>
  <c r="BC133" i="2"/>
  <c r="AQ133" i="2"/>
  <c r="AE133" i="2"/>
  <c r="S133" i="2"/>
  <c r="G133" i="2"/>
  <c r="AU132" i="2"/>
  <c r="AI132" i="2"/>
  <c r="W132" i="2"/>
  <c r="K132" i="2"/>
  <c r="AY131" i="2"/>
  <c r="AM131" i="2"/>
  <c r="AA131" i="2"/>
  <c r="O131" i="2"/>
  <c r="BC130" i="2"/>
  <c r="AQ130" i="2"/>
  <c r="AE130" i="2"/>
  <c r="S130" i="2"/>
  <c r="G130" i="2"/>
  <c r="AU129" i="2"/>
  <c r="AI129" i="2"/>
  <c r="W129" i="2"/>
  <c r="K129" i="2"/>
  <c r="AY128" i="2"/>
  <c r="AM128" i="2"/>
  <c r="AA128" i="2"/>
  <c r="O128" i="2"/>
  <c r="BC125" i="2"/>
  <c r="AQ125" i="2"/>
  <c r="AE125" i="2"/>
  <c r="S125" i="2"/>
  <c r="G125" i="2"/>
  <c r="AU124" i="2"/>
  <c r="AI124" i="2"/>
  <c r="W124" i="2"/>
  <c r="K124" i="2"/>
  <c r="AY123" i="2"/>
  <c r="AM123" i="2"/>
  <c r="AA123" i="2"/>
  <c r="O123" i="2"/>
  <c r="BC122" i="2"/>
  <c r="AQ122" i="2"/>
  <c r="AE122" i="2"/>
  <c r="S122" i="2"/>
  <c r="G122" i="2"/>
  <c r="AU121" i="2"/>
  <c r="AI121" i="2"/>
  <c r="W121" i="2"/>
  <c r="K121" i="2"/>
  <c r="AY120" i="2"/>
  <c r="AM120" i="2"/>
  <c r="AA120" i="2"/>
  <c r="O120" i="2"/>
  <c r="BC119" i="2"/>
  <c r="AQ119" i="2"/>
  <c r="AE119" i="2"/>
  <c r="S119" i="2"/>
  <c r="G119" i="2"/>
  <c r="AU118" i="2"/>
  <c r="AI118" i="2"/>
  <c r="W118" i="2"/>
  <c r="K118" i="2"/>
  <c r="AY117" i="2"/>
  <c r="AM117" i="2"/>
  <c r="AA117" i="2"/>
  <c r="O117" i="2"/>
  <c r="BC116" i="2"/>
  <c r="AQ116" i="2"/>
  <c r="AE116" i="2"/>
  <c r="S116" i="2"/>
  <c r="G116" i="2"/>
  <c r="AU115" i="2"/>
  <c r="AI115" i="2"/>
  <c r="W115" i="2"/>
  <c r="K115" i="2"/>
  <c r="AY114" i="2"/>
  <c r="AM114" i="2"/>
  <c r="AA114" i="2"/>
  <c r="O114" i="2"/>
  <c r="BC113" i="2"/>
  <c r="AQ113" i="2"/>
  <c r="AE113" i="2"/>
  <c r="BB192" i="2"/>
  <c r="AT189" i="2"/>
  <c r="BB187" i="2"/>
  <c r="J185" i="2"/>
  <c r="R183" i="2"/>
  <c r="Z179" i="2"/>
  <c r="AH177" i="2"/>
  <c r="AP173" i="2"/>
  <c r="AX171" i="2"/>
  <c r="F170" i="2"/>
  <c r="N166" i="2"/>
  <c r="V164" i="2"/>
  <c r="AP162" i="2"/>
  <c r="K161" i="2"/>
  <c r="AT158" i="2"/>
  <c r="AN157" i="2"/>
  <c r="AI156" i="2"/>
  <c r="AJ155" i="2"/>
  <c r="AN151" i="2"/>
  <c r="AR150" i="2"/>
  <c r="AV149" i="2"/>
  <c r="AZ147" i="2"/>
  <c r="BD146" i="2"/>
  <c r="H146" i="2"/>
  <c r="L145" i="2"/>
  <c r="P142" i="2"/>
  <c r="T141" i="2"/>
  <c r="X140" i="2"/>
  <c r="AB139" i="2"/>
  <c r="AF138" i="2"/>
  <c r="AM137" i="2"/>
  <c r="M137" i="2"/>
  <c r="AO136" i="2"/>
  <c r="W136" i="2"/>
  <c r="J136" i="2"/>
  <c r="AW135" i="2"/>
  <c r="AY192" i="2"/>
  <c r="AP189" i="2"/>
  <c r="AX187" i="2"/>
  <c r="F185" i="2"/>
  <c r="N183" i="2"/>
  <c r="V179" i="2"/>
  <c r="AD177" i="2"/>
  <c r="AL173" i="2"/>
  <c r="AT171" i="2"/>
  <c r="BB167" i="2"/>
  <c r="J166" i="2"/>
  <c r="R164" i="2"/>
  <c r="AM162" i="2"/>
  <c r="J161" i="2"/>
  <c r="AS158" i="2"/>
  <c r="AM157" i="2"/>
  <c r="AH156" i="2"/>
  <c r="AI155" i="2"/>
  <c r="AM151" i="2"/>
  <c r="AQ150" i="2"/>
  <c r="AU149" i="2"/>
  <c r="AY147" i="2"/>
  <c r="BC146" i="2"/>
  <c r="G146" i="2"/>
  <c r="K145" i="2"/>
  <c r="O142" i="2"/>
  <c r="S141" i="2"/>
  <c r="W140" i="2"/>
  <c r="AA139" i="2"/>
  <c r="AE138" i="2"/>
  <c r="AK137" i="2"/>
  <c r="L137" i="2"/>
  <c r="AN136" i="2"/>
  <c r="V136" i="2"/>
  <c r="I136" i="2"/>
  <c r="AV135" i="2"/>
  <c r="AI135" i="2"/>
  <c r="V135" i="2"/>
  <c r="I135" i="2"/>
  <c r="AW134" i="2"/>
  <c r="AK134" i="2"/>
  <c r="Y134" i="2"/>
  <c r="M134" i="2"/>
  <c r="BA133" i="2"/>
  <c r="AO133" i="2"/>
  <c r="AC133" i="2"/>
  <c r="Q133" i="2"/>
  <c r="E133" i="2"/>
  <c r="AS132" i="2"/>
  <c r="AG132" i="2"/>
  <c r="U132" i="2"/>
  <c r="I132" i="2"/>
  <c r="AW131" i="2"/>
  <c r="AK131" i="2"/>
  <c r="Y131" i="2"/>
  <c r="M131" i="2"/>
  <c r="BA130" i="2"/>
  <c r="AO130" i="2"/>
  <c r="AC130" i="2"/>
  <c r="Q130" i="2"/>
  <c r="E130" i="2"/>
  <c r="AS129" i="2"/>
  <c r="AG129" i="2"/>
  <c r="U129" i="2"/>
  <c r="I129" i="2"/>
  <c r="AW128" i="2"/>
  <c r="AK128" i="2"/>
  <c r="Y128" i="2"/>
  <c r="M128" i="2"/>
  <c r="BA125" i="2"/>
  <c r="AO125" i="2"/>
  <c r="AC125" i="2"/>
  <c r="Q125" i="2"/>
  <c r="E125" i="2"/>
  <c r="AS124" i="2"/>
  <c r="AG124" i="2"/>
  <c r="U124" i="2"/>
  <c r="I124" i="2"/>
  <c r="AW123" i="2"/>
  <c r="AK123" i="2"/>
  <c r="Y123" i="2"/>
  <c r="M123" i="2"/>
  <c r="BA122" i="2"/>
  <c r="AO122" i="2"/>
  <c r="AC122" i="2"/>
  <c r="Q122" i="2"/>
  <c r="E122" i="2"/>
  <c r="AS121" i="2"/>
  <c r="AG121" i="2"/>
  <c r="U121" i="2"/>
  <c r="I121" i="2"/>
  <c r="AW120" i="2"/>
  <c r="AK120" i="2"/>
  <c r="Y120" i="2"/>
  <c r="M120" i="2"/>
  <c r="BA119" i="2"/>
  <c r="AO119" i="2"/>
  <c r="AC119" i="2"/>
  <c r="Q119" i="2"/>
  <c r="E119" i="2"/>
  <c r="AS118" i="2"/>
  <c r="AG118" i="2"/>
  <c r="U118" i="2"/>
  <c r="I118" i="2"/>
  <c r="AW117" i="2"/>
  <c r="AK117" i="2"/>
  <c r="Y117" i="2"/>
  <c r="M117" i="2"/>
  <c r="BA116" i="2"/>
  <c r="AO116" i="2"/>
  <c r="AC116" i="2"/>
  <c r="Q116" i="2"/>
  <c r="E116" i="2"/>
  <c r="AA192" i="2"/>
  <c r="W189" i="2"/>
  <c r="AE187" i="2"/>
  <c r="AM184" i="2"/>
  <c r="AU182" i="2"/>
  <c r="BC178" i="2"/>
  <c r="K177" i="2"/>
  <c r="S173" i="2"/>
  <c r="AA171" i="2"/>
  <c r="AI167" i="2"/>
  <c r="AQ165" i="2"/>
  <c r="AZ163" i="2"/>
  <c r="V162" i="2"/>
  <c r="AQ159" i="2"/>
  <c r="AG158" i="2"/>
  <c r="AA157" i="2"/>
  <c r="W156" i="2"/>
  <c r="Y155" i="2"/>
  <c r="AC151" i="2"/>
  <c r="AG150" i="2"/>
  <c r="AK149" i="2"/>
  <c r="AO147" i="2"/>
  <c r="AS146" i="2"/>
  <c r="AW145" i="2"/>
  <c r="BA142" i="2"/>
  <c r="E142" i="2"/>
  <c r="I141" i="2"/>
  <c r="M140" i="2"/>
  <c r="Q139" i="2"/>
  <c r="U138" i="2"/>
  <c r="AJ137" i="2"/>
  <c r="K137" i="2"/>
  <c r="AM136" i="2"/>
  <c r="U136" i="2"/>
  <c r="H136" i="2"/>
  <c r="AU135" i="2"/>
  <c r="AH135" i="2"/>
  <c r="U135" i="2"/>
  <c r="H135" i="2"/>
  <c r="AV134" i="2"/>
  <c r="AJ134" i="2"/>
  <c r="X134" i="2"/>
  <c r="L134" i="2"/>
  <c r="AZ133" i="2"/>
  <c r="AN133" i="2"/>
  <c r="AB133" i="2"/>
  <c r="P133" i="2"/>
  <c r="BD132" i="2"/>
  <c r="AR132" i="2"/>
  <c r="AF132" i="2"/>
  <c r="T132" i="2"/>
  <c r="H132" i="2"/>
  <c r="AV131" i="2"/>
  <c r="AJ131" i="2"/>
  <c r="X131" i="2"/>
  <c r="L131" i="2"/>
  <c r="AZ130" i="2"/>
  <c r="AN130" i="2"/>
  <c r="AB130" i="2"/>
  <c r="P130" i="2"/>
  <c r="BD129" i="2"/>
  <c r="AR129" i="2"/>
  <c r="AF129" i="2"/>
  <c r="T129" i="2"/>
  <c r="H129" i="2"/>
  <c r="AV128" i="2"/>
  <c r="AJ128" i="2"/>
  <c r="X128" i="2"/>
  <c r="L128" i="2"/>
  <c r="AZ125" i="2"/>
  <c r="AN125" i="2"/>
  <c r="AB125" i="2"/>
  <c r="P125" i="2"/>
  <c r="BD124" i="2"/>
  <c r="AR124" i="2"/>
  <c r="AF124" i="2"/>
  <c r="T124" i="2"/>
  <c r="H124" i="2"/>
  <c r="AV123" i="2"/>
  <c r="AJ123" i="2"/>
  <c r="X123" i="2"/>
  <c r="L123" i="2"/>
  <c r="AZ122" i="2"/>
  <c r="AN122" i="2"/>
  <c r="AB122" i="2"/>
  <c r="P122" i="2"/>
  <c r="BD121" i="2"/>
  <c r="AR121" i="2"/>
  <c r="AF121" i="2"/>
  <c r="T121" i="2"/>
  <c r="H121" i="2"/>
  <c r="AV120" i="2"/>
  <c r="AJ120" i="2"/>
  <c r="X120" i="2"/>
  <c r="L120" i="2"/>
  <c r="AZ119" i="2"/>
  <c r="AN119" i="2"/>
  <c r="AB119" i="2"/>
  <c r="P119" i="2"/>
  <c r="BD118" i="2"/>
  <c r="AR118" i="2"/>
  <c r="AF118" i="2"/>
  <c r="T118" i="2"/>
  <c r="H118" i="2"/>
  <c r="AV117" i="2"/>
  <c r="AJ117" i="2"/>
  <c r="X117" i="2"/>
  <c r="L117" i="2"/>
  <c r="AZ116" i="2"/>
  <c r="AN116" i="2"/>
  <c r="AB116" i="2"/>
  <c r="P116" i="2"/>
  <c r="BD115" i="2"/>
  <c r="AR115" i="2"/>
  <c r="AF115" i="2"/>
  <c r="T115" i="2"/>
  <c r="H115" i="2"/>
  <c r="AV114" i="2"/>
  <c r="AJ114" i="2"/>
  <c r="X114" i="2"/>
  <c r="L114" i="2"/>
  <c r="AZ113" i="2"/>
  <c r="AN113" i="2"/>
  <c r="AB113" i="2"/>
  <c r="Z192" i="2"/>
  <c r="V189" i="2"/>
  <c r="AD187" i="2"/>
  <c r="AL184" i="2"/>
  <c r="AT182" i="2"/>
  <c r="BB178" i="2"/>
  <c r="J177" i="2"/>
  <c r="R173" i="2"/>
  <c r="Z171" i="2"/>
  <c r="AH167" i="2"/>
  <c r="AP165" i="2"/>
  <c r="AY163" i="2"/>
  <c r="T162" i="2"/>
  <c r="AP159" i="2"/>
  <c r="AF158" i="2"/>
  <c r="Z157" i="2"/>
  <c r="V156" i="2"/>
  <c r="X155" i="2"/>
  <c r="AB151" i="2"/>
  <c r="AF150" i="2"/>
  <c r="AJ149" i="2"/>
  <c r="AN147" i="2"/>
  <c r="AR146" i="2"/>
  <c r="AV145" i="2"/>
  <c r="AZ142" i="2"/>
  <c r="BD141" i="2"/>
  <c r="H141" i="2"/>
  <c r="L140" i="2"/>
  <c r="P139" i="2"/>
  <c r="T138" i="2"/>
  <c r="AI137" i="2"/>
  <c r="E137" i="2"/>
  <c r="AI136" i="2"/>
  <c r="T136" i="2"/>
  <c r="G136" i="2"/>
  <c r="AT135" i="2"/>
  <c r="AG135" i="2"/>
  <c r="T135" i="2"/>
  <c r="G135" i="2"/>
  <c r="AU134" i="2"/>
  <c r="AI134" i="2"/>
  <c r="W134" i="2"/>
  <c r="K134" i="2"/>
  <c r="AY133" i="2"/>
  <c r="AM133" i="2"/>
  <c r="AA133" i="2"/>
  <c r="O133" i="2"/>
  <c r="BC132" i="2"/>
  <c r="AQ132" i="2"/>
  <c r="AE132" i="2"/>
  <c r="S132" i="2"/>
  <c r="G132" i="2"/>
  <c r="AU131" i="2"/>
  <c r="AI131" i="2"/>
  <c r="W131" i="2"/>
  <c r="K131" i="2"/>
  <c r="AY130" i="2"/>
  <c r="AM130" i="2"/>
  <c r="AA130" i="2"/>
  <c r="O130" i="2"/>
  <c r="BC129" i="2"/>
  <c r="AQ129" i="2"/>
  <c r="AE129" i="2"/>
  <c r="S129" i="2"/>
  <c r="G129" i="2"/>
  <c r="AU128" i="2"/>
  <c r="AI128" i="2"/>
  <c r="W128" i="2"/>
  <c r="K128" i="2"/>
  <c r="AY125" i="2"/>
  <c r="AM125" i="2"/>
  <c r="AA125" i="2"/>
  <c r="O125" i="2"/>
  <c r="BC124" i="2"/>
  <c r="AQ124" i="2"/>
  <c r="AE124" i="2"/>
  <c r="S124" i="2"/>
  <c r="G124" i="2"/>
  <c r="AU123" i="2"/>
  <c r="AI123" i="2"/>
  <c r="W123" i="2"/>
  <c r="K123" i="2"/>
  <c r="AY122" i="2"/>
  <c r="AM122" i="2"/>
  <c r="AA122" i="2"/>
  <c r="O122" i="2"/>
  <c r="BC121" i="2"/>
  <c r="AQ121" i="2"/>
  <c r="AE121" i="2"/>
  <c r="S121" i="2"/>
  <c r="G121" i="2"/>
  <c r="AU120" i="2"/>
  <c r="AI120" i="2"/>
  <c r="W120" i="2"/>
  <c r="K120" i="2"/>
  <c r="AY119" i="2"/>
  <c r="AM119" i="2"/>
  <c r="AA119" i="2"/>
  <c r="O119" i="2"/>
  <c r="BC118" i="2"/>
  <c r="AQ118" i="2"/>
  <c r="AE118" i="2"/>
  <c r="S118" i="2"/>
  <c r="G118" i="2"/>
  <c r="AU117" i="2"/>
  <c r="AI117" i="2"/>
  <c r="W117" i="2"/>
  <c r="K117" i="2"/>
  <c r="AY116" i="2"/>
  <c r="AM116" i="2"/>
  <c r="AA116" i="2"/>
  <c r="O116" i="2"/>
  <c r="BC115" i="2"/>
  <c r="AQ115" i="2"/>
  <c r="AE115" i="2"/>
  <c r="S115" i="2"/>
  <c r="G115" i="2"/>
  <c r="AU114" i="2"/>
  <c r="AI114" i="2"/>
  <c r="W114" i="2"/>
  <c r="V192" i="2"/>
  <c r="R189" i="2"/>
  <c r="Z187" i="2"/>
  <c r="AH184" i="2"/>
  <c r="AP182" i="2"/>
  <c r="AX178" i="2"/>
  <c r="F177" i="2"/>
  <c r="N173" i="2"/>
  <c r="V171" i="2"/>
  <c r="AD167" i="2"/>
  <c r="AL165" i="2"/>
  <c r="AX163" i="2"/>
  <c r="S162" i="2"/>
  <c r="AN159" i="2"/>
  <c r="AE158" i="2"/>
  <c r="Y157" i="2"/>
  <c r="U156" i="2"/>
  <c r="W155" i="2"/>
  <c r="AA151" i="2"/>
  <c r="AE150" i="2"/>
  <c r="AI149" i="2"/>
  <c r="AM147" i="2"/>
  <c r="AQ146" i="2"/>
  <c r="AU145" i="2"/>
  <c r="AY142" i="2"/>
  <c r="BC141" i="2"/>
  <c r="G141" i="2"/>
  <c r="K140" i="2"/>
  <c r="O139" i="2"/>
  <c r="S138" i="2"/>
  <c r="AC137" i="2"/>
  <c r="BD136" i="2"/>
  <c r="AG136" i="2"/>
  <c r="S136" i="2"/>
  <c r="F136" i="2"/>
  <c r="AS135" i="2"/>
  <c r="AF135" i="2"/>
  <c r="S135" i="2"/>
  <c r="F135" i="2"/>
  <c r="AT134" i="2"/>
  <c r="AH134" i="2"/>
  <c r="V134" i="2"/>
  <c r="J134" i="2"/>
  <c r="AX133" i="2"/>
  <c r="AL133" i="2"/>
  <c r="Z133" i="2"/>
  <c r="N133" i="2"/>
  <c r="BB132" i="2"/>
  <c r="AP132" i="2"/>
  <c r="AD132" i="2"/>
  <c r="R132" i="2"/>
  <c r="F132" i="2"/>
  <c r="AT131" i="2"/>
  <c r="AH131" i="2"/>
  <c r="V131" i="2"/>
  <c r="J131" i="2"/>
  <c r="AX130" i="2"/>
  <c r="AL130" i="2"/>
  <c r="Z130" i="2"/>
  <c r="N130" i="2"/>
  <c r="BB129" i="2"/>
  <c r="AP129" i="2"/>
  <c r="AD129" i="2"/>
  <c r="R129" i="2"/>
  <c r="F129" i="2"/>
  <c r="AT128" i="2"/>
  <c r="AH128" i="2"/>
  <c r="V128" i="2"/>
  <c r="J128" i="2"/>
  <c r="AX125" i="2"/>
  <c r="AL125" i="2"/>
  <c r="Z125" i="2"/>
  <c r="N125" i="2"/>
  <c r="BB124" i="2"/>
  <c r="AP124" i="2"/>
  <c r="AD124" i="2"/>
  <c r="R124" i="2"/>
  <c r="F124" i="2"/>
  <c r="AT123" i="2"/>
  <c r="AH123" i="2"/>
  <c r="V123" i="2"/>
  <c r="J123" i="2"/>
  <c r="AX122" i="2"/>
  <c r="AL122" i="2"/>
  <c r="Z122" i="2"/>
  <c r="N122" i="2"/>
  <c r="BB121" i="2"/>
  <c r="AP121" i="2"/>
  <c r="AD121" i="2"/>
  <c r="R121" i="2"/>
  <c r="F121" i="2"/>
  <c r="AT120" i="2"/>
  <c r="AH120" i="2"/>
  <c r="V120" i="2"/>
  <c r="J120" i="2"/>
  <c r="AX119" i="2"/>
  <c r="AL119" i="2"/>
  <c r="Z119" i="2"/>
  <c r="N119" i="2"/>
  <c r="BB118" i="2"/>
  <c r="AP118" i="2"/>
  <c r="AD118" i="2"/>
  <c r="R118" i="2"/>
  <c r="F118" i="2"/>
  <c r="AT117" i="2"/>
  <c r="AH117" i="2"/>
  <c r="V117" i="2"/>
  <c r="J117" i="2"/>
  <c r="AX116" i="2"/>
  <c r="AL116" i="2"/>
  <c r="Z116" i="2"/>
  <c r="N116" i="2"/>
  <c r="BB115" i="2"/>
  <c r="AP115" i="2"/>
  <c r="AD115" i="2"/>
  <c r="R115" i="2"/>
  <c r="F115" i="2"/>
  <c r="AT114" i="2"/>
  <c r="AH114" i="2"/>
  <c r="V114" i="2"/>
  <c r="J114" i="2"/>
  <c r="AX113" i="2"/>
  <c r="AL113" i="2"/>
  <c r="Z113" i="2"/>
  <c r="AX191" i="2"/>
  <c r="W182" i="2"/>
  <c r="BC170" i="2"/>
  <c r="BB161" i="2"/>
  <c r="J156" i="2"/>
  <c r="Y149" i="2"/>
  <c r="AO142" i="2"/>
  <c r="E139" i="2"/>
  <c r="BC136" i="2"/>
  <c r="E136" i="2"/>
  <c r="Y135" i="2"/>
  <c r="AS134" i="2"/>
  <c r="S134" i="2"/>
  <c r="AP133" i="2"/>
  <c r="L133" i="2"/>
  <c r="AJ132" i="2"/>
  <c r="E132" i="2"/>
  <c r="AE131" i="2"/>
  <c r="BB130" i="2"/>
  <c r="X130" i="2"/>
  <c r="AV129" i="2"/>
  <c r="Q129" i="2"/>
  <c r="AQ128" i="2"/>
  <c r="N128" i="2"/>
  <c r="AJ125" i="2"/>
  <c r="H125" i="2"/>
  <c r="AC124" i="2"/>
  <c r="BC123" i="2"/>
  <c r="Z123" i="2"/>
  <c r="AV122" i="2"/>
  <c r="T122" i="2"/>
  <c r="AO121" i="2"/>
  <c r="O121" i="2"/>
  <c r="AL120" i="2"/>
  <c r="H120" i="2"/>
  <c r="AF119" i="2"/>
  <c r="BA118" i="2"/>
  <c r="AA118" i="2"/>
  <c r="AX117" i="2"/>
  <c r="T117" i="2"/>
  <c r="AR116" i="2"/>
  <c r="M116" i="2"/>
  <c r="AN115" i="2"/>
  <c r="P115" i="2"/>
  <c r="AW114" i="2"/>
  <c r="AB114" i="2"/>
  <c r="H114" i="2"/>
  <c r="AP113" i="2"/>
  <c r="X113" i="2"/>
  <c r="K113" i="2"/>
  <c r="AX112" i="2"/>
  <c r="AK112" i="2"/>
  <c r="Y112" i="2"/>
  <c r="M112" i="2"/>
  <c r="BA111" i="2"/>
  <c r="AO111" i="2"/>
  <c r="AC111" i="2"/>
  <c r="Q111" i="2"/>
  <c r="E111" i="2"/>
  <c r="AS110" i="2"/>
  <c r="AG110" i="2"/>
  <c r="U110" i="2"/>
  <c r="I110" i="2"/>
  <c r="AW106" i="2"/>
  <c r="AK106" i="2"/>
  <c r="Y106" i="2"/>
  <c r="M106" i="2"/>
  <c r="BA105" i="2"/>
  <c r="AO105" i="2"/>
  <c r="AC105" i="2"/>
  <c r="Q105" i="2"/>
  <c r="E105" i="2"/>
  <c r="AS104" i="2"/>
  <c r="AG104" i="2"/>
  <c r="U104" i="2"/>
  <c r="I104" i="2"/>
  <c r="AW103" i="2"/>
  <c r="AK103" i="2"/>
  <c r="Y103" i="2"/>
  <c r="M103" i="2"/>
  <c r="BA102" i="2"/>
  <c r="AO102" i="2"/>
  <c r="AC102" i="2"/>
  <c r="Q102" i="2"/>
  <c r="E102" i="2"/>
  <c r="AS101" i="2"/>
  <c r="AG101" i="2"/>
  <c r="U101" i="2"/>
  <c r="I101" i="2"/>
  <c r="AW100" i="2"/>
  <c r="AK100" i="2"/>
  <c r="Y100" i="2"/>
  <c r="M100" i="2"/>
  <c r="BA99" i="2"/>
  <c r="AO99" i="2"/>
  <c r="AC99" i="2"/>
  <c r="Q99" i="2"/>
  <c r="E99" i="2"/>
  <c r="AS98" i="2"/>
  <c r="AG98" i="2"/>
  <c r="U98" i="2"/>
  <c r="I98" i="2"/>
  <c r="AW95" i="2"/>
  <c r="AK95" i="2"/>
  <c r="Y95" i="2"/>
  <c r="M95" i="2"/>
  <c r="BA94" i="2"/>
  <c r="AO94" i="2"/>
  <c r="AC94" i="2"/>
  <c r="Q94" i="2"/>
  <c r="E94" i="2"/>
  <c r="AS93" i="2"/>
  <c r="AG93" i="2"/>
  <c r="U93" i="2"/>
  <c r="I93" i="2"/>
  <c r="AW92" i="2"/>
  <c r="AK92" i="2"/>
  <c r="Y92" i="2"/>
  <c r="M92" i="2"/>
  <c r="BA91" i="2"/>
  <c r="AO91" i="2"/>
  <c r="AC91" i="2"/>
  <c r="Q91" i="2"/>
  <c r="E91" i="2"/>
  <c r="AS90" i="2"/>
  <c r="AG90" i="2"/>
  <c r="U90" i="2"/>
  <c r="I90" i="2"/>
  <c r="AW89" i="2"/>
  <c r="AK89" i="2"/>
  <c r="Y89" i="2"/>
  <c r="M89" i="2"/>
  <c r="BA88" i="2"/>
  <c r="AO88" i="2"/>
  <c r="AU191" i="2"/>
  <c r="V182" i="2"/>
  <c r="BB170" i="2"/>
  <c r="AY161" i="2"/>
  <c r="I156" i="2"/>
  <c r="X149" i="2"/>
  <c r="AN142" i="2"/>
  <c r="BD138" i="2"/>
  <c r="BA136" i="2"/>
  <c r="BD135" i="2"/>
  <c r="W135" i="2"/>
  <c r="AR134" i="2"/>
  <c r="P134" i="2"/>
  <c r="AK133" i="2"/>
  <c r="K133" i="2"/>
  <c r="AH132" i="2"/>
  <c r="BD131" i="2"/>
  <c r="AB131" i="2"/>
  <c r="AW130" i="2"/>
  <c r="W130" i="2"/>
  <c r="AT129" i="2"/>
  <c r="P129" i="2"/>
  <c r="AN128" i="2"/>
  <c r="I128" i="2"/>
  <c r="AI125" i="2"/>
  <c r="F125" i="2"/>
  <c r="AB124" i="2"/>
  <c r="AZ123" i="2"/>
  <c r="U123" i="2"/>
  <c r="AU122" i="2"/>
  <c r="R122" i="2"/>
  <c r="AN121" i="2"/>
  <c r="L121" i="2"/>
  <c r="AG120" i="2"/>
  <c r="G120" i="2"/>
  <c r="AD119" i="2"/>
  <c r="AZ118" i="2"/>
  <c r="X118" i="2"/>
  <c r="AS117" i="2"/>
  <c r="S117" i="2"/>
  <c r="AP116" i="2"/>
  <c r="L116" i="2"/>
  <c r="AM115" i="2"/>
  <c r="O115" i="2"/>
  <c r="AS114" i="2"/>
  <c r="Z114" i="2"/>
  <c r="G114" i="2"/>
  <c r="AO113" i="2"/>
  <c r="W113" i="2"/>
  <c r="J113" i="2"/>
  <c r="AV112" i="2"/>
  <c r="AJ112" i="2"/>
  <c r="X112" i="2"/>
  <c r="L112" i="2"/>
  <c r="AZ111" i="2"/>
  <c r="AN111" i="2"/>
  <c r="AB111" i="2"/>
  <c r="P111" i="2"/>
  <c r="BD110" i="2"/>
  <c r="AR110" i="2"/>
  <c r="AF110" i="2"/>
  <c r="T110" i="2"/>
  <c r="H110" i="2"/>
  <c r="AV106" i="2"/>
  <c r="AJ106" i="2"/>
  <c r="X106" i="2"/>
  <c r="L106" i="2"/>
  <c r="AZ105" i="2"/>
  <c r="AN105" i="2"/>
  <c r="AB105" i="2"/>
  <c r="P105" i="2"/>
  <c r="BD104" i="2"/>
  <c r="AR104" i="2"/>
  <c r="AF104" i="2"/>
  <c r="T104" i="2"/>
  <c r="H104" i="2"/>
  <c r="AV103" i="2"/>
  <c r="AJ103" i="2"/>
  <c r="X103" i="2"/>
  <c r="L103" i="2"/>
  <c r="AZ102" i="2"/>
  <c r="AN102" i="2"/>
  <c r="AB102" i="2"/>
  <c r="P102" i="2"/>
  <c r="BD101" i="2"/>
  <c r="AR101" i="2"/>
  <c r="AF101" i="2"/>
  <c r="T101" i="2"/>
  <c r="H101" i="2"/>
  <c r="AV100" i="2"/>
  <c r="AJ100" i="2"/>
  <c r="X100" i="2"/>
  <c r="L100" i="2"/>
  <c r="AZ99" i="2"/>
  <c r="AN99" i="2"/>
  <c r="AB99" i="2"/>
  <c r="P99" i="2"/>
  <c r="BD98" i="2"/>
  <c r="AR98" i="2"/>
  <c r="AF98" i="2"/>
  <c r="T98" i="2"/>
  <c r="H98" i="2"/>
  <c r="AV95" i="2"/>
  <c r="AJ95" i="2"/>
  <c r="X95" i="2"/>
  <c r="L95" i="2"/>
  <c r="AZ94" i="2"/>
  <c r="AN94" i="2"/>
  <c r="AB94" i="2"/>
  <c r="P94" i="2"/>
  <c r="BD93" i="2"/>
  <c r="AR93" i="2"/>
  <c r="AT191" i="2"/>
  <c r="R182" i="2"/>
  <c r="AX170" i="2"/>
  <c r="AX161" i="2"/>
  <c r="H156" i="2"/>
  <c r="W149" i="2"/>
  <c r="AM142" i="2"/>
  <c r="BC138" i="2"/>
  <c r="AZ136" i="2"/>
  <c r="BC135" i="2"/>
  <c r="Q135" i="2"/>
  <c r="AQ134" i="2"/>
  <c r="N134" i="2"/>
  <c r="AJ133" i="2"/>
  <c r="H133" i="2"/>
  <c r="AC132" i="2"/>
  <c r="BC131" i="2"/>
  <c r="Z131" i="2"/>
  <c r="AV130" i="2"/>
  <c r="T130" i="2"/>
  <c r="AO129" i="2"/>
  <c r="O129" i="2"/>
  <c r="AL128" i="2"/>
  <c r="H128" i="2"/>
  <c r="AF125" i="2"/>
  <c r="BA124" i="2"/>
  <c r="AA124" i="2"/>
  <c r="AX123" i="2"/>
  <c r="T123" i="2"/>
  <c r="AR122" i="2"/>
  <c r="M122" i="2"/>
  <c r="AM121" i="2"/>
  <c r="J121" i="2"/>
  <c r="AF120" i="2"/>
  <c r="BD119" i="2"/>
  <c r="Y119" i="2"/>
  <c r="AY118" i="2"/>
  <c r="V118" i="2"/>
  <c r="AR117" i="2"/>
  <c r="P117" i="2"/>
  <c r="AK116" i="2"/>
  <c r="K116" i="2"/>
  <c r="AJ115" i="2"/>
  <c r="N115" i="2"/>
  <c r="AR114" i="2"/>
  <c r="Y114" i="2"/>
  <c r="F114" i="2"/>
  <c r="AM113" i="2"/>
  <c r="V113" i="2"/>
  <c r="H113" i="2"/>
  <c r="AU112" i="2"/>
  <c r="AI112" i="2"/>
  <c r="W112" i="2"/>
  <c r="K112" i="2"/>
  <c r="AY111" i="2"/>
  <c r="AM111" i="2"/>
  <c r="AA111" i="2"/>
  <c r="O111" i="2"/>
  <c r="BC110" i="2"/>
  <c r="AQ110" i="2"/>
  <c r="AE110" i="2"/>
  <c r="S110" i="2"/>
  <c r="G110" i="2"/>
  <c r="AU106" i="2"/>
  <c r="AI106" i="2"/>
  <c r="W106" i="2"/>
  <c r="K106" i="2"/>
  <c r="AY105" i="2"/>
  <c r="AM105" i="2"/>
  <c r="AA105" i="2"/>
  <c r="O105" i="2"/>
  <c r="BC104" i="2"/>
  <c r="AQ104" i="2"/>
  <c r="AE104" i="2"/>
  <c r="S104" i="2"/>
  <c r="G104" i="2"/>
  <c r="AU103" i="2"/>
  <c r="AI103" i="2"/>
  <c r="W103" i="2"/>
  <c r="K103" i="2"/>
  <c r="AY102" i="2"/>
  <c r="AM102" i="2"/>
  <c r="AA102" i="2"/>
  <c r="O102" i="2"/>
  <c r="BC101" i="2"/>
  <c r="AQ101" i="2"/>
  <c r="AE101" i="2"/>
  <c r="S101" i="2"/>
  <c r="G101" i="2"/>
  <c r="AU100" i="2"/>
  <c r="AI100" i="2"/>
  <c r="W100" i="2"/>
  <c r="K100" i="2"/>
  <c r="AY99" i="2"/>
  <c r="AM99" i="2"/>
  <c r="AA99" i="2"/>
  <c r="O99" i="2"/>
  <c r="BC98" i="2"/>
  <c r="AQ98" i="2"/>
  <c r="AE98" i="2"/>
  <c r="S98" i="2"/>
  <c r="G98" i="2"/>
  <c r="AU95" i="2"/>
  <c r="AI95" i="2"/>
  <c r="W95" i="2"/>
  <c r="AY188" i="2"/>
  <c r="AE178" i="2"/>
  <c r="K167" i="2"/>
  <c r="Z159" i="2"/>
  <c r="M155" i="2"/>
  <c r="AC147" i="2"/>
  <c r="AS141" i="2"/>
  <c r="AQ138" i="2"/>
  <c r="AR136" i="2"/>
  <c r="AY135" i="2"/>
  <c r="P135" i="2"/>
  <c r="AN134" i="2"/>
  <c r="I134" i="2"/>
  <c r="AI133" i="2"/>
  <c r="F133" i="2"/>
  <c r="AB132" i="2"/>
  <c r="AZ131" i="2"/>
  <c r="U131" i="2"/>
  <c r="AU130" i="2"/>
  <c r="R130" i="2"/>
  <c r="AN129" i="2"/>
  <c r="L129" i="2"/>
  <c r="AG128" i="2"/>
  <c r="G128" i="2"/>
  <c r="AD125" i="2"/>
  <c r="AZ124" i="2"/>
  <c r="X124" i="2"/>
  <c r="AS123" i="2"/>
  <c r="S123" i="2"/>
  <c r="AP122" i="2"/>
  <c r="L122" i="2"/>
  <c r="AJ121" i="2"/>
  <c r="E121" i="2"/>
  <c r="AE120" i="2"/>
  <c r="BB119" i="2"/>
  <c r="X119" i="2"/>
  <c r="AV118" i="2"/>
  <c r="Q118" i="2"/>
  <c r="AQ117" i="2"/>
  <c r="N117" i="2"/>
  <c r="AJ116" i="2"/>
  <c r="H116" i="2"/>
  <c r="AH115" i="2"/>
  <c r="L115" i="2"/>
  <c r="AQ114" i="2"/>
  <c r="U114" i="2"/>
  <c r="BD113" i="2"/>
  <c r="AK113" i="2"/>
  <c r="T113" i="2"/>
  <c r="G113" i="2"/>
  <c r="AT112" i="2"/>
  <c r="AH112" i="2"/>
  <c r="V112" i="2"/>
  <c r="J112" i="2"/>
  <c r="AX111" i="2"/>
  <c r="AL111" i="2"/>
  <c r="Z111" i="2"/>
  <c r="N111" i="2"/>
  <c r="BB110" i="2"/>
  <c r="AP110" i="2"/>
  <c r="AD110" i="2"/>
  <c r="R110" i="2"/>
  <c r="F110" i="2"/>
  <c r="AT106" i="2"/>
  <c r="AH106" i="2"/>
  <c r="V106" i="2"/>
  <c r="J106" i="2"/>
  <c r="AX105" i="2"/>
  <c r="AL105" i="2"/>
  <c r="Z105" i="2"/>
  <c r="N105" i="2"/>
  <c r="BB104" i="2"/>
  <c r="AP104" i="2"/>
  <c r="AD104" i="2"/>
  <c r="R104" i="2"/>
  <c r="F104" i="2"/>
  <c r="AT103" i="2"/>
  <c r="AH103" i="2"/>
  <c r="V103" i="2"/>
  <c r="J103" i="2"/>
  <c r="AX102" i="2"/>
  <c r="AL102" i="2"/>
  <c r="Z102" i="2"/>
  <c r="N102" i="2"/>
  <c r="BB101" i="2"/>
  <c r="AP101" i="2"/>
  <c r="AD101" i="2"/>
  <c r="R101" i="2"/>
  <c r="F101" i="2"/>
  <c r="AT100" i="2"/>
  <c r="AH100" i="2"/>
  <c r="V100" i="2"/>
  <c r="J100" i="2"/>
  <c r="AX99" i="2"/>
  <c r="AL99" i="2"/>
  <c r="Z99" i="2"/>
  <c r="N99" i="2"/>
  <c r="BB98" i="2"/>
  <c r="AP98" i="2"/>
  <c r="AD98" i="2"/>
  <c r="R98" i="2"/>
  <c r="F98" i="2"/>
  <c r="AT95" i="2"/>
  <c r="AH95" i="2"/>
  <c r="V95" i="2"/>
  <c r="J95" i="2"/>
  <c r="AX94" i="2"/>
  <c r="AL94" i="2"/>
  <c r="Z94" i="2"/>
  <c r="N94" i="2"/>
  <c r="BB93" i="2"/>
  <c r="AP93" i="2"/>
  <c r="AD93" i="2"/>
  <c r="R93" i="2"/>
  <c r="F93" i="2"/>
  <c r="AT92" i="2"/>
  <c r="AH92" i="2"/>
  <c r="V92" i="2"/>
  <c r="J92" i="2"/>
  <c r="AX91" i="2"/>
  <c r="AL91" i="2"/>
  <c r="Z91" i="2"/>
  <c r="N91" i="2"/>
  <c r="BB90" i="2"/>
  <c r="AP90" i="2"/>
  <c r="AD90" i="2"/>
  <c r="R90" i="2"/>
  <c r="AX188" i="2"/>
  <c r="AD178" i="2"/>
  <c r="J167" i="2"/>
  <c r="W159" i="2"/>
  <c r="L155" i="2"/>
  <c r="AB147" i="2"/>
  <c r="AR141" i="2"/>
  <c r="I138" i="2"/>
  <c r="AF136" i="2"/>
  <c r="AR135" i="2"/>
  <c r="O135" i="2"/>
  <c r="AL134" i="2"/>
  <c r="H134" i="2"/>
  <c r="AF133" i="2"/>
  <c r="BA132" i="2"/>
  <c r="AA132" i="2"/>
  <c r="AX131" i="2"/>
  <c r="T131" i="2"/>
  <c r="AR130" i="2"/>
  <c r="M130" i="2"/>
  <c r="AM129" i="2"/>
  <c r="J129" i="2"/>
  <c r="AF128" i="2"/>
  <c r="BD125" i="2"/>
  <c r="Y125" i="2"/>
  <c r="AY124" i="2"/>
  <c r="V124" i="2"/>
  <c r="AR123" i="2"/>
  <c r="P123" i="2"/>
  <c r="AK122" i="2"/>
  <c r="K122" i="2"/>
  <c r="AH121" i="2"/>
  <c r="BD120" i="2"/>
  <c r="AB120" i="2"/>
  <c r="AW119" i="2"/>
  <c r="W119" i="2"/>
  <c r="AT188" i="2"/>
  <c r="Z178" i="2"/>
  <c r="F167" i="2"/>
  <c r="V159" i="2"/>
  <c r="K155" i="2"/>
  <c r="AA147" i="2"/>
  <c r="AQ141" i="2"/>
  <c r="H138" i="2"/>
  <c r="AE136" i="2"/>
  <c r="AQ135" i="2"/>
  <c r="L135" i="2"/>
  <c r="AG134" i="2"/>
  <c r="G134" i="2"/>
  <c r="AD133" i="2"/>
  <c r="G187" i="2"/>
  <c r="AM176" i="2"/>
  <c r="S165" i="2"/>
  <c r="S158" i="2"/>
  <c r="Q151" i="2"/>
  <c r="AG146" i="2"/>
  <c r="AW140" i="2"/>
  <c r="G138" i="2"/>
  <c r="AC136" i="2"/>
  <c r="AO135" i="2"/>
  <c r="J135" i="2"/>
  <c r="AF134" i="2"/>
  <c r="BD133" i="2"/>
  <c r="Y133" i="2"/>
  <c r="AY132" i="2"/>
  <c r="V132" i="2"/>
  <c r="AR131" i="2"/>
  <c r="P131" i="2"/>
  <c r="AK130" i="2"/>
  <c r="K130" i="2"/>
  <c r="AH129" i="2"/>
  <c r="BD128" i="2"/>
  <c r="AB128" i="2"/>
  <c r="AW125" i="2"/>
  <c r="W125" i="2"/>
  <c r="AT124" i="2"/>
  <c r="P124" i="2"/>
  <c r="AN123" i="2"/>
  <c r="I123" i="2"/>
  <c r="AI122" i="2"/>
  <c r="F122" i="2"/>
  <c r="AB121" i="2"/>
  <c r="AZ120" i="2"/>
  <c r="U120" i="2"/>
  <c r="AU119" i="2"/>
  <c r="R119" i="2"/>
  <c r="AN118" i="2"/>
  <c r="L118" i="2"/>
  <c r="AG117" i="2"/>
  <c r="G117" i="2"/>
  <c r="AD116" i="2"/>
  <c r="AZ115" i="2"/>
  <c r="AB115" i="2"/>
  <c r="E115" i="2"/>
  <c r="AL114" i="2"/>
  <c r="R114" i="2"/>
  <c r="AY113" i="2"/>
  <c r="AH113" i="2"/>
  <c r="Q113" i="2"/>
  <c r="BD112" i="2"/>
  <c r="AQ112" i="2"/>
  <c r="AE112" i="2"/>
  <c r="S112" i="2"/>
  <c r="G112" i="2"/>
  <c r="AU111" i="2"/>
  <c r="AI111" i="2"/>
  <c r="W111" i="2"/>
  <c r="K111" i="2"/>
  <c r="AY110" i="2"/>
  <c r="AM110" i="2"/>
  <c r="AA110" i="2"/>
  <c r="O110" i="2"/>
  <c r="BC106" i="2"/>
  <c r="AQ106" i="2"/>
  <c r="AE106" i="2"/>
  <c r="S106" i="2"/>
  <c r="G106" i="2"/>
  <c r="AU105" i="2"/>
  <c r="AI105" i="2"/>
  <c r="W105" i="2"/>
  <c r="K105" i="2"/>
  <c r="AY104" i="2"/>
  <c r="AM104" i="2"/>
  <c r="AA104" i="2"/>
  <c r="O104" i="2"/>
  <c r="BC103" i="2"/>
  <c r="AQ103" i="2"/>
  <c r="AE103" i="2"/>
  <c r="S103" i="2"/>
  <c r="G103" i="2"/>
  <c r="AU102" i="2"/>
  <c r="AI102" i="2"/>
  <c r="W102" i="2"/>
  <c r="K102" i="2"/>
  <c r="AY101" i="2"/>
  <c r="AM101" i="2"/>
  <c r="AA101" i="2"/>
  <c r="O101" i="2"/>
  <c r="BC100" i="2"/>
  <c r="AQ100" i="2"/>
  <c r="AE100" i="2"/>
  <c r="S100" i="2"/>
  <c r="G100" i="2"/>
  <c r="AU99" i="2"/>
  <c r="AI99" i="2"/>
  <c r="W99" i="2"/>
  <c r="K99" i="2"/>
  <c r="AY98" i="2"/>
  <c r="AM98" i="2"/>
  <c r="AA98" i="2"/>
  <c r="O98" i="2"/>
  <c r="F187" i="2"/>
  <c r="AL176" i="2"/>
  <c r="R165" i="2"/>
  <c r="R158" i="2"/>
  <c r="P151" i="2"/>
  <c r="AF146" i="2"/>
  <c r="AV140" i="2"/>
  <c r="AV137" i="2"/>
  <c r="Y136" i="2"/>
  <c r="AL135" i="2"/>
  <c r="E135" i="2"/>
  <c r="AE134" i="2"/>
  <c r="BB133" i="2"/>
  <c r="X133" i="2"/>
  <c r="AV132" i="2"/>
  <c r="Q132" i="2"/>
  <c r="AQ131" i="2"/>
  <c r="N131" i="2"/>
  <c r="AJ130" i="2"/>
  <c r="H130" i="2"/>
  <c r="AC129" i="2"/>
  <c r="BC128" i="2"/>
  <c r="Z128" i="2"/>
  <c r="AV125" i="2"/>
  <c r="T125" i="2"/>
  <c r="AO124" i="2"/>
  <c r="O124" i="2"/>
  <c r="AL123" i="2"/>
  <c r="H123" i="2"/>
  <c r="AF122" i="2"/>
  <c r="BA121" i="2"/>
  <c r="AA121" i="2"/>
  <c r="AX120" i="2"/>
  <c r="T120" i="2"/>
  <c r="AR119" i="2"/>
  <c r="M119" i="2"/>
  <c r="AM118" i="2"/>
  <c r="J118" i="2"/>
  <c r="AF117" i="2"/>
  <c r="BD116" i="2"/>
  <c r="Y116" i="2"/>
  <c r="AY115" i="2"/>
  <c r="AA115" i="2"/>
  <c r="BD114" i="2"/>
  <c r="AK114" i="2"/>
  <c r="P114" i="2"/>
  <c r="AW113" i="2"/>
  <c r="AF113" i="2"/>
  <c r="P113" i="2"/>
  <c r="BC112" i="2"/>
  <c r="AP112" i="2"/>
  <c r="AD112" i="2"/>
  <c r="R112" i="2"/>
  <c r="F112" i="2"/>
  <c r="AT111" i="2"/>
  <c r="AH111" i="2"/>
  <c r="BB185" i="2"/>
  <c r="AH176" i="2"/>
  <c r="N165" i="2"/>
  <c r="Q158" i="2"/>
  <c r="O151" i="2"/>
  <c r="AE146" i="2"/>
  <c r="AU140" i="2"/>
  <c r="AA137" i="2"/>
  <c r="R136" i="2"/>
  <c r="AJ135" i="2"/>
  <c r="BD134" i="2"/>
  <c r="AB134" i="2"/>
  <c r="AW133" i="2"/>
  <c r="W133" i="2"/>
  <c r="AT132" i="2"/>
  <c r="P132" i="2"/>
  <c r="AN131" i="2"/>
  <c r="I131" i="2"/>
  <c r="AI130" i="2"/>
  <c r="F130" i="2"/>
  <c r="AB129" i="2"/>
  <c r="AZ128" i="2"/>
  <c r="U128" i="2"/>
  <c r="AU125" i="2"/>
  <c r="R125" i="2"/>
  <c r="AN124" i="2"/>
  <c r="L124" i="2"/>
  <c r="AG123" i="2"/>
  <c r="G123" i="2"/>
  <c r="AD122" i="2"/>
  <c r="AZ121" i="2"/>
  <c r="X121" i="2"/>
  <c r="AS120" i="2"/>
  <c r="S120" i="2"/>
  <c r="AP119" i="2"/>
  <c r="L119" i="2"/>
  <c r="AJ118" i="2"/>
  <c r="E118" i="2"/>
  <c r="AE117" i="2"/>
  <c r="BB116" i="2"/>
  <c r="X116" i="2"/>
  <c r="AV115" i="2"/>
  <c r="X115" i="2"/>
  <c r="BC114" i="2"/>
  <c r="AG114" i="2"/>
  <c r="N114" i="2"/>
  <c r="AV113" i="2"/>
  <c r="AD113" i="2"/>
  <c r="O113" i="2"/>
  <c r="BB112" i="2"/>
  <c r="AO112" i="2"/>
  <c r="AC112" i="2"/>
  <c r="Q112" i="2"/>
  <c r="E112" i="2"/>
  <c r="AS111" i="2"/>
  <c r="AG111" i="2"/>
  <c r="U111" i="2"/>
  <c r="I111" i="2"/>
  <c r="AW110" i="2"/>
  <c r="AK110" i="2"/>
  <c r="Y110" i="2"/>
  <c r="M110" i="2"/>
  <c r="BA106" i="2"/>
  <c r="AO106" i="2"/>
  <c r="AC106" i="2"/>
  <c r="Q106" i="2"/>
  <c r="E106" i="2"/>
  <c r="AS105" i="2"/>
  <c r="AG105" i="2"/>
  <c r="U105" i="2"/>
  <c r="I105" i="2"/>
  <c r="AW104" i="2"/>
  <c r="AK104" i="2"/>
  <c r="Y104" i="2"/>
  <c r="M104" i="2"/>
  <c r="BA103" i="2"/>
  <c r="AO103" i="2"/>
  <c r="AC103" i="2"/>
  <c r="Q103" i="2"/>
  <c r="E103" i="2"/>
  <c r="AS102" i="2"/>
  <c r="AG102" i="2"/>
  <c r="U102" i="2"/>
  <c r="I102" i="2"/>
  <c r="AW101" i="2"/>
  <c r="AK101" i="2"/>
  <c r="Y101" i="2"/>
  <c r="M101" i="2"/>
  <c r="BA100" i="2"/>
  <c r="AO100" i="2"/>
  <c r="AC100" i="2"/>
  <c r="O184" i="2"/>
  <c r="U150" i="2"/>
  <c r="Q136" i="2"/>
  <c r="AV133" i="2"/>
  <c r="L132" i="2"/>
  <c r="AD130" i="2"/>
  <c r="AS128" i="2"/>
  <c r="L125" i="2"/>
  <c r="AE123" i="2"/>
  <c r="AV121" i="2"/>
  <c r="N120" i="2"/>
  <c r="AH118" i="2"/>
  <c r="U117" i="2"/>
  <c r="BA115" i="2"/>
  <c r="AZ114" i="2"/>
  <c r="BB113" i="2"/>
  <c r="N113" i="2"/>
  <c r="AL112" i="2"/>
  <c r="H112" i="2"/>
  <c r="AE111" i="2"/>
  <c r="G111" i="2"/>
  <c r="AI110" i="2"/>
  <c r="K110" i="2"/>
  <c r="AM106" i="2"/>
  <c r="O106" i="2"/>
  <c r="AQ105" i="2"/>
  <c r="S105" i="2"/>
  <c r="AU104" i="2"/>
  <c r="W104" i="2"/>
  <c r="AY103" i="2"/>
  <c r="AA103" i="2"/>
  <c r="BC102" i="2"/>
  <c r="AE102" i="2"/>
  <c r="G102" i="2"/>
  <c r="AI101" i="2"/>
  <c r="K101" i="2"/>
  <c r="AM100" i="2"/>
  <c r="P100" i="2"/>
  <c r="AT99" i="2"/>
  <c r="Y99" i="2"/>
  <c r="G99" i="2"/>
  <c r="AK98" i="2"/>
  <c r="P98" i="2"/>
  <c r="AY95" i="2"/>
  <c r="AE95" i="2"/>
  <c r="O95" i="2"/>
  <c r="AW94" i="2"/>
  <c r="AH94" i="2"/>
  <c r="S94" i="2"/>
  <c r="BA93" i="2"/>
  <c r="AL93" i="2"/>
  <c r="X93" i="2"/>
  <c r="J93" i="2"/>
  <c r="AU92" i="2"/>
  <c r="AF92" i="2"/>
  <c r="R92" i="2"/>
  <c r="BD91" i="2"/>
  <c r="AP91" i="2"/>
  <c r="AA91" i="2"/>
  <c r="L91" i="2"/>
  <c r="AX90" i="2"/>
  <c r="AJ90" i="2"/>
  <c r="V90" i="2"/>
  <c r="G90" i="2"/>
  <c r="AT89" i="2"/>
  <c r="AG89" i="2"/>
  <c r="T89" i="2"/>
  <c r="G89" i="2"/>
  <c r="AT88" i="2"/>
  <c r="AG88" i="2"/>
  <c r="U88" i="2"/>
  <c r="I88" i="2"/>
  <c r="N184" i="2"/>
  <c r="T150" i="2"/>
  <c r="P136" i="2"/>
  <c r="AU133" i="2"/>
  <c r="J132" i="2"/>
  <c r="Y130" i="2"/>
  <c r="AR128" i="2"/>
  <c r="K125" i="2"/>
  <c r="AB123" i="2"/>
  <c r="AT121" i="2"/>
  <c r="I120" i="2"/>
  <c r="AC118" i="2"/>
  <c r="I117" i="2"/>
  <c r="AT115" i="2"/>
  <c r="AX114" i="2"/>
  <c r="BA113" i="2"/>
  <c r="M113" i="2"/>
  <c r="AG112" i="2"/>
  <c r="BD111" i="2"/>
  <c r="AD111" i="2"/>
  <c r="F111" i="2"/>
  <c r="AH110" i="2"/>
  <c r="J110" i="2"/>
  <c r="AL106" i="2"/>
  <c r="N106" i="2"/>
  <c r="AP105" i="2"/>
  <c r="R105" i="2"/>
  <c r="AT104" i="2"/>
  <c r="V104" i="2"/>
  <c r="AX103" i="2"/>
  <c r="Z103" i="2"/>
  <c r="BB102" i="2"/>
  <c r="AD102" i="2"/>
  <c r="F102" i="2"/>
  <c r="AH101" i="2"/>
  <c r="J101" i="2"/>
  <c r="AL100" i="2"/>
  <c r="O100" i="2"/>
  <c r="AS99" i="2"/>
  <c r="X99" i="2"/>
  <c r="F99" i="2"/>
  <c r="AJ98" i="2"/>
  <c r="N98" i="2"/>
  <c r="AX95" i="2"/>
  <c r="AD95" i="2"/>
  <c r="N95" i="2"/>
  <c r="AV94" i="2"/>
  <c r="AG94" i="2"/>
  <c r="R94" i="2"/>
  <c r="AZ93" i="2"/>
  <c r="AK93" i="2"/>
  <c r="W93" i="2"/>
  <c r="H93" i="2"/>
  <c r="AS92" i="2"/>
  <c r="AE92" i="2"/>
  <c r="Q92" i="2"/>
  <c r="BC91" i="2"/>
  <c r="AN91" i="2"/>
  <c r="Y91" i="2"/>
  <c r="K91" i="2"/>
  <c r="AW90" i="2"/>
  <c r="AI90" i="2"/>
  <c r="T90" i="2"/>
  <c r="F90" i="2"/>
  <c r="AS89" i="2"/>
  <c r="AF89" i="2"/>
  <c r="S89" i="2"/>
  <c r="F89" i="2"/>
  <c r="AS88" i="2"/>
  <c r="AF88" i="2"/>
  <c r="T88" i="2"/>
  <c r="H88" i="2"/>
  <c r="AV87" i="2"/>
  <c r="AJ87" i="2"/>
  <c r="X87" i="2"/>
  <c r="L87" i="2"/>
  <c r="AZ86" i="2"/>
  <c r="AN86" i="2"/>
  <c r="AB86" i="2"/>
  <c r="P86" i="2"/>
  <c r="BD85" i="2"/>
  <c r="AR85" i="2"/>
  <c r="AF85" i="2"/>
  <c r="T85" i="2"/>
  <c r="H85" i="2"/>
  <c r="AV84" i="2"/>
  <c r="AJ84" i="2"/>
  <c r="X84" i="2"/>
  <c r="L84" i="2"/>
  <c r="AZ83" i="2"/>
  <c r="AN83" i="2"/>
  <c r="AB83" i="2"/>
  <c r="P83" i="2"/>
  <c r="BD82" i="2"/>
  <c r="AR82" i="2"/>
  <c r="AF82" i="2"/>
  <c r="T82" i="2"/>
  <c r="H82" i="2"/>
  <c r="AV81" i="2"/>
  <c r="AJ81" i="2"/>
  <c r="X81" i="2"/>
  <c r="L81" i="2"/>
  <c r="AZ80" i="2"/>
  <c r="AN80" i="2"/>
  <c r="AB80" i="2"/>
  <c r="P80" i="2"/>
  <c r="BD79" i="2"/>
  <c r="AR79" i="2"/>
  <c r="AF79" i="2"/>
  <c r="T79" i="2"/>
  <c r="H79" i="2"/>
  <c r="AV78" i="2"/>
  <c r="AJ78" i="2"/>
  <c r="X78" i="2"/>
  <c r="L78" i="2"/>
  <c r="AZ77" i="2"/>
  <c r="AN77" i="2"/>
  <c r="AB77" i="2"/>
  <c r="P77" i="2"/>
  <c r="BD74" i="2"/>
  <c r="AR74" i="2"/>
  <c r="AF74" i="2"/>
  <c r="T74" i="2"/>
  <c r="H74" i="2"/>
  <c r="AV73" i="2"/>
  <c r="AJ73" i="2"/>
  <c r="J184" i="2"/>
  <c r="S150" i="2"/>
  <c r="L136" i="2"/>
  <c r="AR133" i="2"/>
  <c r="AS131" i="2"/>
  <c r="L130" i="2"/>
  <c r="AE128" i="2"/>
  <c r="AV124" i="2"/>
  <c r="N123" i="2"/>
  <c r="AC121" i="2"/>
  <c r="AV119" i="2"/>
  <c r="AB118" i="2"/>
  <c r="H117" i="2"/>
  <c r="AS115" i="2"/>
  <c r="AP114" i="2"/>
  <c r="AU113" i="2"/>
  <c r="L113" i="2"/>
  <c r="AF112" i="2"/>
  <c r="BC111" i="2"/>
  <c r="Y111" i="2"/>
  <c r="BA110" i="2"/>
  <c r="AC110" i="2"/>
  <c r="E110" i="2"/>
  <c r="AG106" i="2"/>
  <c r="I106" i="2"/>
  <c r="AK105" i="2"/>
  <c r="M105" i="2"/>
  <c r="AO104" i="2"/>
  <c r="Q104" i="2"/>
  <c r="AS103" i="2"/>
  <c r="U103" i="2"/>
  <c r="AW102" i="2"/>
  <c r="Y102" i="2"/>
  <c r="BA101" i="2"/>
  <c r="AC101" i="2"/>
  <c r="E101" i="2"/>
  <c r="AG100" i="2"/>
  <c r="N100" i="2"/>
  <c r="AR99" i="2"/>
  <c r="V99" i="2"/>
  <c r="BA98" i="2"/>
  <c r="AI98" i="2"/>
  <c r="M98" i="2"/>
  <c r="AS95" i="2"/>
  <c r="AC95" i="2"/>
  <c r="K95" i="2"/>
  <c r="AU94" i="2"/>
  <c r="AF94" i="2"/>
  <c r="O94" i="2"/>
  <c r="AY93" i="2"/>
  <c r="AJ93" i="2"/>
  <c r="V93" i="2"/>
  <c r="G93" i="2"/>
  <c r="AR92" i="2"/>
  <c r="AD92" i="2"/>
  <c r="P92" i="2"/>
  <c r="BB91" i="2"/>
  <c r="AM91" i="2"/>
  <c r="X91" i="2"/>
  <c r="J91" i="2"/>
  <c r="AV90" i="2"/>
  <c r="AH90" i="2"/>
  <c r="S90" i="2"/>
  <c r="E90" i="2"/>
  <c r="AR89" i="2"/>
  <c r="AE89" i="2"/>
  <c r="R89" i="2"/>
  <c r="E89" i="2"/>
  <c r="AR88" i="2"/>
  <c r="AE88" i="2"/>
  <c r="S88" i="2"/>
  <c r="G88" i="2"/>
  <c r="AU87" i="2"/>
  <c r="AI87" i="2"/>
  <c r="W87" i="2"/>
  <c r="K87" i="2"/>
  <c r="AY86" i="2"/>
  <c r="AM86" i="2"/>
  <c r="AA86" i="2"/>
  <c r="O86" i="2"/>
  <c r="BC85" i="2"/>
  <c r="AQ85" i="2"/>
  <c r="AE85" i="2"/>
  <c r="S85" i="2"/>
  <c r="G85" i="2"/>
  <c r="AU84" i="2"/>
  <c r="AI84" i="2"/>
  <c r="W84" i="2"/>
  <c r="K84" i="2"/>
  <c r="AY83" i="2"/>
  <c r="AM83" i="2"/>
  <c r="AA83" i="2"/>
  <c r="O83" i="2"/>
  <c r="BC82" i="2"/>
  <c r="AQ82" i="2"/>
  <c r="AE82" i="2"/>
  <c r="S82" i="2"/>
  <c r="G82" i="2"/>
  <c r="AU81" i="2"/>
  <c r="AI81" i="2"/>
  <c r="W81" i="2"/>
  <c r="K81" i="2"/>
  <c r="AY80" i="2"/>
  <c r="AM80" i="2"/>
  <c r="AA80" i="2"/>
  <c r="O80" i="2"/>
  <c r="BC79" i="2"/>
  <c r="AQ79" i="2"/>
  <c r="AE79" i="2"/>
  <c r="S79" i="2"/>
  <c r="G79" i="2"/>
  <c r="AU78" i="2"/>
  <c r="AI78" i="2"/>
  <c r="W78" i="2"/>
  <c r="K78" i="2"/>
  <c r="AY77" i="2"/>
  <c r="AM77" i="2"/>
  <c r="AA77" i="2"/>
  <c r="O77" i="2"/>
  <c r="BC74" i="2"/>
  <c r="AQ74" i="2"/>
  <c r="AE74" i="2"/>
  <c r="S74" i="2"/>
  <c r="G74" i="2"/>
  <c r="AU73" i="2"/>
  <c r="AI73" i="2"/>
  <c r="W73" i="2"/>
  <c r="AU172" i="2"/>
  <c r="AK145" i="2"/>
  <c r="AE135" i="2"/>
  <c r="T133" i="2"/>
  <c r="AL131" i="2"/>
  <c r="BA129" i="2"/>
  <c r="T128" i="2"/>
  <c r="AM124" i="2"/>
  <c r="BD122" i="2"/>
  <c r="V121" i="2"/>
  <c r="AK119" i="2"/>
  <c r="P118" i="2"/>
  <c r="AW116" i="2"/>
  <c r="AO115" i="2"/>
  <c r="AN114" i="2"/>
  <c r="AT113" i="2"/>
  <c r="F113" i="2"/>
  <c r="AB112" i="2"/>
  <c r="BB111" i="2"/>
  <c r="X111" i="2"/>
  <c r="AZ110" i="2"/>
  <c r="AB110" i="2"/>
  <c r="BD106" i="2"/>
  <c r="AF106" i="2"/>
  <c r="H106" i="2"/>
  <c r="AJ105" i="2"/>
  <c r="L105" i="2"/>
  <c r="AN104" i="2"/>
  <c r="P104" i="2"/>
  <c r="AR103" i="2"/>
  <c r="T103" i="2"/>
  <c r="AV102" i="2"/>
  <c r="X102" i="2"/>
  <c r="AZ101" i="2"/>
  <c r="AB101" i="2"/>
  <c r="BD100" i="2"/>
  <c r="AF100" i="2"/>
  <c r="I100" i="2"/>
  <c r="AQ99" i="2"/>
  <c r="U99" i="2"/>
  <c r="AZ98" i="2"/>
  <c r="AH98" i="2"/>
  <c r="L98" i="2"/>
  <c r="AR95" i="2"/>
  <c r="AB95" i="2"/>
  <c r="I95" i="2"/>
  <c r="AT94" i="2"/>
  <c r="AE94" i="2"/>
  <c r="M94" i="2"/>
  <c r="AX93" i="2"/>
  <c r="AI93" i="2"/>
  <c r="T93" i="2"/>
  <c r="E93" i="2"/>
  <c r="AQ92" i="2"/>
  <c r="AC92" i="2"/>
  <c r="O92" i="2"/>
  <c r="AZ91" i="2"/>
  <c r="AK91" i="2"/>
  <c r="W91" i="2"/>
  <c r="I91" i="2"/>
  <c r="AU90" i="2"/>
  <c r="AF90" i="2"/>
  <c r="Q90" i="2"/>
  <c r="BD89" i="2"/>
  <c r="AQ89" i="2"/>
  <c r="AD89" i="2"/>
  <c r="Q89" i="2"/>
  <c r="BD88" i="2"/>
  <c r="AQ88" i="2"/>
  <c r="AD88" i="2"/>
  <c r="R88" i="2"/>
  <c r="F88" i="2"/>
  <c r="AT87" i="2"/>
  <c r="AH87" i="2"/>
  <c r="V87" i="2"/>
  <c r="J87" i="2"/>
  <c r="AX86" i="2"/>
  <c r="AL86" i="2"/>
  <c r="Z86" i="2"/>
  <c r="N86" i="2"/>
  <c r="BB85" i="2"/>
  <c r="AP85" i="2"/>
  <c r="AD85" i="2"/>
  <c r="R85" i="2"/>
  <c r="F85" i="2"/>
  <c r="AT84" i="2"/>
  <c r="AH84" i="2"/>
  <c r="V84" i="2"/>
  <c r="J84" i="2"/>
  <c r="AX83" i="2"/>
  <c r="AL83" i="2"/>
  <c r="Z83" i="2"/>
  <c r="N83" i="2"/>
  <c r="BB82" i="2"/>
  <c r="AP82" i="2"/>
  <c r="AD82" i="2"/>
  <c r="R82" i="2"/>
  <c r="F82" i="2"/>
  <c r="AT81" i="2"/>
  <c r="AH81" i="2"/>
  <c r="V81" i="2"/>
  <c r="J81" i="2"/>
  <c r="AX80" i="2"/>
  <c r="AL80" i="2"/>
  <c r="Z80" i="2"/>
  <c r="N80" i="2"/>
  <c r="BB79" i="2"/>
  <c r="AP79" i="2"/>
  <c r="AD79" i="2"/>
  <c r="R79" i="2"/>
  <c r="F79" i="2"/>
  <c r="AT78" i="2"/>
  <c r="AH78" i="2"/>
  <c r="V78" i="2"/>
  <c r="J78" i="2"/>
  <c r="AX77" i="2"/>
  <c r="AL77" i="2"/>
  <c r="Z77" i="2"/>
  <c r="N77" i="2"/>
  <c r="BB74" i="2"/>
  <c r="AP74" i="2"/>
  <c r="AD74" i="2"/>
  <c r="R74" i="2"/>
  <c r="F74" i="2"/>
  <c r="AT73" i="2"/>
  <c r="AT172" i="2"/>
  <c r="AJ145" i="2"/>
  <c r="AC135" i="2"/>
  <c r="R133" i="2"/>
  <c r="AG131" i="2"/>
  <c r="AZ129" i="2"/>
  <c r="S128" i="2"/>
  <c r="AJ124" i="2"/>
  <c r="BB122" i="2"/>
  <c r="Q121" i="2"/>
  <c r="AJ119" i="2"/>
  <c r="O118" i="2"/>
  <c r="AV116" i="2"/>
  <c r="AG115" i="2"/>
  <c r="AF114" i="2"/>
  <c r="AR113" i="2"/>
  <c r="E113" i="2"/>
  <c r="AA112" i="2"/>
  <c r="AW111" i="2"/>
  <c r="V111" i="2"/>
  <c r="AX110" i="2"/>
  <c r="Z110" i="2"/>
  <c r="BB106" i="2"/>
  <c r="AD106" i="2"/>
  <c r="F106" i="2"/>
  <c r="AH105" i="2"/>
  <c r="J105" i="2"/>
  <c r="AL104" i="2"/>
  <c r="N104" i="2"/>
  <c r="AP103" i="2"/>
  <c r="R103" i="2"/>
  <c r="AT102" i="2"/>
  <c r="V102" i="2"/>
  <c r="AX101" i="2"/>
  <c r="Z101" i="2"/>
  <c r="BB100" i="2"/>
  <c r="AD100" i="2"/>
  <c r="H100" i="2"/>
  <c r="AP99" i="2"/>
  <c r="T99" i="2"/>
  <c r="AX98" i="2"/>
  <c r="AC98" i="2"/>
  <c r="K98" i="2"/>
  <c r="AQ95" i="2"/>
  <c r="AA95" i="2"/>
  <c r="H95" i="2"/>
  <c r="AS94" i="2"/>
  <c r="AD94" i="2"/>
  <c r="L94" i="2"/>
  <c r="AW93" i="2"/>
  <c r="AH93" i="2"/>
  <c r="S93" i="2"/>
  <c r="BD92" i="2"/>
  <c r="AP92" i="2"/>
  <c r="AB92" i="2"/>
  <c r="N92" i="2"/>
  <c r="AY91" i="2"/>
  <c r="AJ91" i="2"/>
  <c r="V91" i="2"/>
  <c r="H91" i="2"/>
  <c r="AT90" i="2"/>
  <c r="AE90" i="2"/>
  <c r="P90" i="2"/>
  <c r="BC89" i="2"/>
  <c r="AP89" i="2"/>
  <c r="AC89" i="2"/>
  <c r="P89" i="2"/>
  <c r="BC88" i="2"/>
  <c r="AP88" i="2"/>
  <c r="AC88" i="2"/>
  <c r="Q88" i="2"/>
  <c r="E88" i="2"/>
  <c r="AS87" i="2"/>
  <c r="AG87" i="2"/>
  <c r="U87" i="2"/>
  <c r="I87" i="2"/>
  <c r="AW86" i="2"/>
  <c r="AK86" i="2"/>
  <c r="Y86" i="2"/>
  <c r="M86" i="2"/>
  <c r="BA85" i="2"/>
  <c r="AO85" i="2"/>
  <c r="AC85" i="2"/>
  <c r="Q85" i="2"/>
  <c r="E85" i="2"/>
  <c r="AS84" i="2"/>
  <c r="AG84" i="2"/>
  <c r="U84" i="2"/>
  <c r="I84" i="2"/>
  <c r="AW83" i="2"/>
  <c r="AK83" i="2"/>
  <c r="Y83" i="2"/>
  <c r="M83" i="2"/>
  <c r="BA82" i="2"/>
  <c r="AO82" i="2"/>
  <c r="AC82" i="2"/>
  <c r="Q82" i="2"/>
  <c r="E82" i="2"/>
  <c r="AS81" i="2"/>
  <c r="AG81" i="2"/>
  <c r="U81" i="2"/>
  <c r="I81" i="2"/>
  <c r="AW80" i="2"/>
  <c r="AK80" i="2"/>
  <c r="Y80" i="2"/>
  <c r="M80" i="2"/>
  <c r="BA79" i="2"/>
  <c r="AO79" i="2"/>
  <c r="AC79" i="2"/>
  <c r="Q79" i="2"/>
  <c r="E79" i="2"/>
  <c r="AS78" i="2"/>
  <c r="AG78" i="2"/>
  <c r="U78" i="2"/>
  <c r="I78" i="2"/>
  <c r="AW77" i="2"/>
  <c r="AK77" i="2"/>
  <c r="Y77" i="2"/>
  <c r="M77" i="2"/>
  <c r="BA74" i="2"/>
  <c r="AO74" i="2"/>
  <c r="AC74" i="2"/>
  <c r="Q74" i="2"/>
  <c r="E74" i="2"/>
  <c r="AS73" i="2"/>
  <c r="AG73" i="2"/>
  <c r="U73" i="2"/>
  <c r="AP172" i="2"/>
  <c r="AI145" i="2"/>
  <c r="AB135" i="2"/>
  <c r="M133" i="2"/>
  <c r="AF131" i="2"/>
  <c r="AY129" i="2"/>
  <c r="P128" i="2"/>
  <c r="AH124" i="2"/>
  <c r="AW122" i="2"/>
  <c r="P121" i="2"/>
  <c r="AI119" i="2"/>
  <c r="BD117" i="2"/>
  <c r="AU116" i="2"/>
  <c r="AC115" i="2"/>
  <c r="AE114" i="2"/>
  <c r="AJ113" i="2"/>
  <c r="BA112" i="2"/>
  <c r="Z112" i="2"/>
  <c r="AV111" i="2"/>
  <c r="T111" i="2"/>
  <c r="AV110" i="2"/>
  <c r="X110" i="2"/>
  <c r="AZ106" i="2"/>
  <c r="AB106" i="2"/>
  <c r="BD105" i="2"/>
  <c r="AF105" i="2"/>
  <c r="H105" i="2"/>
  <c r="AJ104" i="2"/>
  <c r="L104" i="2"/>
  <c r="AN103" i="2"/>
  <c r="P103" i="2"/>
  <c r="AR102" i="2"/>
  <c r="T102" i="2"/>
  <c r="AV101" i="2"/>
  <c r="X101" i="2"/>
  <c r="AZ100" i="2"/>
  <c r="AB100" i="2"/>
  <c r="F100" i="2"/>
  <c r="AK99" i="2"/>
  <c r="S99" i="2"/>
  <c r="AW98" i="2"/>
  <c r="AB98" i="2"/>
  <c r="J98" i="2"/>
  <c r="AP95" i="2"/>
  <c r="Z95" i="2"/>
  <c r="G95" i="2"/>
  <c r="AR94" i="2"/>
  <c r="AA94" i="2"/>
  <c r="K94" i="2"/>
  <c r="AV93" i="2"/>
  <c r="AF93" i="2"/>
  <c r="Q93" i="2"/>
  <c r="BC92" i="2"/>
  <c r="AO92" i="2"/>
  <c r="AA92" i="2"/>
  <c r="L92" i="2"/>
  <c r="AW91" i="2"/>
  <c r="AI91" i="2"/>
  <c r="U91" i="2"/>
  <c r="G91" i="2"/>
  <c r="AR90" i="2"/>
  <c r="AC90" i="2"/>
  <c r="O90" i="2"/>
  <c r="BB89" i="2"/>
  <c r="AO89" i="2"/>
  <c r="AB89" i="2"/>
  <c r="O89" i="2"/>
  <c r="BB88" i="2"/>
  <c r="AN88" i="2"/>
  <c r="AB88" i="2"/>
  <c r="P88" i="2"/>
  <c r="BD87" i="2"/>
  <c r="AR87" i="2"/>
  <c r="AF87" i="2"/>
  <c r="T87" i="2"/>
  <c r="H87" i="2"/>
  <c r="AV86" i="2"/>
  <c r="AJ86" i="2"/>
  <c r="X86" i="2"/>
  <c r="L86" i="2"/>
  <c r="AZ85" i="2"/>
  <c r="AN85" i="2"/>
  <c r="AB85" i="2"/>
  <c r="P85" i="2"/>
  <c r="BD84" i="2"/>
  <c r="AR84" i="2"/>
  <c r="AF84" i="2"/>
  <c r="T84" i="2"/>
  <c r="H84" i="2"/>
  <c r="AV83" i="2"/>
  <c r="AJ83" i="2"/>
  <c r="X83" i="2"/>
  <c r="L83" i="2"/>
  <c r="AZ82" i="2"/>
  <c r="AN82" i="2"/>
  <c r="AB82" i="2"/>
  <c r="P82" i="2"/>
  <c r="BD81" i="2"/>
  <c r="AR81" i="2"/>
  <c r="AF81" i="2"/>
  <c r="T81" i="2"/>
  <c r="H81" i="2"/>
  <c r="AV80" i="2"/>
  <c r="AJ80" i="2"/>
  <c r="X80" i="2"/>
  <c r="L80" i="2"/>
  <c r="AZ79" i="2"/>
  <c r="AN79" i="2"/>
  <c r="AB79" i="2"/>
  <c r="P79" i="2"/>
  <c r="BD78" i="2"/>
  <c r="AR78" i="2"/>
  <c r="AF78" i="2"/>
  <c r="T78" i="2"/>
  <c r="H78" i="2"/>
  <c r="AV77" i="2"/>
  <c r="AJ77" i="2"/>
  <c r="X77" i="2"/>
  <c r="L77" i="2"/>
  <c r="AZ74" i="2"/>
  <c r="AN74" i="2"/>
  <c r="AB74" i="2"/>
  <c r="P74" i="2"/>
  <c r="BD73" i="2"/>
  <c r="AR73" i="2"/>
  <c r="AB163" i="2"/>
  <c r="AY139" i="2"/>
  <c r="AX134" i="2"/>
  <c r="AN132" i="2"/>
  <c r="G131" i="2"/>
  <c r="X129" i="2"/>
  <c r="AP125" i="2"/>
  <c r="E124" i="2"/>
  <c r="X122" i="2"/>
  <c r="AQ120" i="2"/>
  <c r="H119" i="2"/>
  <c r="AN117" i="2"/>
  <c r="W116" i="2"/>
  <c r="Q115" i="2"/>
  <c r="S114" i="2"/>
  <c r="AA113" i="2"/>
  <c r="AS112" i="2"/>
  <c r="P112" i="2"/>
  <c r="AP111" i="2"/>
  <c r="M111" i="2"/>
  <c r="AO110" i="2"/>
  <c r="Q110" i="2"/>
  <c r="AS106" i="2"/>
  <c r="U106" i="2"/>
  <c r="AW105" i="2"/>
  <c r="Y105" i="2"/>
  <c r="BA104" i="2"/>
  <c r="AC104" i="2"/>
  <c r="E104" i="2"/>
  <c r="AG103" i="2"/>
  <c r="I103" i="2"/>
  <c r="AK102" i="2"/>
  <c r="M102" i="2"/>
  <c r="AO101" i="2"/>
  <c r="Q101" i="2"/>
  <c r="AS100" i="2"/>
  <c r="U100" i="2"/>
  <c r="BC99" i="2"/>
  <c r="AG99" i="2"/>
  <c r="L99" i="2"/>
  <c r="AT98" i="2"/>
  <c r="X98" i="2"/>
  <c r="BC95" i="2"/>
  <c r="AM95" i="2"/>
  <c r="S95" i="2"/>
  <c r="BD94" i="2"/>
  <c r="AM94" i="2"/>
  <c r="W94" i="2"/>
  <c r="H94" i="2"/>
  <c r="AQ93" i="2"/>
  <c r="AB93" i="2"/>
  <c r="N93" i="2"/>
  <c r="AZ92" i="2"/>
  <c r="AL92" i="2"/>
  <c r="W92" i="2"/>
  <c r="H92" i="2"/>
  <c r="AT91" i="2"/>
  <c r="AF91" i="2"/>
  <c r="R91" i="2"/>
  <c r="BC90" i="2"/>
  <c r="AN90" i="2"/>
  <c r="Z90" i="2"/>
  <c r="L90" i="2"/>
  <c r="AY89" i="2"/>
  <c r="AL89" i="2"/>
  <c r="X89" i="2"/>
  <c r="K89" i="2"/>
  <c r="AX88" i="2"/>
  <c r="AK88" i="2"/>
  <c r="Y88" i="2"/>
  <c r="M88" i="2"/>
  <c r="BA87" i="2"/>
  <c r="AO87" i="2"/>
  <c r="AC87" i="2"/>
  <c r="Q87" i="2"/>
  <c r="E87" i="2"/>
  <c r="AS86" i="2"/>
  <c r="AG86" i="2"/>
  <c r="U86" i="2"/>
  <c r="I86" i="2"/>
  <c r="AW85" i="2"/>
  <c r="AK85" i="2"/>
  <c r="Y85" i="2"/>
  <c r="M85" i="2"/>
  <c r="BA84" i="2"/>
  <c r="AO84" i="2"/>
  <c r="AC84" i="2"/>
  <c r="Q84" i="2"/>
  <c r="E84" i="2"/>
  <c r="AS83" i="2"/>
  <c r="AG83" i="2"/>
  <c r="U83" i="2"/>
  <c r="I83" i="2"/>
  <c r="AW82" i="2"/>
  <c r="AK82" i="2"/>
  <c r="Y82" i="2"/>
  <c r="M82" i="2"/>
  <c r="BA81" i="2"/>
  <c r="AO81" i="2"/>
  <c r="AC81" i="2"/>
  <c r="Q81" i="2"/>
  <c r="E81" i="2"/>
  <c r="AS80" i="2"/>
  <c r="AG80" i="2"/>
  <c r="U80" i="2"/>
  <c r="I80" i="2"/>
  <c r="AW79" i="2"/>
  <c r="AK79" i="2"/>
  <c r="Y79" i="2"/>
  <c r="M79" i="2"/>
  <c r="BA78" i="2"/>
  <c r="AO78" i="2"/>
  <c r="AC78" i="2"/>
  <c r="Q78" i="2"/>
  <c r="E78" i="2"/>
  <c r="AS77" i="2"/>
  <c r="AG77" i="2"/>
  <c r="U77" i="2"/>
  <c r="I77" i="2"/>
  <c r="AW74" i="2"/>
  <c r="AK74" i="2"/>
  <c r="Y74" i="2"/>
  <c r="M74" i="2"/>
  <c r="BA73" i="2"/>
  <c r="AO73" i="2"/>
  <c r="AC73" i="2"/>
  <c r="Q73" i="2"/>
  <c r="L157" i="2"/>
  <c r="X137" i="2"/>
  <c r="AE163" i="2"/>
  <c r="T134" i="2"/>
  <c r="AA129" i="2"/>
  <c r="AQ123" i="2"/>
  <c r="T119" i="2"/>
  <c r="T116" i="2"/>
  <c r="I114" i="2"/>
  <c r="T112" i="2"/>
  <c r="J111" i="2"/>
  <c r="AY106" i="2"/>
  <c r="AV105" i="2"/>
  <c r="AV104" i="2"/>
  <c r="AL103" i="2"/>
  <c r="AH102" i="2"/>
  <c r="W101" i="2"/>
  <c r="T100" i="2"/>
  <c r="AD99" i="2"/>
  <c r="Y98" i="2"/>
  <c r="AG95" i="2"/>
  <c r="AQ94" i="2"/>
  <c r="G94" i="2"/>
  <c r="Y93" i="2"/>
  <c r="AM92" i="2"/>
  <c r="F92" i="2"/>
  <c r="T91" i="2"/>
  <c r="AM90" i="2"/>
  <c r="H90" i="2"/>
  <c r="Z89" i="2"/>
  <c r="AV88" i="2"/>
  <c r="O88" i="2"/>
  <c r="AP87" i="2"/>
  <c r="R87" i="2"/>
  <c r="AT86" i="2"/>
  <c r="V86" i="2"/>
  <c r="AX85" i="2"/>
  <c r="Z85" i="2"/>
  <c r="BB84" i="2"/>
  <c r="AD84" i="2"/>
  <c r="F84" i="2"/>
  <c r="AH83" i="2"/>
  <c r="J83" i="2"/>
  <c r="AL82" i="2"/>
  <c r="N82" i="2"/>
  <c r="AP81" i="2"/>
  <c r="R81" i="2"/>
  <c r="AT80" i="2"/>
  <c r="V80" i="2"/>
  <c r="AX79" i="2"/>
  <c r="Z79" i="2"/>
  <c r="BB78" i="2"/>
  <c r="AD78" i="2"/>
  <c r="F78" i="2"/>
  <c r="AH77" i="2"/>
  <c r="J77" i="2"/>
  <c r="AL74" i="2"/>
  <c r="N74" i="2"/>
  <c r="AP73" i="2"/>
  <c r="Y73" i="2"/>
  <c r="J73" i="2"/>
  <c r="AX71" i="2"/>
  <c r="AL71" i="2"/>
  <c r="Z71" i="2"/>
  <c r="N71" i="2"/>
  <c r="BB70" i="2"/>
  <c r="AP70" i="2"/>
  <c r="AD70" i="2"/>
  <c r="R70" i="2"/>
  <c r="F70" i="2"/>
  <c r="AT68" i="2"/>
  <c r="AH68" i="2"/>
  <c r="V68" i="2"/>
  <c r="J68" i="2"/>
  <c r="AX67" i="2"/>
  <c r="AL67" i="2"/>
  <c r="Z67" i="2"/>
  <c r="N67" i="2"/>
  <c r="BB65" i="2"/>
  <c r="AP65" i="2"/>
  <c r="AD65" i="2"/>
  <c r="R65" i="2"/>
  <c r="F65" i="2"/>
  <c r="AT64" i="2"/>
  <c r="AH64" i="2"/>
  <c r="V64" i="2"/>
  <c r="J64" i="2"/>
  <c r="AX63" i="2"/>
  <c r="AL63" i="2"/>
  <c r="Z63" i="2"/>
  <c r="N63" i="2"/>
  <c r="BB61" i="2"/>
  <c r="AP61" i="2"/>
  <c r="AD61" i="2"/>
  <c r="R61" i="2"/>
  <c r="F61" i="2"/>
  <c r="AD163" i="2"/>
  <c r="AZ132" i="2"/>
  <c r="V129" i="2"/>
  <c r="AF123" i="2"/>
  <c r="K119" i="2"/>
  <c r="R116" i="2"/>
  <c r="AI113" i="2"/>
  <c r="O112" i="2"/>
  <c r="H111" i="2"/>
  <c r="AX106" i="2"/>
  <c r="AT105" i="2"/>
  <c r="AI104" i="2"/>
  <c r="AF103" i="2"/>
  <c r="AF102" i="2"/>
  <c r="V101" i="2"/>
  <c r="R100" i="2"/>
  <c r="R99" i="2"/>
  <c r="W98" i="2"/>
  <c r="AF95" i="2"/>
  <c r="AP94" i="2"/>
  <c r="F94" i="2"/>
  <c r="P93" i="2"/>
  <c r="AJ92" i="2"/>
  <c r="E92" i="2"/>
  <c r="S91" i="2"/>
  <c r="AL90" i="2"/>
  <c r="BA89" i="2"/>
  <c r="W89" i="2"/>
  <c r="AU88" i="2"/>
  <c r="N88" i="2"/>
  <c r="AN87" i="2"/>
  <c r="P87" i="2"/>
  <c r="AR86" i="2"/>
  <c r="T86" i="2"/>
  <c r="AV85" i="2"/>
  <c r="X85" i="2"/>
  <c r="AZ84" i="2"/>
  <c r="AB84" i="2"/>
  <c r="BD83" i="2"/>
  <c r="AF83" i="2"/>
  <c r="H83" i="2"/>
  <c r="AJ82" i="2"/>
  <c r="L82" i="2"/>
  <c r="AN81" i="2"/>
  <c r="P81" i="2"/>
  <c r="AR80" i="2"/>
  <c r="T80" i="2"/>
  <c r="AV79" i="2"/>
  <c r="X79" i="2"/>
  <c r="AZ78" i="2"/>
  <c r="AB78" i="2"/>
  <c r="BD77" i="2"/>
  <c r="AF77" i="2"/>
  <c r="H77" i="2"/>
  <c r="AJ74" i="2"/>
  <c r="L74" i="2"/>
  <c r="AN73" i="2"/>
  <c r="X73" i="2"/>
  <c r="I73" i="2"/>
  <c r="AW71" i="2"/>
  <c r="AK71" i="2"/>
  <c r="Y71" i="2"/>
  <c r="M71" i="2"/>
  <c r="BA70" i="2"/>
  <c r="AO70" i="2"/>
  <c r="AC70" i="2"/>
  <c r="Q70" i="2"/>
  <c r="E70" i="2"/>
  <c r="AS68" i="2"/>
  <c r="AG68" i="2"/>
  <c r="U68" i="2"/>
  <c r="I68" i="2"/>
  <c r="AW67" i="2"/>
  <c r="AK67" i="2"/>
  <c r="Y67" i="2"/>
  <c r="M67" i="2"/>
  <c r="BA65" i="2"/>
  <c r="AO65" i="2"/>
  <c r="AC65" i="2"/>
  <c r="Q65" i="2"/>
  <c r="E65" i="2"/>
  <c r="AS64" i="2"/>
  <c r="AG64" i="2"/>
  <c r="U64" i="2"/>
  <c r="I64" i="2"/>
  <c r="AW63" i="2"/>
  <c r="AK63" i="2"/>
  <c r="Y63" i="2"/>
  <c r="M63" i="2"/>
  <c r="BA61" i="2"/>
  <c r="AO61" i="2"/>
  <c r="AC61" i="2"/>
  <c r="Q61" i="2"/>
  <c r="E61" i="2"/>
  <c r="AS60" i="2"/>
  <c r="AG60" i="2"/>
  <c r="U60" i="2"/>
  <c r="I60" i="2"/>
  <c r="AW58" i="2"/>
  <c r="AK58" i="2"/>
  <c r="Y58" i="2"/>
  <c r="M58" i="2"/>
  <c r="BA56" i="2"/>
  <c r="AO56" i="2"/>
  <c r="AC56" i="2"/>
  <c r="Q56" i="2"/>
  <c r="E56" i="2"/>
  <c r="AS55" i="2"/>
  <c r="AG55" i="2"/>
  <c r="U55" i="2"/>
  <c r="I55" i="2"/>
  <c r="AW53" i="2"/>
  <c r="AK53" i="2"/>
  <c r="Y53" i="2"/>
  <c r="M53" i="2"/>
  <c r="BA52" i="2"/>
  <c r="AO52" i="2"/>
  <c r="AC52" i="2"/>
  <c r="Q52" i="2"/>
  <c r="E52" i="2"/>
  <c r="AS49" i="2"/>
  <c r="AG49" i="2"/>
  <c r="U49" i="2"/>
  <c r="I49" i="2"/>
  <c r="AW48" i="2"/>
  <c r="AK48" i="2"/>
  <c r="Y48" i="2"/>
  <c r="M48" i="2"/>
  <c r="BA45" i="2"/>
  <c r="AO45" i="2"/>
  <c r="M157" i="2"/>
  <c r="AO132" i="2"/>
  <c r="E129" i="2"/>
  <c r="AJ122" i="2"/>
  <c r="F119" i="2"/>
  <c r="F116" i="2"/>
  <c r="AC113" i="2"/>
  <c r="N112" i="2"/>
  <c r="AU110" i="2"/>
  <c r="AR106" i="2"/>
  <c r="AR105" i="2"/>
  <c r="AH104" i="2"/>
  <c r="AD103" i="2"/>
  <c r="S102" i="2"/>
  <c r="P101" i="2"/>
  <c r="Q100" i="2"/>
  <c r="M99" i="2"/>
  <c r="V98" i="2"/>
  <c r="U95" i="2"/>
  <c r="AK94" i="2"/>
  <c r="BC93" i="2"/>
  <c r="O93" i="2"/>
  <c r="AI92" i="2"/>
  <c r="AV91" i="2"/>
  <c r="P91" i="2"/>
  <c r="AK90" i="2"/>
  <c r="AZ89" i="2"/>
  <c r="V89" i="2"/>
  <c r="AM88" i="2"/>
  <c r="L88" i="2"/>
  <c r="AM87" i="2"/>
  <c r="O87" i="2"/>
  <c r="AQ86" i="2"/>
  <c r="S86" i="2"/>
  <c r="AU85" i="2"/>
  <c r="W85" i="2"/>
  <c r="AY84" i="2"/>
  <c r="AA84" i="2"/>
  <c r="BC83" i="2"/>
  <c r="AE83" i="2"/>
  <c r="G83" i="2"/>
  <c r="AI82" i="2"/>
  <c r="K82" i="2"/>
  <c r="AM81" i="2"/>
  <c r="O81" i="2"/>
  <c r="AQ80" i="2"/>
  <c r="S80" i="2"/>
  <c r="AU79" i="2"/>
  <c r="W79" i="2"/>
  <c r="AY78" i="2"/>
  <c r="AA78" i="2"/>
  <c r="BC77" i="2"/>
  <c r="AE77" i="2"/>
  <c r="G77" i="2"/>
  <c r="AI74" i="2"/>
  <c r="K74" i="2"/>
  <c r="AM73" i="2"/>
  <c r="V73" i="2"/>
  <c r="H73" i="2"/>
  <c r="AV71" i="2"/>
  <c r="AJ71" i="2"/>
  <c r="X71" i="2"/>
  <c r="L71" i="2"/>
  <c r="AZ70" i="2"/>
  <c r="AN70" i="2"/>
  <c r="AB70" i="2"/>
  <c r="P70" i="2"/>
  <c r="BD68" i="2"/>
  <c r="AR68" i="2"/>
  <c r="AF68" i="2"/>
  <c r="T68" i="2"/>
  <c r="H68" i="2"/>
  <c r="AV67" i="2"/>
  <c r="AJ67" i="2"/>
  <c r="X67" i="2"/>
  <c r="L67" i="2"/>
  <c r="AZ65" i="2"/>
  <c r="AN65" i="2"/>
  <c r="AB65" i="2"/>
  <c r="P65" i="2"/>
  <c r="BD64" i="2"/>
  <c r="AR64" i="2"/>
  <c r="AF64" i="2"/>
  <c r="T64" i="2"/>
  <c r="H64" i="2"/>
  <c r="AV63" i="2"/>
  <c r="AJ63" i="2"/>
  <c r="X63" i="2"/>
  <c r="L63" i="2"/>
  <c r="AZ61" i="2"/>
  <c r="AN61" i="2"/>
  <c r="AB61" i="2"/>
  <c r="P61" i="2"/>
  <c r="BD60" i="2"/>
  <c r="AR60" i="2"/>
  <c r="AF60" i="2"/>
  <c r="T60" i="2"/>
  <c r="H60" i="2"/>
  <c r="AV58" i="2"/>
  <c r="AJ58" i="2"/>
  <c r="X58" i="2"/>
  <c r="L58" i="2"/>
  <c r="AZ56" i="2"/>
  <c r="AN56" i="2"/>
  <c r="AB56" i="2"/>
  <c r="P56" i="2"/>
  <c r="BD55" i="2"/>
  <c r="AR55" i="2"/>
  <c r="AF55" i="2"/>
  <c r="T55" i="2"/>
  <c r="H55" i="2"/>
  <c r="AV53" i="2"/>
  <c r="AJ53" i="2"/>
  <c r="X53" i="2"/>
  <c r="L53" i="2"/>
  <c r="AZ52" i="2"/>
  <c r="AN52" i="2"/>
  <c r="AB52" i="2"/>
  <c r="P52" i="2"/>
  <c r="BD49" i="2"/>
  <c r="AR49" i="2"/>
  <c r="AF49" i="2"/>
  <c r="T49" i="2"/>
  <c r="H49" i="2"/>
  <c r="AV48" i="2"/>
  <c r="AJ48" i="2"/>
  <c r="X48" i="2"/>
  <c r="L48" i="2"/>
  <c r="AZ45" i="2"/>
  <c r="AN45" i="2"/>
  <c r="K157" i="2"/>
  <c r="AM132" i="2"/>
  <c r="AX128" i="2"/>
  <c r="Y122" i="2"/>
  <c r="AT118" i="2"/>
  <c r="V115" i="2"/>
  <c r="Y113" i="2"/>
  <c r="I112" i="2"/>
  <c r="AT110" i="2"/>
  <c r="AP106" i="2"/>
  <c r="AE105" i="2"/>
  <c r="AB104" i="2"/>
  <c r="AB103" i="2"/>
  <c r="R102" i="2"/>
  <c r="N101" i="2"/>
  <c r="E100" i="2"/>
  <c r="J99" i="2"/>
  <c r="Q98" i="2"/>
  <c r="T95" i="2"/>
  <c r="AJ94" i="2"/>
  <c r="AU93" i="2"/>
  <c r="M93" i="2"/>
  <c r="AG92" i="2"/>
  <c r="AU91" i="2"/>
  <c r="O91" i="2"/>
  <c r="AB90" i="2"/>
  <c r="AX89" i="2"/>
  <c r="U89" i="2"/>
  <c r="AL88" i="2"/>
  <c r="K88" i="2"/>
  <c r="AL87" i="2"/>
  <c r="N87" i="2"/>
  <c r="AP86" i="2"/>
  <c r="R86" i="2"/>
  <c r="AT85" i="2"/>
  <c r="V85" i="2"/>
  <c r="AX84" i="2"/>
  <c r="Z84" i="2"/>
  <c r="BB83" i="2"/>
  <c r="AD83" i="2"/>
  <c r="F83" i="2"/>
  <c r="AH82" i="2"/>
  <c r="J82" i="2"/>
  <c r="AL81" i="2"/>
  <c r="N81" i="2"/>
  <c r="AP80" i="2"/>
  <c r="R80" i="2"/>
  <c r="AT79" i="2"/>
  <c r="V79" i="2"/>
  <c r="AX78" i="2"/>
  <c r="Z78" i="2"/>
  <c r="BB77" i="2"/>
  <c r="AD77" i="2"/>
  <c r="F77" i="2"/>
  <c r="AH74" i="2"/>
  <c r="J74" i="2"/>
  <c r="AL73" i="2"/>
  <c r="T73" i="2"/>
  <c r="G73" i="2"/>
  <c r="AU71" i="2"/>
  <c r="AI71" i="2"/>
  <c r="W71" i="2"/>
  <c r="K71" i="2"/>
  <c r="AY70" i="2"/>
  <c r="AM70" i="2"/>
  <c r="AA70" i="2"/>
  <c r="O70" i="2"/>
  <c r="BC68" i="2"/>
  <c r="AQ68" i="2"/>
  <c r="AE68" i="2"/>
  <c r="S68" i="2"/>
  <c r="G68" i="2"/>
  <c r="AU67" i="2"/>
  <c r="AI67" i="2"/>
  <c r="W67" i="2"/>
  <c r="K67" i="2"/>
  <c r="AY65" i="2"/>
  <c r="AM65" i="2"/>
  <c r="AA65" i="2"/>
  <c r="O65" i="2"/>
  <c r="BC64" i="2"/>
  <c r="AQ64" i="2"/>
  <c r="AE64" i="2"/>
  <c r="S64" i="2"/>
  <c r="G64" i="2"/>
  <c r="AU63" i="2"/>
  <c r="AI63" i="2"/>
  <c r="W63" i="2"/>
  <c r="K63" i="2"/>
  <c r="AY61" i="2"/>
  <c r="AM61" i="2"/>
  <c r="AA61" i="2"/>
  <c r="O61" i="2"/>
  <c r="BC60" i="2"/>
  <c r="AQ60" i="2"/>
  <c r="AE60" i="2"/>
  <c r="S60" i="2"/>
  <c r="G60" i="2"/>
  <c r="AU58" i="2"/>
  <c r="AI58" i="2"/>
  <c r="W58" i="2"/>
  <c r="K58" i="2"/>
  <c r="AY56" i="2"/>
  <c r="AM56" i="2"/>
  <c r="AA56" i="2"/>
  <c r="O56" i="2"/>
  <c r="BC55" i="2"/>
  <c r="AQ55" i="2"/>
  <c r="AE55" i="2"/>
  <c r="S55" i="2"/>
  <c r="G55" i="2"/>
  <c r="AU53" i="2"/>
  <c r="AI53" i="2"/>
  <c r="W53" i="2"/>
  <c r="K53" i="2"/>
  <c r="AY52" i="2"/>
  <c r="AM52" i="2"/>
  <c r="AA52" i="2"/>
  <c r="O52" i="2"/>
  <c r="BC49" i="2"/>
  <c r="AQ49" i="2"/>
  <c r="AE49" i="2"/>
  <c r="S49" i="2"/>
  <c r="G49" i="2"/>
  <c r="AU48" i="2"/>
  <c r="AI48" i="2"/>
  <c r="W48" i="2"/>
  <c r="K48" i="2"/>
  <c r="BA139" i="2"/>
  <c r="X132" i="2"/>
  <c r="BB125" i="2"/>
  <c r="W122" i="2"/>
  <c r="AO118" i="2"/>
  <c r="U115" i="2"/>
  <c r="S113" i="2"/>
  <c r="AR111" i="2"/>
  <c r="AN110" i="2"/>
  <c r="AN106" i="2"/>
  <c r="AD105" i="2"/>
  <c r="Z104" i="2"/>
  <c r="O103" i="2"/>
  <c r="L102" i="2"/>
  <c r="L101" i="2"/>
  <c r="BD99" i="2"/>
  <c r="I99" i="2"/>
  <c r="E98" i="2"/>
  <c r="R95" i="2"/>
  <c r="AI94" i="2"/>
  <c r="AT93" i="2"/>
  <c r="L93" i="2"/>
  <c r="Z92" i="2"/>
  <c r="AS91" i="2"/>
  <c r="M91" i="2"/>
  <c r="AA90" i="2"/>
  <c r="AV89" i="2"/>
  <c r="N89" i="2"/>
  <c r="AJ88" i="2"/>
  <c r="J88" i="2"/>
  <c r="AK87" i="2"/>
  <c r="M87" i="2"/>
  <c r="AO86" i="2"/>
  <c r="Q86" i="2"/>
  <c r="AS85" i="2"/>
  <c r="U85" i="2"/>
  <c r="AW84" i="2"/>
  <c r="Y84" i="2"/>
  <c r="BA83" i="2"/>
  <c r="AC83" i="2"/>
  <c r="E83" i="2"/>
  <c r="AG82" i="2"/>
  <c r="I82" i="2"/>
  <c r="AK81" i="2"/>
  <c r="M81" i="2"/>
  <c r="AO80" i="2"/>
  <c r="Q80" i="2"/>
  <c r="AS79" i="2"/>
  <c r="U79" i="2"/>
  <c r="AW78" i="2"/>
  <c r="Y78" i="2"/>
  <c r="BA77" i="2"/>
  <c r="AC77" i="2"/>
  <c r="E77" i="2"/>
  <c r="AG74" i="2"/>
  <c r="I74" i="2"/>
  <c r="AK73" i="2"/>
  <c r="S73" i="2"/>
  <c r="F73" i="2"/>
  <c r="AT71" i="2"/>
  <c r="AH71" i="2"/>
  <c r="V71" i="2"/>
  <c r="J71" i="2"/>
  <c r="AX70" i="2"/>
  <c r="AL70" i="2"/>
  <c r="Z70" i="2"/>
  <c r="N70" i="2"/>
  <c r="BB68" i="2"/>
  <c r="AP68" i="2"/>
  <c r="AD68" i="2"/>
  <c r="R68" i="2"/>
  <c r="F68" i="2"/>
  <c r="AT67" i="2"/>
  <c r="AH67" i="2"/>
  <c r="V67" i="2"/>
  <c r="J67" i="2"/>
  <c r="AX65" i="2"/>
  <c r="AL65" i="2"/>
  <c r="Z65" i="2"/>
  <c r="N65" i="2"/>
  <c r="BB64" i="2"/>
  <c r="AP64" i="2"/>
  <c r="AD64" i="2"/>
  <c r="R64" i="2"/>
  <c r="F64" i="2"/>
  <c r="AT63" i="2"/>
  <c r="AH63" i="2"/>
  <c r="V63" i="2"/>
  <c r="J63" i="2"/>
  <c r="AX61" i="2"/>
  <c r="AL61" i="2"/>
  <c r="Z61" i="2"/>
  <c r="N61" i="2"/>
  <c r="BB60" i="2"/>
  <c r="AP60" i="2"/>
  <c r="AD60" i="2"/>
  <c r="R60" i="2"/>
  <c r="F60" i="2"/>
  <c r="AT58" i="2"/>
  <c r="AH58" i="2"/>
  <c r="V58" i="2"/>
  <c r="J58" i="2"/>
  <c r="AX56" i="2"/>
  <c r="AL56" i="2"/>
  <c r="Z56" i="2"/>
  <c r="N56" i="2"/>
  <c r="BB55" i="2"/>
  <c r="AP55" i="2"/>
  <c r="AD55" i="2"/>
  <c r="R55" i="2"/>
  <c r="F55" i="2"/>
  <c r="AT53" i="2"/>
  <c r="AH53" i="2"/>
  <c r="V53" i="2"/>
  <c r="J53" i="2"/>
  <c r="AX52" i="2"/>
  <c r="AL52" i="2"/>
  <c r="Z52" i="2"/>
  <c r="N52" i="2"/>
  <c r="BB49" i="2"/>
  <c r="AP49" i="2"/>
  <c r="AD49" i="2"/>
  <c r="R49" i="2"/>
  <c r="F49" i="2"/>
  <c r="AT48" i="2"/>
  <c r="AH48" i="2"/>
  <c r="V48" i="2"/>
  <c r="Y137" i="2"/>
  <c r="S131" i="2"/>
  <c r="AK125" i="2"/>
  <c r="AY121" i="2"/>
  <c r="AZ117" i="2"/>
  <c r="I115" i="2"/>
  <c r="AZ112" i="2"/>
  <c r="AK111" i="2"/>
  <c r="AJ110" i="2"/>
  <c r="Z106" i="2"/>
  <c r="V105" i="2"/>
  <c r="K104" i="2"/>
  <c r="H103" i="2"/>
  <c r="H102" i="2"/>
  <c r="AX100" i="2"/>
  <c r="AW99" i="2"/>
  <c r="AV98" i="2"/>
  <c r="BB95" i="2"/>
  <c r="P95" i="2"/>
  <c r="X94" i="2"/>
  <c r="AN93" i="2"/>
  <c r="BB92" i="2"/>
  <c r="U92" i="2"/>
  <c r="AQ91" i="2"/>
  <c r="BD90" i="2"/>
  <c r="X90" i="2"/>
  <c r="AN89" i="2"/>
  <c r="J89" i="2"/>
  <c r="AH88" i="2"/>
  <c r="BB87" i="2"/>
  <c r="AD87" i="2"/>
  <c r="F87" i="2"/>
  <c r="AH86" i="2"/>
  <c r="J86" i="2"/>
  <c r="AL85" i="2"/>
  <c r="N85" i="2"/>
  <c r="AP84" i="2"/>
  <c r="R84" i="2"/>
  <c r="AT83" i="2"/>
  <c r="V83" i="2"/>
  <c r="AX82" i="2"/>
  <c r="Z82" i="2"/>
  <c r="BB81" i="2"/>
  <c r="AD81" i="2"/>
  <c r="F81" i="2"/>
  <c r="AH80" i="2"/>
  <c r="J80" i="2"/>
  <c r="AL79" i="2"/>
  <c r="N79" i="2"/>
  <c r="AP78" i="2"/>
  <c r="R78" i="2"/>
  <c r="AT77" i="2"/>
  <c r="V77" i="2"/>
  <c r="AX74" i="2"/>
  <c r="Z74" i="2"/>
  <c r="BB73" i="2"/>
  <c r="AF73" i="2"/>
  <c r="P73" i="2"/>
  <c r="BD71" i="2"/>
  <c r="AR71" i="2"/>
  <c r="AF71" i="2"/>
  <c r="T71" i="2"/>
  <c r="H71" i="2"/>
  <c r="AV70" i="2"/>
  <c r="AJ70" i="2"/>
  <c r="X70" i="2"/>
  <c r="L70" i="2"/>
  <c r="AZ68" i="2"/>
  <c r="AN68" i="2"/>
  <c r="AB68" i="2"/>
  <c r="P68" i="2"/>
  <c r="BD67" i="2"/>
  <c r="AR67" i="2"/>
  <c r="AF67" i="2"/>
  <c r="T67" i="2"/>
  <c r="H67" i="2"/>
  <c r="AV65" i="2"/>
  <c r="AJ65" i="2"/>
  <c r="X65" i="2"/>
  <c r="L65" i="2"/>
  <c r="AZ64" i="2"/>
  <c r="AN64" i="2"/>
  <c r="AB64" i="2"/>
  <c r="BC134" i="2"/>
  <c r="BD130" i="2"/>
  <c r="M125" i="2"/>
  <c r="AR120" i="2"/>
  <c r="AB117" i="2"/>
  <c r="AD114" i="2"/>
  <c r="AR112" i="2"/>
  <c r="AF111" i="2"/>
  <c r="V110" i="2"/>
  <c r="R106" i="2"/>
  <c r="G105" i="2"/>
  <c r="BD103" i="2"/>
  <c r="BD102" i="2"/>
  <c r="AT101" i="2"/>
  <c r="AP100" i="2"/>
  <c r="AJ99" i="2"/>
  <c r="AO98" i="2"/>
  <c r="AZ95" i="2"/>
  <c r="E95" i="2"/>
  <c r="U94" i="2"/>
  <c r="AE93" i="2"/>
  <c r="AY92" i="2"/>
  <c r="S92" i="2"/>
  <c r="AG91" i="2"/>
  <c r="AZ90" i="2"/>
  <c r="N90" i="2"/>
  <c r="AJ89" i="2"/>
  <c r="H89" i="2"/>
  <c r="Z88" i="2"/>
  <c r="AY87" i="2"/>
  <c r="AA87" i="2"/>
  <c r="BC86" i="2"/>
  <c r="AE86" i="2"/>
  <c r="G86" i="2"/>
  <c r="AI85" i="2"/>
  <c r="K85" i="2"/>
  <c r="AM84" i="2"/>
  <c r="O84" i="2"/>
  <c r="AQ83" i="2"/>
  <c r="S83" i="2"/>
  <c r="AU82" i="2"/>
  <c r="W82" i="2"/>
  <c r="AY81" i="2"/>
  <c r="AA81" i="2"/>
  <c r="BC80" i="2"/>
  <c r="AE80" i="2"/>
  <c r="G80" i="2"/>
  <c r="AI79" i="2"/>
  <c r="K79" i="2"/>
  <c r="AM78" i="2"/>
  <c r="O78" i="2"/>
  <c r="AQ77" i="2"/>
  <c r="S77" i="2"/>
  <c r="AU74" i="2"/>
  <c r="W74" i="2"/>
  <c r="AY73" i="2"/>
  <c r="AD73" i="2"/>
  <c r="N73" i="2"/>
  <c r="BB71" i="2"/>
  <c r="AP71" i="2"/>
  <c r="AD71" i="2"/>
  <c r="R71" i="2"/>
  <c r="F71" i="2"/>
  <c r="AT70" i="2"/>
  <c r="AH70" i="2"/>
  <c r="V70" i="2"/>
  <c r="J70" i="2"/>
  <c r="AX68" i="2"/>
  <c r="AL68" i="2"/>
  <c r="Z68" i="2"/>
  <c r="N68" i="2"/>
  <c r="BB67" i="2"/>
  <c r="AP67" i="2"/>
  <c r="AD67" i="2"/>
  <c r="R67" i="2"/>
  <c r="F67" i="2"/>
  <c r="AT65" i="2"/>
  <c r="AH65" i="2"/>
  <c r="V65" i="2"/>
  <c r="J65" i="2"/>
  <c r="AX64" i="2"/>
  <c r="AL64" i="2"/>
  <c r="Z64" i="2"/>
  <c r="N64" i="2"/>
  <c r="BB63" i="2"/>
  <c r="AP63" i="2"/>
  <c r="AD63" i="2"/>
  <c r="R63" i="2"/>
  <c r="F63" i="2"/>
  <c r="AT61" i="2"/>
  <c r="AH61" i="2"/>
  <c r="V61" i="2"/>
  <c r="AZ139" i="2"/>
  <c r="Q124" i="2"/>
  <c r="AF116" i="2"/>
  <c r="AJ111" i="2"/>
  <c r="BC105" i="2"/>
  <c r="N103" i="2"/>
  <c r="AN100" i="2"/>
  <c r="Z98" i="2"/>
  <c r="V94" i="2"/>
  <c r="AV92" i="2"/>
  <c r="F91" i="2"/>
  <c r="AI89" i="2"/>
  <c r="V88" i="2"/>
  <c r="BD86" i="2"/>
  <c r="E86" i="2"/>
  <c r="AQ84" i="2"/>
  <c r="AP83" i="2"/>
  <c r="AM82" i="2"/>
  <c r="AB81" i="2"/>
  <c r="AC80" i="2"/>
  <c r="O79" i="2"/>
  <c r="N78" i="2"/>
  <c r="K77" i="2"/>
  <c r="AZ73" i="2"/>
  <c r="L73" i="2"/>
  <c r="AG71" i="2"/>
  <c r="E71" i="2"/>
  <c r="AE70" i="2"/>
  <c r="AY68" i="2"/>
  <c r="X68" i="2"/>
  <c r="AS67" i="2"/>
  <c r="Q67" i="2"/>
  <c r="AQ65" i="2"/>
  <c r="K65" i="2"/>
  <c r="AJ64" i="2"/>
  <c r="K64" i="2"/>
  <c r="AM63" i="2"/>
  <c r="O63" i="2"/>
  <c r="AQ61" i="2"/>
  <c r="S61" i="2"/>
  <c r="AW60" i="2"/>
  <c r="AC60" i="2"/>
  <c r="M60" i="2"/>
  <c r="AS58" i="2"/>
  <c r="AC58" i="2"/>
  <c r="I58" i="2"/>
  <c r="AS56" i="2"/>
  <c r="Y56" i="2"/>
  <c r="I56" i="2"/>
  <c r="AO55" i="2"/>
  <c r="Y55" i="2"/>
  <c r="E55" i="2"/>
  <c r="AO53" i="2"/>
  <c r="U53" i="2"/>
  <c r="E53" i="2"/>
  <c r="AK52" i="2"/>
  <c r="U52" i="2"/>
  <c r="BA49" i="2"/>
  <c r="AK49" i="2"/>
  <c r="Q49" i="2"/>
  <c r="BA48" i="2"/>
  <c r="AG48" i="2"/>
  <c r="Q48" i="2"/>
  <c r="BB45" i="2"/>
  <c r="AL45" i="2"/>
  <c r="Z45" i="2"/>
  <c r="N45" i="2"/>
  <c r="BB44" i="2"/>
  <c r="AP44" i="2"/>
  <c r="AD44" i="2"/>
  <c r="R44" i="2"/>
  <c r="F44" i="2"/>
  <c r="AT43" i="2"/>
  <c r="AH43" i="2"/>
  <c r="V43" i="2"/>
  <c r="J43" i="2"/>
  <c r="AX40" i="2"/>
  <c r="AL40" i="2"/>
  <c r="Z40" i="2"/>
  <c r="N40" i="2"/>
  <c r="BB39" i="2"/>
  <c r="AP39" i="2"/>
  <c r="AD39" i="2"/>
  <c r="R39" i="2"/>
  <c r="F39" i="2"/>
  <c r="AT38" i="2"/>
  <c r="AH38" i="2"/>
  <c r="V38" i="2"/>
  <c r="J38" i="2"/>
  <c r="AX34" i="2"/>
  <c r="AL34" i="2"/>
  <c r="Z34" i="2"/>
  <c r="N34" i="2"/>
  <c r="BB33" i="2"/>
  <c r="AP33" i="2"/>
  <c r="AD33" i="2"/>
  <c r="R33" i="2"/>
  <c r="F33" i="2"/>
  <c r="AT32" i="2"/>
  <c r="AH32" i="2"/>
  <c r="V32" i="2"/>
  <c r="J32" i="2"/>
  <c r="AX30" i="2"/>
  <c r="AL30" i="2"/>
  <c r="Z30" i="2"/>
  <c r="N30" i="2"/>
  <c r="BB29" i="2"/>
  <c r="AP29" i="2"/>
  <c r="AD29" i="2"/>
  <c r="R29" i="2"/>
  <c r="F29" i="2"/>
  <c r="AT28" i="2"/>
  <c r="AH28" i="2"/>
  <c r="V28" i="2"/>
  <c r="J28" i="2"/>
  <c r="AX27" i="2"/>
  <c r="AL27" i="2"/>
  <c r="Z27" i="2"/>
  <c r="N27" i="2"/>
  <c r="BB26" i="2"/>
  <c r="AP26" i="2"/>
  <c r="AD26" i="2"/>
  <c r="R26" i="2"/>
  <c r="F26" i="2"/>
  <c r="AT25" i="2"/>
  <c r="AH25" i="2"/>
  <c r="V25" i="2"/>
  <c r="J25" i="2"/>
  <c r="AX24" i="2"/>
  <c r="AL24" i="2"/>
  <c r="Z24" i="2"/>
  <c r="N24" i="2"/>
  <c r="BB20" i="2"/>
  <c r="AP20" i="2"/>
  <c r="AD20" i="2"/>
  <c r="R20" i="2"/>
  <c r="F20" i="2"/>
  <c r="AT19" i="2"/>
  <c r="AH19" i="2"/>
  <c r="V19" i="2"/>
  <c r="J19" i="2"/>
  <c r="AX17" i="2"/>
  <c r="P137" i="2"/>
  <c r="J124" i="2"/>
  <c r="J115" i="2"/>
  <c r="S111" i="2"/>
  <c r="BB105" i="2"/>
  <c r="F103" i="2"/>
  <c r="AA100" i="2"/>
  <c r="BD95" i="2"/>
  <c r="T94" i="2"/>
  <c r="AN92" i="2"/>
  <c r="BA90" i="2"/>
  <c r="AH89" i="2"/>
  <c r="BC87" i="2"/>
  <c r="BB86" i="2"/>
  <c r="AY85" i="2"/>
  <c r="AN84" i="2"/>
  <c r="AO83" i="2"/>
  <c r="AA82" i="2"/>
  <c r="Z81" i="2"/>
  <c r="W80" i="2"/>
  <c r="L79" i="2"/>
  <c r="M78" i="2"/>
  <c r="AY74" i="2"/>
  <c r="AX73" i="2"/>
  <c r="K73" i="2"/>
  <c r="AE71" i="2"/>
  <c r="BD70" i="2"/>
  <c r="Y70" i="2"/>
  <c r="AW68" i="2"/>
  <c r="W68" i="2"/>
  <c r="AQ67" i="2"/>
  <c r="P67" i="2"/>
  <c r="AK65" i="2"/>
  <c r="I65" i="2"/>
  <c r="AI64" i="2"/>
  <c r="E64" i="2"/>
  <c r="AG63" i="2"/>
  <c r="I63" i="2"/>
  <c r="AK61" i="2"/>
  <c r="M61" i="2"/>
  <c r="AV60" i="2"/>
  <c r="AB60" i="2"/>
  <c r="L60" i="2"/>
  <c r="AR58" i="2"/>
  <c r="AB58" i="2"/>
  <c r="H58" i="2"/>
  <c r="AR56" i="2"/>
  <c r="X56" i="2"/>
  <c r="H56" i="2"/>
  <c r="AN55" i="2"/>
  <c r="X55" i="2"/>
  <c r="BD53" i="2"/>
  <c r="AN53" i="2"/>
  <c r="T53" i="2"/>
  <c r="BD52" i="2"/>
  <c r="AJ52" i="2"/>
  <c r="T52" i="2"/>
  <c r="AZ49" i="2"/>
  <c r="AJ49" i="2"/>
  <c r="P49" i="2"/>
  <c r="AZ48" i="2"/>
  <c r="AF48" i="2"/>
  <c r="P48" i="2"/>
  <c r="AY45" i="2"/>
  <c r="AK45" i="2"/>
  <c r="Y45" i="2"/>
  <c r="M45" i="2"/>
  <c r="BA44" i="2"/>
  <c r="AO44" i="2"/>
  <c r="AC44" i="2"/>
  <c r="Q44" i="2"/>
  <c r="E44" i="2"/>
  <c r="AS43" i="2"/>
  <c r="AG43" i="2"/>
  <c r="U43" i="2"/>
  <c r="I43" i="2"/>
  <c r="AW40" i="2"/>
  <c r="AK40" i="2"/>
  <c r="Y40" i="2"/>
  <c r="M40" i="2"/>
  <c r="BA39" i="2"/>
  <c r="AO39" i="2"/>
  <c r="AC39" i="2"/>
  <c r="Q39" i="2"/>
  <c r="E39" i="2"/>
  <c r="AS38" i="2"/>
  <c r="AG38" i="2"/>
  <c r="U38" i="2"/>
  <c r="I38" i="2"/>
  <c r="AW34" i="2"/>
  <c r="AK34" i="2"/>
  <c r="Y34" i="2"/>
  <c r="M34" i="2"/>
  <c r="BA33" i="2"/>
  <c r="AO33" i="2"/>
  <c r="AC33" i="2"/>
  <c r="Q33" i="2"/>
  <c r="E33" i="2"/>
  <c r="AS32" i="2"/>
  <c r="AG32" i="2"/>
  <c r="U32" i="2"/>
  <c r="I32" i="2"/>
  <c r="AW30" i="2"/>
  <c r="AK30" i="2"/>
  <c r="Y30" i="2"/>
  <c r="M30" i="2"/>
  <c r="BA29" i="2"/>
  <c r="AO29" i="2"/>
  <c r="AC29" i="2"/>
  <c r="Q29" i="2"/>
  <c r="E29" i="2"/>
  <c r="AS28" i="2"/>
  <c r="AG28" i="2"/>
  <c r="U28" i="2"/>
  <c r="I28" i="2"/>
  <c r="AW27" i="2"/>
  <c r="AK27" i="2"/>
  <c r="Y27" i="2"/>
  <c r="M27" i="2"/>
  <c r="BA26" i="2"/>
  <c r="AO26" i="2"/>
  <c r="AC26" i="2"/>
  <c r="Q26" i="2"/>
  <c r="E26" i="2"/>
  <c r="AS25" i="2"/>
  <c r="AG25" i="2"/>
  <c r="U25" i="2"/>
  <c r="I25" i="2"/>
  <c r="AW24" i="2"/>
  <c r="AZ134" i="2"/>
  <c r="BD123" i="2"/>
  <c r="BB114" i="2"/>
  <c r="R111" i="2"/>
  <c r="X105" i="2"/>
  <c r="AQ102" i="2"/>
  <c r="Z100" i="2"/>
  <c r="BA95" i="2"/>
  <c r="J94" i="2"/>
  <c r="X92" i="2"/>
  <c r="AY90" i="2"/>
  <c r="AA89" i="2"/>
  <c r="AZ87" i="2"/>
  <c r="BA86" i="2"/>
  <c r="AM85" i="2"/>
  <c r="AL84" i="2"/>
  <c r="AI83" i="2"/>
  <c r="X82" i="2"/>
  <c r="Y81" i="2"/>
  <c r="K80" i="2"/>
  <c r="J79" i="2"/>
  <c r="G78" i="2"/>
  <c r="AV74" i="2"/>
  <c r="AW73" i="2"/>
  <c r="E73" i="2"/>
  <c r="AC71" i="2"/>
  <c r="BC70" i="2"/>
  <c r="W70" i="2"/>
  <c r="AV68" i="2"/>
  <c r="Q68" i="2"/>
  <c r="AO67" i="2"/>
  <c r="O67" i="2"/>
  <c r="AI65" i="2"/>
  <c r="H65" i="2"/>
  <c r="AC64" i="2"/>
  <c r="Z134" i="2"/>
  <c r="H122" i="2"/>
  <c r="T114" i="2"/>
  <c r="L111" i="2"/>
  <c r="T105" i="2"/>
  <c r="U134" i="2"/>
  <c r="BC120" i="2"/>
  <c r="M114" i="2"/>
  <c r="AL110" i="2"/>
  <c r="F105" i="2"/>
  <c r="AJ102" i="2"/>
  <c r="AV99" i="2"/>
  <c r="AN95" i="2"/>
  <c r="AO93" i="2"/>
  <c r="K92" i="2"/>
  <c r="AO90" i="2"/>
  <c r="I89" i="2"/>
  <c r="AW87" i="2"/>
  <c r="AI86" i="2"/>
  <c r="AH85" i="2"/>
  <c r="AE84" i="2"/>
  <c r="T83" i="2"/>
  <c r="U82" i="2"/>
  <c r="G81" i="2"/>
  <c r="F80" i="2"/>
  <c r="BC78" i="2"/>
  <c r="AR77" i="2"/>
  <c r="AS74" i="2"/>
  <c r="AH73" i="2"/>
  <c r="BA71" i="2"/>
  <c r="AA71" i="2"/>
  <c r="AU70" i="2"/>
  <c r="T70" i="2"/>
  <c r="AO68" i="2"/>
  <c r="M68" i="2"/>
  <c r="AM67" i="2"/>
  <c r="G67" i="2"/>
  <c r="AF65" i="2"/>
  <c r="BA64" i="2"/>
  <c r="Y64" i="2"/>
  <c r="BA63" i="2"/>
  <c r="AC63" i="2"/>
  <c r="E63" i="2"/>
  <c r="AG61" i="2"/>
  <c r="J61" i="2"/>
  <c r="AO60" i="2"/>
  <c r="Y60" i="2"/>
  <c r="E60" i="2"/>
  <c r="AO58" i="2"/>
  <c r="U58" i="2"/>
  <c r="E58" i="2"/>
  <c r="AK56" i="2"/>
  <c r="U56" i="2"/>
  <c r="H131" i="2"/>
  <c r="Z120" i="2"/>
  <c r="R113" i="2"/>
  <c r="P110" i="2"/>
  <c r="AX104" i="2"/>
  <c r="AU101" i="2"/>
  <c r="AF99" i="2"/>
  <c r="Q95" i="2"/>
  <c r="AC93" i="2"/>
  <c r="G92" i="2"/>
  <c r="W90" i="2"/>
  <c r="AY88" i="2"/>
  <c r="AE87" i="2"/>
  <c r="AD86" i="2"/>
  <c r="AA85" i="2"/>
  <c r="P84" i="2"/>
  <c r="Q83" i="2"/>
  <c r="BC81" i="2"/>
  <c r="BB80" i="2"/>
  <c r="AY79" i="2"/>
  <c r="AN78" i="2"/>
  <c r="AO77" i="2"/>
  <c r="AA74" i="2"/>
  <c r="AB73" i="2"/>
  <c r="AY71" i="2"/>
  <c r="S71" i="2"/>
  <c r="AR70" i="2"/>
  <c r="M70" i="2"/>
  <c r="AK68" i="2"/>
  <c r="K68" i="2"/>
  <c r="AE67" i="2"/>
  <c r="BD65" i="2"/>
  <c r="Y65" i="2"/>
  <c r="AW64" i="2"/>
  <c r="W64" i="2"/>
  <c r="AY63" i="2"/>
  <c r="AA63" i="2"/>
  <c r="BC61" i="2"/>
  <c r="AE61" i="2"/>
  <c r="H61" i="2"/>
  <c r="AM60" i="2"/>
  <c r="W60" i="2"/>
  <c r="BC58" i="2"/>
  <c r="AM58" i="2"/>
  <c r="S58" i="2"/>
  <c r="BC56" i="2"/>
  <c r="AI56" i="2"/>
  <c r="S56" i="2"/>
  <c r="AY55" i="2"/>
  <c r="AI55" i="2"/>
  <c r="O55" i="2"/>
  <c r="AY53" i="2"/>
  <c r="AE53" i="2"/>
  <c r="O53" i="2"/>
  <c r="AU52" i="2"/>
  <c r="AE52" i="2"/>
  <c r="K52" i="2"/>
  <c r="AU49" i="2"/>
  <c r="AA49" i="2"/>
  <c r="K49" i="2"/>
  <c r="AQ48" i="2"/>
  <c r="AA48" i="2"/>
  <c r="H48" i="2"/>
  <c r="AT45" i="2"/>
  <c r="AF45" i="2"/>
  <c r="T45" i="2"/>
  <c r="H45" i="2"/>
  <c r="AV44" i="2"/>
  <c r="AJ44" i="2"/>
  <c r="X44" i="2"/>
  <c r="L44" i="2"/>
  <c r="AZ43" i="2"/>
  <c r="AN43" i="2"/>
  <c r="AB43" i="2"/>
  <c r="P43" i="2"/>
  <c r="BD40" i="2"/>
  <c r="AR40" i="2"/>
  <c r="AF40" i="2"/>
  <c r="T40" i="2"/>
  <c r="H40" i="2"/>
  <c r="AV39" i="2"/>
  <c r="AJ39" i="2"/>
  <c r="X39" i="2"/>
  <c r="L39" i="2"/>
  <c r="AZ38" i="2"/>
  <c r="AN38" i="2"/>
  <c r="AB38" i="2"/>
  <c r="P38" i="2"/>
  <c r="BD34" i="2"/>
  <c r="AR34" i="2"/>
  <c r="AF34" i="2"/>
  <c r="T34" i="2"/>
  <c r="H34" i="2"/>
  <c r="AV33" i="2"/>
  <c r="AJ33" i="2"/>
  <c r="X33" i="2"/>
  <c r="L33" i="2"/>
  <c r="AZ32" i="2"/>
  <c r="AN32" i="2"/>
  <c r="AB32" i="2"/>
  <c r="AP130" i="2"/>
  <c r="P120" i="2"/>
  <c r="AY112" i="2"/>
  <c r="N110" i="2"/>
  <c r="X104" i="2"/>
  <c r="AN101" i="2"/>
  <c r="AE99" i="2"/>
  <c r="F95" i="2"/>
  <c r="AA93" i="2"/>
  <c r="AR91" i="2"/>
  <c r="M90" i="2"/>
  <c r="AW88" i="2"/>
  <c r="AB87" i="2"/>
  <c r="AC86" i="2"/>
  <c r="O85" i="2"/>
  <c r="N84" i="2"/>
  <c r="K83" i="2"/>
  <c r="AZ81" i="2"/>
  <c r="BA80" i="2"/>
  <c r="AM79" i="2"/>
  <c r="AL78" i="2"/>
  <c r="AI77" i="2"/>
  <c r="X74" i="2"/>
  <c r="AA73" i="2"/>
  <c r="AS71" i="2"/>
  <c r="Q71" i="2"/>
  <c r="AQ70" i="2"/>
  <c r="K70" i="2"/>
  <c r="AJ68" i="2"/>
  <c r="E68" i="2"/>
  <c r="AC67" i="2"/>
  <c r="BC65" i="2"/>
  <c r="W65" i="2"/>
  <c r="AV64" i="2"/>
  <c r="Q64" i="2"/>
  <c r="AS63" i="2"/>
  <c r="U63" i="2"/>
  <c r="AW61" i="2"/>
  <c r="Y61" i="2"/>
  <c r="G61" i="2"/>
  <c r="AL60" i="2"/>
  <c r="V60" i="2"/>
  <c r="BB58" i="2"/>
  <c r="AL58" i="2"/>
  <c r="R58" i="2"/>
  <c r="BB56" i="2"/>
  <c r="AH56" i="2"/>
  <c r="R56" i="2"/>
  <c r="AX55" i="2"/>
  <c r="AH55" i="2"/>
  <c r="N55" i="2"/>
  <c r="AX53" i="2"/>
  <c r="AD53" i="2"/>
  <c r="N53" i="2"/>
  <c r="AT52" i="2"/>
  <c r="AD52" i="2"/>
  <c r="J52" i="2"/>
  <c r="AT49" i="2"/>
  <c r="Z49" i="2"/>
  <c r="J49" i="2"/>
  <c r="AP48" i="2"/>
  <c r="Z48" i="2"/>
  <c r="G48" i="2"/>
  <c r="AS45" i="2"/>
  <c r="AE45" i="2"/>
  <c r="S45" i="2"/>
  <c r="G45" i="2"/>
  <c r="AU44" i="2"/>
  <c r="AI44" i="2"/>
  <c r="W44" i="2"/>
  <c r="K44" i="2"/>
  <c r="AY43" i="2"/>
  <c r="AM43" i="2"/>
  <c r="AA43" i="2"/>
  <c r="O43" i="2"/>
  <c r="BC40" i="2"/>
  <c r="AQ40" i="2"/>
  <c r="AE40" i="2"/>
  <c r="S40" i="2"/>
  <c r="G40" i="2"/>
  <c r="AU39" i="2"/>
  <c r="AI39" i="2"/>
  <c r="W39" i="2"/>
  <c r="K39" i="2"/>
  <c r="AY38" i="2"/>
  <c r="AM38" i="2"/>
  <c r="AA38" i="2"/>
  <c r="O38" i="2"/>
  <c r="BC34" i="2"/>
  <c r="AQ34" i="2"/>
  <c r="AE34" i="2"/>
  <c r="S34" i="2"/>
  <c r="G34" i="2"/>
  <c r="AU33" i="2"/>
  <c r="AI33" i="2"/>
  <c r="W33" i="2"/>
  <c r="K33" i="2"/>
  <c r="AY32" i="2"/>
  <c r="AM32" i="2"/>
  <c r="AA32" i="2"/>
  <c r="O32" i="2"/>
  <c r="BC30" i="2"/>
  <c r="AQ30" i="2"/>
  <c r="AE30" i="2"/>
  <c r="S30" i="2"/>
  <c r="G30" i="2"/>
  <c r="AU29" i="2"/>
  <c r="AI29" i="2"/>
  <c r="W29" i="2"/>
  <c r="K29" i="2"/>
  <c r="AY28" i="2"/>
  <c r="AM28" i="2"/>
  <c r="AA28" i="2"/>
  <c r="O28" i="2"/>
  <c r="BC27" i="2"/>
  <c r="AQ27" i="2"/>
  <c r="AE27" i="2"/>
  <c r="S27" i="2"/>
  <c r="G27" i="2"/>
  <c r="AU26" i="2"/>
  <c r="AI26" i="2"/>
  <c r="W26" i="2"/>
  <c r="K26" i="2"/>
  <c r="AY25" i="2"/>
  <c r="AM25" i="2"/>
  <c r="AA25" i="2"/>
  <c r="O25" i="2"/>
  <c r="O132" i="2"/>
  <c r="AM112" i="2"/>
  <c r="AM103" i="2"/>
  <c r="AL98" i="2"/>
  <c r="AX92" i="2"/>
  <c r="AM89" i="2"/>
  <c r="G87" i="2"/>
  <c r="BC84" i="2"/>
  <c r="AS82" i="2"/>
  <c r="AD80" i="2"/>
  <c r="P78" i="2"/>
  <c r="BC73" i="2"/>
  <c r="AM71" i="2"/>
  <c r="AF70" i="2"/>
  <c r="Y68" i="2"/>
  <c r="S67" i="2"/>
  <c r="M65" i="2"/>
  <c r="L64" i="2"/>
  <c r="S63" i="2"/>
  <c r="AF61" i="2"/>
  <c r="AU60" i="2"/>
  <c r="O60" i="2"/>
  <c r="AG58" i="2"/>
  <c r="F58" i="2"/>
  <c r="AD56" i="2"/>
  <c r="AW55" i="2"/>
  <c r="W55" i="2"/>
  <c r="AS53" i="2"/>
  <c r="S53" i="2"/>
  <c r="AS52" i="2"/>
  <c r="S52" i="2"/>
  <c r="AO49" i="2"/>
  <c r="O49" i="2"/>
  <c r="AO48" i="2"/>
  <c r="O48" i="2"/>
  <c r="AR45" i="2"/>
  <c r="X45" i="2"/>
  <c r="F45" i="2"/>
  <c r="AN44" i="2"/>
  <c r="V44" i="2"/>
  <c r="BD43" i="2"/>
  <c r="AL43" i="2"/>
  <c r="T43" i="2"/>
  <c r="BB40" i="2"/>
  <c r="AJ40" i="2"/>
  <c r="R40" i="2"/>
  <c r="AZ39" i="2"/>
  <c r="AH39" i="2"/>
  <c r="P39" i="2"/>
  <c r="AX38" i="2"/>
  <c r="AF38" i="2"/>
  <c r="N38" i="2"/>
  <c r="AV34" i="2"/>
  <c r="AD34" i="2"/>
  <c r="L34" i="2"/>
  <c r="AF130" i="2"/>
  <c r="U112" i="2"/>
  <c r="AP102" i="2"/>
  <c r="AO95" i="2"/>
  <c r="T92" i="2"/>
  <c r="L89" i="2"/>
  <c r="AU86" i="2"/>
  <c r="AK84" i="2"/>
  <c r="V82" i="2"/>
  <c r="H80" i="2"/>
  <c r="AU77" i="2"/>
  <c r="AQ73" i="2"/>
  <c r="AB71" i="2"/>
  <c r="U70" i="2"/>
  <c r="O68" i="2"/>
  <c r="I67" i="2"/>
  <c r="G65" i="2"/>
  <c r="BD63" i="2"/>
  <c r="Q63" i="2"/>
  <c r="X61" i="2"/>
  <c r="AT60" i="2"/>
  <c r="N60" i="2"/>
  <c r="AF58" i="2"/>
  <c r="BD56" i="2"/>
  <c r="W56" i="2"/>
  <c r="AV55" i="2"/>
  <c r="V55" i="2"/>
  <c r="AR53" i="2"/>
  <c r="R53" i="2"/>
  <c r="AR52" i="2"/>
  <c r="R52" i="2"/>
  <c r="AN49" i="2"/>
  <c r="N49" i="2"/>
  <c r="AN48" i="2"/>
  <c r="N48" i="2"/>
  <c r="AQ45" i="2"/>
  <c r="W45" i="2"/>
  <c r="E45" i="2"/>
  <c r="AM44" i="2"/>
  <c r="U44" i="2"/>
  <c r="BC43" i="2"/>
  <c r="AK43" i="2"/>
  <c r="S43" i="2"/>
  <c r="BA40" i="2"/>
  <c r="AI40" i="2"/>
  <c r="Q40" i="2"/>
  <c r="AY39" i="2"/>
  <c r="AG39" i="2"/>
  <c r="O39" i="2"/>
  <c r="AW38" i="2"/>
  <c r="AE38" i="2"/>
  <c r="M38" i="2"/>
  <c r="AU34" i="2"/>
  <c r="AC34" i="2"/>
  <c r="K34" i="2"/>
  <c r="AS33" i="2"/>
  <c r="AA33" i="2"/>
  <c r="I33" i="2"/>
  <c r="AQ32" i="2"/>
  <c r="Y32" i="2"/>
  <c r="H32" i="2"/>
  <c r="AS30" i="2"/>
  <c r="AC30" i="2"/>
  <c r="L30" i="2"/>
  <c r="AW29" i="2"/>
  <c r="AG29" i="2"/>
  <c r="P29" i="2"/>
  <c r="BA28" i="2"/>
  <c r="AK28" i="2"/>
  <c r="T28" i="2"/>
  <c r="E28" i="2"/>
  <c r="AO27" i="2"/>
  <c r="X27" i="2"/>
  <c r="I27" i="2"/>
  <c r="AS26" i="2"/>
  <c r="AB26" i="2"/>
  <c r="M26" i="2"/>
  <c r="AW25" i="2"/>
  <c r="AF25" i="2"/>
  <c r="Q25" i="2"/>
  <c r="BB24" i="2"/>
  <c r="AN24" i="2"/>
  <c r="AA24" i="2"/>
  <c r="M24" i="2"/>
  <c r="AZ20" i="2"/>
  <c r="AM20" i="2"/>
  <c r="Z20" i="2"/>
  <c r="M20" i="2"/>
  <c r="AZ19" i="2"/>
  <c r="AM19" i="2"/>
  <c r="Z19" i="2"/>
  <c r="M19" i="2"/>
  <c r="AZ17" i="2"/>
  <c r="AM17" i="2"/>
  <c r="AA17" i="2"/>
  <c r="O17" i="2"/>
  <c r="BC16" i="2"/>
  <c r="AQ16" i="2"/>
  <c r="AE16" i="2"/>
  <c r="S16" i="2"/>
  <c r="G16" i="2"/>
  <c r="AU14" i="2"/>
  <c r="AI14" i="2"/>
  <c r="W14" i="2"/>
  <c r="K14" i="2"/>
  <c r="AY13" i="2"/>
  <c r="AM13" i="2"/>
  <c r="AA13" i="2"/>
  <c r="O13" i="2"/>
  <c r="BC12" i="2"/>
  <c r="AQ12" i="2"/>
  <c r="AE12" i="2"/>
  <c r="S12" i="2"/>
  <c r="G12" i="2"/>
  <c r="AU10" i="2"/>
  <c r="AI10" i="2"/>
  <c r="W10" i="2"/>
  <c r="K10" i="2"/>
  <c r="AY8" i="2"/>
  <c r="AM8" i="2"/>
  <c r="AA8" i="2"/>
  <c r="O8" i="2"/>
  <c r="BC7" i="2"/>
  <c r="AQ7" i="2"/>
  <c r="AE7" i="2"/>
  <c r="S7" i="2"/>
  <c r="G7" i="2"/>
  <c r="AU6" i="2"/>
  <c r="AI6" i="2"/>
  <c r="W6" i="2"/>
  <c r="K6" i="2"/>
  <c r="AY4" i="2"/>
  <c r="AM4" i="2"/>
  <c r="AA4" i="2"/>
  <c r="O4" i="2"/>
  <c r="AW3" i="2"/>
  <c r="AK3" i="2"/>
  <c r="Y3" i="2"/>
  <c r="M3" i="2"/>
  <c r="BB16" i="2"/>
  <c r="R16" i="2"/>
  <c r="F16" i="2"/>
  <c r="AH14" i="2"/>
  <c r="J14" i="2"/>
  <c r="AX13" i="2"/>
  <c r="Z13" i="2"/>
  <c r="N13" i="2"/>
  <c r="AP12" i="2"/>
  <c r="R12" i="2"/>
  <c r="AT10" i="2"/>
  <c r="V10" i="2"/>
  <c r="AX8" i="2"/>
  <c r="Z8" i="2"/>
  <c r="N8" i="2"/>
  <c r="AP7" i="2"/>
  <c r="F7" i="2"/>
  <c r="AH6" i="2"/>
  <c r="J6" i="2"/>
  <c r="AL4" i="2"/>
  <c r="N4" i="2"/>
  <c r="AJ3" i="2"/>
  <c r="L3" i="2"/>
  <c r="AJ101" i="2"/>
  <c r="T77" i="2"/>
  <c r="H70" i="2"/>
  <c r="AO64" i="2"/>
  <c r="T61" i="2"/>
  <c r="AU56" i="2"/>
  <c r="AM55" i="2"/>
  <c r="I53" i="2"/>
  <c r="AI49" i="2"/>
  <c r="F48" i="2"/>
  <c r="AH44" i="2"/>
  <c r="AF43" i="2"/>
  <c r="AD40" i="2"/>
  <c r="AB39" i="2"/>
  <c r="AR38" i="2"/>
  <c r="AP34" i="2"/>
  <c r="AN33" i="2"/>
  <c r="BD32" i="2"/>
  <c r="E32" i="2"/>
  <c r="I30" i="2"/>
  <c r="M29" i="2"/>
  <c r="Q28" i="2"/>
  <c r="AJ27" i="2"/>
  <c r="AN26" i="2"/>
  <c r="I26" i="2"/>
  <c r="M25" i="2"/>
  <c r="AJ24" i="2"/>
  <c r="AW20" i="2"/>
  <c r="J20" i="2"/>
  <c r="AJ19" i="2"/>
  <c r="AV17" i="2"/>
  <c r="X17" i="2"/>
  <c r="AN16" i="2"/>
  <c r="P16" i="2"/>
  <c r="AR14" i="2"/>
  <c r="H14" i="2"/>
  <c r="AJ13" i="2"/>
  <c r="AZ12" i="2"/>
  <c r="AB12" i="2"/>
  <c r="AR10" i="2"/>
  <c r="T10" i="2"/>
  <c r="X8" i="2"/>
  <c r="AN7" i="2"/>
  <c r="P7" i="2"/>
  <c r="AF6" i="2"/>
  <c r="H6" i="2"/>
  <c r="AJ4" i="2"/>
  <c r="AT3" i="2"/>
  <c r="AJ129" i="2"/>
  <c r="AQ111" i="2"/>
  <c r="J102" i="2"/>
  <c r="AL95" i="2"/>
  <c r="I92" i="2"/>
  <c r="AZ88" i="2"/>
  <c r="AF86" i="2"/>
  <c r="S84" i="2"/>
  <c r="O82" i="2"/>
  <c r="E80" i="2"/>
  <c r="AP77" i="2"/>
  <c r="AE73" i="2"/>
  <c r="U71" i="2"/>
  <c r="S70" i="2"/>
  <c r="L68" i="2"/>
  <c r="E67" i="2"/>
  <c r="AY64" i="2"/>
  <c r="BC63" i="2"/>
  <c r="P63" i="2"/>
  <c r="W61" i="2"/>
  <c r="AN60" i="2"/>
  <c r="K60" i="2"/>
  <c r="AE58" i="2"/>
  <c r="AW56" i="2"/>
  <c r="V56" i="2"/>
  <c r="AU55" i="2"/>
  <c r="Q55" i="2"/>
  <c r="AQ53" i="2"/>
  <c r="Q53" i="2"/>
  <c r="AQ52" i="2"/>
  <c r="M52" i="2"/>
  <c r="AM49" i="2"/>
  <c r="M49" i="2"/>
  <c r="AM48" i="2"/>
  <c r="J48" i="2"/>
  <c r="AP45" i="2"/>
  <c r="V45" i="2"/>
  <c r="BD44" i="2"/>
  <c r="AL44" i="2"/>
  <c r="T44" i="2"/>
  <c r="BB43" i="2"/>
  <c r="AJ43" i="2"/>
  <c r="R43" i="2"/>
  <c r="AZ40" i="2"/>
  <c r="AH40" i="2"/>
  <c r="P40" i="2"/>
  <c r="AX39" i="2"/>
  <c r="AF39" i="2"/>
  <c r="N39" i="2"/>
  <c r="AV38" i="2"/>
  <c r="AD38" i="2"/>
  <c r="L38" i="2"/>
  <c r="AT34" i="2"/>
  <c r="AB34" i="2"/>
  <c r="J34" i="2"/>
  <c r="AR33" i="2"/>
  <c r="Z33" i="2"/>
  <c r="H33" i="2"/>
  <c r="AP32" i="2"/>
  <c r="X32" i="2"/>
  <c r="G32" i="2"/>
  <c r="AR30" i="2"/>
  <c r="AB30" i="2"/>
  <c r="K30" i="2"/>
  <c r="AV29" i="2"/>
  <c r="AF29" i="2"/>
  <c r="O29" i="2"/>
  <c r="AZ28" i="2"/>
  <c r="AJ28" i="2"/>
  <c r="S28" i="2"/>
  <c r="BD27" i="2"/>
  <c r="AN27" i="2"/>
  <c r="W27" i="2"/>
  <c r="H27" i="2"/>
  <c r="AR26" i="2"/>
  <c r="AA26" i="2"/>
  <c r="L26" i="2"/>
  <c r="AV25" i="2"/>
  <c r="AE25" i="2"/>
  <c r="P25" i="2"/>
  <c r="BA24" i="2"/>
  <c r="AM24" i="2"/>
  <c r="Y24" i="2"/>
  <c r="L24" i="2"/>
  <c r="AY20" i="2"/>
  <c r="AL20" i="2"/>
  <c r="Y20" i="2"/>
  <c r="L20" i="2"/>
  <c r="AY19" i="2"/>
  <c r="AL19" i="2"/>
  <c r="Y19" i="2"/>
  <c r="L19" i="2"/>
  <c r="AY17" i="2"/>
  <c r="AL17" i="2"/>
  <c r="Z17" i="2"/>
  <c r="N17" i="2"/>
  <c r="AP16" i="2"/>
  <c r="AD16" i="2"/>
  <c r="AT14" i="2"/>
  <c r="V14" i="2"/>
  <c r="AL13" i="2"/>
  <c r="BB12" i="2"/>
  <c r="AD12" i="2"/>
  <c r="F12" i="2"/>
  <c r="AH10" i="2"/>
  <c r="J10" i="2"/>
  <c r="AL8" i="2"/>
  <c r="BB7" i="2"/>
  <c r="AD7" i="2"/>
  <c r="R7" i="2"/>
  <c r="AT6" i="2"/>
  <c r="V6" i="2"/>
  <c r="AX4" i="2"/>
  <c r="Z4" i="2"/>
  <c r="AV3" i="2"/>
  <c r="X3" i="2"/>
  <c r="L110" i="2"/>
  <c r="R73" i="2"/>
  <c r="BA67" i="2"/>
  <c r="AR63" i="2"/>
  <c r="AJ60" i="2"/>
  <c r="AA58" i="2"/>
  <c r="AM53" i="2"/>
  <c r="I52" i="2"/>
  <c r="AE48" i="2"/>
  <c r="R45" i="2"/>
  <c r="P44" i="2"/>
  <c r="N43" i="2"/>
  <c r="L40" i="2"/>
  <c r="J39" i="2"/>
  <c r="H38" i="2"/>
  <c r="F34" i="2"/>
  <c r="AL32" i="2"/>
  <c r="AO30" i="2"/>
  <c r="AS29" i="2"/>
  <c r="AF28" i="2"/>
  <c r="E27" i="2"/>
  <c r="AR25" i="2"/>
  <c r="W24" i="2"/>
  <c r="AJ20" i="2"/>
  <c r="W19" i="2"/>
  <c r="AZ16" i="2"/>
  <c r="AF14" i="2"/>
  <c r="X13" i="2"/>
  <c r="P12" i="2"/>
  <c r="AV8" i="2"/>
  <c r="AZ7" i="2"/>
  <c r="AR6" i="2"/>
  <c r="X4" i="2"/>
  <c r="V3" i="2"/>
  <c r="AR125" i="2"/>
  <c r="W110" i="2"/>
  <c r="AL101" i="2"/>
  <c r="BC94" i="2"/>
  <c r="AH91" i="2"/>
  <c r="AI88" i="2"/>
  <c r="W86" i="2"/>
  <c r="M84" i="2"/>
  <c r="AX81" i="2"/>
  <c r="AJ79" i="2"/>
  <c r="W77" i="2"/>
  <c r="Z73" i="2"/>
  <c r="P71" i="2"/>
  <c r="I70" i="2"/>
  <c r="BC67" i="2"/>
  <c r="AW65" i="2"/>
  <c r="AU64" i="2"/>
  <c r="AZ63" i="2"/>
  <c r="H63" i="2"/>
  <c r="U61" i="2"/>
  <c r="AK60" i="2"/>
  <c r="J60" i="2"/>
  <c r="AD58" i="2"/>
  <c r="AV56" i="2"/>
  <c r="T56" i="2"/>
  <c r="AT55" i="2"/>
  <c r="P55" i="2"/>
  <c r="AP53" i="2"/>
  <c r="P53" i="2"/>
  <c r="AP52" i="2"/>
  <c r="L52" i="2"/>
  <c r="AL49" i="2"/>
  <c r="L49" i="2"/>
  <c r="AL48" i="2"/>
  <c r="I48" i="2"/>
  <c r="AM45" i="2"/>
  <c r="U45" i="2"/>
  <c r="BC44" i="2"/>
  <c r="AK44" i="2"/>
  <c r="S44" i="2"/>
  <c r="BA43" i="2"/>
  <c r="AI43" i="2"/>
  <c r="Q43" i="2"/>
  <c r="AY40" i="2"/>
  <c r="AG40" i="2"/>
  <c r="O40" i="2"/>
  <c r="AW39" i="2"/>
  <c r="AE39" i="2"/>
  <c r="M39" i="2"/>
  <c r="AU38" i="2"/>
  <c r="AC38" i="2"/>
  <c r="K38" i="2"/>
  <c r="AS34" i="2"/>
  <c r="AA34" i="2"/>
  <c r="I34" i="2"/>
  <c r="AQ33" i="2"/>
  <c r="Y33" i="2"/>
  <c r="G33" i="2"/>
  <c r="AO32" i="2"/>
  <c r="W32" i="2"/>
  <c r="F32" i="2"/>
  <c r="AP30" i="2"/>
  <c r="AA30" i="2"/>
  <c r="J30" i="2"/>
  <c r="AT29" i="2"/>
  <c r="AE29" i="2"/>
  <c r="N29" i="2"/>
  <c r="AX28" i="2"/>
  <c r="AI28" i="2"/>
  <c r="R28" i="2"/>
  <c r="BB27" i="2"/>
  <c r="AM27" i="2"/>
  <c r="V27" i="2"/>
  <c r="F27" i="2"/>
  <c r="AQ26" i="2"/>
  <c r="Z26" i="2"/>
  <c r="J26" i="2"/>
  <c r="AU25" i="2"/>
  <c r="AD25" i="2"/>
  <c r="N25" i="2"/>
  <c r="AZ24" i="2"/>
  <c r="AK24" i="2"/>
  <c r="X24" i="2"/>
  <c r="K24" i="2"/>
  <c r="AX20" i="2"/>
  <c r="AK20" i="2"/>
  <c r="X20" i="2"/>
  <c r="K20" i="2"/>
  <c r="AX19" i="2"/>
  <c r="AK19" i="2"/>
  <c r="X19" i="2"/>
  <c r="K19" i="2"/>
  <c r="AW17" i="2"/>
  <c r="AK17" i="2"/>
  <c r="Y17" i="2"/>
  <c r="M17" i="2"/>
  <c r="BA16" i="2"/>
  <c r="AO16" i="2"/>
  <c r="AC16" i="2"/>
  <c r="Q16" i="2"/>
  <c r="E16" i="2"/>
  <c r="AS14" i="2"/>
  <c r="AG14" i="2"/>
  <c r="U14" i="2"/>
  <c r="I14" i="2"/>
  <c r="AW13" i="2"/>
  <c r="AK13" i="2"/>
  <c r="Y13" i="2"/>
  <c r="M13" i="2"/>
  <c r="BA12" i="2"/>
  <c r="AO12" i="2"/>
  <c r="AC12" i="2"/>
  <c r="Q12" i="2"/>
  <c r="E12" i="2"/>
  <c r="AS10" i="2"/>
  <c r="AG10" i="2"/>
  <c r="U10" i="2"/>
  <c r="I10" i="2"/>
  <c r="AW8" i="2"/>
  <c r="AK8" i="2"/>
  <c r="Y8" i="2"/>
  <c r="M8" i="2"/>
  <c r="BA7" i="2"/>
  <c r="AO7" i="2"/>
  <c r="AC7" i="2"/>
  <c r="Q7" i="2"/>
  <c r="E7" i="2"/>
  <c r="AS6" i="2"/>
  <c r="AG6" i="2"/>
  <c r="U6" i="2"/>
  <c r="I6" i="2"/>
  <c r="AW4" i="2"/>
  <c r="AK4" i="2"/>
  <c r="Y4" i="2"/>
  <c r="M4" i="2"/>
  <c r="AU3" i="2"/>
  <c r="AI3" i="2"/>
  <c r="W3" i="2"/>
  <c r="K3" i="2"/>
  <c r="X125" i="2"/>
  <c r="BB94" i="2"/>
  <c r="AE91" i="2"/>
  <c r="AA88" i="2"/>
  <c r="K86" i="2"/>
  <c r="G84" i="2"/>
  <c r="AW81" i="2"/>
  <c r="AH79" i="2"/>
  <c r="O71" i="2"/>
  <c r="AU65" i="2"/>
  <c r="G63" i="2"/>
  <c r="BD58" i="2"/>
  <c r="M56" i="2"/>
  <c r="M55" i="2"/>
  <c r="AI52" i="2"/>
  <c r="E49" i="2"/>
  <c r="AJ45" i="2"/>
  <c r="AZ44" i="2"/>
  <c r="AX43" i="2"/>
  <c r="AV40" i="2"/>
  <c r="AT39" i="2"/>
  <c r="Z38" i="2"/>
  <c r="X34" i="2"/>
  <c r="V33" i="2"/>
  <c r="T32" i="2"/>
  <c r="X30" i="2"/>
  <c r="AB29" i="2"/>
  <c r="AW28" i="2"/>
  <c r="BA27" i="2"/>
  <c r="U27" i="2"/>
  <c r="Y26" i="2"/>
  <c r="AC25" i="2"/>
  <c r="AY24" i="2"/>
  <c r="J24" i="2"/>
  <c r="W20" i="2"/>
  <c r="AW19" i="2"/>
  <c r="I19" i="2"/>
  <c r="AJ17" i="2"/>
  <c r="L17" i="2"/>
  <c r="AB16" i="2"/>
  <c r="BD14" i="2"/>
  <c r="T14" i="2"/>
  <c r="AV13" i="2"/>
  <c r="L13" i="2"/>
  <c r="AN12" i="2"/>
  <c r="BD10" i="2"/>
  <c r="AF10" i="2"/>
  <c r="H10" i="2"/>
  <c r="AJ8" i="2"/>
  <c r="L8" i="2"/>
  <c r="AB7" i="2"/>
  <c r="BD6" i="2"/>
  <c r="T6" i="2"/>
  <c r="AV4" i="2"/>
  <c r="L4" i="2"/>
  <c r="AH3" i="2"/>
  <c r="BC117" i="2"/>
  <c r="T106" i="2"/>
  <c r="AR100" i="2"/>
  <c r="Y94" i="2"/>
  <c r="AB91" i="2"/>
  <c r="W88" i="2"/>
  <c r="F86" i="2"/>
  <c r="AR83" i="2"/>
  <c r="AE81" i="2"/>
  <c r="AA79" i="2"/>
  <c r="Q77" i="2"/>
  <c r="M73" i="2"/>
  <c r="G71" i="2"/>
  <c r="BA68" i="2"/>
  <c r="AY67" i="2"/>
  <c r="AR65" i="2"/>
  <c r="AK64" i="2"/>
  <c r="AO63" i="2"/>
  <c r="AV61" i="2"/>
  <c r="K61" i="2"/>
  <c r="AH60" i="2"/>
  <c r="AZ58" i="2"/>
  <c r="T58" i="2"/>
  <c r="AQ56" i="2"/>
  <c r="K56" i="2"/>
  <c r="AK55" i="2"/>
  <c r="K55" i="2"/>
  <c r="AG53" i="2"/>
  <c r="G53" i="2"/>
  <c r="AG52" i="2"/>
  <c r="G52" i="2"/>
  <c r="AC49" i="2"/>
  <c r="BC48" i="2"/>
  <c r="AC48" i="2"/>
  <c r="BD45" i="2"/>
  <c r="AH45" i="2"/>
  <c r="P45" i="2"/>
  <c r="AX44" i="2"/>
  <c r="AF44" i="2"/>
  <c r="N44" i="2"/>
  <c r="AV43" i="2"/>
  <c r="AD43" i="2"/>
  <c r="L43" i="2"/>
  <c r="AT40" i="2"/>
  <c r="AB40" i="2"/>
  <c r="J40" i="2"/>
  <c r="AR39" i="2"/>
  <c r="Z39" i="2"/>
  <c r="H39" i="2"/>
  <c r="AP38" i="2"/>
  <c r="X38" i="2"/>
  <c r="F38" i="2"/>
  <c r="AN34" i="2"/>
  <c r="V34" i="2"/>
  <c r="BD33" i="2"/>
  <c r="AL33" i="2"/>
  <c r="T33" i="2"/>
  <c r="BB32" i="2"/>
  <c r="AJ32" i="2"/>
  <c r="R32" i="2"/>
  <c r="BB30" i="2"/>
  <c r="AM30" i="2"/>
  <c r="V30" i="2"/>
  <c r="F30" i="2"/>
  <c r="AQ29" i="2"/>
  <c r="Z29" i="2"/>
  <c r="J29" i="2"/>
  <c r="AU28" i="2"/>
  <c r="AD28" i="2"/>
  <c r="N28" i="2"/>
  <c r="AY27" i="2"/>
  <c r="AH27" i="2"/>
  <c r="R27" i="2"/>
  <c r="BC26" i="2"/>
  <c r="AL26" i="2"/>
  <c r="V26" i="2"/>
  <c r="G26" i="2"/>
  <c r="AP25" i="2"/>
  <c r="Z25" i="2"/>
  <c r="K25" i="2"/>
  <c r="AU24" i="2"/>
  <c r="AH24" i="2"/>
  <c r="U24" i="2"/>
  <c r="H24" i="2"/>
  <c r="AU20" i="2"/>
  <c r="AH20" i="2"/>
  <c r="U20" i="2"/>
  <c r="H20" i="2"/>
  <c r="AU19" i="2"/>
  <c r="AG19" i="2"/>
  <c r="T19" i="2"/>
  <c r="G19" i="2"/>
  <c r="AT17" i="2"/>
  <c r="AH17" i="2"/>
  <c r="V17" i="2"/>
  <c r="J17" i="2"/>
  <c r="AX16" i="2"/>
  <c r="AL16" i="2"/>
  <c r="Z16" i="2"/>
  <c r="N16" i="2"/>
  <c r="BB14" i="2"/>
  <c r="AP14" i="2"/>
  <c r="AD14" i="2"/>
  <c r="R14" i="2"/>
  <c r="F14" i="2"/>
  <c r="AT13" i="2"/>
  <c r="AH13" i="2"/>
  <c r="V13" i="2"/>
  <c r="J13" i="2"/>
  <c r="AX12" i="2"/>
  <c r="AL12" i="2"/>
  <c r="Z12" i="2"/>
  <c r="N12" i="2"/>
  <c r="BB10" i="2"/>
  <c r="AP10" i="2"/>
  <c r="AD10" i="2"/>
  <c r="R10" i="2"/>
  <c r="F10" i="2"/>
  <c r="AT8" i="2"/>
  <c r="AH8" i="2"/>
  <c r="V8" i="2"/>
  <c r="J8" i="2"/>
  <c r="AX7" i="2"/>
  <c r="AL7" i="2"/>
  <c r="Z7" i="2"/>
  <c r="N7" i="2"/>
  <c r="BB6" i="2"/>
  <c r="Z117" i="2"/>
  <c r="AZ104" i="2"/>
  <c r="AH99" i="2"/>
  <c r="AM93" i="2"/>
  <c r="Y90" i="2"/>
  <c r="AQ87" i="2"/>
  <c r="AG85" i="2"/>
  <c r="R83" i="2"/>
  <c r="BD80" i="2"/>
  <c r="AQ78" i="2"/>
  <c r="AM74" i="2"/>
  <c r="AZ71" i="2"/>
  <c r="AS70" i="2"/>
  <c r="AM68" i="2"/>
  <c r="AG67" i="2"/>
  <c r="AE65" i="2"/>
  <c r="X64" i="2"/>
  <c r="AF63" i="2"/>
  <c r="AS61" i="2"/>
  <c r="BA60" i="2"/>
  <c r="Z60" i="2"/>
  <c r="AX58" i="2"/>
  <c r="P58" i="2"/>
  <c r="AJ56" i="2"/>
  <c r="G56" i="2"/>
  <c r="AC55" i="2"/>
  <c r="BC53" i="2"/>
  <c r="AC53" i="2"/>
  <c r="BC52" i="2"/>
  <c r="Y52" i="2"/>
  <c r="AY49" i="2"/>
  <c r="Y49" i="2"/>
  <c r="AY48" i="2"/>
  <c r="U48" i="2"/>
  <c r="AX45" i="2"/>
  <c r="AD45" i="2"/>
  <c r="L45" i="2"/>
  <c r="AT44" i="2"/>
  <c r="AB44" i="2"/>
  <c r="J44" i="2"/>
  <c r="AR43" i="2"/>
  <c r="Z43" i="2"/>
  <c r="H43" i="2"/>
  <c r="AP40" i="2"/>
  <c r="X40" i="2"/>
  <c r="F40" i="2"/>
  <c r="AN39" i="2"/>
  <c r="V39" i="2"/>
  <c r="BD38" i="2"/>
  <c r="AL38" i="2"/>
  <c r="T38" i="2"/>
  <c r="BB34" i="2"/>
  <c r="AJ34" i="2"/>
  <c r="R34" i="2"/>
  <c r="AZ33" i="2"/>
  <c r="AH33" i="2"/>
  <c r="P33" i="2"/>
  <c r="AX32" i="2"/>
  <c r="AF32" i="2"/>
  <c r="P32" i="2"/>
  <c r="AZ30" i="2"/>
  <c r="AI30" i="2"/>
  <c r="T30" i="2"/>
  <c r="BD29" i="2"/>
  <c r="AM29" i="2"/>
  <c r="X29" i="2"/>
  <c r="H29" i="2"/>
  <c r="AQ28" i="2"/>
  <c r="AB28" i="2"/>
  <c r="L28" i="2"/>
  <c r="AU27" i="2"/>
  <c r="AF27" i="2"/>
  <c r="P27" i="2"/>
  <c r="AY26" i="2"/>
  <c r="AJ26" i="2"/>
  <c r="T26" i="2"/>
  <c r="BC25" i="2"/>
  <c r="AN25" i="2"/>
  <c r="X25" i="2"/>
  <c r="G25" i="2"/>
  <c r="AS24" i="2"/>
  <c r="AF24" i="2"/>
  <c r="S24" i="2"/>
  <c r="F24" i="2"/>
  <c r="AS20" i="2"/>
  <c r="AF20" i="2"/>
  <c r="S20" i="2"/>
  <c r="E20" i="2"/>
  <c r="AR19" i="2"/>
  <c r="AE19" i="2"/>
  <c r="R19" i="2"/>
  <c r="E19" i="2"/>
  <c r="AR17" i="2"/>
  <c r="AF17" i="2"/>
  <c r="T17" i="2"/>
  <c r="H17" i="2"/>
  <c r="AV16" i="2"/>
  <c r="AJ16" i="2"/>
  <c r="X16" i="2"/>
  <c r="L16" i="2"/>
  <c r="AZ14" i="2"/>
  <c r="AN14" i="2"/>
  <c r="AB14" i="2"/>
  <c r="P14" i="2"/>
  <c r="BD13" i="2"/>
  <c r="AR13" i="2"/>
  <c r="AF13" i="2"/>
  <c r="T13" i="2"/>
  <c r="H13" i="2"/>
  <c r="AV12" i="2"/>
  <c r="AJ12" i="2"/>
  <c r="X12" i="2"/>
  <c r="L12" i="2"/>
  <c r="AZ10" i="2"/>
  <c r="AN10" i="2"/>
  <c r="AB10" i="2"/>
  <c r="P10" i="2"/>
  <c r="BD8" i="2"/>
  <c r="AR8" i="2"/>
  <c r="AF8" i="2"/>
  <c r="T8" i="2"/>
  <c r="H8" i="2"/>
  <c r="AV7" i="2"/>
  <c r="AJ7" i="2"/>
  <c r="X7" i="2"/>
  <c r="L7" i="2"/>
  <c r="AZ6" i="2"/>
  <c r="AN6" i="2"/>
  <c r="AB6" i="2"/>
  <c r="P6" i="2"/>
  <c r="BD4" i="2"/>
  <c r="AR4" i="2"/>
  <c r="AF4" i="2"/>
  <c r="T4" i="2"/>
  <c r="BB3" i="2"/>
  <c r="AP3" i="2"/>
  <c r="AD3" i="2"/>
  <c r="R3" i="2"/>
  <c r="AI116" i="2"/>
  <c r="J104" i="2"/>
  <c r="H99" i="2"/>
  <c r="Z93" i="2"/>
  <c r="K90" i="2"/>
  <c r="Z87" i="2"/>
  <c r="L85" i="2"/>
  <c r="AY82" i="2"/>
  <c r="AU80" i="2"/>
  <c r="AK78" i="2"/>
  <c r="V74" i="2"/>
  <c r="AQ71" i="2"/>
  <c r="AK70" i="2"/>
  <c r="AI68" i="2"/>
  <c r="AB67" i="2"/>
  <c r="U65" i="2"/>
  <c r="P64" i="2"/>
  <c r="AE63" i="2"/>
  <c r="AR61" i="2"/>
  <c r="AZ60" i="2"/>
  <c r="X60" i="2"/>
  <c r="AQ58" i="2"/>
  <c r="O58" i="2"/>
  <c r="AG56" i="2"/>
  <c r="F56" i="2"/>
  <c r="AB55" i="2"/>
  <c r="BB53" i="2"/>
  <c r="AB53" i="2"/>
  <c r="BB52" i="2"/>
  <c r="X52" i="2"/>
  <c r="AX49" i="2"/>
  <c r="X49" i="2"/>
  <c r="AN120" i="2"/>
  <c r="AY94" i="2"/>
  <c r="H86" i="2"/>
  <c r="AG79" i="2"/>
  <c r="I71" i="2"/>
  <c r="AS65" i="2"/>
  <c r="BD61" i="2"/>
  <c r="BA58" i="2"/>
  <c r="L56" i="2"/>
  <c r="AL53" i="2"/>
  <c r="H52" i="2"/>
  <c r="AR48" i="2"/>
  <c r="AG45" i="2"/>
  <c r="AR44" i="2"/>
  <c r="AW43" i="2"/>
  <c r="G43" i="2"/>
  <c r="U40" i="2"/>
  <c r="Y39" i="2"/>
  <c r="AJ38" i="2"/>
  <c r="AO34" i="2"/>
  <c r="AY33" i="2"/>
  <c r="O33" i="2"/>
  <c r="AE32" i="2"/>
  <c r="AY30" i="2"/>
  <c r="R30" i="2"/>
  <c r="AL29" i="2"/>
  <c r="G29" i="2"/>
  <c r="Z28" i="2"/>
  <c r="AT27" i="2"/>
  <c r="O27" i="2"/>
  <c r="AH26" i="2"/>
  <c r="BB25" i="2"/>
  <c r="W25" i="2"/>
  <c r="AR24" i="2"/>
  <c r="R24" i="2"/>
  <c r="AR20" i="2"/>
  <c r="Q20" i="2"/>
  <c r="AQ19" i="2"/>
  <c r="Q19" i="2"/>
  <c r="AQ17" i="2"/>
  <c r="S17" i="2"/>
  <c r="AU16" i="2"/>
  <c r="W16" i="2"/>
  <c r="AY14" i="2"/>
  <c r="AA14" i="2"/>
  <c r="BC13" i="2"/>
  <c r="AE13" i="2"/>
  <c r="G13" i="2"/>
  <c r="AI12" i="2"/>
  <c r="K12" i="2"/>
  <c r="AM10" i="2"/>
  <c r="O10" i="2"/>
  <c r="AQ8" i="2"/>
  <c r="S8" i="2"/>
  <c r="AU7" i="2"/>
  <c r="W7" i="2"/>
  <c r="AY6" i="2"/>
  <c r="AD6" i="2"/>
  <c r="L6" i="2"/>
  <c r="AP4" i="2"/>
  <c r="U4" i="2"/>
  <c r="AS3" i="2"/>
  <c r="AA3" i="2"/>
  <c r="BB38" i="2"/>
  <c r="AZ29" i="2"/>
  <c r="AC27" i="2"/>
  <c r="AK25" i="2"/>
  <c r="AD24" i="2"/>
  <c r="AC20" i="2"/>
  <c r="BC17" i="2"/>
  <c r="AH16" i="2"/>
  <c r="AL14" i="2"/>
  <c r="R13" i="2"/>
  <c r="AX10" i="2"/>
  <c r="BB8" i="2"/>
  <c r="AH7" i="2"/>
  <c r="AM6" i="2"/>
  <c r="R6" i="2"/>
  <c r="BC3" i="2"/>
  <c r="AK6" i="2"/>
  <c r="AZ3" i="2"/>
  <c r="AI80" i="2"/>
  <c r="AB63" i="2"/>
  <c r="AF56" i="2"/>
  <c r="AU45" i="2"/>
  <c r="AK39" i="2"/>
  <c r="E34" i="2"/>
  <c r="AR29" i="2"/>
  <c r="T27" i="2"/>
  <c r="AV24" i="2"/>
  <c r="V20" i="2"/>
  <c r="AY16" i="2"/>
  <c r="G14" i="2"/>
  <c r="O12" i="2"/>
  <c r="W8" i="2"/>
  <c r="AJ6" i="2"/>
  <c r="W4" i="2"/>
  <c r="S87" i="2"/>
  <c r="U67" i="2"/>
  <c r="AE56" i="2"/>
  <c r="AI45" i="2"/>
  <c r="K43" i="2"/>
  <c r="BC33" i="2"/>
  <c r="U30" i="2"/>
  <c r="AC28" i="2"/>
  <c r="AK26" i="2"/>
  <c r="T24" i="2"/>
  <c r="S19" i="2"/>
  <c r="BA14" i="2"/>
  <c r="I13" i="2"/>
  <c r="AO10" i="2"/>
  <c r="AW7" i="2"/>
  <c r="M6" i="2"/>
  <c r="AB3" i="2"/>
  <c r="AL117" i="2"/>
  <c r="I94" i="2"/>
  <c r="AJ85" i="2"/>
  <c r="I79" i="2"/>
  <c r="AW70" i="2"/>
  <c r="AG65" i="2"/>
  <c r="AU61" i="2"/>
  <c r="AY58" i="2"/>
  <c r="J56" i="2"/>
  <c r="AF53" i="2"/>
  <c r="F52" i="2"/>
  <c r="AD48" i="2"/>
  <c r="AC45" i="2"/>
  <c r="AQ44" i="2"/>
  <c r="AU43" i="2"/>
  <c r="F43" i="2"/>
  <c r="K40" i="2"/>
  <c r="U39" i="2"/>
  <c r="AI38" i="2"/>
  <c r="AM34" i="2"/>
  <c r="AX33" i="2"/>
  <c r="N33" i="2"/>
  <c r="AD32" i="2"/>
  <c r="AV30" i="2"/>
  <c r="Q30" i="2"/>
  <c r="AK29" i="2"/>
  <c r="BD28" i="2"/>
  <c r="Y28" i="2"/>
  <c r="AS27" i="2"/>
  <c r="L27" i="2"/>
  <c r="AG26" i="2"/>
  <c r="BA25" i="2"/>
  <c r="T25" i="2"/>
  <c r="AQ24" i="2"/>
  <c r="Q24" i="2"/>
  <c r="AQ20" i="2"/>
  <c r="P20" i="2"/>
  <c r="AP19" i="2"/>
  <c r="P19" i="2"/>
  <c r="AP17" i="2"/>
  <c r="R17" i="2"/>
  <c r="AT16" i="2"/>
  <c r="V16" i="2"/>
  <c r="AX14" i="2"/>
  <c r="Z14" i="2"/>
  <c r="BB13" i="2"/>
  <c r="AD13" i="2"/>
  <c r="F13" i="2"/>
  <c r="AH12" i="2"/>
  <c r="J12" i="2"/>
  <c r="AL10" i="2"/>
  <c r="N10" i="2"/>
  <c r="AP8" i="2"/>
  <c r="R8" i="2"/>
  <c r="AT7" i="2"/>
  <c r="V7" i="2"/>
  <c r="AX6" i="2"/>
  <c r="AC6" i="2"/>
  <c r="G6" i="2"/>
  <c r="AO4" i="2"/>
  <c r="S4" i="2"/>
  <c r="AR3" i="2"/>
  <c r="Z3" i="2"/>
  <c r="G70" i="2"/>
  <c r="L61" i="2"/>
  <c r="Z58" i="2"/>
  <c r="AL55" i="2"/>
  <c r="H53" i="2"/>
  <c r="AH49" i="2"/>
  <c r="S48" i="2"/>
  <c r="Q45" i="2"/>
  <c r="AA44" i="2"/>
  <c r="AS40" i="2"/>
  <c r="BD39" i="2"/>
  <c r="I39" i="2"/>
  <c r="AG34" i="2"/>
  <c r="BC32" i="2"/>
  <c r="AN30" i="2"/>
  <c r="H30" i="2"/>
  <c r="AV28" i="2"/>
  <c r="AI27" i="2"/>
  <c r="AQ25" i="2"/>
  <c r="L25" i="2"/>
  <c r="AI24" i="2"/>
  <c r="AI20" i="2"/>
  <c r="I20" i="2"/>
  <c r="H19" i="2"/>
  <c r="K17" i="2"/>
  <c r="O16" i="2"/>
  <c r="S14" i="2"/>
  <c r="AY12" i="2"/>
  <c r="AA12" i="2"/>
  <c r="AE10" i="2"/>
  <c r="G10" i="2"/>
  <c r="AI8" i="2"/>
  <c r="K8" i="2"/>
  <c r="AM7" i="2"/>
  <c r="O7" i="2"/>
  <c r="AQ6" i="2"/>
  <c r="Y6" i="2"/>
  <c r="BC4" i="2"/>
  <c r="AH4" i="2"/>
  <c r="P4" i="2"/>
  <c r="AN3" i="2"/>
  <c r="S3" i="2"/>
  <c r="P106" i="2"/>
  <c r="W83" i="2"/>
  <c r="AT74" i="2"/>
  <c r="AU68" i="2"/>
  <c r="AA64" i="2"/>
  <c r="I61" i="2"/>
  <c r="Q58" i="2"/>
  <c r="AJ55" i="2"/>
  <c r="AB49" i="2"/>
  <c r="R48" i="2"/>
  <c r="Z44" i="2"/>
  <c r="AO40" i="2"/>
  <c r="G39" i="2"/>
  <c r="W34" i="2"/>
  <c r="AK33" i="2"/>
  <c r="BA32" i="2"/>
  <c r="Q32" i="2"/>
  <c r="AJ30" i="2"/>
  <c r="E30" i="2"/>
  <c r="Y29" i="2"/>
  <c r="AR28" i="2"/>
  <c r="M28" i="2"/>
  <c r="AG27" i="2"/>
  <c r="AZ26" i="2"/>
  <c r="AO25" i="2"/>
  <c r="H25" i="2"/>
  <c r="AG24" i="2"/>
  <c r="AG20" i="2"/>
  <c r="G20" i="2"/>
  <c r="F19" i="2"/>
  <c r="AG17" i="2"/>
  <c r="AK16" i="2"/>
  <c r="AO14" i="2"/>
  <c r="Y12" i="2"/>
  <c r="AC10" i="2"/>
  <c r="AG8" i="2"/>
  <c r="M7" i="2"/>
  <c r="X6" i="2"/>
  <c r="AG4" i="2"/>
  <c r="Q3" i="2"/>
  <c r="F25" i="2"/>
  <c r="AE24" i="2"/>
  <c r="AE20" i="2"/>
  <c r="BD17" i="2"/>
  <c r="G17" i="2"/>
  <c r="K16" i="2"/>
  <c r="O14" i="2"/>
  <c r="S13" i="2"/>
  <c r="W12" i="2"/>
  <c r="AA10" i="2"/>
  <c r="AE8" i="2"/>
  <c r="AI7" i="2"/>
  <c r="AO6" i="2"/>
  <c r="BA4" i="2"/>
  <c r="AL3" i="2"/>
  <c r="P3" i="2"/>
  <c r="AU89" i="2"/>
  <c r="AT82" i="2"/>
  <c r="AA68" i="2"/>
  <c r="AX60" i="2"/>
  <c r="Z55" i="2"/>
  <c r="AV52" i="2"/>
  <c r="BC45" i="2"/>
  <c r="O44" i="2"/>
  <c r="AM40" i="2"/>
  <c r="Q34" i="2"/>
  <c r="AV32" i="2"/>
  <c r="AG30" i="2"/>
  <c r="AO28" i="2"/>
  <c r="AW26" i="2"/>
  <c r="E25" i="2"/>
  <c r="BC19" i="2"/>
  <c r="AD17" i="2"/>
  <c r="J16" i="2"/>
  <c r="AP13" i="2"/>
  <c r="V12" i="2"/>
  <c r="F8" i="2"/>
  <c r="AZ4" i="2"/>
  <c r="AG3" i="2"/>
  <c r="AB4" i="2"/>
  <c r="AU98" i="2"/>
  <c r="W52" i="2"/>
  <c r="H44" i="2"/>
  <c r="AO38" i="2"/>
  <c r="AK32" i="2"/>
  <c r="L29" i="2"/>
  <c r="AM26" i="2"/>
  <c r="AV20" i="2"/>
  <c r="AU17" i="2"/>
  <c r="BC14" i="2"/>
  <c r="AM12" i="2"/>
  <c r="AU8" i="2"/>
  <c r="BC6" i="2"/>
  <c r="AS4" i="2"/>
  <c r="AN98" i="2"/>
  <c r="AZ53" i="2"/>
  <c r="AS44" i="2"/>
  <c r="AA39" i="2"/>
  <c r="S33" i="2"/>
  <c r="AN29" i="2"/>
  <c r="Q27" i="2"/>
  <c r="AT24" i="2"/>
  <c r="AS19" i="2"/>
  <c r="AW16" i="2"/>
  <c r="E14" i="2"/>
  <c r="M12" i="2"/>
  <c r="U8" i="2"/>
  <c r="AE6" i="2"/>
  <c r="AX3" i="2"/>
  <c r="K114" i="2"/>
  <c r="K93" i="2"/>
  <c r="J85" i="2"/>
  <c r="AE78" i="2"/>
  <c r="AI70" i="2"/>
  <c r="T65" i="2"/>
  <c r="AJ61" i="2"/>
  <c r="AP58" i="2"/>
  <c r="BA55" i="2"/>
  <c r="AA53" i="2"/>
  <c r="AW49" i="2"/>
  <c r="AB48" i="2"/>
  <c r="AB45" i="2"/>
  <c r="AG44" i="2"/>
  <c r="AQ43" i="2"/>
  <c r="E43" i="2"/>
  <c r="I40" i="2"/>
  <c r="T39" i="2"/>
  <c r="Y38" i="2"/>
  <c r="AI34" i="2"/>
  <c r="AW33" i="2"/>
  <c r="M33" i="2"/>
  <c r="AC32" i="2"/>
  <c r="AU30" i="2"/>
  <c r="P30" i="2"/>
  <c r="AJ29" i="2"/>
  <c r="BC28" i="2"/>
  <c r="X28" i="2"/>
  <c r="AR27" i="2"/>
  <c r="K27" i="2"/>
  <c r="AF26" i="2"/>
  <c r="AZ25" i="2"/>
  <c r="S25" i="2"/>
  <c r="AP24" i="2"/>
  <c r="P24" i="2"/>
  <c r="AO20" i="2"/>
  <c r="O20" i="2"/>
  <c r="AO19" i="2"/>
  <c r="O19" i="2"/>
  <c r="AO17" i="2"/>
  <c r="Q17" i="2"/>
  <c r="AS16" i="2"/>
  <c r="U16" i="2"/>
  <c r="AW14" i="2"/>
  <c r="Y14" i="2"/>
  <c r="BA13" i="2"/>
  <c r="AC13" i="2"/>
  <c r="E13" i="2"/>
  <c r="AG12" i="2"/>
  <c r="I12" i="2"/>
  <c r="AK10" i="2"/>
  <c r="M10" i="2"/>
  <c r="AO8" i="2"/>
  <c r="Q8" i="2"/>
  <c r="AS7" i="2"/>
  <c r="U7" i="2"/>
  <c r="AW6" i="2"/>
  <c r="AA6" i="2"/>
  <c r="F6" i="2"/>
  <c r="AN4" i="2"/>
  <c r="R4" i="2"/>
  <c r="AQ3" i="2"/>
  <c r="U3" i="2"/>
  <c r="P17" i="2"/>
  <c r="AV14" i="2"/>
  <c r="AZ13" i="2"/>
  <c r="BD12" i="2"/>
  <c r="AF12" i="2"/>
  <c r="AJ10" i="2"/>
  <c r="AN8" i="2"/>
  <c r="AR7" i="2"/>
  <c r="AV6" i="2"/>
  <c r="E6" i="2"/>
  <c r="Q4" i="2"/>
  <c r="T3" i="2"/>
  <c r="AM64" i="2"/>
  <c r="BD26" i="2"/>
  <c r="I24" i="2"/>
  <c r="AI19" i="2"/>
  <c r="AI17" i="2"/>
  <c r="AM16" i="2"/>
  <c r="AQ14" i="2"/>
  <c r="AU13" i="2"/>
  <c r="W13" i="2"/>
  <c r="BC10" i="2"/>
  <c r="AQ90" i="2"/>
  <c r="F53" i="2"/>
  <c r="O45" i="2"/>
  <c r="AE43" i="2"/>
  <c r="BC39" i="2"/>
  <c r="R38" i="2"/>
  <c r="U26" i="2"/>
  <c r="G24" i="2"/>
  <c r="AF19" i="2"/>
  <c r="I17" i="2"/>
  <c r="M16" i="2"/>
  <c r="Q14" i="2"/>
  <c r="AS13" i="2"/>
  <c r="U13" i="2"/>
  <c r="AW12" i="2"/>
  <c r="BA10" i="2"/>
  <c r="E10" i="2"/>
  <c r="I8" i="2"/>
  <c r="AK7" i="2"/>
  <c r="AP6" i="2"/>
  <c r="BB4" i="2"/>
  <c r="K4" i="2"/>
  <c r="AM3" i="2"/>
  <c r="AL25" i="2"/>
  <c r="E24" i="2"/>
  <c r="BD19" i="2"/>
  <c r="AD19" i="2"/>
  <c r="AE17" i="2"/>
  <c r="AI16" i="2"/>
  <c r="AM14" i="2"/>
  <c r="AQ13" i="2"/>
  <c r="AU12" i="2"/>
  <c r="AY10" i="2"/>
  <c r="BC8" i="2"/>
  <c r="G8" i="2"/>
  <c r="K7" i="2"/>
  <c r="S6" i="2"/>
  <c r="AE4" i="2"/>
  <c r="BD3" i="2"/>
  <c r="AZ103" i="2"/>
  <c r="O74" i="2"/>
  <c r="M64" i="2"/>
  <c r="G58" i="2"/>
  <c r="V49" i="2"/>
  <c r="J45" i="2"/>
  <c r="Y43" i="2"/>
  <c r="AQ39" i="2"/>
  <c r="G38" i="2"/>
  <c r="AF33" i="2"/>
  <c r="M32" i="2"/>
  <c r="U29" i="2"/>
  <c r="H28" i="2"/>
  <c r="P26" i="2"/>
  <c r="BD20" i="2"/>
  <c r="AC19" i="2"/>
  <c r="F17" i="2"/>
  <c r="N14" i="2"/>
  <c r="AT12" i="2"/>
  <c r="Z10" i="2"/>
  <c r="AD8" i="2"/>
  <c r="J7" i="2"/>
  <c r="AD4" i="2"/>
  <c r="O3" i="2"/>
  <c r="AT4" i="2"/>
  <c r="Y87" i="2"/>
  <c r="Q60" i="2"/>
  <c r="AX48" i="2"/>
  <c r="M43" i="2"/>
  <c r="AZ34" i="2"/>
  <c r="BD30" i="2"/>
  <c r="AE28" i="2"/>
  <c r="H26" i="2"/>
  <c r="V24" i="2"/>
  <c r="U19" i="2"/>
  <c r="AA16" i="2"/>
  <c r="AI13" i="2"/>
  <c r="AQ10" i="2"/>
  <c r="AY7" i="2"/>
  <c r="N6" i="2"/>
  <c r="AC3" i="2"/>
  <c r="AN71" i="2"/>
  <c r="AS48" i="2"/>
  <c r="V40" i="2"/>
  <c r="AY34" i="2"/>
  <c r="BA30" i="2"/>
  <c r="I29" i="2"/>
  <c r="Y25" i="2"/>
  <c r="T20" i="2"/>
  <c r="U17" i="2"/>
  <c r="AC14" i="2"/>
  <c r="AK12" i="2"/>
  <c r="AS8" i="2"/>
  <c r="BA6" i="2"/>
  <c r="V4" i="2"/>
  <c r="AN112" i="2"/>
  <c r="BA92" i="2"/>
  <c r="I85" i="2"/>
  <c r="S78" i="2"/>
  <c r="AG70" i="2"/>
  <c r="S65" i="2"/>
  <c r="AI61" i="2"/>
  <c r="AN58" i="2"/>
  <c r="AZ55" i="2"/>
  <c r="Z53" i="2"/>
  <c r="AV49" i="2"/>
  <c r="T48" i="2"/>
  <c r="AA45" i="2"/>
  <c r="AE44" i="2"/>
  <c r="AP43" i="2"/>
  <c r="AU40" i="2"/>
  <c r="E40" i="2"/>
  <c r="S39" i="2"/>
  <c r="W38" i="2"/>
  <c r="AH34" i="2"/>
  <c r="AT33" i="2"/>
  <c r="J33" i="2"/>
  <c r="Z32" i="2"/>
  <c r="AT30" i="2"/>
  <c r="O30" i="2"/>
  <c r="AH29" i="2"/>
  <c r="BB28" i="2"/>
  <c r="W28" i="2"/>
  <c r="AP27" i="2"/>
  <c r="J27" i="2"/>
  <c r="AE26" i="2"/>
  <c r="AX25" i="2"/>
  <c r="R25" i="2"/>
  <c r="AO24" i="2"/>
  <c r="O24" i="2"/>
  <c r="AN20" i="2"/>
  <c r="N20" i="2"/>
  <c r="AN19" i="2"/>
  <c r="N19" i="2"/>
  <c r="AN17" i="2"/>
  <c r="AR16" i="2"/>
  <c r="T16" i="2"/>
  <c r="X14" i="2"/>
  <c r="AB13" i="2"/>
  <c r="H12" i="2"/>
  <c r="L10" i="2"/>
  <c r="P8" i="2"/>
  <c r="T7" i="2"/>
  <c r="Z6" i="2"/>
  <c r="AI4" i="2"/>
  <c r="AO3" i="2"/>
  <c r="R77" i="2"/>
  <c r="AO43" i="2"/>
  <c r="S38" i="2"/>
  <c r="AM33" i="2"/>
  <c r="S32" i="2"/>
  <c r="AA29" i="2"/>
  <c r="P28" i="2"/>
  <c r="X26" i="2"/>
  <c r="AA106" i="2"/>
  <c r="AD91" i="2"/>
  <c r="AU83" i="2"/>
  <c r="BB103" i="2"/>
  <c r="J90" i="2"/>
  <c r="AV82" i="2"/>
  <c r="U74" i="2"/>
  <c r="AC68" i="2"/>
  <c r="O64" i="2"/>
  <c r="AY60" i="2"/>
  <c r="N58" i="2"/>
  <c r="AA55" i="2"/>
  <c r="AW52" i="2"/>
  <c r="W49" i="2"/>
  <c r="E48" i="2"/>
  <c r="K45" i="2"/>
  <c r="Y44" i="2"/>
  <c r="AC43" i="2"/>
  <c r="AN40" i="2"/>
  <c r="AS39" i="2"/>
  <c r="BC38" i="2"/>
  <c r="Q38" i="2"/>
  <c r="U34" i="2"/>
  <c r="AG33" i="2"/>
  <c r="AW32" i="2"/>
  <c r="N32" i="2"/>
  <c r="AH30" i="2"/>
  <c r="BC29" i="2"/>
  <c r="V29" i="2"/>
  <c r="AP28" i="2"/>
  <c r="K28" i="2"/>
  <c r="AD27" i="2"/>
  <c r="AX26" i="2"/>
  <c r="S26" i="2"/>
  <c r="AY100" i="2"/>
  <c r="X88" i="2"/>
  <c r="AQ81" i="2"/>
  <c r="O73" i="2"/>
  <c r="AZ67" i="2"/>
  <c r="AQ63" i="2"/>
  <c r="AI60" i="2"/>
  <c r="AT56" i="2"/>
  <c r="L55" i="2"/>
  <c r="AH52" i="2"/>
  <c r="BD48" i="2"/>
  <c r="AW45" i="2"/>
  <c r="I45" i="2"/>
  <c r="M44" i="2"/>
  <c r="X43" i="2"/>
  <c r="AC40" i="2"/>
  <c r="AM39" i="2"/>
  <c r="BA38" i="2"/>
  <c r="E38" i="2"/>
  <c r="P34" i="2"/>
  <c r="AE33" i="2"/>
  <c r="AU32" i="2"/>
  <c r="L32" i="2"/>
  <c r="AF30" i="2"/>
  <c r="AY29" i="2"/>
  <c r="T29" i="2"/>
  <c r="AN28" i="2"/>
  <c r="G28" i="2"/>
  <c r="AB27" i="2"/>
  <c r="AV26" i="2"/>
  <c r="O26" i="2"/>
  <c r="AJ25" i="2"/>
  <c r="BD24" i="2"/>
  <c r="AC24" i="2"/>
  <c r="BC20" i="2"/>
  <c r="AB20" i="2"/>
  <c r="BB19" i="2"/>
  <c r="AB19" i="2"/>
  <c r="BB17" i="2"/>
  <c r="AC17" i="2"/>
  <c r="E17" i="2"/>
  <c r="AG16" i="2"/>
  <c r="I16" i="2"/>
  <c r="AK14" i="2"/>
  <c r="M14" i="2"/>
  <c r="AO13" i="2"/>
  <c r="Q13" i="2"/>
  <c r="AS12" i="2"/>
  <c r="U12" i="2"/>
  <c r="AW10" i="2"/>
  <c r="Y10" i="2"/>
  <c r="BA8" i="2"/>
  <c r="AC8" i="2"/>
  <c r="E8" i="2"/>
  <c r="AG7" i="2"/>
  <c r="I7" i="2"/>
  <c r="AL6" i="2"/>
  <c r="Q6" i="2"/>
  <c r="AU4" i="2"/>
  <c r="AC4" i="2"/>
  <c r="BA3" i="2"/>
  <c r="AF3" i="2"/>
  <c r="N3" i="2"/>
  <c r="BB99" i="2"/>
  <c r="AX87" i="2"/>
  <c r="S81" i="2"/>
  <c r="BC71" i="2"/>
  <c r="AN67" i="2"/>
  <c r="AN63" i="2"/>
  <c r="AA60" i="2"/>
  <c r="AP56" i="2"/>
  <c r="J55" i="2"/>
  <c r="AF52" i="2"/>
  <c r="BB48" i="2"/>
  <c r="AV45" i="2"/>
  <c r="AY44" i="2"/>
  <c r="I44" i="2"/>
  <c r="W43" i="2"/>
  <c r="AA40" i="2"/>
  <c r="AL39" i="2"/>
  <c r="AQ38" i="2"/>
  <c r="BA34" i="2"/>
  <c r="O34" i="2"/>
  <c r="AB33" i="2"/>
  <c r="AR32" i="2"/>
  <c r="K32" i="2"/>
  <c r="AD30" i="2"/>
  <c r="AX29" i="2"/>
  <c r="S29" i="2"/>
  <c r="AL28" i="2"/>
  <c r="F28" i="2"/>
  <c r="AA27" i="2"/>
  <c r="AT26" i="2"/>
  <c r="N26" i="2"/>
  <c r="AI25" i="2"/>
  <c r="BC24" i="2"/>
  <c r="AB24" i="2"/>
  <c r="BA20" i="2"/>
  <c r="AA20" i="2"/>
  <c r="BA19" i="2"/>
  <c r="AA19" i="2"/>
  <c r="BA17" i="2"/>
  <c r="AB17" i="2"/>
  <c r="BD16" i="2"/>
  <c r="AF16" i="2"/>
  <c r="H16" i="2"/>
  <c r="AJ14" i="2"/>
  <c r="L14" i="2"/>
  <c r="AN13" i="2"/>
  <c r="P13" i="2"/>
  <c r="AR12" i="2"/>
  <c r="T12" i="2"/>
  <c r="AV10" i="2"/>
  <c r="X10" i="2"/>
  <c r="AZ8" i="2"/>
  <c r="AB8" i="2"/>
  <c r="BD7" i="2"/>
  <c r="AF7" i="2"/>
  <c r="H7" i="2"/>
  <c r="O6" i="2"/>
  <c r="AE3" i="2"/>
  <c r="AO71" i="2"/>
  <c r="AA67" i="2"/>
  <c r="BA53" i="2"/>
  <c r="AW44" i="2"/>
  <c r="W40" i="2"/>
  <c r="U33" i="2"/>
  <c r="W30" i="2"/>
  <c r="AZ27" i="2"/>
  <c r="AB25" i="2"/>
  <c r="AV19" i="2"/>
  <c r="W17" i="2"/>
  <c r="AE14" i="2"/>
  <c r="K13" i="2"/>
  <c r="S10" i="2"/>
  <c r="AA7" i="2"/>
  <c r="AY3" i="2"/>
  <c r="AF80" i="2"/>
  <c r="T63" i="2"/>
  <c r="P60" i="2"/>
  <c r="V52" i="2"/>
  <c r="G44" i="2"/>
  <c r="AK38" i="2"/>
  <c r="AI32" i="2"/>
  <c r="AV27" i="2"/>
  <c r="BD25" i="2"/>
  <c r="AT20" i="2"/>
  <c r="AS17" i="2"/>
  <c r="Y16" i="2"/>
  <c r="AG13" i="2"/>
  <c r="Q10" i="2"/>
  <c r="Y7" i="2"/>
  <c r="AQ4" i="2"/>
</calcChain>
</file>

<file path=xl/sharedStrings.xml><?xml version="1.0" encoding="utf-8"?>
<sst xmlns="http://schemas.openxmlformats.org/spreadsheetml/2006/main" count="523" uniqueCount="374">
  <si>
    <t>Revenue</t>
  </si>
  <si>
    <t>Total Revenue</t>
  </si>
  <si>
    <t>Gross Profit</t>
  </si>
  <si>
    <t>salesforce.com Inc- Company Financial (Single Period)</t>
  </si>
  <si>
    <t>CRM US Equity    Period:2022:Y    Currency:USD</t>
  </si>
  <si>
    <t>Metric</t>
  </si>
  <si>
    <t>Mean Consensus</t>
  </si>
  <si>
    <t>Low Consensus</t>
  </si>
  <si>
    <t>High Consensus</t>
  </si>
  <si>
    <t>Std Dev Consensus</t>
  </si>
  <si>
    <t>Median Consensus</t>
  </si>
  <si>
    <t>Company Guidance</t>
  </si>
  <si>
    <t>Analyst</t>
  </si>
  <si>
    <t>Field Expression</t>
  </si>
  <si>
    <t>Calcrt Field</t>
  </si>
  <si>
    <t>Segment Id</t>
  </si>
  <si>
    <t xml:space="preserve">  Highlights</t>
  </si>
  <si>
    <t>Highlights</t>
  </si>
  <si>
    <t xml:space="preserve">  Non-GAAP Diluted EPS</t>
  </si>
  <si>
    <t>IS_COMP_EPS_EXCL_STOCK_COMP</t>
  </si>
  <si>
    <t>Non-GAAP Diluted EPS</t>
  </si>
  <si>
    <t xml:space="preserve">  Revenue</t>
  </si>
  <si>
    <t>IS_COMP_SALES</t>
  </si>
  <si>
    <t xml:space="preserve">    YoY Constant Currency Growth (%)</t>
  </si>
  <si>
    <t>REVENUE_GROWTH_CC_1_YR</t>
  </si>
  <si>
    <t>YoY Constant Currency Growth (%)</t>
  </si>
  <si>
    <t xml:space="preserve">  </t>
  </si>
  <si>
    <t xml:space="preserve">  Subscription &amp; Support Revenue</t>
  </si>
  <si>
    <t>SALES_REV_TURN</t>
  </si>
  <si>
    <t>Subscription &amp; Support Revenue</t>
  </si>
  <si>
    <t>SEG0000269238 Segment</t>
  </si>
  <si>
    <t xml:space="preserve">  Remaining Performance Obligations</t>
  </si>
  <si>
    <t>TOT_FUTURE_REV_UNDER_CONTRACT</t>
  </si>
  <si>
    <t>Remaining Performance Obligations</t>
  </si>
  <si>
    <t xml:space="preserve">    Current Remaining</t>
  </si>
  <si>
    <t>CURRENT_FUTURE_REV_UNDER_CONTRACT</t>
  </si>
  <si>
    <t>Current Remaining</t>
  </si>
  <si>
    <t xml:space="preserve">    Non-Current Remaining</t>
  </si>
  <si>
    <t>NON_CURRENT_FUTURE_REV_UNDER_CONTRACT</t>
  </si>
  <si>
    <t>Non-Current Remaining</t>
  </si>
  <si>
    <t xml:space="preserve">  Non-GAAP Gross Profit</t>
  </si>
  <si>
    <t>IS_ADJ_GROSS_PROFIT_AS_REPORTED</t>
  </si>
  <si>
    <t>Non-GAAP Gross Profit</t>
  </si>
  <si>
    <t xml:space="preserve">    Gross Margin (%)</t>
  </si>
  <si>
    <t>IS_COMP_GROSS_MARGIN_PERCENTAGE</t>
  </si>
  <si>
    <t>Gross Margin (%)</t>
  </si>
  <si>
    <t xml:space="preserve">  Non-GAAP Operating Income</t>
  </si>
  <si>
    <t>IS_COMPARABLE_EBIT</t>
  </si>
  <si>
    <t>Non-GAAP Operating Income</t>
  </si>
  <si>
    <t xml:space="preserve">    Operating Margin (%)</t>
  </si>
  <si>
    <t>ADJ_OPERATING_MARGIN</t>
  </si>
  <si>
    <t>Operating Margin (%)</t>
  </si>
  <si>
    <t xml:space="preserve">  Business Breakdown</t>
  </si>
  <si>
    <t>Business Breakdown</t>
  </si>
  <si>
    <t xml:space="preserve">  Subscription &amp; Support</t>
  </si>
  <si>
    <t>Subscription &amp; Support</t>
  </si>
  <si>
    <t xml:space="preserve">    Revenue</t>
  </si>
  <si>
    <t xml:space="preserve">      As (%) Revenue</t>
  </si>
  <si>
    <t>IS_PERCENTAGE_OF_REVENUE</t>
  </si>
  <si>
    <t>As (%) Revenue</t>
  </si>
  <si>
    <t xml:space="preserve">      Sales Cloud</t>
  </si>
  <si>
    <t>Sales Cloud</t>
  </si>
  <si>
    <t>SEG0000269247 Segment</t>
  </si>
  <si>
    <t xml:space="preserve">      Service Cloud</t>
  </si>
  <si>
    <t>Service Cloud</t>
  </si>
  <si>
    <t>SEG0000269241 Segment</t>
  </si>
  <si>
    <t xml:space="preserve">      Salesforce Platform &amp; Other</t>
  </si>
  <si>
    <t>Salesforce Platform &amp; Other</t>
  </si>
  <si>
    <t>SEG0000269242 Segment</t>
  </si>
  <si>
    <t xml:space="preserve">      Marketing &amp; Commerce Cloud</t>
  </si>
  <si>
    <t>Marketing &amp; Commerce Cloud</t>
  </si>
  <si>
    <t>SEG0000269233 Segment</t>
  </si>
  <si>
    <t xml:space="preserve">    Cost of Revenue</t>
  </si>
  <si>
    <t>IS_COGS_TO_FE_AND_PP_AND_G</t>
  </si>
  <si>
    <t>Cost of Revenue</t>
  </si>
  <si>
    <t xml:space="preserve">  Professional Services &amp; Other</t>
  </si>
  <si>
    <t>Professional Services &amp; Other</t>
  </si>
  <si>
    <t>SEG0000269227 Segment</t>
  </si>
  <si>
    <t xml:space="preserve">      As (%) of Revenue</t>
  </si>
  <si>
    <t>As (%) of Revenue</t>
  </si>
  <si>
    <t xml:space="preserve">  Regional Breakdown</t>
  </si>
  <si>
    <t>Regional Breakdown</t>
  </si>
  <si>
    <t xml:space="preserve">  Americas</t>
  </si>
  <si>
    <t>Americas</t>
  </si>
  <si>
    <t>SEG0000269228 Segment</t>
  </si>
  <si>
    <t xml:space="preserve">    As (%) of Revenue</t>
  </si>
  <si>
    <t xml:space="preserve">    YoY Constant Currency Revenue Growth (%)</t>
  </si>
  <si>
    <t>YoY Constant Currency Revenue Growth (%)</t>
  </si>
  <si>
    <t xml:space="preserve">  Europe</t>
  </si>
  <si>
    <t>Europe</t>
  </si>
  <si>
    <t>SEG0000269240 Segment</t>
  </si>
  <si>
    <t xml:space="preserve">  APAC &amp; Other</t>
  </si>
  <si>
    <t>APAC &amp; Other</t>
  </si>
  <si>
    <t>SEG0000269229 Segment</t>
  </si>
  <si>
    <t xml:space="preserve">  Income Statement (Adjusted)</t>
  </si>
  <si>
    <t>Income Statement (Adjusted)</t>
  </si>
  <si>
    <t xml:space="preserve">  Total Revenue</t>
  </si>
  <si>
    <t xml:space="preserve">  Gross Profit</t>
  </si>
  <si>
    <t xml:space="preserve">  Total Operating Expenses</t>
  </si>
  <si>
    <t>CB_IS_ADJUSTED_OPEX</t>
  </si>
  <si>
    <t>Total Operating Expenses</t>
  </si>
  <si>
    <t xml:space="preserve">  Operating Income</t>
  </si>
  <si>
    <t>Operating Income</t>
  </si>
  <si>
    <t xml:space="preserve">  Depreciation &amp; Amortization</t>
  </si>
  <si>
    <t>CF_DEPR_AMORT</t>
  </si>
  <si>
    <t>Depreciation &amp; Amortization</t>
  </si>
  <si>
    <t xml:space="preserve">  EBITDA</t>
  </si>
  <si>
    <t>IS_COMPARABLE_EBITDA</t>
  </si>
  <si>
    <t>EBITDA</t>
  </si>
  <si>
    <t xml:space="preserve">    Amortization of Intangible Assets</t>
  </si>
  <si>
    <t>IS_AMORT_OF_TOT_INTANG_PRETX</t>
  </si>
  <si>
    <t>Amortization of Intangible Assets</t>
  </si>
  <si>
    <t xml:space="preserve">  Other Income / (Expense), Net</t>
  </si>
  <si>
    <t>IS_NON_OPERATING_INC_LOSS_GAAP</t>
  </si>
  <si>
    <t>Other Income / (Expense), Net</t>
  </si>
  <si>
    <t xml:space="preserve">  Pre-Tax Income</t>
  </si>
  <si>
    <t>IS_COMP_PTP_EX_STK_BASED_COMP</t>
  </si>
  <si>
    <t>Pre-Tax Income</t>
  </si>
  <si>
    <t xml:space="preserve">  Net Income</t>
  </si>
  <si>
    <t>IS_COMP_NET_INC_EXCL_STOCK_COMP</t>
  </si>
  <si>
    <t>Net Income</t>
  </si>
  <si>
    <t xml:space="preserve">    Net Margin (%)</t>
  </si>
  <si>
    <t>ADJ_PROFIT_MARGIN</t>
  </si>
  <si>
    <t>Net Margin (%)</t>
  </si>
  <si>
    <t xml:space="preserve">  Diluted Weighted Avg. Shares</t>
  </si>
  <si>
    <t>IS_SH_FOR_DILUTED_EPS</t>
  </si>
  <si>
    <t>Diluted Weighted Avg. Shares</t>
  </si>
  <si>
    <t xml:space="preserve">  Diluted EPS</t>
  </si>
  <si>
    <t>Diluted EPS</t>
  </si>
  <si>
    <t xml:space="preserve">  GAAP Results</t>
  </si>
  <si>
    <t>GAAP Results</t>
  </si>
  <si>
    <t>COGS_TO_NET_SALES</t>
  </si>
  <si>
    <t xml:space="preserve">    Gross Profit</t>
  </si>
  <si>
    <t>CB_IS_GROSS_PROFIT</t>
  </si>
  <si>
    <t xml:space="preserve">      Gross Margin (%)</t>
  </si>
  <si>
    <t>GROSS_MARGIN</t>
  </si>
  <si>
    <t xml:space="preserve">    Total Operating Expenses</t>
  </si>
  <si>
    <t>IS_TOT_OPER_EXP</t>
  </si>
  <si>
    <t>OPERATING_EXPENSES_TO_NET_SALES</t>
  </si>
  <si>
    <t xml:space="preserve">      Research &amp; Development</t>
  </si>
  <si>
    <t>IS_OPEX_R_AND_D_GAAP</t>
  </si>
  <si>
    <t>Research &amp; Development</t>
  </si>
  <si>
    <t xml:space="preserve">        As (%) of Revenue</t>
  </si>
  <si>
    <t>RD_EXPEND_TO_NET_SALES</t>
  </si>
  <si>
    <t xml:space="preserve">      Marketing &amp; Sales</t>
  </si>
  <si>
    <t>CB_IS_S_AND_M_EXPENSE</t>
  </si>
  <si>
    <t>Marketing &amp; Sales</t>
  </si>
  <si>
    <t xml:space="preserve">      General &amp; Administrative</t>
  </si>
  <si>
    <t>IS_GENERAL_AND_ADMIN_GAAP</t>
  </si>
  <si>
    <t>General &amp; Administrative</t>
  </si>
  <si>
    <t xml:space="preserve">    Operating Income</t>
  </si>
  <si>
    <t>IS_EBIT_AS_REPORTED</t>
  </si>
  <si>
    <t xml:space="preserve">      Operating Margin (%)</t>
  </si>
  <si>
    <t>OPER_INC_TO_NET_SALES</t>
  </si>
  <si>
    <t xml:space="preserve">    Pre-Tax Income</t>
  </si>
  <si>
    <t>PRETAX_INC</t>
  </si>
  <si>
    <t xml:space="preserve">    Income Tax Expense</t>
  </si>
  <si>
    <t>IS_INC_TAX_EXP</t>
  </si>
  <si>
    <t>Income Tax Expense</t>
  </si>
  <si>
    <t xml:space="preserve">    Net Income</t>
  </si>
  <si>
    <t>IS_COMP_NET_INCOME_GAAP</t>
  </si>
  <si>
    <t xml:space="preserve">      Net Margin (%)</t>
  </si>
  <si>
    <t>PROF_MARGIN</t>
  </si>
  <si>
    <t xml:space="preserve">    Basic Weighted Avg. Shares</t>
  </si>
  <si>
    <t>IS_AVG_NUM_SH_FOR_EPS</t>
  </si>
  <si>
    <t>Basic Weighted Avg. Shares</t>
  </si>
  <si>
    <t xml:space="preserve">    Diluted Weighted Avg. Shares</t>
  </si>
  <si>
    <t xml:space="preserve">    Diluted EPS</t>
  </si>
  <si>
    <t>IS_COMP_EPS_GAAP</t>
  </si>
  <si>
    <t xml:space="preserve">  Company Specific Adjustments</t>
  </si>
  <si>
    <t>Company Specific Adjustments</t>
  </si>
  <si>
    <t xml:space="preserve">    Income Tax Adjustments</t>
  </si>
  <si>
    <t>IS_INC_TAX_EFFECT_NONGAAP_REC</t>
  </si>
  <si>
    <t>Income Tax Adjustments</t>
  </si>
  <si>
    <t xml:space="preserve">    Stock-Based Compensation</t>
  </si>
  <si>
    <t>IS_SBC_NON_GAAP</t>
  </si>
  <si>
    <t>Stock-Based Compensation</t>
  </si>
  <si>
    <t xml:space="preserve">      Cost of Revenue</t>
  </si>
  <si>
    <t>IS_SBC_ATTRIB_TO_COGS_PRETX</t>
  </si>
  <si>
    <t>IS_SBC_ATTRIBUTABLE_TO_R_AND_D_PRETX</t>
  </si>
  <si>
    <t>IS_SBC_ATT_TO_S_AND_M_PRETX</t>
  </si>
  <si>
    <t>IS_SBC_ATT_TO_GENL_AND_ADMIN_PRETX</t>
  </si>
  <si>
    <t>IS_AMORT_ACQD_INTANGIBLES_COGS</t>
  </si>
  <si>
    <t>IS_AMORT_ACQD_INTANG_S_AND_M</t>
  </si>
  <si>
    <t xml:space="preserve">  Condensed Balance Sheet</t>
  </si>
  <si>
    <t>Condensed Balance Sheet</t>
  </si>
  <si>
    <t xml:space="preserve">  Assets</t>
  </si>
  <si>
    <t>Assets</t>
  </si>
  <si>
    <t xml:space="preserve">    Current Assets</t>
  </si>
  <si>
    <t>BS_CUR_ASSET_REPORT</t>
  </si>
  <si>
    <t>Current Assets</t>
  </si>
  <si>
    <t xml:space="preserve">      Cash, Cash Equivalents &amp; Marketable Securities</t>
  </si>
  <si>
    <t>BS_CASH_CASH_EQUIVALENTS_AND_STI</t>
  </si>
  <si>
    <t>Cash, Cash Equivalents &amp; Marketable Securities</t>
  </si>
  <si>
    <t xml:space="preserve">        Cash &amp; Cash Equivalents</t>
  </si>
  <si>
    <t>BS_CASH_NEAR_CASH_ITEM</t>
  </si>
  <si>
    <t>Cash &amp; Cash Equivalents</t>
  </si>
  <si>
    <t xml:space="preserve">        Marketable Securities</t>
  </si>
  <si>
    <t>BS_MKT_SEC_OTHER_ST_INVEST</t>
  </si>
  <si>
    <t>Marketable Securities</t>
  </si>
  <si>
    <t xml:space="preserve">      Accounts Receivable</t>
  </si>
  <si>
    <t>BS_ACCTS_REC_EXCL_NOTES_REC</t>
  </si>
  <si>
    <t>Accounts Receivable</t>
  </si>
  <si>
    <t xml:space="preserve">      Deferred Commissions</t>
  </si>
  <si>
    <t>CB_BS_OTHER_CURRENT_ASSETS</t>
  </si>
  <si>
    <t>Deferred Commissions</t>
  </si>
  <si>
    <t xml:space="preserve">      Prepaid Expenses &amp; Other Current Assets</t>
  </si>
  <si>
    <t>PREPAID_EXPNSS_AND_OTHR</t>
  </si>
  <si>
    <t>Prepaid Expenses &amp; Other Current Assets</t>
  </si>
  <si>
    <t xml:space="preserve">    Non-Current Assets</t>
  </si>
  <si>
    <t>BS_TOTAL_NON_CURRENT_ASSETS</t>
  </si>
  <si>
    <t>Non-Current Assets</t>
  </si>
  <si>
    <t xml:space="preserve">      Property &amp; Equipment, Net</t>
  </si>
  <si>
    <t>CB_BS_PP_AND_E_NET</t>
  </si>
  <si>
    <t>Property &amp; Equipment, Net</t>
  </si>
  <si>
    <t>CB_BS_OTHER_NONCURRENT_ASSETS</t>
  </si>
  <si>
    <t xml:space="preserve">      Strategic Investments</t>
  </si>
  <si>
    <t>BS_LONG_TERM_INVESTMENTS</t>
  </si>
  <si>
    <t>Strategic Investments</t>
  </si>
  <si>
    <t xml:space="preserve">      Intangible Assets</t>
  </si>
  <si>
    <t>CB_BS_INTANG_ASSETS_EX_GW_NT</t>
  </si>
  <si>
    <t>Intangible Assets</t>
  </si>
  <si>
    <t xml:space="preserve">      Goodwill</t>
  </si>
  <si>
    <t>BS_GOODWILL</t>
  </si>
  <si>
    <t>Goodwill</t>
  </si>
  <si>
    <t xml:space="preserve">      Operating Lease Right-of-Use Assets</t>
  </si>
  <si>
    <t>TOT_OPER_LEA_RT_OF_USE_ASSETS</t>
  </si>
  <si>
    <t>Operating Lease Right-of-Use Assets</t>
  </si>
  <si>
    <t xml:space="preserve">      Capitalized Software</t>
  </si>
  <si>
    <t>CAPITALIZED_SOFTWARE</t>
  </si>
  <si>
    <t>Capitalized Software</t>
  </si>
  <si>
    <t xml:space="preserve">    Total Assets</t>
  </si>
  <si>
    <t>BS_TOT_ASSET</t>
  </si>
  <si>
    <t>Total Assets</t>
  </si>
  <si>
    <t xml:space="preserve">  Liabilities &amp; Equity</t>
  </si>
  <si>
    <t>Liabilities &amp; Equity</t>
  </si>
  <si>
    <t xml:space="preserve">    Current Liabilities</t>
  </si>
  <si>
    <t>BS_CUR_LIAB</t>
  </si>
  <si>
    <t>Current Liabilities</t>
  </si>
  <si>
    <t xml:space="preserve">      Accounts Payable, Accrued Expenses &amp; Other Liabilities</t>
  </si>
  <si>
    <t>CB_BS_ACCT_PYBL_ACC_EXPNSS</t>
  </si>
  <si>
    <t>Accounts Payable, Accrued Expenses &amp; Other Liabilities</t>
  </si>
  <si>
    <t xml:space="preserve">      Operating Lease Liabilities</t>
  </si>
  <si>
    <t>BS_ST_OPERATING_LEASE_LIABS</t>
  </si>
  <si>
    <t>Operating Lease Liabilities</t>
  </si>
  <si>
    <t xml:space="preserve">      Short-Term Deferred Revenue</t>
  </si>
  <si>
    <t>ST_DEFERRED_REVENUE</t>
  </si>
  <si>
    <t>Short-Term Deferred Revenue</t>
  </si>
  <si>
    <t xml:space="preserve">    Non-Current Liabilities</t>
  </si>
  <si>
    <t>BS_ADJ_TOTAL_LT_LIABILITIES</t>
  </si>
  <si>
    <t>Non-Current Liabilities</t>
  </si>
  <si>
    <t xml:space="preserve">      Long-Term Debt</t>
  </si>
  <si>
    <t>BS_LONG_TERM_BORROWINGS</t>
  </si>
  <si>
    <t>Long-Term Debt</t>
  </si>
  <si>
    <t>BS_LT_OPERATING_LEASE_LIABS</t>
  </si>
  <si>
    <t xml:space="preserve">      Other Non-Current Liabilities</t>
  </si>
  <si>
    <t>CB_BS_OTHER_NONCURRENT_LIABS</t>
  </si>
  <si>
    <t>Other Non-Current Liabilities</t>
  </si>
  <si>
    <t xml:space="preserve">    Total Liabilities</t>
  </si>
  <si>
    <t>BS_TOTAL_LIABILITIES</t>
  </si>
  <si>
    <t>Total Liabilities</t>
  </si>
  <si>
    <t xml:space="preserve">    Total Shareholders' Equity</t>
  </si>
  <si>
    <t>BS_EQTY_BEFORE_MINORITY_INT</t>
  </si>
  <si>
    <t>Total Shareholders' Equity</t>
  </si>
  <si>
    <t xml:space="preserve">      Common Stock</t>
  </si>
  <si>
    <t>BS_COMMON_STOCK</t>
  </si>
  <si>
    <t>Common Stock</t>
  </si>
  <si>
    <t xml:space="preserve">      Additional Paid-In Capital</t>
  </si>
  <si>
    <t>BS_ADD_PAID_IN_CAP</t>
  </si>
  <si>
    <t>Additional Paid-In Capital</t>
  </si>
  <si>
    <t xml:space="preserve">      Accumulated &amp; Other Comprehensive Income</t>
  </si>
  <si>
    <t>BS_ACCUMULATED_OTHER_COMP_INC</t>
  </si>
  <si>
    <t>Accumulated &amp; Other Comprehensive Income</t>
  </si>
  <si>
    <t xml:space="preserve">      Retained Earnings</t>
  </si>
  <si>
    <t>BS_PURE_RETAINED_EARNINGS</t>
  </si>
  <si>
    <t>Retained Earnings</t>
  </si>
  <si>
    <t xml:space="preserve">    Total Liabilities &amp; Shareholders' Equity</t>
  </si>
  <si>
    <t>Total Liabilities &amp; Shareholders' Equity</t>
  </si>
  <si>
    <t xml:space="preserve">  Special Company Reference Items</t>
  </si>
  <si>
    <t>Special Company Reference Items</t>
  </si>
  <si>
    <t xml:space="preserve">    Total Debt</t>
  </si>
  <si>
    <t>CB_BS_LT_BORROWING</t>
  </si>
  <si>
    <t>Total Debt</t>
  </si>
  <si>
    <t xml:space="preserve">    Current Ratio</t>
  </si>
  <si>
    <t>CUR_RATIO</t>
  </si>
  <si>
    <t>Current Ratio</t>
  </si>
  <si>
    <t xml:space="preserve">    Book Value Per Share</t>
  </si>
  <si>
    <t>BV_PER_WEIGHTED_DILUTED_SHARE</t>
  </si>
  <si>
    <t>Book Value Per Share</t>
  </si>
  <si>
    <t xml:space="preserve">    </t>
  </si>
  <si>
    <t xml:space="preserve">    Remaining Performance Obligation</t>
  </si>
  <si>
    <t>Remaining Performance Obligation</t>
  </si>
  <si>
    <t xml:space="preserve">    Current Remaining Performance Obligations</t>
  </si>
  <si>
    <t>Current Remaining Performance Obligations</t>
  </si>
  <si>
    <t xml:space="preserve">    Non-Current Remaining Performance Obligations</t>
  </si>
  <si>
    <t>Non-Current Remaining Performance Obligations</t>
  </si>
  <si>
    <t xml:space="preserve">  Condensed Cash Flow Statement</t>
  </si>
  <si>
    <t>Condensed Cash Flow Statement</t>
  </si>
  <si>
    <t xml:space="preserve">  Cash from Operating Activities</t>
  </si>
  <si>
    <t>Cash from Operating Activities</t>
  </si>
  <si>
    <t xml:space="preserve">    Depreciation &amp; Amortization</t>
  </si>
  <si>
    <t xml:space="preserve">    Amortization of Costs Capitalized to Obtain Revenue Contracts, Net</t>
  </si>
  <si>
    <t>CF_AMORTIZATN_OF_DEFRRD_COMPNSTN</t>
  </si>
  <si>
    <t>Amortization of Costs Capitalized to Obtain Revenue Contracts, Net</t>
  </si>
  <si>
    <t>SBC_NON_GAAP_TO_SALES</t>
  </si>
  <si>
    <t xml:space="preserve">    Change in Operating Working Capital</t>
  </si>
  <si>
    <t>Change in Operating Working Capital</t>
  </si>
  <si>
    <t>CF_ACCT_RCV_UNBILLED_REV</t>
  </si>
  <si>
    <t>CF_CHANGE_IN_PREPAID_EXPNSS</t>
  </si>
  <si>
    <t xml:space="preserve">      Costs Capitalized to Obtain Revenue Contracts, Net</t>
  </si>
  <si>
    <t>CB_CF_OTHR_NONCSH_ITEMS</t>
  </si>
  <si>
    <t>Costs Capitalized to Obtain Revenue Contracts, Net</t>
  </si>
  <si>
    <t>CHG_IN_ACCT_PYBL_AND_ACC_EXPNSS</t>
  </si>
  <si>
    <t xml:space="preserve">      Deferred Revenue</t>
  </si>
  <si>
    <t>CF_CHG_IN_DEFER_UNEARND_REV_ST</t>
  </si>
  <si>
    <t>Deferred Revenue</t>
  </si>
  <si>
    <t>CF_CHANGE_IN_OPER_LEASE_LIBLTS</t>
  </si>
  <si>
    <t xml:space="preserve">  Cash Flow from Operations</t>
  </si>
  <si>
    <t>CB_CF_NET_CASH_OPERATING_ACT</t>
  </si>
  <si>
    <t>Cash Flow from Operations</t>
  </si>
  <si>
    <t xml:space="preserve">  Cash from Investing Activities</t>
  </si>
  <si>
    <t>Cash from Investing Activities</t>
  </si>
  <si>
    <t xml:space="preserve">    Business Combinations, Net of Cash Acquired</t>
  </si>
  <si>
    <t>CF_CASH_FOR_ACQUIS_SUBSIDIARIES</t>
  </si>
  <si>
    <t>Business Combinations, Net of Cash Acquired</t>
  </si>
  <si>
    <t xml:space="preserve">    Capital Expenditures</t>
  </si>
  <si>
    <t>CF_PURCHASE_OF_FIXED_PROD_ASSETS</t>
  </si>
  <si>
    <t>Capital Expenditures</t>
  </si>
  <si>
    <t>CAP_EXPEND_TO_SALES</t>
  </si>
  <si>
    <t xml:space="preserve">  Cash Flow from Investing</t>
  </si>
  <si>
    <t>CB_CF_NET_CASH_INVESTING_ACT</t>
  </si>
  <si>
    <t>Cash Flow from Investing</t>
  </si>
  <si>
    <t xml:space="preserve">  Cash from Financing Activities</t>
  </si>
  <si>
    <t>Cash from Financing Activities</t>
  </si>
  <si>
    <t xml:space="preserve">    Proceeds from Exercise of Stock Options</t>
  </si>
  <si>
    <t>CF_INCR_CAP_STOCK</t>
  </si>
  <si>
    <t>Proceeds from Exercise of Stock Options</t>
  </si>
  <si>
    <t xml:space="preserve">    Principal Payments on Financing Obligations</t>
  </si>
  <si>
    <t>CB_CF_OTHER_FINANCING_ACTIVITIES</t>
  </si>
  <si>
    <t>Principal Payments on Financing Obligations</t>
  </si>
  <si>
    <t xml:space="preserve">    Repayments of Debt</t>
  </si>
  <si>
    <t>CB_CF_REPAYMENT_LT_DEBT</t>
  </si>
  <si>
    <t>Repayments of Debt</t>
  </si>
  <si>
    <t xml:space="preserve">  Cash Flow from Financing</t>
  </si>
  <si>
    <t>CB_CF_NET_CASH_FINANCING_ACT</t>
  </si>
  <si>
    <t>Cash Flow from Financing</t>
  </si>
  <si>
    <t xml:space="preserve">    Cash Flow from Operations</t>
  </si>
  <si>
    <t xml:space="preserve">      Cash Flow Per Share</t>
  </si>
  <si>
    <t>CASH_FLOW_PER_SH</t>
  </si>
  <si>
    <t>Cash Flow Per Share</t>
  </si>
  <si>
    <t xml:space="preserve">      Operating Cash Flow Margin (%)</t>
  </si>
  <si>
    <t>CFO_TO_SALES</t>
  </si>
  <si>
    <t>Operating Cash Flow Margin (%)</t>
  </si>
  <si>
    <t xml:space="preserve">    Effects of Foreign Exchange Rates on Cash</t>
  </si>
  <si>
    <t>CF_EFFECT_FOREIGN_EXCHANGES</t>
  </si>
  <si>
    <t>Effects of Foreign Exchange Rates on Cash</t>
  </si>
  <si>
    <t xml:space="preserve">    Net Change in Cash</t>
  </si>
  <si>
    <t>CF_NET_CHNG_CASH</t>
  </si>
  <si>
    <t>Net Change in Cash</t>
  </si>
  <si>
    <t xml:space="preserve">      Cash &amp; Cash Equivalents (End of period)</t>
  </si>
  <si>
    <t>Cash &amp; Cash Equivalents (End of period)</t>
  </si>
  <si>
    <t xml:space="preserve">      Cash &amp; Cash Equivalents (Beg. of Period)</t>
  </si>
  <si>
    <t>CF_CASH_AND_CASH_EQUIV_BEG_BAL</t>
  </si>
  <si>
    <t>Cash &amp; Cash Equivalents (Beg. of Period)</t>
  </si>
  <si>
    <t xml:space="preserve">    Free Cash Flow</t>
  </si>
  <si>
    <t>CF_FREE_CASH_FLOW</t>
  </si>
  <si>
    <t>Free Cash Flow</t>
  </si>
  <si>
    <t xml:space="preserve">      Free Cash Flow Margin (%)</t>
  </si>
  <si>
    <t>FREE_CASH_FLOW_MARGIN</t>
  </si>
  <si>
    <t>Free Cash Flow Margin (%)</t>
  </si>
  <si>
    <t xml:space="preserve">      Free Cash Flow per Share</t>
  </si>
  <si>
    <t>FCF_PER_DIL_SHR</t>
  </si>
  <si>
    <t>Free Cash Flow per Share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</si>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</sst>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9" applyNumberFormat="0" applyAlignment="0" applyProtection="0"/>
    <xf numFmtId="0" fontId="20" fillId="7" borderId="12" applyNumberFormat="0" applyAlignment="0" applyProtection="0"/>
    <xf numFmtId="0" fontId="22" fillId="0" borderId="0" applyNumberFormat="0" applyFill="0" applyBorder="0" applyAlignment="0" applyProtection="0"/>
    <xf numFmtId="0" fontId="5" fillId="33" borderId="3">
      <alignment horizontal="left"/>
    </xf>
    <xf numFmtId="4" fontId="1" fillId="34" borderId="2"/>
    <xf numFmtId="0" fontId="7" fillId="35" borderId="4" applyNumberFormat="0" applyAlignment="0" applyProtection="0"/>
    <xf numFmtId="0" fontId="3" fillId="0" borderId="0"/>
    <xf numFmtId="0" fontId="6" fillId="34" borderId="5"/>
    <xf numFmtId="0" fontId="13" fillId="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9" applyNumberFormat="0" applyAlignment="0" applyProtection="0"/>
    <xf numFmtId="0" fontId="19" fillId="0" borderId="11" applyNumberFormat="0" applyFill="0" applyAlignment="0" applyProtection="0"/>
    <xf numFmtId="0" fontId="15" fillId="4" borderId="0" applyNumberFormat="0" applyBorder="0" applyAlignment="0" applyProtection="0"/>
    <xf numFmtId="0" fontId="8" fillId="8" borderId="13" applyNumberFormat="0" applyFont="0" applyAlignment="0" applyProtection="0"/>
    <xf numFmtId="0" fontId="17" fillId="6" borderId="10" applyNumberFormat="0" applyAlignment="0" applyProtection="0"/>
    <xf numFmtId="0" fontId="9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5" fillId="33" borderId="1">
      <alignment horizontal="left"/>
    </xf>
    <xf numFmtId="4" fontId="1" fillId="34" borderId="2">
      <alignment horizontal="right"/>
    </xf>
  </cellStyleXfs>
  <cellXfs count="10">
    <xf numFmtId="0" fontId="0" fillId="0" borderId="0" xfId="0"/>
    <xf numFmtId="0" fontId="3" fillId="0" borderId="0" xfId="32" applyNumberFormat="1" applyFont="1" applyFill="1" applyBorder="1" applyAlignment="1" applyProtection="1"/>
    <xf numFmtId="0" fontId="0" fillId="0" borderId="0" xfId="0"/>
    <xf numFmtId="0" fontId="4" fillId="33" borderId="15" xfId="47" applyFont="1" applyFill="1" applyBorder="1" applyAlignment="1">
      <alignment horizontal="left" vertical="center" readingOrder="1"/>
    </xf>
    <xf numFmtId="0" fontId="5" fillId="33" borderId="3" xfId="29" applyNumberFormat="1" applyFont="1" applyFill="1" applyBorder="1" applyAlignment="1" applyProtection="1">
      <alignment horizontal="left"/>
    </xf>
    <xf numFmtId="4" fontId="1" fillId="34" borderId="2" xfId="30" applyNumberFormat="1" applyFont="1" applyFill="1" applyBorder="1" applyAlignment="1" applyProtection="1"/>
    <xf numFmtId="0" fontId="7" fillId="35" borderId="4" xfId="31" applyFont="1" applyFill="1" applyBorder="1"/>
    <xf numFmtId="0" fontId="5" fillId="33" borderId="1" xfId="48">
      <alignment horizontal="left"/>
    </xf>
    <xf numFmtId="0" fontId="2" fillId="34" borderId="5" xfId="33" applyNumberFormat="1" applyFont="1" applyFill="1" applyBorder="1" applyAlignment="1" applyProtection="1"/>
    <xf numFmtId="4" fontId="1" fillId="34" borderId="2" xfId="49" applyNumberFormat="1" applyFont="1" applyFill="1" applyBorder="1" applyAlignment="1" applyProtection="1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title_header_row_left" xfId="47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a_column_header_bottom_left" xfId="48" xr:uid="{00000000-0005-0000-0000-00001D000000}"/>
    <cellStyle name="fa_column_header_top_left" xfId="29" xr:uid="{00000000-0005-0000-0000-00001E000000}"/>
    <cellStyle name="fa_data_standard" xfId="30" xr:uid="{00000000-0005-0000-0000-00001F000000}"/>
    <cellStyle name="fa_data_standard_2_grouped" xfId="49" xr:uid="{00000000-0005-0000-0000-000020000000}"/>
    <cellStyle name="fa_footer_italic" xfId="31" xr:uid="{00000000-0005-0000-0000-000021000000}"/>
    <cellStyle name="fa_grey_text_italics" xfId="32" xr:uid="{00000000-0005-0000-0000-000022000000}"/>
    <cellStyle name="fa_row_header_standard" xfId="33" xr:uid="{00000000-0005-0000-0000-000023000000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47951</v>
        <stp/>
        <stp>##V3_BQLV12</stp>
        <stp>[MODL_CRM_US1.xlsx]Single Period!R122C9</stp>
        <stp>CRM US Equity</stp>
        <stp>CONTRIBUTOR_STATS(BS_GOODWILL, MEDIAN)/1M</stp>
        <stp>FPR=2022Y</stp>
        <stp>FPT=A</stp>
        <stp>FA_ACT_EST_DATA=E</stp>
        <stp>ACT_EST_MAPPING=PRECISE</stp>
        <stp>FS=MRC</stp>
        <stp>CURRENCY=USD</stp>
        <stp>XLFILL=b</stp>
        <tr r="I122" s="2"/>
      </tp>
      <tp t="s">
        <v/>
        <stp/>
        <stp>##V3_BQLV12</stp>
        <stp>[MODL_CRM_US1.xlsx]Single Period!R44C25</stp>
        <stp>SEG0000269240 Segment</stp>
        <stp>IS_PERCENTAGE_OF_REVENUE</stp>
        <stp>FPR=2022Y</stp>
        <stp>FPT=A</stp>
        <stp>FA_ACT_EST_DATA=E, EST_SOURCE=WMS</stp>
        <stp>ACT_EST_MAPPING=PRECISE</stp>
        <stp>FS=MRC</stp>
        <stp>CURRENCY=USD</stp>
        <stp>XLFILL=b</stp>
        <tr r="Y44" s="2"/>
      </tp>
      <tp t="s">
        <v/>
        <stp/>
        <stp>##V3_BQLV12</stp>
        <stp>[MODL_CRM_US1.xlsx]Single Period!R33C56</stp>
        <stp>SEG0000269227 Segment</stp>
        <stp>IS_PERCENTAGE_OF_REVENUE</stp>
        <stp>FPR=2022Y</stp>
        <stp>FPT=A</stp>
        <stp>FA_ACT_EST_DATA=E, EST_SOURCE=DIR</stp>
        <stp>ACT_EST_MAPPING=PRECISE</stp>
        <stp>FS=MRC</stp>
        <stp>CURRENCY=USD</stp>
        <stp>XLFILL=b</stp>
        <tr r="BD33" s="2"/>
      </tp>
      <tp t="s">
        <v/>
        <stp/>
        <stp>##V3_BQLV12</stp>
        <stp>[MODL_CRM_US1.xlsx]Single Period!R70C49</stp>
        <stp>CRM US Equity</stp>
        <stp>IS_COMP_NET_INC_EXCL_STOCK_COMP/1M</stp>
        <stp>FPR=2022Y</stp>
        <stp>FPT=A</stp>
        <stp>FA_ACT_EST_DATA=E, EST_SOURCE=SGE</stp>
        <stp>ACT_EST_MAPPING=PRECISE</stp>
        <stp>FS=MRC</stp>
        <stp>CURRENCY=USD</stp>
        <stp>XLFILL=b</stp>
        <tr r="AW70" s="2"/>
      </tp>
      <tp t="s">
        <v/>
        <stp/>
        <stp>##V3_BQLV12</stp>
        <stp>[MODL_CRM_US1.xlsx]Single Period!R55C52</stp>
        <stp>CRM US Equity</stp>
        <stp>IS_ADJ_GROSS_PROFIT_AS_REPORTED/1M</stp>
        <stp>FPR=2022Y</stp>
        <stp>FPT=A</stp>
        <stp>FA_ACT_EST_DATA=E, EST_SOURCE=WFR</stp>
        <stp>ACT_EST_MAPPING=PRECISE</stp>
        <stp>FS=MRC</stp>
        <stp>CURRENCY=USD</stp>
        <stp>XLFILL=b</stp>
        <tr r="AZ55" s="2"/>
      </tp>
      <tp t="s">
        <v/>
        <stp/>
        <stp>##V3_BQLV12</stp>
        <stp>[MODL_CRM_US1.xlsx]Single Period!R16C52</stp>
        <stp>CRM US Equity</stp>
        <stp>IS_ADJ_GROSS_PROFIT_AS_REPORTED/1M</stp>
        <stp>FPR=2022Y</stp>
        <stp>FPT=A</stp>
        <stp>FA_ACT_EST_DATA=E, EST_SOURCE=WFR</stp>
        <stp>ACT_EST_MAPPING=PRECISE</stp>
        <stp>FS=MRC</stp>
        <stp>CURRENCY=USD</stp>
        <stp>XLFILL=b</stp>
        <tr r="AZ16" s="2"/>
      </tp>
      <tp>
        <v>4617</v>
        <stp/>
        <stp>##V3_BQLV12</stp>
        <stp>[MODL_CRM_US1.xlsx]Single Period!R70C39</stp>
        <stp>CRM US Equity</stp>
        <stp>IS_COMP_NET_INC_EXCL_STOCK_COMP/1M</stp>
        <stp>FPR=2022Y</stp>
        <stp>FPT=A</stp>
        <stp>FA_ACT_EST_DATA=E, EST_SOURCE=KGI</stp>
        <stp>ACT_EST_MAPPING=PRECISE</stp>
        <stp>FS=MRC</stp>
        <stp>CURRENCY=USD</stp>
        <stp>XLFILL=b</stp>
        <tr r="AM70" s="2"/>
      </tp>
      <tp t="s">
        <v/>
        <stp/>
        <stp>##V3_BQLV12</stp>
        <stp>[MODL_CRM_US1.xlsx]Single Period!R49C25</stp>
        <stp>SEG0000269229 Segment</stp>
        <stp>IS_PERCENTAGE_OF_REVENUE</stp>
        <stp>FPR=2022Y</stp>
        <stp>FPT=A</stp>
        <stp>FA_ACT_EST_DATA=E, EST_SOURCE=WMS</stp>
        <stp>ACT_EST_MAPPING=PRECISE</stp>
        <stp>FS=MRC</stp>
        <stp>CURRENCY=USD</stp>
        <stp>XLFILL=b</stp>
        <tr r="Y49" s="2"/>
      </tp>
      <tp t="s">
        <v/>
        <stp/>
        <stp>##V3_BQLV12</stp>
        <stp>[MODL_CRM_US1.xlsx]Single Period!R16C47</stp>
        <stp>CRM US Equity</stp>
        <stp>IS_ADJ_GROSS_PROFIT_AS_REPORTED/1M</stp>
        <stp>FPR=2022Y</stp>
        <stp>FPT=A</stp>
        <stp>FA_ACT_EST_DATA=E, EST_SOURCE=WFT</stp>
        <stp>ACT_EST_MAPPING=PRECISE</stp>
        <stp>FS=MRC</stp>
        <stp>CURRENCY=USD</stp>
        <stp>XLFILL=b</stp>
        <tr r="AU16" s="2"/>
      </tp>
      <tp t="s">
        <v/>
        <stp/>
        <stp>##V3_BQLV12</stp>
        <stp>[MODL_CRM_US1.xlsx]Single Period!R55C47</stp>
        <stp>CRM US Equity</stp>
        <stp>IS_ADJ_GROSS_PROFIT_AS_REPORTED/1M</stp>
        <stp>FPR=2022Y</stp>
        <stp>FPT=A</stp>
        <stp>FA_ACT_EST_DATA=E, EST_SOURCE=WFT</stp>
        <stp>ACT_EST_MAPPING=PRECISE</stp>
        <stp>FS=MRC</stp>
        <stp>CURRENCY=USD</stp>
        <stp>XLFILL=b</stp>
        <tr r="AU55" s="2"/>
      </tp>
      <tp t="s">
        <v/>
        <stp/>
        <stp>##V3_BQLV12</stp>
        <stp>[MODL_CRM_US1.xlsx]Single Period!R39C56</stp>
        <stp>SEG0000269228 Segment</stp>
        <stp>IS_PERCENTAGE_OF_REVENUE</stp>
        <stp>FPR=2022Y</stp>
        <stp>FPT=A</stp>
        <stp>FA_ACT_EST_DATA=E, EST_SOURCE=DIR</stp>
        <stp>ACT_EST_MAPPING=PRECISE</stp>
        <stp>FS=MRC</stp>
        <stp>CURRENCY=USD</stp>
        <stp>XLFILL=b</stp>
        <tr r="BD39" s="2"/>
      </tp>
      <tp t="s">
        <v/>
        <stp/>
        <stp>##V3_BQLV12</stp>
        <stp>[MODL_CRM_US1.xlsx]Single Period!R39C12</stp>
        <stp>SEG0000269228 Segment</stp>
        <stp>IS_PERCENTAGE_OF_REVENUE</stp>
        <stp>FPR=2022Y</stp>
        <stp>FPT=A</stp>
        <stp>FA_ACT_EST_DATA=E, EST_SOURCE=BMO</stp>
        <stp>ACT_EST_MAPPING=PRECISE</stp>
        <stp>FS=MRC</stp>
        <stp>CURRENCY=USD</stp>
        <stp>XLFILL=b</stp>
        <tr r="L39" s="2"/>
      </tp>
      <tp t="s">
        <v/>
        <stp/>
        <stp>##V3_BQLV12</stp>
        <stp>[MODL_CRM_US1.xlsx]Single Period!R25C49</stp>
        <stp>SEG0000269238 Segment</stp>
        <stp>IS_PERCENTAGE_OF_REVENUE</stp>
        <stp>FPR=2022Y</stp>
        <stp>FPT=A</stp>
        <stp>FA_ACT_EST_DATA=E, EST_SOURCE=SGE</stp>
        <stp>ACT_EST_MAPPING=PRECISE</stp>
        <stp>FS=MRC</stp>
        <stp>CURRENCY=USD</stp>
        <stp>XLFILL=b</stp>
        <tr r="AW25" s="2"/>
      </tp>
      <tp t="s">
        <v/>
        <stp/>
        <stp>##V3_BQLV12</stp>
        <stp>[MODL_CRM_US1.xlsx]Single Period!R33C12</stp>
        <stp>SEG0000269227 Segment</stp>
        <stp>IS_PERCENTAGE_OF_REVENUE</stp>
        <stp>FPR=2022Y</stp>
        <stp>FPT=A</stp>
        <stp>FA_ACT_EST_DATA=E, EST_SOURCE=BMO</stp>
        <stp>ACT_EST_MAPPING=PRECISE</stp>
        <stp>FS=MRC</stp>
        <stp>CURRENCY=USD</stp>
        <stp>XLFILL=b</stp>
        <tr r="L33" s="2"/>
      </tp>
      <tp t="s">
        <v/>
        <stp/>
        <stp>##V3_BQLV12</stp>
        <stp>[MODL_CRM_US1.xlsx]Single Period!R25C39</stp>
        <stp>SEG0000269238 Segment</stp>
        <stp>IS_PERCENTAGE_OF_REVENUE</stp>
        <stp>FPR=2022Y</stp>
        <stp>FPT=A</stp>
        <stp>FA_ACT_EST_DATA=E, EST_SOURCE=KGI</stp>
        <stp>ACT_EST_MAPPING=PRECISE</stp>
        <stp>FS=MRC</stp>
        <stp>CURRENCY=USD</stp>
        <stp>XLFILL=b</stp>
        <tr r="AM25" s="2"/>
      </tp>
      <tp t="s">
        <v/>
        <stp/>
        <stp>##V3_BQLV12</stp>
        <stp>[MODL_CRM_US1.xlsx]Single Period!R99C33</stp>
        <stp>CRM US Equity</stp>
        <stp>IS_SBC_NON_GAAP/1M</stp>
        <stp>FPR=2022Y</stp>
        <stp>FPT=A</stp>
        <stp>FA_ACT_EST_DATA=E, EST_SOURCE=RHR</stp>
        <stp>ACT_EST_MAPPING=PRECISE</stp>
        <stp>FS=MRC</stp>
        <stp>CURRENCY=USD</stp>
        <stp>XLFILL=b</stp>
        <tr r="AG99" s="2"/>
      </tp>
      <tp t="s">
        <v/>
        <stp/>
        <stp>##V3_BQLV12</stp>
        <stp>[MODL_CRM_US1.xlsx]Single Period!R88C11</stp>
        <stp>CRM US Equity</stp>
        <stp>OPER_INC_TO_NET_SALES</stp>
        <stp>FPR=2022Y</stp>
        <stp>FPT=A</stp>
        <stp>FA_ACT_EST_DATA=E, EST_SOURCE=WBL</stp>
        <stp>ACT_EST_MAPPING=PRECISE</stp>
        <stp>FS=MRC</stp>
        <stp>CURRENCY=USD</stp>
        <stp>XLFILL=b</stp>
        <tr r="K88" s="2"/>
      </tp>
      <tp t="s">
        <v/>
        <stp/>
        <stp>##V3_BQLV12</stp>
        <stp>[MODL_CRM_US1.xlsx]Single Period!R8C30</stp>
        <stp>CRM US Equity</stp>
        <stp>REVENUE_GROWTH_CC_1_YR</stp>
        <stp>FPR=2022Y</stp>
        <stp>FPT=A</stp>
        <stp>FA_ACT_EST_DATA=E, EST_SOURCE=BAM</stp>
        <stp>ACT_EST_MAPPING=PRECISE</stp>
        <stp>FS=MRC</stp>
        <stp>CURRENCY=USD</stp>
        <stp>XLFILL=b</stp>
        <tr r="AD8" s="2"/>
      </tp>
      <tp t="s">
        <v/>
        <stp/>
        <stp>##V3_BQLV12</stp>
        <stp>[MODL_CRM_US1.xlsx]Single Period!R8C18</stp>
        <stp>CRM US Equity</stp>
        <stp>REVENUE_GROWTH_CC_1_YR</stp>
        <stp>FPR=2022Y</stp>
        <stp>FPT=A</stp>
        <stp>FA_ACT_EST_DATA=E, EST_SOURCE=CAN</stp>
        <stp>ACT_EST_MAPPING=PRECISE</stp>
        <stp>FS=MRC</stp>
        <stp>CURRENCY=USD</stp>
        <stp>XLFILL=b</stp>
        <tr r="R8" s="2"/>
      </tp>
      <tp>
        <v>1221</v>
        <stp/>
        <stp>##V3_BQLV12</stp>
        <stp>[MODL_CRM_US1.xlsx]Single Period!R91C23</stp>
        <stp>CRM US Equity</stp>
        <stp>IS_COMP_NET_INCOME_GAAP/1M</stp>
        <stp>FPR=2022Y</stp>
        <stp>FPT=A</stp>
        <stp>FA_ACT_EST_DATA=E, EST_SOURCE=JPM</stp>
        <stp>ACT_EST_MAPPING=PRECISE</stp>
        <stp>FS=MRC</stp>
        <stp>CURRENCY=USD</stp>
        <stp>XLFILL=b</stp>
        <tr r="W91" s="2"/>
      </tp>
      <tp t="s">
        <v/>
        <stp/>
        <stp>##V3_BQLV12</stp>
        <stp>[MODL_CRM_US1.xlsx]Single Period!R161C45</stp>
        <stp>CRM US Equity</stp>
        <stp>CF_ACCT_RCV_UNBILLED_REV/1M</stp>
        <stp>FPR=2022Y</stp>
        <stp>FPT=A</stp>
        <stp>FA_ACT_EST_DATA=E, EST_SOURCE=ARG</stp>
        <stp>ACT_EST_MAPPING=PRECISE</stp>
        <stp>FS=MRC</stp>
        <stp>CURRENCY=USD</stp>
        <stp>XLFILL=b</stp>
        <tr r="AS161" s="2"/>
      </tp>
      <tp t="s">
        <v/>
        <stp/>
        <stp>##V3_BQLV12</stp>
        <stp>[MODL_CRM_US1.xlsx]Single Period!R8C36</stp>
        <stp>CRM US Equity</stp>
        <stp>REVENUE_GROWTH_CC_1_YR</stp>
        <stp>FPR=2022Y</stp>
        <stp>FPT=A</stp>
        <stp>FA_ACT_EST_DATA=E, EST_SOURCE=MAC</stp>
        <stp>ACT_EST_MAPPING=PRECISE</stp>
        <stp>FS=MRC</stp>
        <stp>CURRENCY=USD</stp>
        <stp>XLFILL=b</stp>
        <tr r="AJ8" s="2"/>
      </tp>
      <tp t="s">
        <v/>
        <stp/>
        <stp>##V3_BQLV12</stp>
        <stp>[MODL_CRM_US1.xlsx]Single Period!R81C34</stp>
        <stp>CRM US Equity</stp>
        <stp>IS_TOT_OPER_EXP/1M</stp>
        <stp>FPR=2022Y</stp>
        <stp>FPT=A</stp>
        <stp>FA_ACT_EST_DATA=E, EST_SOURCE=JEF</stp>
        <stp>ACT_EST_MAPPING=PRECISE</stp>
        <stp>FS=MRC</stp>
        <stp>CURRENCY=USD</stp>
        <stp>XLFILL=b</stp>
        <tr r="AH81" s="2"/>
      </tp>
      <tp>
        <v>8.738532939135629</v>
        <stp/>
        <stp>##V3_BQLV12</stp>
        <stp>[MODL_CRM_US1.xlsx]Single Period!R88C24</stp>
        <stp>CRM US Equity</stp>
        <stp>OPER_INC_TO_NET_SALES</stp>
        <stp>FPR=2022Y</stp>
        <stp>FPT=A</stp>
        <stp>FA_ACT_EST_DATA=E, EST_SOURCE=FBC</stp>
        <stp>ACT_EST_MAPPING=PRECISE</stp>
        <stp>FS=MRC</stp>
        <stp>CURRENCY=USD</stp>
        <stp>XLFILL=b</stp>
        <tr r="X88" s="2"/>
      </tp>
      <tp t="s">
        <v/>
        <stp/>
        <stp>##V3_BQLV12</stp>
        <stp>[MODL_CRM_US1.xlsx]Single Period!R88C31</stp>
        <stp>CRM US Equity</stp>
        <stp>OPER_INC_TO_NET_SALES</stp>
        <stp>FPR=2022Y</stp>
        <stp>FPT=A</stp>
        <stp>FA_ACT_EST_DATA=E, EST_SOURCE=RBC</stp>
        <stp>ACT_EST_MAPPING=PRECISE</stp>
        <stp>FS=MRC</stp>
        <stp>CURRENCY=USD</stp>
        <stp>XLFILL=b</stp>
        <tr r="AE88" s="2"/>
      </tp>
      <tp t="s">
        <v/>
        <stp/>
        <stp>##V3_BQLV12</stp>
        <stp>[MODL_CRM_US1.xlsx]Single Period!R81C55</stp>
        <stp>CRM US Equity</stp>
        <stp>IS_TOT_OPER_EXP/1M</stp>
        <stp>FPR=2022Y</stp>
        <stp>FPT=A</stp>
        <stp>FA_ACT_EST_DATA=E, EST_SOURCE=RED</stp>
        <stp>ACT_EST_MAPPING=PRECISE</stp>
        <stp>FS=MRC</stp>
        <stp>CURRENCY=USD</stp>
        <stp>XLFILL=b</stp>
        <tr r="BC81" s="2"/>
      </tp>
      <tp t="s">
        <v/>
        <stp/>
        <stp>##V3_BQLV12</stp>
        <stp>[MODL_CRM_US1.xlsx]Single Period!R88C16</stp>
        <stp>CRM US Equity</stp>
        <stp>OPER_INC_TO_NET_SALES</stp>
        <stp>FPR=2022Y</stp>
        <stp>FPT=A</stp>
        <stp>FA_ACT_EST_DATA=E, EST_SOURCE=DBG</stp>
        <stp>ACT_EST_MAPPING=PRECISE</stp>
        <stp>FS=MRC</stp>
        <stp>CURRENCY=USD</stp>
        <stp>XLFILL=b</stp>
        <tr r="P88" s="2"/>
      </tp>
      <tp>
        <v>1236</v>
        <stp/>
        <stp>##V3_BQLV12</stp>
        <stp>[MODL_CRM_US1.xlsx]Single Period!R91C22</stp>
        <stp>CRM US Equity</stp>
        <stp>IS_COMP_NET_INCOME_GAAP/1M</stp>
        <stp>FPR=2022Y</stp>
        <stp>FPT=A</stp>
        <stp>FA_ACT_EST_DATA=E, EST_SOURCE=OPY</stp>
        <stp>ACT_EST_MAPPING=PRECISE</stp>
        <stp>FS=MRC</stp>
        <stp>CURRENCY=USD</stp>
        <stp>XLFILL=b</stp>
        <tr r="V91" s="2"/>
      </tp>
      <tp t="s">
        <v/>
        <stp/>
        <stp>##V3_BQLV12</stp>
        <stp>[MODL_CRM_US1.xlsx]Single Period!R81C26</stp>
        <stp>CRM US Equity</stp>
        <stp>IS_TOT_OPER_EXP/1M</stp>
        <stp>FPR=2022Y</stp>
        <stp>FPT=A</stp>
        <stp>FA_ACT_EST_DATA=E, EST_SOURCE=KEY</stp>
        <stp>ACT_EST_MAPPING=PRECISE</stp>
        <stp>FS=MRC</stp>
        <stp>CURRENCY=USD</stp>
        <stp>XLFILL=b</stp>
        <tr r="Z81" s="2"/>
      </tp>
      <tp t="s">
        <v/>
        <stp/>
        <stp>##V3_BQLV12</stp>
        <stp>[MODL_CRM_US1.xlsx]Single Period!R88C32</stp>
        <stp>CRM US Equity</stp>
        <stp>OPER_INC_TO_NET_SALES</stp>
        <stp>FPR=2022Y</stp>
        <stp>FPT=A</stp>
        <stp>FA_ACT_EST_DATA=E, EST_SOURCE=UBS</stp>
        <stp>ACT_EST_MAPPING=PRECISE</stp>
        <stp>FS=MRC</stp>
        <stp>CURRENCY=USD</stp>
        <stp>XLFILL=b</stp>
        <tr r="AF88" s="2"/>
      </tp>
      <tp>
        <v>1380.202896179168</v>
        <stp/>
        <stp>##V3_BQLV12</stp>
        <stp>[MODL_CRM_US1.xlsx]Single Period!R89C13</stp>
        <stp>CRM US Equity</stp>
        <stp>PRETAX_INC/1M</stp>
        <stp>FPR=2022Y</stp>
        <stp>FPT=A</stp>
        <stp>FA_ACT_EST_DATA=E, EST_SOURCE=BCA</stp>
        <stp>ACT_EST_MAPPING=PRECISE</stp>
        <stp>FS=MRC</stp>
        <stp>CURRENCY=USD</stp>
        <stp>XLFILL=b</stp>
        <tr r="M89" s="2"/>
      </tp>
      <tp t="s">
        <v/>
        <stp/>
        <stp>##V3_BQLV12</stp>
        <stp>[MODL_CRM_US1.xlsx]Single Period!R89C40</stp>
        <stp>CRM US Equity</stp>
        <stp>PRETAX_INC/1M</stp>
        <stp>FPR=2022Y</stp>
        <stp>FPT=A</stp>
        <stp>FA_ACT_EST_DATA=E, EST_SOURCE=ACC</stp>
        <stp>ACT_EST_MAPPING=PRECISE</stp>
        <stp>FS=MRC</stp>
        <stp>CURRENCY=USD</stp>
        <stp>XLFILL=b</stp>
        <tr r="AN89" s="2"/>
      </tp>
      <tp t="s">
        <v/>
        <stp/>
        <stp>##V3_BQLV12</stp>
        <stp>[MODL_CRM_US1.xlsx]Single Period!R89C19</stp>
        <stp>CRM US Equity</stp>
        <stp>PRETAX_INC/1M</stp>
        <stp>FPR=2022Y</stp>
        <stp>FPT=A</stp>
        <stp>FA_ACT_EST_DATA=E, EST_SOURCE=SCB</stp>
        <stp>ACT_EST_MAPPING=PRECISE</stp>
        <stp>FS=MRC</stp>
        <stp>CURRENCY=USD</stp>
        <stp>XLFILL=b</stp>
        <tr r="S89" s="2"/>
      </tp>
      <tp t="s">
        <v/>
        <stp/>
        <stp>##V3_BQLV12</stp>
        <stp>[MODL_CRM_US1.xlsx]Single Period!R172C33</stp>
        <stp>CRM US Equity</stp>
        <stp>CAP_EXPEND_TO_SALES</stp>
        <stp>FPR=2022Y</stp>
        <stp>FPT=A</stp>
        <stp>FA_ACT_EST_DATA=E, EST_SOURCE=RHR</stp>
        <stp>ACT_EST_MAPPING=PRECISE</stp>
        <stp>FS=MRC</stp>
        <stp>CURRENCY=USD</stp>
        <stp>XLFILL=b</stp>
        <tr r="AG172" s="2"/>
      </tp>
      <tp t="s">
        <v/>
        <stp/>
        <stp>##V3_BQLV12</stp>
        <stp>[MODL_CRM_US1.xlsx]Single Period!R89C27</stp>
        <stp>CRM US Equity</stp>
        <stp>PRETAX_INC/1M</stp>
        <stp>FPR=2022Y</stp>
        <stp>FPT=A</stp>
        <stp>FA_ACT_EST_DATA=E, EST_SOURCE=LCM</stp>
        <stp>ACT_EST_MAPPING=PRECISE</stp>
        <stp>FS=MRC</stp>
        <stp>CURRENCY=USD</stp>
        <stp>XLFILL=b</stp>
        <tr r="AA89" s="2"/>
      </tp>
      <tp t="s">
        <v/>
        <stp/>
        <stp>##V3_BQLV12</stp>
        <stp>[MODL_CRM_US1.xlsx]Single Period!R79C32</stp>
        <stp>CRM US Equity</stp>
        <stp>CB_IS_GROSS_PROFIT/1M</stp>
        <stp>FPR=2022Y</stp>
        <stp>FPT=A</stp>
        <stp>FA_ACT_EST_DATA=E, EST_SOURCE=UBS</stp>
        <stp>ACT_EST_MAPPING=PRECISE</stp>
        <stp>FS=MRC</stp>
        <stp>CURRENCY=USD</stp>
        <stp>XLFILL=b</stp>
        <tr r="AF79" s="2"/>
      </tp>
      <tp t="s">
        <v/>
        <stp/>
        <stp>##V3_BQLV12</stp>
        <stp>[MODL_CRM_US1.xlsx]Single Period!R89C51</stp>
        <stp>CRM US Equity</stp>
        <stp>PRETAX_INC/1M</stp>
        <stp>FPR=2022Y</stp>
        <stp>FPT=A</stp>
        <stp>FA_ACT_EST_DATA=E, EST_SOURCE=RCP</stp>
        <stp>ACT_EST_MAPPING=PRECISE</stp>
        <stp>FS=MRC</stp>
        <stp>CURRENCY=USD</stp>
        <stp>XLFILL=b</stp>
        <tr r="AY89" s="2"/>
      </tp>
      <tp>
        <v>4875</v>
        <stp/>
        <stp>##V3_BQLV12</stp>
        <stp>[MODL_CRM_US1.xlsx]Single Period!R60C44</stp>
        <stp>CRM US Equity</stp>
        <stp>IS_COMPARABLE_EBIT/1M</stp>
        <stp>FPR=2022Y</stp>
        <stp>FPT=A</stp>
        <stp>FA_ACT_EST_DATA=E, EST_SOURCE=RWB</stp>
        <stp>ACT_EST_MAPPING=PRECISE</stp>
        <stp>FS=MRC</stp>
        <stp>CURRENCY=USD</stp>
        <stp>XLFILL=b</stp>
        <tr r="AR60" s="2"/>
      </tp>
      <tp t="s">
        <v/>
        <stp/>
        <stp>##V3_BQLV12</stp>
        <stp>[MODL_CRM_US1.xlsx]Single Period!R79C11</stp>
        <stp>CRM US Equity</stp>
        <stp>CB_IS_GROSS_PROFIT/1M</stp>
        <stp>FPR=2022Y</stp>
        <stp>FPT=A</stp>
        <stp>FA_ACT_EST_DATA=E, EST_SOURCE=WBL</stp>
        <stp>ACT_EST_MAPPING=PRECISE</stp>
        <stp>FS=MRC</stp>
        <stp>CURRENCY=USD</stp>
        <stp>XLFILL=b</stp>
        <tr r="K79" s="2"/>
      </tp>
      <tp>
        <v>19441.3315109049</v>
        <stp/>
        <stp>##V3_BQLV12</stp>
        <stp>[MODL_CRM_US1.xlsx]Single Period!R79C16</stp>
        <stp>CRM US Equity</stp>
        <stp>CB_IS_GROSS_PROFIT/1M</stp>
        <stp>FPR=2022Y</stp>
        <stp>FPT=A</stp>
        <stp>FA_ACT_EST_DATA=E, EST_SOURCE=DBG</stp>
        <stp>ACT_EST_MAPPING=PRECISE</stp>
        <stp>FS=MRC</stp>
        <stp>CURRENCY=USD</stp>
        <stp>XLFILL=b</stp>
        <tr r="P79" s="2"/>
      </tp>
      <tp>
        <v>4900</v>
        <stp/>
        <stp>##V3_BQLV12</stp>
        <stp>[MODL_CRM_US1.xlsx]Single Period!R60C43</stp>
        <stp>CRM US Equity</stp>
        <stp>IS_COMPARABLE_EBIT/1M</stp>
        <stp>FPR=2022Y</stp>
        <stp>FPT=A</stp>
        <stp>FA_ACT_EST_DATA=E, EST_SOURCE=DWI</stp>
        <stp>ACT_EST_MAPPING=PRECISE</stp>
        <stp>FS=MRC</stp>
        <stp>CURRENCY=USD</stp>
        <stp>XLFILL=b</stp>
        <tr r="AQ60" s="2"/>
      </tp>
      <tp t="s">
        <v/>
        <stp/>
        <stp>##V3_BQLV12</stp>
        <stp>[MODL_CRM_US1.xlsx]Single Period!R79C31</stp>
        <stp>CRM US Equity</stp>
        <stp>CB_IS_GROSS_PROFIT/1M</stp>
        <stp>FPR=2022Y</stp>
        <stp>FPT=A</stp>
        <stp>FA_ACT_EST_DATA=E, EST_SOURCE=RBC</stp>
        <stp>ACT_EST_MAPPING=PRECISE</stp>
        <stp>FS=MRC</stp>
        <stp>CURRENCY=USD</stp>
        <stp>XLFILL=b</stp>
        <tr r="AE79" s="2"/>
      </tp>
      <tp>
        <v>19336.411994513601</v>
        <stp/>
        <stp>##V3_BQLV12</stp>
        <stp>[MODL_CRM_US1.xlsx]Single Period!R79C24</stp>
        <stp>CRM US Equity</stp>
        <stp>CB_IS_GROSS_PROFIT/1M</stp>
        <stp>FPR=2022Y</stp>
        <stp>FPT=A</stp>
        <stp>FA_ACT_EST_DATA=E, EST_SOURCE=FBC</stp>
        <stp>ACT_EST_MAPPING=PRECISE</stp>
        <stp>FS=MRC</stp>
        <stp>CURRENCY=USD</stp>
        <stp>XLFILL=b</stp>
        <tr r="X79" s="2"/>
      </tp>
      <tp>
        <v>4935</v>
        <stp/>
        <stp>##V3_BQLV12</stp>
        <stp>[MODL_CRM_US1.xlsx]Single Period!R60C28</stp>
        <stp>CRM US Equity</stp>
        <stp>IS_COMPARABLE_EBIT/1M</stp>
        <stp>FPR=2022Y</stp>
        <stp>FPT=A</stp>
        <stp>FA_ACT_EST_DATA=E, EST_SOURCE=CWN</stp>
        <stp>ACT_EST_MAPPING=PRECISE</stp>
        <stp>FS=MRC</stp>
        <stp>CURRENCY=USD</stp>
        <stp>XLFILL=b</stp>
        <tr r="AB60" s="2"/>
      </tp>
      <tp t="s">
        <v/>
        <stp/>
        <stp>##V3_BQLV12</stp>
        <stp>[MODL_CRM_US1.xlsx]Single Period!R6C51</stp>
        <stp>CRM US Equity</stp>
        <stp>IS_COMP_EPS_EXCL_STOCK_COMP</stp>
        <stp>FPR=2022Y</stp>
        <stp>FPT=A</stp>
        <stp>FA_ACT_EST_DATA=E, EST_SOURCE=RCP</stp>
        <stp>ACT_EST_MAPPING=PRECISE</stp>
        <stp>FS=MRC</stp>
        <stp>CURRENCY=USD</stp>
        <stp>XLFILL=b</stp>
        <tr r="AY6" s="2"/>
      </tp>
      <tp>
        <v>537.86101398141273</v>
        <stp/>
        <stp>##V3_BQLV12</stp>
        <stp>[MODL_CRM_US1.xlsx]Single Period!R182C8</stp>
        <stp>CRM US Equity</stp>
        <stp>CONTRIBUTOR_STATS(CB_CF_NET_CASH_OPERATING_ACT, STD)/1M</stp>
        <stp>FPR=2022Y</stp>
        <stp>FPT=A</stp>
        <stp>FA_ACT_EST_DATA=E</stp>
        <stp>ACT_EST_MAPPING=PRECISE</stp>
        <stp>FS=MRC</stp>
        <stp>CURRENCY=USD</stp>
        <stp>XLFILL=b</stp>
        <tr r="H182" s="2"/>
      </tp>
      <tp>
        <v>537.86101398141273</v>
        <stp/>
        <stp>##V3_BQLV12</stp>
        <stp>[MODL_CRM_US1.xlsx]Single Period!R167C8</stp>
        <stp>CRM US Equity</stp>
        <stp>CONTRIBUTOR_STATS(CB_CF_NET_CASH_OPERATING_ACT, STD)/1M</stp>
        <stp>FPR=2022Y</stp>
        <stp>FPT=A</stp>
        <stp>FA_ACT_EST_DATA=E</stp>
        <stp>ACT_EST_MAPPING=PRECISE</stp>
        <stp>FS=MRC</stp>
        <stp>CURRENCY=USD</stp>
        <stp>XLFILL=b</stp>
        <tr r="H167" s="2"/>
      </tp>
      <tp>
        <v>4.66</v>
        <stp/>
        <stp>##V3_BQLV12</stp>
        <stp>[MODL_CRM_US1.xlsx]Single Period!R6C34</stp>
        <stp>CRM US Equity</stp>
        <stp>IS_COMP_EPS_EXCL_STOCK_COMP</stp>
        <stp>FPR=2022Y</stp>
        <stp>FPT=A</stp>
        <stp>FA_ACT_EST_DATA=E, EST_SOURCE=JEF</stp>
        <stp>ACT_EST_MAPPING=PRECISE</stp>
        <stp>FS=MRC</stp>
        <stp>CURRENCY=USD</stp>
        <stp>XLFILL=b</stp>
        <tr r="AH6" s="2"/>
      </tp>
      <tp>
        <v>5670.5049031750004</v>
        <stp/>
        <stp>##V3_BQLV12</stp>
        <stp>[MODL_CRM_US1.xlsx]Single Period!R167C6</stp>
        <stp>CRM US Equity</stp>
        <stp>CONTRIBUTOR_STATS(CB_CF_NET_CASH_OPERATING_ACT, MIN)/1M</stp>
        <stp>FPR=2022Y</stp>
        <stp>FPT=A</stp>
        <stp>FA_ACT_EST_DATA=E</stp>
        <stp>ACT_EST_MAPPING=PRECISE</stp>
        <stp>FS=MRC</stp>
        <stp>CURRENCY=USD</stp>
        <stp>XLFILL=b</stp>
        <tr r="F167" s="2"/>
      </tp>
      <tp>
        <v>5670.5049031750004</v>
        <stp/>
        <stp>##V3_BQLV12</stp>
        <stp>[MODL_CRM_US1.xlsx]Single Period!R182C6</stp>
        <stp>CRM US Equity</stp>
        <stp>CONTRIBUTOR_STATS(CB_CF_NET_CASH_OPERATING_ACT, MIN)/1M</stp>
        <stp>FPR=2022Y</stp>
        <stp>FPT=A</stp>
        <stp>FA_ACT_EST_DATA=E</stp>
        <stp>ACT_EST_MAPPING=PRECISE</stp>
        <stp>FS=MRC</stp>
        <stp>CURRENCY=USD</stp>
        <stp>XLFILL=b</stp>
        <tr r="F182" s="2"/>
      </tp>
      <tp>
        <v>7302.6291499999998</v>
        <stp/>
        <stp>##V3_BQLV12</stp>
        <stp>[MODL_CRM_US1.xlsx]Single Period!R182C7</stp>
        <stp>CRM US Equity</stp>
        <stp>CONTRIBUTOR_STATS(CB_CF_NET_CASH_OPERATING_ACT, MAX)/1M</stp>
        <stp>FPR=2022Y</stp>
        <stp>FPT=A</stp>
        <stp>FA_ACT_EST_DATA=E</stp>
        <stp>ACT_EST_MAPPING=PRECISE</stp>
        <stp>FS=MRC</stp>
        <stp>CURRENCY=USD</stp>
        <stp>XLFILL=b</stp>
        <tr r="G182" s="2"/>
      </tp>
      <tp>
        <v>7302.6291499999998</v>
        <stp/>
        <stp>##V3_BQLV12</stp>
        <stp>[MODL_CRM_US1.xlsx]Single Period!R167C7</stp>
        <stp>CRM US Equity</stp>
        <stp>CONTRIBUTOR_STATS(CB_CF_NET_CASH_OPERATING_ACT, MAX)/1M</stp>
        <stp>FPR=2022Y</stp>
        <stp>FPT=A</stp>
        <stp>FA_ACT_EST_DATA=E</stp>
        <stp>ACT_EST_MAPPING=PRECISE</stp>
        <stp>FS=MRC</stp>
        <stp>CURRENCY=USD</stp>
        <stp>XLFILL=b</stp>
        <tr r="G167" s="2"/>
      </tp>
      <tp t="s">
        <v/>
        <stp/>
        <stp>##V3_BQLV12</stp>
        <stp>[MODL_CRM_US1.xlsx]Single Period!R25C56</stp>
        <stp>SEG0000269238 Segment</stp>
        <stp>IS_PERCENTAGE_OF_REVENUE</stp>
        <stp>FPR=2022Y</stp>
        <stp>FPT=A</stp>
        <stp>FA_ACT_EST_DATA=E, EST_SOURCE=DIR</stp>
        <stp>ACT_EST_MAPPING=PRECISE</stp>
        <stp>FS=MRC</stp>
        <stp>CURRENCY=USD</stp>
        <stp>XLFILL=b</stp>
        <tr r="BD25" s="2"/>
      </tp>
      <tp>
        <v>21434.494285714292</v>
        <stp/>
        <stp>##V3_BQLV12</stp>
        <stp>[MODL_CRM_US1.xlsx]Single Period!R150C5</stp>
        <stp>CRM US Equity</stp>
        <stp>CURRENT_FUTURE_REV_UNDER_CONTRACT/1M</stp>
        <stp>FPR=2022Y</stp>
        <stp>FPT=A</stp>
        <stp>FA_ACT_EST_DATA=E</stp>
        <stp>ACT_EST_MAPPING=PRECISE</stp>
        <stp>FS=MRC</stp>
        <stp>CURRENCY=USD</stp>
        <stp>XLFILL=b</stp>
        <tr r="E150" s="2"/>
      </tp>
      <tp t="s">
        <v/>
        <stp/>
        <stp>##V3_BQLV12</stp>
        <stp>[MODL_CRM_US1.xlsx]Single Period!R70C52</stp>
        <stp>CRM US Equity</stp>
        <stp>IS_COMP_NET_INC_EXCL_STOCK_COMP/1M</stp>
        <stp>FPR=2022Y</stp>
        <stp>FPT=A</stp>
        <stp>FA_ACT_EST_DATA=E, EST_SOURCE=WFR</stp>
        <stp>ACT_EST_MAPPING=PRECISE</stp>
        <stp>FS=MRC</stp>
        <stp>CURRENCY=USD</stp>
        <stp>XLFILL=b</stp>
        <tr r="AZ70" s="2"/>
      </tp>
      <tp t="s">
        <v/>
        <stp/>
        <stp>##V3_BQLV12</stp>
        <stp>[MODL_CRM_US1.xlsx]Single Period!R33C49</stp>
        <stp>SEG0000269227 Segment</stp>
        <stp>IS_PERCENTAGE_OF_REVENUE</stp>
        <stp>FPR=2022Y</stp>
        <stp>FPT=A</stp>
        <stp>FA_ACT_EST_DATA=E, EST_SOURCE=SGE</stp>
        <stp>ACT_EST_MAPPING=PRECISE</stp>
        <stp>FS=MRC</stp>
        <stp>CURRENCY=USD</stp>
        <stp>XLFILL=b</stp>
        <tr r="AW33" s="2"/>
      </tp>
      <tp t="s">
        <v/>
        <stp/>
        <stp>##V3_BQLV12</stp>
        <stp>[MODL_CRM_US1.xlsx]Single Period!R49C18</stp>
        <stp>SEG0000269229 Segment</stp>
        <stp>IS_PERCENTAGE_OF_REVENUE</stp>
        <stp>FPR=2022Y</stp>
        <stp>FPT=A</stp>
        <stp>FA_ACT_EST_DATA=E, EST_SOURCE=CAN</stp>
        <stp>ACT_EST_MAPPING=PRECISE</stp>
        <stp>FS=MRC</stp>
        <stp>CURRENCY=USD</stp>
        <stp>XLFILL=b</stp>
        <tr r="R49" s="2"/>
      </tp>
      <tp t="s">
        <v/>
        <stp/>
        <stp>##V3_BQLV12</stp>
        <stp>[MODL_CRM_US1.xlsx]Single Period!R39C39</stp>
        <stp>SEG0000269228 Segment</stp>
        <stp>IS_PERCENTAGE_OF_REVENUE</stp>
        <stp>FPR=2022Y</stp>
        <stp>FPT=A</stp>
        <stp>FA_ACT_EST_DATA=E, EST_SOURCE=KGI</stp>
        <stp>ACT_EST_MAPPING=PRECISE</stp>
        <stp>FS=MRC</stp>
        <stp>CURRENCY=USD</stp>
        <stp>XLFILL=b</stp>
        <tr r="AM39" s="2"/>
      </tp>
      <tp t="s">
        <v/>
        <stp/>
        <stp>##V3_BQLV12</stp>
        <stp>[MODL_CRM_US1.xlsx]Single Period!R55C39</stp>
        <stp>CRM US Equity</stp>
        <stp>IS_ADJ_GROSS_PROFIT_AS_REPORTED/1M</stp>
        <stp>FPR=2022Y</stp>
        <stp>FPT=A</stp>
        <stp>FA_ACT_EST_DATA=E, EST_SOURCE=KGI</stp>
        <stp>ACT_EST_MAPPING=PRECISE</stp>
        <stp>FS=MRC</stp>
        <stp>CURRENCY=USD</stp>
        <stp>XLFILL=b</stp>
        <tr r="AM55" s="2"/>
      </tp>
      <tp t="s">
        <v/>
        <stp/>
        <stp>##V3_BQLV12</stp>
        <stp>[MODL_CRM_US1.xlsx]Single Period!R16C39</stp>
        <stp>CRM US Equity</stp>
        <stp>IS_ADJ_GROSS_PROFIT_AS_REPORTED/1M</stp>
        <stp>FPR=2022Y</stp>
        <stp>FPT=A</stp>
        <stp>FA_ACT_EST_DATA=E, EST_SOURCE=KGI</stp>
        <stp>ACT_EST_MAPPING=PRECISE</stp>
        <stp>FS=MRC</stp>
        <stp>CURRENCY=USD</stp>
        <stp>XLFILL=b</stp>
        <tr r="AM16" s="2"/>
      </tp>
      <tp t="s">
        <v/>
        <stp/>
        <stp>##V3_BQLV12</stp>
        <stp>[MODL_CRM_US1.xlsx]Single Period!R70C47</stp>
        <stp>CRM US Equity</stp>
        <stp>IS_COMP_NET_INC_EXCL_STOCK_COMP/1M</stp>
        <stp>FPR=2022Y</stp>
        <stp>FPT=A</stp>
        <stp>FA_ACT_EST_DATA=E, EST_SOURCE=WFT</stp>
        <stp>ACT_EST_MAPPING=PRECISE</stp>
        <stp>FS=MRC</stp>
        <stp>CURRENCY=USD</stp>
        <stp>XLFILL=b</stp>
        <tr r="AU70" s="2"/>
      </tp>
      <tp t="s">
        <v/>
        <stp/>
        <stp>##V3_BQLV12</stp>
        <stp>[MODL_CRM_US1.xlsx]Single Period!R39C49</stp>
        <stp>SEG0000269228 Segment</stp>
        <stp>IS_PERCENTAGE_OF_REVENUE</stp>
        <stp>FPR=2022Y</stp>
        <stp>FPT=A</stp>
        <stp>FA_ACT_EST_DATA=E, EST_SOURCE=SGE</stp>
        <stp>ACT_EST_MAPPING=PRECISE</stp>
        <stp>FS=MRC</stp>
        <stp>CURRENCY=USD</stp>
        <stp>XLFILL=b</stp>
        <tr r="AW39" s="2"/>
      </tp>
      <tp t="s">
        <v/>
        <stp/>
        <stp>##V3_BQLV12</stp>
        <stp>[MODL_CRM_US1.xlsx]Single Period!R44C18</stp>
        <stp>SEG0000269240 Segment</stp>
        <stp>IS_PERCENTAGE_OF_REVENUE</stp>
        <stp>FPR=2022Y</stp>
        <stp>FPT=A</stp>
        <stp>FA_ACT_EST_DATA=E, EST_SOURCE=CAN</stp>
        <stp>ACT_EST_MAPPING=PRECISE</stp>
        <stp>FS=MRC</stp>
        <stp>CURRENCY=USD</stp>
        <stp>XLFILL=b</stp>
        <tr r="R44" s="2"/>
      </tp>
      <tp t="s">
        <v/>
        <stp/>
        <stp>##V3_BQLV12</stp>
        <stp>[MODL_CRM_US1.xlsx]Single Period!R33C39</stp>
        <stp>SEG0000269227 Segment</stp>
        <stp>IS_PERCENTAGE_OF_REVENUE</stp>
        <stp>FPR=2022Y</stp>
        <stp>FPT=A</stp>
        <stp>FA_ACT_EST_DATA=E, EST_SOURCE=KGI</stp>
        <stp>ACT_EST_MAPPING=PRECISE</stp>
        <stp>FS=MRC</stp>
        <stp>CURRENCY=USD</stp>
        <stp>XLFILL=b</stp>
        <tr r="AM33" s="2"/>
      </tp>
      <tp t="s">
        <v/>
        <stp/>
        <stp>##V3_BQLV12</stp>
        <stp>[MODL_CRM_US1.xlsx]Single Period!R25C12</stp>
        <stp>SEG0000269238 Segment</stp>
        <stp>IS_PERCENTAGE_OF_REVENUE</stp>
        <stp>FPR=2022Y</stp>
        <stp>FPT=A</stp>
        <stp>FA_ACT_EST_DATA=E, EST_SOURCE=BMO</stp>
        <stp>ACT_EST_MAPPING=PRECISE</stp>
        <stp>FS=MRC</stp>
        <stp>CURRENCY=USD</stp>
        <stp>XLFILL=b</stp>
        <tr r="L25" s="2"/>
      </tp>
      <tp t="s">
        <v/>
        <stp/>
        <stp>##V3_BQLV12</stp>
        <stp>[MODL_CRM_US1.xlsx]Single Period!R55C49</stp>
        <stp>CRM US Equity</stp>
        <stp>IS_ADJ_GROSS_PROFIT_AS_REPORTED/1M</stp>
        <stp>FPR=2022Y</stp>
        <stp>FPT=A</stp>
        <stp>FA_ACT_EST_DATA=E, EST_SOURCE=SGE</stp>
        <stp>ACT_EST_MAPPING=PRECISE</stp>
        <stp>FS=MRC</stp>
        <stp>CURRENCY=USD</stp>
        <stp>XLFILL=b</stp>
        <tr r="AW55" s="2"/>
      </tp>
      <tp t="s">
        <v/>
        <stp/>
        <stp>##V3_BQLV12</stp>
        <stp>[MODL_CRM_US1.xlsx]Single Period!R16C49</stp>
        <stp>CRM US Equity</stp>
        <stp>IS_ADJ_GROSS_PROFIT_AS_REPORTED/1M</stp>
        <stp>FPR=2022Y</stp>
        <stp>FPT=A</stp>
        <stp>FA_ACT_EST_DATA=E, EST_SOURCE=SGE</stp>
        <stp>ACT_EST_MAPPING=PRECISE</stp>
        <stp>FS=MRC</stp>
        <stp>CURRENCY=USD</stp>
        <stp>XLFILL=b</stp>
        <tr r="AW16" s="2"/>
      </tp>
      <tp>
        <v>15347</v>
        <stp/>
        <stp>##V3_BQLV12</stp>
        <stp>[MODL_CRM_US1.xlsx]Single Period!R132C9</stp>
        <stp>CRM US Equity</stp>
        <stp>CONTRIBUTOR_STATS(BS_ADJ_TOTAL_LT_LIABILITIES, MEDIAN)/1M</stp>
        <stp>FPR=2022Y</stp>
        <stp>FPT=A</stp>
        <stp>FA_ACT_EST_DATA=E</stp>
        <stp>ACT_EST_MAPPING=PRECISE</stp>
        <stp>FS=MRC</stp>
        <stp>CURRENCY=USD</stp>
        <stp>XLFILL=b</stp>
        <tr r="I132" s="2"/>
      </tp>
      <tp>
        <v>47951</v>
        <stp/>
        <stp>##V3_BQLV12</stp>
        <stp>[MODL_CRM_US1.xlsx]Single Period!R122C7</stp>
        <stp>CRM US Equity</stp>
        <stp>CONTRIBUTOR_STATS(BS_GOODWILL, MAX)/1M</stp>
        <stp>FPR=2022Y</stp>
        <stp>FPT=A</stp>
        <stp>FA_ACT_EST_DATA=E</stp>
        <stp>ACT_EST_MAPPING=PRECISE</stp>
        <stp>FS=MRC</stp>
        <stp>CURRENCY=USD</stp>
        <stp>XLFILL=b</stp>
        <tr r="G122" s="2"/>
      </tp>
      <tp>
        <v>26318</v>
        <stp/>
        <stp>##V3_BQLV12</stp>
        <stp>[MODL_CRM_US1.xlsx]Single Period!R122C6</stp>
        <stp>CRM US Equity</stp>
        <stp>CONTRIBUTOR_STATS(BS_GOODWILL, MIN)/1M</stp>
        <stp>FPR=2022Y</stp>
        <stp>FPT=A</stp>
        <stp>FA_ACT_EST_DATA=E</stp>
        <stp>ACT_EST_MAPPING=PRECISE</stp>
        <stp>FS=MRC</stp>
        <stp>CURRENCY=USD</stp>
        <stp>XLFILL=b</stp>
        <tr r="F122" s="2"/>
      </tp>
      <tp t="s">
        <v/>
        <stp/>
        <stp>##V3_BQLV12</stp>
        <stp>[MODL_CRM_US1.xlsx]Single Period!R161C35</stp>
        <stp>CRM US Equity</stp>
        <stp>CF_ACCT_RCV_UNBILLED_REV/1M</stp>
        <stp>FPR=2022Y</stp>
        <stp>FPT=A</stp>
        <stp>FA_ACT_EST_DATA=E, EST_SOURCE=ATL</stp>
        <stp>ACT_EST_MAPPING=PRECISE</stp>
        <stp>FS=MRC</stp>
        <stp>CURRENCY=USD</stp>
        <stp>XLFILL=b</stp>
        <tr r="AI161" s="2"/>
      </tp>
      <tp t="s">
        <v/>
        <stp/>
        <stp>##V3_BQLV12</stp>
        <stp>[MODL_CRM_US1.xlsx]Single Period!R88C27</stp>
        <stp>CRM US Equity</stp>
        <stp>OPER_INC_TO_NET_SALES</stp>
        <stp>FPR=2022Y</stp>
        <stp>FPT=A</stp>
        <stp>FA_ACT_EST_DATA=E, EST_SOURCE=LCM</stp>
        <stp>ACT_EST_MAPPING=PRECISE</stp>
        <stp>FS=MRC</stp>
        <stp>CURRENCY=USD</stp>
        <stp>XLFILL=b</stp>
        <tr r="AA88" s="2"/>
      </tp>
      <tp t="s">
        <v/>
        <stp/>
        <stp>##V3_BQLV12</stp>
        <stp>[MODL_CRM_US1.xlsx]Single Period!R81C17</stp>
        <stp>CRM US Equity</stp>
        <stp>IS_TOT_OPER_EXP/1M</stp>
        <stp>FPR=2022Y</stp>
        <stp>FPT=A</stp>
        <stp>FA_ACT_EST_DATA=E, EST_SOURCE=NDH</stp>
        <stp>ACT_EST_MAPPING=PRECISE</stp>
        <stp>FS=MRC</stp>
        <stp>CURRENCY=USD</stp>
        <stp>XLFILL=b</stp>
        <tr r="Q81" s="2"/>
      </tp>
      <tp t="s">
        <v/>
        <stp/>
        <stp>##V3_BQLV12</stp>
        <stp>[MODL_CRM_US1.xlsx]Single Period!R99C56</stp>
        <stp>CRM US Equity</stp>
        <stp>IS_SBC_NON_GAAP/1M</stp>
        <stp>FPR=2022Y</stp>
        <stp>FPT=A</stp>
        <stp>FA_ACT_EST_DATA=E, EST_SOURCE=DIR</stp>
        <stp>ACT_EST_MAPPING=PRECISE</stp>
        <stp>FS=MRC</stp>
        <stp>CURRENCY=USD</stp>
        <stp>XLFILL=b</stp>
        <tr r="BD99" s="2"/>
      </tp>
      <tp>
        <v>1.8098482809370351</v>
        <stp/>
        <stp>##V3_BQLV12</stp>
        <stp>[MODL_CRM_US1.xlsx]Single Period!R88C13</stp>
        <stp>CRM US Equity</stp>
        <stp>OPER_INC_TO_NET_SALES</stp>
        <stp>FPR=2022Y</stp>
        <stp>FPT=A</stp>
        <stp>FA_ACT_EST_DATA=E, EST_SOURCE=BCA</stp>
        <stp>ACT_EST_MAPPING=PRECISE</stp>
        <stp>FS=MRC</stp>
        <stp>CURRENCY=USD</stp>
        <stp>XLFILL=b</stp>
        <tr r="M88" s="2"/>
      </tp>
      <tp t="s">
        <v/>
        <stp/>
        <stp>##V3_BQLV12</stp>
        <stp>[MODL_CRM_US1.xlsx]Single Period!R88C19</stp>
        <stp>CRM US Equity</stp>
        <stp>OPER_INC_TO_NET_SALES</stp>
        <stp>FPR=2022Y</stp>
        <stp>FPT=A</stp>
        <stp>FA_ACT_EST_DATA=E, EST_SOURCE=SCB</stp>
        <stp>ACT_EST_MAPPING=PRECISE</stp>
        <stp>FS=MRC</stp>
        <stp>CURRENCY=USD</stp>
        <stp>XLFILL=b</stp>
        <tr r="S88" s="2"/>
      </tp>
      <tp t="s">
        <v/>
        <stp/>
        <stp>##V3_BQLV12</stp>
        <stp>[MODL_CRM_US1.xlsx]Single Period!R88C40</stp>
        <stp>CRM US Equity</stp>
        <stp>OPER_INC_TO_NET_SALES</stp>
        <stp>FPR=2022Y</stp>
        <stp>FPT=A</stp>
        <stp>FA_ACT_EST_DATA=E, EST_SOURCE=ACC</stp>
        <stp>ACT_EST_MAPPING=PRECISE</stp>
        <stp>FS=MRC</stp>
        <stp>CURRENCY=USD</stp>
        <stp>XLFILL=b</stp>
        <tr r="AN88" s="2"/>
      </tp>
      <tp t="s">
        <v/>
        <stp/>
        <stp>##V3_BQLV12</stp>
        <stp>[MODL_CRM_US1.xlsx]Single Period!R161C54</stp>
        <stp>CRM US Equity</stp>
        <stp>CF_ACCT_RCV_UNBILLED_REV/1M</stp>
        <stp>FPR=2022Y</stp>
        <stp>FPT=A</stp>
        <stp>FA_ACT_EST_DATA=E, EST_SOURCE=ARE</stp>
        <stp>ACT_EST_MAPPING=PRECISE</stp>
        <stp>FS=MRC</stp>
        <stp>CURRENCY=USD</stp>
        <stp>XLFILL=b</stp>
        <tr r="BB161" s="2"/>
      </tp>
      <tp t="s">
        <v/>
        <stp/>
        <stp>##V3_BQLV12</stp>
        <stp>[MODL_CRM_US1.xlsx]Single Period!R187C50</stp>
        <stp>CRM US Equity</stp>
        <stp>CF_NET_CHNG_CASH/1M</stp>
        <stp>FPR=2022Y</stp>
        <stp>FPT=A</stp>
        <stp>FA_ACT_EST_DATA=E, EST_SOURCE=MZS</stp>
        <stp>ACT_EST_MAPPING=PRECISE</stp>
        <stp>FS=MRC</stp>
        <stp>CURRENCY=USD</stp>
        <stp>XLFILL=b</stp>
        <tr r="AX187" s="2"/>
      </tp>
      <tp t="s">
        <v/>
        <stp/>
        <stp>##V3_BQLV12</stp>
        <stp>[MODL_CRM_US1.xlsx]Single Period!R161C42</stp>
        <stp>CRM US Equity</stp>
        <stp>CF_ACCT_RCV_UNBILLED_REV/1M</stp>
        <stp>FPR=2022Y</stp>
        <stp>FPT=A</stp>
        <stp>FA_ACT_EST_DATA=E, EST_SOURCE=PSG</stp>
        <stp>ACT_EST_MAPPING=PRECISE</stp>
        <stp>FS=MRC</stp>
        <stp>CURRENCY=USD</stp>
        <stp>XLFILL=b</stp>
        <tr r="AP161" s="2"/>
      </tp>
      <tp t="s">
        <v/>
        <stp/>
        <stp>##V3_BQLV12</stp>
        <stp>[MODL_CRM_US1.xlsx]Single Period!R88C51</stp>
        <stp>CRM US Equity</stp>
        <stp>OPER_INC_TO_NET_SALES</stp>
        <stp>FPR=2022Y</stp>
        <stp>FPT=A</stp>
        <stp>FA_ACT_EST_DATA=E, EST_SOURCE=RCP</stp>
        <stp>ACT_EST_MAPPING=PRECISE</stp>
        <stp>FS=MRC</stp>
        <stp>CURRENCY=USD</stp>
        <stp>XLFILL=b</stp>
        <tr r="AY88" s="2"/>
      </tp>
      <tp t="s">
        <v/>
        <stp/>
        <stp>##V3_BQLV12</stp>
        <stp>[MODL_CRM_US1.xlsx]Single Period!R161C41</stp>
        <stp>CRM US Equity</stp>
        <stp>CF_ACCT_RCV_UNBILLED_REV/1M</stp>
        <stp>FPR=2022Y</stp>
        <stp>FPT=A</stp>
        <stp>FA_ACT_EST_DATA=E, EST_SOURCE=GSR</stp>
        <stp>ACT_EST_MAPPING=PRECISE</stp>
        <stp>FS=MRC</stp>
        <stp>CURRENCY=USD</stp>
        <stp>XLFILL=b</stp>
        <tr r="AO161" s="2"/>
      </tp>
      <tp>
        <v>6959.6829447659929</v>
        <stp/>
        <stp>##V3_BQLV12</stp>
        <stp>[MODL_CRM_US1.xlsx]Single Period!R122C8</stp>
        <stp>CRM US Equity</stp>
        <stp>CONTRIBUTOR_STATS(BS_GOODWILL, STD)/1M</stp>
        <stp>FPR=2022Y</stp>
        <stp>FPT=A</stp>
        <stp>FA_ACT_EST_DATA=E</stp>
        <stp>ACT_EST_MAPPING=PRECISE</stp>
        <stp>FS=MRC</stp>
        <stp>CURRENCY=USD</stp>
        <stp>XLFILL=b</stp>
        <tr r="H122" s="2"/>
      </tp>
      <tp t="s">
        <v/>
        <stp/>
        <stp>##V3_BQLV12</stp>
        <stp>[MODL_CRM_US1.xlsx]Single Period!R99C53</stp>
        <stp>CRM US Equity</stp>
        <stp>IS_SBC_NON_GAAP/1M</stp>
        <stp>FPR=2022Y</stp>
        <stp>FPT=A</stp>
        <stp>FA_ACT_EST_DATA=E, EST_SOURCE=NIK</stp>
        <stp>ACT_EST_MAPPING=PRECISE</stp>
        <stp>FS=MRC</stp>
        <stp>CURRENCY=USD</stp>
        <stp>XLFILL=b</stp>
        <tr r="BA99" s="2"/>
      </tp>
      <tp>
        <v>4921</v>
        <stp/>
        <stp>##V3_BQLV12</stp>
        <stp>[MODL_CRM_US1.xlsx]Single Period!R60C37</stp>
        <stp>CRM US Equity</stp>
        <stp>IS_COMPARABLE_EBIT/1M</stp>
        <stp>FPR=2022Y</stp>
        <stp>FPT=A</stp>
        <stp>FA_ACT_EST_DATA=E, EST_SOURCE=EVR</stp>
        <stp>ACT_EST_MAPPING=PRECISE</stp>
        <stp>FS=MRC</stp>
        <stp>CURRENCY=USD</stp>
        <stp>XLFILL=b</stp>
        <tr r="AK60" s="2"/>
      </tp>
      <tp>
        <v>2127.1278727567192</v>
        <stp/>
        <stp>##V3_BQLV12</stp>
        <stp>[MODL_CRM_US1.xlsx]Single Period!R89C24</stp>
        <stp>CRM US Equity</stp>
        <stp>PRETAX_INC/1M</stp>
        <stp>FPR=2022Y</stp>
        <stp>FPT=A</stp>
        <stp>FA_ACT_EST_DATA=E, EST_SOURCE=FBC</stp>
        <stp>ACT_EST_MAPPING=PRECISE</stp>
        <stp>FS=MRC</stp>
        <stp>CURRENCY=USD</stp>
        <stp>XLFILL=b</stp>
        <tr r="X89" s="2"/>
      </tp>
      <tp t="s">
        <v/>
        <stp/>
        <stp>##V3_BQLV12</stp>
        <stp>[MODL_CRM_US1.xlsx]Single Period!R89C31</stp>
        <stp>CRM US Equity</stp>
        <stp>PRETAX_INC/1M</stp>
        <stp>FPR=2022Y</stp>
        <stp>FPT=A</stp>
        <stp>FA_ACT_EST_DATA=E, EST_SOURCE=RBC</stp>
        <stp>ACT_EST_MAPPING=PRECISE</stp>
        <stp>FS=MRC</stp>
        <stp>CURRENCY=USD</stp>
        <stp>XLFILL=b</stp>
        <tr r="AE89" s="2"/>
      </tp>
      <tp t="s">
        <v/>
        <stp/>
        <stp>##V3_BQLV12</stp>
        <stp>[MODL_CRM_US1.xlsx]Single Period!R162C10</stp>
        <stp>CRM US Equity</stp>
        <stp>CF_CHANGE_IN_PREPAID_EXPNSS/1M</stp>
        <stp>FPR=2022Y</stp>
        <stp>FPT=A</stp>
        <stp>FA_ACT_EST_DATA=E, EST_SOURCE=CMPY</stp>
        <stp>ACT_EST_MAPPING=PRECISE</stp>
        <stp>FS=MRC</stp>
        <stp>CURRENCY=USD</stp>
        <stp>XLFILL=b</stp>
        <tr r="J162" s="2"/>
      </tp>
      <tp>
        <v>1394.392769942591</v>
        <stp/>
        <stp>##V3_BQLV12</stp>
        <stp>[MODL_CRM_US1.xlsx]Single Period!R89C16</stp>
        <stp>CRM US Equity</stp>
        <stp>PRETAX_INC/1M</stp>
        <stp>FPR=2022Y</stp>
        <stp>FPT=A</stp>
        <stp>FA_ACT_EST_DATA=E, EST_SOURCE=DBG</stp>
        <stp>ACT_EST_MAPPING=PRECISE</stp>
        <stp>FS=MRC</stp>
        <stp>CURRENCY=USD</stp>
        <stp>XLFILL=b</stp>
        <tr r="P89" s="2"/>
      </tp>
      <tp>
        <v>1334.704623804764</v>
        <stp/>
        <stp>##V3_BQLV12</stp>
        <stp>[MODL_CRM_US1.xlsx]Single Period!R157C9</stp>
        <stp>CRM US Equity</stp>
        <stp>CONTRIBUTOR_STATS(CF_AMORTIZATN_OF_DEFRRD_COMPNSTN, MEDIAN)/1M</stp>
        <stp>FPR=2022Y</stp>
        <stp>FPT=A</stp>
        <stp>FA_ACT_EST_DATA=E</stp>
        <stp>ACT_EST_MAPPING=PRECISE</stp>
        <stp>FS=MRC</stp>
        <stp>CURRENCY=USD</stp>
        <stp>XLFILL=b</stp>
        <tr r="I157" s="2"/>
      </tp>
      <tp t="s">
        <v/>
        <stp/>
        <stp>##V3_BQLV12</stp>
        <stp>[MODL_CRM_US1.xlsx]Single Period!R89C11</stp>
        <stp>CRM US Equity</stp>
        <stp>PRETAX_INC/1M</stp>
        <stp>FPR=2022Y</stp>
        <stp>FPT=A</stp>
        <stp>FA_ACT_EST_DATA=E, EST_SOURCE=WBL</stp>
        <stp>ACT_EST_MAPPING=PRECISE</stp>
        <stp>FS=MRC</stp>
        <stp>CURRENCY=USD</stp>
        <stp>XLFILL=b</stp>
        <tr r="K89" s="2"/>
      </tp>
      <tp t="s">
        <v/>
        <stp/>
        <stp>##V3_BQLV12</stp>
        <stp>[MODL_CRM_US1.xlsx]Single Period!R79C51</stp>
        <stp>CRM US Equity</stp>
        <stp>CB_IS_GROSS_PROFIT/1M</stp>
        <stp>FPR=2022Y</stp>
        <stp>FPT=A</stp>
        <stp>FA_ACT_EST_DATA=E, EST_SOURCE=RCP</stp>
        <stp>ACT_EST_MAPPING=PRECISE</stp>
        <stp>FS=MRC</stp>
        <stp>CURRENCY=USD</stp>
        <stp>XLFILL=b</stp>
        <tr r="AY79" s="2"/>
      </tp>
      <tp t="s">
        <v/>
        <stp/>
        <stp>##V3_BQLV12</stp>
        <stp>[MODL_CRM_US1.xlsx]Single Period!R89C32</stp>
        <stp>CRM US Equity</stp>
        <stp>PRETAX_INC/1M</stp>
        <stp>FPR=2022Y</stp>
        <stp>FPT=A</stp>
        <stp>FA_ACT_EST_DATA=E, EST_SOURCE=UBS</stp>
        <stp>ACT_EST_MAPPING=PRECISE</stp>
        <stp>FS=MRC</stp>
        <stp>CURRENCY=USD</stp>
        <stp>XLFILL=b</stp>
        <tr r="AF89" s="2"/>
      </tp>
      <tp t="s">
        <v/>
        <stp/>
        <stp>##V3_BQLV12</stp>
        <stp>[MODL_CRM_US1.xlsx]Single Period!R79C27</stp>
        <stp>CRM US Equity</stp>
        <stp>CB_IS_GROSS_PROFIT/1M</stp>
        <stp>FPR=2022Y</stp>
        <stp>FPT=A</stp>
        <stp>FA_ACT_EST_DATA=E, EST_SOURCE=LCM</stp>
        <stp>ACT_EST_MAPPING=PRECISE</stp>
        <stp>FS=MRC</stp>
        <stp>CURRENCY=USD</stp>
        <stp>XLFILL=b</stp>
        <tr r="AA79" s="2"/>
      </tp>
    </main>
    <main first="bloomberg.rtd">
      <tp t="s">
        <v/>
        <stp/>
        <stp>##V3_BQLV12</stp>
        <stp>[MODL_CRM_US1.xlsx]Single Period!R79C40</stp>
        <stp>CRM US Equity</stp>
        <stp>CB_IS_GROSS_PROFIT/1M</stp>
        <stp>FPR=2022Y</stp>
        <stp>FPT=A</stp>
        <stp>FA_ACT_EST_DATA=E, EST_SOURCE=ACC</stp>
        <stp>ACT_EST_MAPPING=PRECISE</stp>
        <stp>FS=MRC</stp>
        <stp>CURRENCY=USD</stp>
        <stp>XLFILL=b</stp>
        <tr r="AN79" s="2"/>
      </tp>
      <tp t="s">
        <v/>
        <stp/>
        <stp>##V3_BQLV12</stp>
        <stp>[MODL_CRM_US1.xlsx]Single Period!R79C19</stp>
        <stp>CRM US Equity</stp>
        <stp>CB_IS_GROSS_PROFIT/1M</stp>
        <stp>FPR=2022Y</stp>
        <stp>FPT=A</stp>
        <stp>FA_ACT_EST_DATA=E, EST_SOURCE=SCB</stp>
        <stp>ACT_EST_MAPPING=PRECISE</stp>
        <stp>FS=MRC</stp>
        <stp>CURRENCY=USD</stp>
        <stp>XLFILL=b</stp>
        <tr r="S79" s="2"/>
      </tp>
      <tp>
        <v>19510.174195079489</v>
        <stp/>
        <stp>##V3_BQLV12</stp>
        <stp>[MODL_CRM_US1.xlsx]Single Period!R79C13</stp>
        <stp>CRM US Equity</stp>
        <stp>CB_IS_GROSS_PROFIT/1M</stp>
        <stp>FPR=2022Y</stp>
        <stp>FPT=A</stp>
        <stp>FA_ACT_EST_DATA=E, EST_SOURCE=BCA</stp>
        <stp>ACT_EST_MAPPING=PRECISE</stp>
        <stp>FS=MRC</stp>
        <stp>CURRENCY=USD</stp>
        <stp>XLFILL=b</stp>
        <tr r="M79" s="2"/>
      </tp>
      <tp>
        <v>4.67</v>
        <stp/>
        <stp>##V3_BQLV12</stp>
        <stp>[MODL_CRM_US1.xlsx]Single Period!R6C26</stp>
        <stp>CRM US Equity</stp>
        <stp>IS_COMP_EPS_EXCL_STOCK_COMP</stp>
        <stp>FPR=2022Y</stp>
        <stp>FPT=A</stp>
        <stp>FA_ACT_EST_DATA=E, EST_SOURCE=KEY</stp>
        <stp>ACT_EST_MAPPING=PRECISE</stp>
        <stp>FS=MRC</stp>
        <stp>CURRENCY=USD</stp>
        <stp>XLFILL=b</stp>
        <tr r="Z6" s="2"/>
      </tp>
      <tp>
        <v>4.67</v>
        <stp/>
        <stp>##V3_BQLV12</stp>
        <stp>[MODL_CRM_US1.xlsx]Single Period!R6C40</stp>
        <stp>CRM US Equity</stp>
        <stp>IS_COMP_EPS_EXCL_STOCK_COMP</stp>
        <stp>FPR=2022Y</stp>
        <stp>FPT=A</stp>
        <stp>FA_ACT_EST_DATA=E, EST_SOURCE=ACC</stp>
        <stp>ACT_EST_MAPPING=PRECISE</stp>
        <stp>FS=MRC</stp>
        <stp>CURRENCY=USD</stp>
        <stp>XLFILL=b</stp>
        <tr r="AN6" s="2"/>
      </tp>
      <tp>
        <v>4549</v>
        <stp/>
        <stp>##V3_BQLV12</stp>
        <stp>[MODL_CRM_US1.xlsx]Single Period!R70C34</stp>
        <stp>CRM US Equity</stp>
        <stp>IS_COMP_NET_INC_EXCL_STOCK_COMP/1M</stp>
        <stp>FPR=2022Y</stp>
        <stp>FPT=A</stp>
        <stp>FA_ACT_EST_DATA=E, EST_SOURCE=JEF</stp>
        <stp>ACT_EST_MAPPING=PRECISE</stp>
        <stp>FS=MRC</stp>
        <stp>CURRENCY=USD</stp>
        <stp>XLFILL=b</stp>
        <tr r="AH70" s="2"/>
      </tp>
      <tp t="s">
        <v/>
        <stp/>
        <stp>##V3_BQLV12</stp>
        <stp>[MODL_CRM_US1.xlsx]Single Period!R44C14</stp>
        <stp>SEG0000269240 Segment</stp>
        <stp>IS_PERCENTAGE_OF_REVENUE</stp>
        <stp>FPR=2022Y</stp>
        <stp>FPT=A</stp>
        <stp>FA_ACT_EST_DATA=E, EST_SOURCE=SNR</stp>
        <stp>ACT_EST_MAPPING=PRECISE</stp>
        <stp>FS=MRC</stp>
        <stp>CURRENCY=USD</stp>
        <stp>XLFILL=b</stp>
        <tr r="N44" s="2"/>
      </tp>
      <tp t="s">
        <v/>
        <stp/>
        <stp>##V3_BQLV12</stp>
        <stp>[MODL_CRM_US1.xlsx]Single Period!R70C55</stp>
        <stp>CRM US Equity</stp>
        <stp>IS_COMP_NET_INC_EXCL_STOCK_COMP/1M</stp>
        <stp>FPR=2022Y</stp>
        <stp>FPT=A</stp>
        <stp>FA_ACT_EST_DATA=E, EST_SOURCE=RED</stp>
        <stp>ACT_EST_MAPPING=PRECISE</stp>
        <stp>FS=MRC</stp>
        <stp>CURRENCY=USD</stp>
        <stp>XLFILL=b</stp>
        <tr r="BC70" s="2"/>
      </tp>
      <tp>
        <v>6.7889074102136684</v>
        <stp/>
        <stp>##V3_BQLV12</stp>
        <stp>[MODL_CRM_US1.xlsx]Single Period!R33C20</stp>
        <stp>SEG0000269227 Segment</stp>
        <stp>IS_PERCENTAGE_OF_REVENUE</stp>
        <stp>FPR=2022Y</stp>
        <stp>FPT=A</stp>
        <stp>FA_ACT_EST_DATA=E, EST_SOURCE=JMP</stp>
        <stp>ACT_EST_MAPPING=PRECISE</stp>
        <stp>FS=MRC</stp>
        <stp>CURRENCY=USD</stp>
        <stp>XLFILL=b</stp>
        <tr r="T33" s="2"/>
      </tp>
      <tp>
        <v>-18</v>
        <stp/>
        <stp>##V3_BQLV12</stp>
        <stp>[MODL_CRM_US1.xlsx]Single Period!R185C9</stp>
        <stp>CRM US Equity</stp>
        <stp>CONTRIBUTOR_STATS(CF_EFFECT_FOREIGN_EXCHANGES, MEDIAN)/1M</stp>
        <stp>FPR=2022Y</stp>
        <stp>FPT=A</stp>
        <stp>FA_ACT_EST_DATA=E</stp>
        <stp>ACT_EST_MAPPING=PRECISE</stp>
        <stp>FS=MRC</stp>
        <stp>CURRENCY=USD</stp>
        <stp>XLFILL=b</stp>
        <tr r="I185" s="2"/>
      </tp>
      <tp t="s">
        <v/>
        <stp/>
        <stp>##V3_BQLV12</stp>
        <stp>[MODL_CRM_US1.xlsx]Single Period!R39C20</stp>
        <stp>SEG0000269228 Segment</stp>
        <stp>IS_PERCENTAGE_OF_REVENUE</stp>
        <stp>FPR=2022Y</stp>
        <stp>FPT=A</stp>
        <stp>FA_ACT_EST_DATA=E, EST_SOURCE=JMP</stp>
        <stp>ACT_EST_MAPPING=PRECISE</stp>
        <stp>FS=MRC</stp>
        <stp>CURRENCY=USD</stp>
        <stp>XLFILL=b</stp>
        <tr r="T39" s="2"/>
      </tp>
      <tp t="s">
        <v/>
        <stp/>
        <stp>##V3_BQLV12</stp>
        <stp>[MODL_CRM_US1.xlsx]Single Period!R49C14</stp>
        <stp>SEG0000269229 Segment</stp>
        <stp>IS_PERCENTAGE_OF_REVENUE</stp>
        <stp>FPR=2022Y</stp>
        <stp>FPT=A</stp>
        <stp>FA_ACT_EST_DATA=E, EST_SOURCE=SNR</stp>
        <stp>ACT_EST_MAPPING=PRECISE</stp>
        <stp>FS=MRC</stp>
        <stp>CURRENCY=USD</stp>
        <stp>XLFILL=b</stp>
        <tr r="N49" s="2"/>
      </tp>
      <tp t="s">
        <v/>
        <stp/>
        <stp>##V3_BQLV12</stp>
        <stp>[MODL_CRM_US1.xlsx]Single Period!R44C19</stp>
        <stp>SEG0000269240 Segment</stp>
        <stp>IS_PERCENTAGE_OF_REVENUE</stp>
        <stp>FPR=2022Y</stp>
        <stp>FPT=A</stp>
        <stp>FA_ACT_EST_DATA=E, EST_SOURCE=SCB</stp>
        <stp>ACT_EST_MAPPING=PRECISE</stp>
        <stp>FS=MRC</stp>
        <stp>CURRENCY=USD</stp>
        <stp>XLFILL=b</stp>
        <tr r="S44" s="2"/>
      </tp>
      <tp t="s">
        <v/>
        <stp/>
        <stp>##V3_BQLV12</stp>
        <stp>[MODL_CRM_US1.xlsx]Single Period!R49C53</stp>
        <stp>SEG0000269229 Segment</stp>
        <stp>IS_PERCENTAGE_OF_REVENUE</stp>
        <stp>FPR=2022Y</stp>
        <stp>FPT=A</stp>
        <stp>FA_ACT_EST_DATA=E, EST_SOURCE=NIK</stp>
        <stp>ACT_EST_MAPPING=PRECISE</stp>
        <stp>FS=MRC</stp>
        <stp>CURRENCY=USD</stp>
        <stp>XLFILL=b</stp>
        <tr r="BA49" s="2"/>
      </tp>
      <tp>
        <v>20628.699000000001</v>
        <stp/>
        <stp>##V3_BQLV12</stp>
        <stp>[MODL_CRM_US1.xlsx]Single Period!R16C17</stp>
        <stp>CRM US Equity</stp>
        <stp>IS_ADJ_GROSS_PROFIT_AS_REPORTED/1M</stp>
        <stp>FPR=2022Y</stp>
        <stp>FPT=A</stp>
        <stp>FA_ACT_EST_DATA=E, EST_SOURCE=NDH</stp>
        <stp>ACT_EST_MAPPING=PRECISE</stp>
        <stp>FS=MRC</stp>
        <stp>CURRENCY=USD</stp>
        <stp>XLFILL=b</stp>
        <tr r="Q16" s="2"/>
      </tp>
      <tp>
        <v>20628.699000000001</v>
        <stp/>
        <stp>##V3_BQLV12</stp>
        <stp>[MODL_CRM_US1.xlsx]Single Period!R55C17</stp>
        <stp>CRM US Equity</stp>
        <stp>IS_ADJ_GROSS_PROFIT_AS_REPORTED/1M</stp>
        <stp>FPR=2022Y</stp>
        <stp>FPT=A</stp>
        <stp>FA_ACT_EST_DATA=E, EST_SOURCE=NDH</stp>
        <stp>ACT_EST_MAPPING=PRECISE</stp>
        <stp>FS=MRC</stp>
        <stp>CURRENCY=USD</stp>
        <stp>XLFILL=b</stp>
        <tr r="Q55" s="2"/>
      </tp>
      <tp>
        <v>4557</v>
        <stp/>
        <stp>##V3_BQLV12</stp>
        <stp>[MODL_CRM_US1.xlsx]Single Period!R70C26</stp>
        <stp>CRM US Equity</stp>
        <stp>IS_COMP_NET_INC_EXCL_STOCK_COMP/1M</stp>
        <stp>FPR=2022Y</stp>
        <stp>FPT=A</stp>
        <stp>FA_ACT_EST_DATA=E, EST_SOURCE=KEY</stp>
        <stp>ACT_EST_MAPPING=PRECISE</stp>
        <stp>FS=MRC</stp>
        <stp>CURRENCY=USD</stp>
        <stp>XLFILL=b</stp>
        <tr r="Z70" s="2"/>
      </tp>
      <tp t="s">
        <v/>
        <stp/>
        <stp>##V3_BQLV12</stp>
        <stp>[MODL_CRM_US1.xlsx]Single Period!R44C53</stp>
        <stp>SEG0000269240 Segment</stp>
        <stp>IS_PERCENTAGE_OF_REVENUE</stp>
        <stp>FPR=2022Y</stp>
        <stp>FPT=A</stp>
        <stp>FA_ACT_EST_DATA=E, EST_SOURCE=NIK</stp>
        <stp>ACT_EST_MAPPING=PRECISE</stp>
        <stp>FS=MRC</stp>
        <stp>CURRENCY=USD</stp>
        <stp>XLFILL=b</stp>
        <tr r="BA44" s="2"/>
      </tp>
      <tp t="s">
        <v/>
        <stp/>
        <stp>##V3_BQLV12</stp>
        <stp>[MODL_CRM_US1.xlsx]Single Period!R49C19</stp>
        <stp>SEG0000269229 Segment</stp>
        <stp>IS_PERCENTAGE_OF_REVENUE</stp>
        <stp>FPR=2022Y</stp>
        <stp>FPT=A</stp>
        <stp>FA_ACT_EST_DATA=E, EST_SOURCE=SCB</stp>
        <stp>ACT_EST_MAPPING=PRECISE</stp>
        <stp>FS=MRC</stp>
        <stp>CURRENCY=USD</stp>
        <stp>XLFILL=b</stp>
        <tr r="S49" s="2"/>
      </tp>
      <tp t="s">
        <v/>
        <stp/>
        <stp>##V3_BQLV12</stp>
        <stp>[MODL_CRM_US1.xlsx]Single Period!R81C39</stp>
        <stp>CRM US Equity</stp>
        <stp>IS_TOT_OPER_EXP/1M</stp>
        <stp>FPR=2022Y</stp>
        <stp>FPT=A</stp>
        <stp>FA_ACT_EST_DATA=E, EST_SOURCE=KGI</stp>
        <stp>ACT_EST_MAPPING=PRECISE</stp>
        <stp>FS=MRC</stp>
        <stp>CURRENCY=USD</stp>
        <stp>XLFILL=b</stp>
        <tr r="AM81" s="2"/>
      </tp>
      <tp t="s">
        <v/>
        <stp/>
        <stp>##V3_BQLV12</stp>
        <stp>[MODL_CRM_US1.xlsx]Single Period!R8C27</stp>
        <stp>CRM US Equity</stp>
        <stp>REVENUE_GROWTH_CC_1_YR</stp>
        <stp>FPR=2022Y</stp>
        <stp>FPT=A</stp>
        <stp>FA_ACT_EST_DATA=E, EST_SOURCE=LCM</stp>
        <stp>ACT_EST_MAPPING=PRECISE</stp>
        <stp>FS=MRC</stp>
        <stp>CURRENCY=USD</stp>
        <stp>XLFILL=b</stp>
        <tr r="AA8" s="2"/>
      </tp>
      <tp>
        <v>25.98194465180654</v>
        <stp/>
        <stp>##V3_BQLV12</stp>
        <stp>[MODL_CRM_US1.xlsx]Single Period!R78C6</stp>
        <stp>CRM US Equity</stp>
        <stp>CONTRIBUTOR_STATS(COGS_TO_NET_SALES, MIN)</stp>
        <stp>FPR=2022Y</stp>
        <stp>FPT=A</stp>
        <stp>FA_ACT_EST_DATA=E</stp>
        <stp>ACT_EST_MAPPING=PRECISE</stp>
        <stp>FS=MRC</stp>
        <stp>CURRENCY=USD</stp>
        <stp>XLFILL=b</stp>
        <tr r="F78" s="2"/>
      </tp>
      <tp t="s">
        <v/>
        <stp/>
        <stp>##V3_BQLV12</stp>
        <stp>[MODL_CRM_US1.xlsx]Single Period!R91C54</stp>
        <stp>CRM US Equity</stp>
        <stp>IS_COMP_NET_INCOME_GAAP/1M</stp>
        <stp>FPR=2022Y</stp>
        <stp>FPT=A</stp>
        <stp>FA_ACT_EST_DATA=E, EST_SOURCE=ARE</stp>
        <stp>ACT_EST_MAPPING=PRECISE</stp>
        <stp>FS=MRC</stp>
        <stp>CURRENCY=USD</stp>
        <stp>XLFILL=b</stp>
        <tr r="BB91" s="2"/>
      </tp>
      <tp t="s">
        <v/>
        <stp/>
        <stp>##V3_BQLV12</stp>
        <stp>[MODL_CRM_US1.xlsx]Single Period!R8C19</stp>
        <stp>CRM US Equity</stp>
        <stp>REVENUE_GROWTH_CC_1_YR</stp>
        <stp>FPR=2022Y</stp>
        <stp>FPT=A</stp>
        <stp>FA_ACT_EST_DATA=E, EST_SOURCE=SCB</stp>
        <stp>ACT_EST_MAPPING=PRECISE</stp>
        <stp>FS=MRC</stp>
        <stp>CURRENCY=USD</stp>
        <stp>XLFILL=b</stp>
        <tr r="S8" s="2"/>
      </tp>
      <tp t="s">
        <v/>
        <stp/>
        <stp>##V3_BQLV12</stp>
        <stp>[MODL_CRM_US1.xlsx]Single Period!R8C13</stp>
        <stp>CRM US Equity</stp>
        <stp>REVENUE_GROWTH_CC_1_YR</stp>
        <stp>FPR=2022Y</stp>
        <stp>FPT=A</stp>
        <stp>FA_ACT_EST_DATA=E, EST_SOURCE=BCA</stp>
        <stp>ACT_EST_MAPPING=PRECISE</stp>
        <stp>FS=MRC</stp>
        <stp>CURRENCY=USD</stp>
        <stp>XLFILL=b</stp>
        <tr r="M8" s="2"/>
      </tp>
      <tp t="s">
        <v/>
        <stp/>
        <stp>##V3_BQLV12</stp>
        <stp>[MODL_CRM_US1.xlsx]Single Period!R91C45</stp>
        <stp>CRM US Equity</stp>
        <stp>IS_COMP_NET_INCOME_GAAP/1M</stp>
        <stp>FPR=2022Y</stp>
        <stp>FPT=A</stp>
        <stp>FA_ACT_EST_DATA=E, EST_SOURCE=ARG</stp>
        <stp>ACT_EST_MAPPING=PRECISE</stp>
        <stp>FS=MRC</stp>
        <stp>CURRENCY=USD</stp>
        <stp>XLFILL=b</stp>
        <tr r="AS91" s="2"/>
      </tp>
      <tp t="s">
        <v/>
        <stp/>
        <stp>##V3_BQLV12</stp>
        <stp>[MODL_CRM_US1.xlsx]Single Period!R8C40</stp>
        <stp>CRM US Equity</stp>
        <stp>REVENUE_GROWTH_CC_1_YR</stp>
        <stp>FPR=2022Y</stp>
        <stp>FPT=A</stp>
        <stp>FA_ACT_EST_DATA=E, EST_SOURCE=ACC</stp>
        <stp>ACT_EST_MAPPING=PRECISE</stp>
        <stp>FS=MRC</stp>
        <stp>CURRENCY=USD</stp>
        <stp>XLFILL=b</stp>
        <tr r="AN8" s="2"/>
      </tp>
      <tp t="s">
        <v/>
        <stp/>
        <stp>##V3_BQLV12</stp>
        <stp>[MODL_CRM_US1.xlsx]Single Period!R81C49</stp>
        <stp>CRM US Equity</stp>
        <stp>IS_TOT_OPER_EXP/1M</stp>
        <stp>FPR=2022Y</stp>
        <stp>FPT=A</stp>
        <stp>FA_ACT_EST_DATA=E, EST_SOURCE=SGE</stp>
        <stp>ACT_EST_MAPPING=PRECISE</stp>
        <stp>FS=MRC</stp>
        <stp>CURRENCY=USD</stp>
        <stp>XLFILL=b</stp>
        <tr r="AW81" s="2"/>
      </tp>
      <tp>
        <v>26.492847829924312</v>
        <stp/>
        <stp>##V3_BQLV12</stp>
        <stp>[MODL_CRM_US1.xlsx]Single Period!R78C7</stp>
        <stp>CRM US Equity</stp>
        <stp>CONTRIBUTOR_STATS(COGS_TO_NET_SALES, MAX)</stp>
        <stp>FPR=2022Y</stp>
        <stp>FPT=A</stp>
        <stp>FA_ACT_EST_DATA=E</stp>
        <stp>ACT_EST_MAPPING=PRECISE</stp>
        <stp>FS=MRC</stp>
        <stp>CURRENCY=USD</stp>
        <stp>XLFILL=b</stp>
        <tr r="G78" s="2"/>
      </tp>
      <tp t="s">
        <v/>
        <stp/>
        <stp>##V3_BQLV12</stp>
        <stp>[MODL_CRM_US1.xlsx]Single Period!R99C48</stp>
        <stp>CRM US Equity</stp>
        <stp>IS_SBC_NON_GAAP/1M</stp>
        <stp>FPR=2022Y</stp>
        <stp>FPT=A</stp>
        <stp>FA_ACT_EST_DATA=E, EST_SOURCE=PJE</stp>
        <stp>ACT_EST_MAPPING=PRECISE</stp>
        <stp>FS=MRC</stp>
        <stp>CURRENCY=USD</stp>
        <stp>XLFILL=b</stp>
        <tr r="AV99" s="2"/>
      </tp>
      <tp>
        <v>2796</v>
        <stp/>
        <stp>##V3_BQLV12</stp>
        <stp>[MODL_CRM_US1.xlsx]Single Period!R99C21</stp>
        <stp>CRM US Equity</stp>
        <stp>IS_SBC_NON_GAAP/1M</stp>
        <stp>FPR=2022Y</stp>
        <stp>FPT=A</stp>
        <stp>FA_ACT_EST_DATA=E, EST_SOURCE=RJA</stp>
        <stp>ACT_EST_MAPPING=PRECISE</stp>
        <stp>FS=MRC</stp>
        <stp>CURRENCY=USD</stp>
        <stp>XLFILL=b</stp>
        <tr r="U99" s="2"/>
      </tp>
      <tp t="s">
        <v/>
        <stp/>
        <stp>##V3_BQLV12</stp>
        <stp>[MODL_CRM_US1.xlsx]Single Period!R8C51</stp>
        <stp>CRM US Equity</stp>
        <stp>REVENUE_GROWTH_CC_1_YR</stp>
        <stp>FPR=2022Y</stp>
        <stp>FPT=A</stp>
        <stp>FA_ACT_EST_DATA=E, EST_SOURCE=RCP</stp>
        <stp>ACT_EST_MAPPING=PRECISE</stp>
        <stp>FS=MRC</stp>
        <stp>CURRENCY=USD</stp>
        <stp>XLFILL=b</stp>
        <tr r="AY8" s="2"/>
      </tp>
      <tp t="s">
        <v/>
        <stp/>
        <stp>##V3_BQLV12</stp>
        <stp>[MODL_CRM_US1.xlsx]Single Period!R89C36</stp>
        <stp>CRM US Equity</stp>
        <stp>PRETAX_INC/1M</stp>
        <stp>FPR=2022Y</stp>
        <stp>FPT=A</stp>
        <stp>FA_ACT_EST_DATA=E, EST_SOURCE=MAC</stp>
        <stp>ACT_EST_MAPPING=PRECISE</stp>
        <stp>FS=MRC</stp>
        <stp>CURRENCY=USD</stp>
        <stp>XLFILL=b</stp>
        <tr r="AJ89" s="2"/>
      </tp>
      <tp t="s">
        <v/>
        <stp/>
        <stp>##V3_BQLV12</stp>
        <stp>[MODL_CRM_US1.xlsx]Single Period!R89C30</stp>
        <stp>CRM US Equity</stp>
        <stp>PRETAX_INC/1M</stp>
        <stp>FPR=2022Y</stp>
        <stp>FPT=A</stp>
        <stp>FA_ACT_EST_DATA=E, EST_SOURCE=BAM</stp>
        <stp>ACT_EST_MAPPING=PRECISE</stp>
        <stp>FS=MRC</stp>
        <stp>CURRENCY=USD</stp>
        <stp>XLFILL=b</stp>
        <tr r="AD89" s="2"/>
      </tp>
      <tp t="s">
        <v/>
        <stp/>
        <stp>##V3_BQLV12</stp>
        <stp>[MODL_CRM_US1.xlsx]Single Period!R89C18</stp>
        <stp>CRM US Equity</stp>
        <stp>PRETAX_INC/1M</stp>
        <stp>FPR=2022Y</stp>
        <stp>FPT=A</stp>
        <stp>FA_ACT_EST_DATA=E, EST_SOURCE=CAN</stp>
        <stp>ACT_EST_MAPPING=PRECISE</stp>
        <stp>FS=MRC</stp>
        <stp>CURRENCY=USD</stp>
        <stp>XLFILL=b</stp>
        <tr r="R89" s="2"/>
      </tp>
      <tp t="s">
        <v/>
        <stp/>
        <stp>##V3_BQLV12</stp>
        <stp>[MODL_CRM_US1.xlsx]Single Period!R185C10</stp>
        <stp>CRM US Equity</stp>
        <stp>CF_EFFECT_FOREIGN_EXCHANGES/1M</stp>
        <stp>FPR=2022Y</stp>
        <stp>FPT=A</stp>
        <stp>FA_ACT_EST_DATA=E, EST_SOURCE=CMPY</stp>
        <stp>ACT_EST_MAPPING=PRECISE</stp>
        <stp>FS=MRC</stp>
        <stp>CURRENCY=USD</stp>
        <stp>XLFILL=b</stp>
        <tr r="J185" s="2"/>
      </tp>
      <tp>
        <v>4.75</v>
        <stp/>
        <stp>##V3_BQLV12</stp>
        <stp>[MODL_CRM_US1.xlsx]Single Period!R6C39</stp>
        <stp>CRM US Equity</stp>
        <stp>IS_COMP_EPS_EXCL_STOCK_COMP</stp>
        <stp>FPR=2022Y</stp>
        <stp>FPT=A</stp>
        <stp>FA_ACT_EST_DATA=E, EST_SOURCE=KGI</stp>
        <stp>ACT_EST_MAPPING=PRECISE</stp>
        <stp>FS=MRC</stp>
        <stp>CURRENCY=USD</stp>
        <stp>XLFILL=b</stp>
        <tr r="AM6" s="2"/>
      </tp>
      <tp>
        <v>628.04940938070376</v>
        <stp/>
        <stp>##V3_BQLV12</stp>
        <stp>[MODL_CRM_US1.xlsx]Single Period!R141C8</stp>
        <stp>CRM US Equity</stp>
        <stp>CONTRIBUTOR_STATS(BS_PURE_RETAINED_EARNINGS, STD)/1M</stp>
        <stp>FPR=2022Y</stp>
        <stp>FPT=A</stp>
        <stp>FA_ACT_EST_DATA=E</stp>
        <stp>ACT_EST_MAPPING=PRECISE</stp>
        <stp>FS=MRC</stp>
        <stp>CURRENCY=USD</stp>
        <stp>XLFILL=b</stp>
        <tr r="H141" s="2"/>
      </tp>
      <tp>
        <v>93.211092589786332</v>
        <stp/>
        <stp>##V3_BQLV12</stp>
        <stp>[MODL_CRM_US1.xlsx]Single Period!R25C20</stp>
        <stp>SEG0000269238 Segment</stp>
        <stp>IS_PERCENTAGE_OF_REVENUE</stp>
        <stp>FPR=2022Y</stp>
        <stp>FPT=A</stp>
        <stp>FA_ACT_EST_DATA=E, EST_SOURCE=JMP</stp>
        <stp>ACT_EST_MAPPING=PRECISE</stp>
        <stp>FS=MRC</stp>
        <stp>CURRENCY=USD</stp>
        <stp>XLFILL=b</stp>
        <tr r="T25" s="2"/>
      </tp>
      <tp t="s">
        <v/>
        <stp/>
        <stp>##V3_BQLV12</stp>
        <stp>[MODL_CRM_US1.xlsx]Single Period!R44C33</stp>
        <stp>SEG0000269240 Segment</stp>
        <stp>IS_PERCENTAGE_OF_REVENUE</stp>
        <stp>FPR=2022Y</stp>
        <stp>FPT=A</stp>
        <stp>FA_ACT_EST_DATA=E, EST_SOURCE=RHR</stp>
        <stp>ACT_EST_MAPPING=PRECISE</stp>
        <stp>FS=MRC</stp>
        <stp>CURRENCY=USD</stp>
        <stp>XLFILL=b</stp>
        <tr r="AG44" s="2"/>
      </tp>
      <tp>
        <v>20715.436813</v>
        <stp/>
        <stp>##V3_BQLV12</stp>
        <stp>[MODL_CRM_US1.xlsx]Single Period!R16C26</stp>
        <stp>CRM US Equity</stp>
        <stp>IS_ADJ_GROSS_PROFIT_AS_REPORTED/1M</stp>
        <stp>FPR=2022Y</stp>
        <stp>FPT=A</stp>
        <stp>FA_ACT_EST_DATA=E, EST_SOURCE=KEY</stp>
        <stp>ACT_EST_MAPPING=PRECISE</stp>
        <stp>FS=MRC</stp>
        <stp>CURRENCY=USD</stp>
        <stp>XLFILL=b</stp>
        <tr r="Z16" s="2"/>
      </tp>
      <tp>
        <v>20715.436813</v>
        <stp/>
        <stp>##V3_BQLV12</stp>
        <stp>[MODL_CRM_US1.xlsx]Single Period!R55C26</stp>
        <stp>CRM US Equity</stp>
        <stp>IS_ADJ_GROSS_PROFIT_AS_REPORTED/1M</stp>
        <stp>FPR=2022Y</stp>
        <stp>FPT=A</stp>
        <stp>FA_ACT_EST_DATA=E, EST_SOURCE=KEY</stp>
        <stp>ACT_EST_MAPPING=PRECISE</stp>
        <stp>FS=MRC</stp>
        <stp>CURRENCY=USD</stp>
        <stp>XLFILL=b</stp>
        <tr r="Z55" s="2"/>
      </tp>
      <tp>
        <v>4543</v>
        <stp/>
        <stp>##V3_BQLV12</stp>
        <stp>[MODL_CRM_US1.xlsx]Single Period!R70C17</stp>
        <stp>CRM US Equity</stp>
        <stp>IS_COMP_NET_INC_EXCL_STOCK_COMP/1M</stp>
        <stp>FPR=2022Y</stp>
        <stp>FPT=A</stp>
        <stp>FA_ACT_EST_DATA=E, EST_SOURCE=NDH</stp>
        <stp>ACT_EST_MAPPING=PRECISE</stp>
        <stp>FS=MRC</stp>
        <stp>CURRENCY=USD</stp>
        <stp>XLFILL=b</stp>
        <tr r="Q70" s="2"/>
      </tp>
      <tp t="s">
        <v/>
        <stp/>
        <stp>##V3_BQLV12</stp>
        <stp>[MODL_CRM_US1.xlsx]Single Period!R49C33</stp>
        <stp>SEG0000269229 Segment</stp>
        <stp>IS_PERCENTAGE_OF_REVENUE</stp>
        <stp>FPR=2022Y</stp>
        <stp>FPT=A</stp>
        <stp>FA_ACT_EST_DATA=E, EST_SOURCE=RHR</stp>
        <stp>ACT_EST_MAPPING=PRECISE</stp>
        <stp>FS=MRC</stp>
        <stp>CURRENCY=USD</stp>
        <stp>XLFILL=b</stp>
        <tr r="AG49" s="2"/>
      </tp>
      <tp>
        <v>688</v>
        <stp/>
        <stp>##V3_BQLV12</stp>
        <stp>[MODL_CRM_US1.xlsx]Single Period!R130C9</stp>
        <stp>CRM US Equity</stp>
        <stp>CONTRIBUTOR_STATS(BS_ST_OPERATING_LEASE_LIABS, MEDIAN)/1M</stp>
        <stp>FPR=2022Y</stp>
        <stp>FPT=A</stp>
        <stp>FA_ACT_EST_DATA=E</stp>
        <stp>ACT_EST_MAPPING=PRECISE</stp>
        <stp>FS=MRC</stp>
        <stp>CURRENCY=USD</stp>
        <stp>XLFILL=b</stp>
        <tr r="I130" s="2"/>
      </tp>
      <tp t="s">
        <v/>
        <stp/>
        <stp>##V3_BQLV12</stp>
        <stp>[MODL_CRM_US1.xlsx]Single Period!R44C21</stp>
        <stp>SEG0000269240 Segment</stp>
        <stp>IS_PERCENTAGE_OF_REVENUE</stp>
        <stp>FPR=2022Y</stp>
        <stp>FPT=A</stp>
        <stp>FA_ACT_EST_DATA=E, EST_SOURCE=RJA</stp>
        <stp>ACT_EST_MAPPING=PRECISE</stp>
        <stp>FS=MRC</stp>
        <stp>CURRENCY=USD</stp>
        <stp>XLFILL=b</stp>
        <tr r="U44" s="2"/>
      </tp>
      <tp t="s">
        <v/>
        <stp/>
        <stp>##V3_BQLV12</stp>
        <stp>[MODL_CRM_US1.xlsx]Single Period!R16C34</stp>
        <stp>CRM US Equity</stp>
        <stp>IS_ADJ_GROSS_PROFIT_AS_REPORTED/1M</stp>
        <stp>FPR=2022Y</stp>
        <stp>FPT=A</stp>
        <stp>FA_ACT_EST_DATA=E, EST_SOURCE=JEF</stp>
        <stp>ACT_EST_MAPPING=PRECISE</stp>
        <stp>FS=MRC</stp>
        <stp>CURRENCY=USD</stp>
        <stp>XLFILL=b</stp>
        <tr r="AH16" s="2"/>
      </tp>
      <tp t="s">
        <v/>
        <stp/>
        <stp>##V3_BQLV12</stp>
        <stp>[MODL_CRM_US1.xlsx]Single Period!R55C34</stp>
        <stp>CRM US Equity</stp>
        <stp>IS_ADJ_GROSS_PROFIT_AS_REPORTED/1M</stp>
        <stp>FPR=2022Y</stp>
        <stp>FPT=A</stp>
        <stp>FA_ACT_EST_DATA=E, EST_SOURCE=JEF</stp>
        <stp>ACT_EST_MAPPING=PRECISE</stp>
        <stp>FS=MRC</stp>
        <stp>CURRENCY=USD</stp>
        <stp>XLFILL=b</stp>
        <tr r="AH55" s="2"/>
      </tp>
      <tp t="s">
        <v/>
        <stp/>
        <stp>##V3_BQLV12</stp>
        <stp>[MODL_CRM_US1.xlsx]Single Period!R49C21</stp>
        <stp>SEG0000269229 Segment</stp>
        <stp>IS_PERCENTAGE_OF_REVENUE</stp>
        <stp>FPR=2022Y</stp>
        <stp>FPT=A</stp>
        <stp>FA_ACT_EST_DATA=E, EST_SOURCE=RJA</stp>
        <stp>ACT_EST_MAPPING=PRECISE</stp>
        <stp>FS=MRC</stp>
        <stp>CURRENCY=USD</stp>
        <stp>XLFILL=b</stp>
        <tr r="U49" s="2"/>
      </tp>
      <tp t="s">
        <v/>
        <stp/>
        <stp>##V3_BQLV12</stp>
        <stp>[MODL_CRM_US1.xlsx]Single Period!R16C55</stp>
        <stp>CRM US Equity</stp>
        <stp>IS_ADJ_GROSS_PROFIT_AS_REPORTED/1M</stp>
        <stp>FPR=2022Y</stp>
        <stp>FPT=A</stp>
        <stp>FA_ACT_EST_DATA=E, EST_SOURCE=RED</stp>
        <stp>ACT_EST_MAPPING=PRECISE</stp>
        <stp>FS=MRC</stp>
        <stp>CURRENCY=USD</stp>
        <stp>XLFILL=b</stp>
        <tr r="BC16" s="2"/>
      </tp>
      <tp t="s">
        <v/>
        <stp/>
        <stp>##V3_BQLV12</stp>
        <stp>[MODL_CRM_US1.xlsx]Single Period!R55C55</stp>
        <stp>CRM US Equity</stp>
        <stp>IS_ADJ_GROSS_PROFIT_AS_REPORTED/1M</stp>
        <stp>FPR=2022Y</stp>
        <stp>FPT=A</stp>
        <stp>FA_ACT_EST_DATA=E, EST_SOURCE=RED</stp>
        <stp>ACT_EST_MAPPING=PRECISE</stp>
        <stp>FS=MRC</stp>
        <stp>CURRENCY=USD</stp>
        <stp>XLFILL=b</stp>
        <tr r="BC55" s="2"/>
      </tp>
      <tp t="s">
        <v/>
        <stp/>
        <stp>##V3_BQLV12</stp>
        <stp>[MODL_CRM_US1.xlsx]Single Period!R88C30</stp>
        <stp>CRM US Equity</stp>
        <stp>OPER_INC_TO_NET_SALES</stp>
        <stp>FPR=2022Y</stp>
        <stp>FPT=A</stp>
        <stp>FA_ACT_EST_DATA=E, EST_SOURCE=BAM</stp>
        <stp>ACT_EST_MAPPING=PRECISE</stp>
        <stp>FS=MRC</stp>
        <stp>CURRENCY=USD</stp>
        <stp>XLFILL=b</stp>
        <tr r="AD88" s="2"/>
      </tp>
      <tp t="s">
        <v/>
        <stp/>
        <stp>##V3_BQLV12</stp>
        <stp>[MODL_CRM_US1.xlsx]Single Period!R88C18</stp>
        <stp>CRM US Equity</stp>
        <stp>OPER_INC_TO_NET_SALES</stp>
        <stp>FPR=2022Y</stp>
        <stp>FPT=A</stp>
        <stp>FA_ACT_EST_DATA=E, EST_SOURCE=CAN</stp>
        <stp>ACT_EST_MAPPING=PRECISE</stp>
        <stp>FS=MRC</stp>
        <stp>CURRENCY=USD</stp>
        <stp>XLFILL=b</stp>
        <tr r="R88" s="2"/>
      </tp>
      <tp t="s">
        <v/>
        <stp/>
        <stp>##V3_BQLV12</stp>
        <stp>[MODL_CRM_US1.xlsx]Single Period!R8C11</stp>
        <stp>CRM US Equity</stp>
        <stp>REVENUE_GROWTH_CC_1_YR</stp>
        <stp>FPR=2022Y</stp>
        <stp>FPT=A</stp>
        <stp>FA_ACT_EST_DATA=E, EST_SOURCE=WBL</stp>
        <stp>ACT_EST_MAPPING=PRECISE</stp>
        <stp>FS=MRC</stp>
        <stp>CURRENCY=USD</stp>
        <stp>XLFILL=b</stp>
        <tr r="K8" s="2"/>
      </tp>
      <tp t="s">
        <v/>
        <stp/>
        <stp>##V3_BQLV12</stp>
        <stp>[MODL_CRM_US1.xlsx]Single Period!R8C31</stp>
        <stp>CRM US Equity</stp>
        <stp>REVENUE_GROWTH_CC_1_YR</stp>
        <stp>FPR=2022Y</stp>
        <stp>FPT=A</stp>
        <stp>FA_ACT_EST_DATA=E, EST_SOURCE=RBC</stp>
        <stp>ACT_EST_MAPPING=PRECISE</stp>
        <stp>FS=MRC</stp>
        <stp>CURRENCY=USD</stp>
        <stp>XLFILL=b</stp>
        <tr r="AE8" s="2"/>
      </tp>
      <tp t="s">
        <v/>
        <stp/>
        <stp>##V3_BQLV12</stp>
        <stp>[MODL_CRM_US1.xlsx]Single Period!R88C36</stp>
        <stp>CRM US Equity</stp>
        <stp>OPER_INC_TO_NET_SALES</stp>
        <stp>FPR=2022Y</stp>
        <stp>FPT=A</stp>
        <stp>FA_ACT_EST_DATA=E, EST_SOURCE=MAC</stp>
        <stp>ACT_EST_MAPPING=PRECISE</stp>
        <stp>FS=MRC</stp>
        <stp>CURRENCY=USD</stp>
        <stp>XLFILL=b</stp>
        <tr r="AJ88" s="2"/>
      </tp>
      <tp>
        <v>23.000352907961609</v>
        <stp/>
        <stp>##V3_BQLV12</stp>
        <stp>[MODL_CRM_US1.xlsx]Single Period!R8C24</stp>
        <stp>CRM US Equity</stp>
        <stp>REVENUE_GROWTH_CC_1_YR</stp>
        <stp>FPR=2022Y</stp>
        <stp>FPT=A</stp>
        <stp>FA_ACT_EST_DATA=E, EST_SOURCE=FBC</stp>
        <stp>ACT_EST_MAPPING=PRECISE</stp>
        <stp>FS=MRC</stp>
        <stp>CURRENCY=USD</stp>
        <stp>XLFILL=b</stp>
        <tr r="X8" s="2"/>
      </tp>
      <tp t="s">
        <v/>
        <stp/>
        <stp>##V3_BQLV12</stp>
        <stp>[MODL_CRM_US1.xlsx]Single Period!R91C42</stp>
        <stp>CRM US Equity</stp>
        <stp>IS_COMP_NET_INCOME_GAAP/1M</stp>
        <stp>FPR=2022Y</stp>
        <stp>FPT=A</stp>
        <stp>FA_ACT_EST_DATA=E, EST_SOURCE=PSG</stp>
        <stp>ACT_EST_MAPPING=PRECISE</stp>
        <stp>FS=MRC</stp>
        <stp>CURRENCY=USD</stp>
        <stp>XLFILL=b</stp>
        <tr r="AP91" s="2"/>
      </tp>
      <tp t="s">
        <v/>
        <stp/>
        <stp>##V3_BQLV12</stp>
        <stp>[MODL_CRM_US1.xlsx]Single Period!R8C16</stp>
        <stp>CRM US Equity</stp>
        <stp>REVENUE_GROWTH_CC_1_YR</stp>
        <stp>FPR=2022Y</stp>
        <stp>FPT=A</stp>
        <stp>FA_ACT_EST_DATA=E, EST_SOURCE=DBG</stp>
        <stp>ACT_EST_MAPPING=PRECISE</stp>
        <stp>FS=MRC</stp>
        <stp>CURRENCY=USD</stp>
        <stp>XLFILL=b</stp>
        <tr r="P8" s="2"/>
      </tp>
      <tp t="s">
        <v/>
        <stp/>
        <stp>##V3_BQLV12</stp>
        <stp>[MODL_CRM_US1.xlsx]Single Period!R161C28</stp>
        <stp>CRM US Equity</stp>
        <stp>CF_ACCT_RCV_UNBILLED_REV/1M</stp>
        <stp>FPR=2022Y</stp>
        <stp>FPT=A</stp>
        <stp>FA_ACT_EST_DATA=E, EST_SOURCE=CWN</stp>
        <stp>ACT_EST_MAPPING=PRECISE</stp>
        <stp>FS=MRC</stp>
        <stp>CURRENCY=USD</stp>
        <stp>XLFILL=b</stp>
        <tr r="AB161" s="2"/>
      </tp>
      <tp t="s">
        <v/>
        <stp/>
        <stp>##V3_BQLV12</stp>
        <stp>[MODL_CRM_US1.xlsx]Single Period!R81C52</stp>
        <stp>CRM US Equity</stp>
        <stp>IS_TOT_OPER_EXP/1M</stp>
        <stp>FPR=2022Y</stp>
        <stp>FPT=A</stp>
        <stp>FA_ACT_EST_DATA=E, EST_SOURCE=WFR</stp>
        <stp>ACT_EST_MAPPING=PRECISE</stp>
        <stp>FS=MRC</stp>
        <stp>CURRENCY=USD</stp>
        <stp>XLFILL=b</stp>
        <tr r="AZ81" s="2"/>
      </tp>
      <tp t="s">
        <v/>
        <stp/>
        <stp>##V3_BQLV12</stp>
        <stp>[MODL_CRM_US1.xlsx]Single Period!R91C38</stp>
        <stp>CRM US Equity</stp>
        <stp>IS_COMP_NET_INCOME_GAAP/1M</stp>
        <stp>FPR=2022Y</stp>
        <stp>FPT=A</stp>
        <stp>FA_ACT_EST_DATA=E, EST_SOURCE=MSR</stp>
        <stp>ACT_EST_MAPPING=PRECISE</stp>
        <stp>FS=MRC</stp>
        <stp>CURRENCY=USD</stp>
        <stp>XLFILL=b</stp>
        <tr r="AL91" s="2"/>
      </tp>
      <tp t="s">
        <v/>
        <stp/>
        <stp>##V3_BQLV12</stp>
        <stp>[MODL_CRM_US1.xlsx]Single Period!R8C32</stp>
        <stp>CRM US Equity</stp>
        <stp>REVENUE_GROWTH_CC_1_YR</stp>
        <stp>FPR=2022Y</stp>
        <stp>FPT=A</stp>
        <stp>FA_ACT_EST_DATA=E, EST_SOURCE=UBS</stp>
        <stp>ACT_EST_MAPPING=PRECISE</stp>
        <stp>FS=MRC</stp>
        <stp>CURRENCY=USD</stp>
        <stp>XLFILL=b</stp>
        <tr r="AF8" s="2"/>
      </tp>
      <tp t="s">
        <v/>
        <stp/>
        <stp>##V3_BQLV12</stp>
        <stp>[MODL_CRM_US1.xlsx]Single Period!R91C41</stp>
        <stp>CRM US Equity</stp>
        <stp>IS_COMP_NET_INCOME_GAAP/1M</stp>
        <stp>FPR=2022Y</stp>
        <stp>FPT=A</stp>
        <stp>FA_ACT_EST_DATA=E, EST_SOURCE=GSR</stp>
        <stp>ACT_EST_MAPPING=PRECISE</stp>
        <stp>FS=MRC</stp>
        <stp>CURRENCY=USD</stp>
        <stp>XLFILL=b</stp>
        <tr r="AO91" s="2"/>
      </tp>
      <tp t="s">
        <v/>
        <stp/>
        <stp>##V3_BQLV12</stp>
        <stp>[MODL_CRM_US1.xlsx]Single Period!R81C47</stp>
        <stp>CRM US Equity</stp>
        <stp>IS_TOT_OPER_EXP/1M</stp>
        <stp>FPR=2022Y</stp>
        <stp>FPT=A</stp>
        <stp>FA_ACT_EST_DATA=E, EST_SOURCE=WFT</stp>
        <stp>ACT_EST_MAPPING=PRECISE</stp>
        <stp>FS=MRC</stp>
        <stp>CURRENCY=USD</stp>
        <stp>XLFILL=b</stp>
        <tr r="AU81" s="2"/>
      </tp>
      <tp>
        <v>1236</v>
        <stp/>
        <stp>##V3_BQLV12</stp>
        <stp>[MODL_CRM_US1.xlsx]Single Period!R91C15</stp>
        <stp>CRM US Equity</stp>
        <stp>IS_COMP_NET_INCOME_GAAP/1M</stp>
        <stp>FPR=2022Y</stp>
        <stp>FPT=A</stp>
        <stp>FA_ACT_EST_DATA=E, EST_SOURCE=MSV</stp>
        <stp>ACT_EST_MAPPING=PRECISE</stp>
        <stp>FS=MRC</stp>
        <stp>CURRENCY=USD</stp>
        <stp>XLFILL=b</stp>
        <tr r="O91" s="2"/>
      </tp>
      <tp t="s">
        <v/>
        <stp/>
        <stp>##V3_BQLV12</stp>
        <stp>[MODL_CRM_US1.xlsx]Single Period!R161C37</stp>
        <stp>CRM US Equity</stp>
        <stp>CF_ACCT_RCV_UNBILLED_REV/1M</stp>
        <stp>FPR=2022Y</stp>
        <stp>FPT=A</stp>
        <stp>FA_ACT_EST_DATA=E, EST_SOURCE=EVR</stp>
        <stp>ACT_EST_MAPPING=PRECISE</stp>
        <stp>FS=MRC</stp>
        <stp>CURRENCY=USD</stp>
        <stp>XLFILL=b</stp>
        <tr r="AK161" s="2"/>
      </tp>
      <tp t="s">
        <v/>
        <stp/>
        <stp>##V3_BQLV12</stp>
        <stp>[MODL_CRM_US1.xlsx]Single Period!R77C50</stp>
        <stp>CRM US Equity</stp>
        <stp>IS_COGS_TO_FE_AND_PP_AND_G/1M</stp>
        <stp>FPR=2022Y</stp>
        <stp>FPT=A</stp>
        <stp>FA_ACT_EST_DATA=E, EST_SOURCE=MZS</stp>
        <stp>ACT_EST_MAPPING=PRECISE</stp>
        <stp>FS=MRC</stp>
        <stp>CURRENCY=USD</stp>
        <stp>XLFILL=b</stp>
        <tr r="AX77" s="2"/>
      </tp>
      <tp t="s">
        <v/>
        <stp/>
        <stp>##V3_BQLV12</stp>
        <stp>[MODL_CRM_US1.xlsx]Single Period!R79C18</stp>
        <stp>CRM US Equity</stp>
        <stp>CB_IS_GROSS_PROFIT/1M</stp>
        <stp>FPR=2022Y</stp>
        <stp>FPT=A</stp>
        <stp>FA_ACT_EST_DATA=E, EST_SOURCE=CAN</stp>
        <stp>ACT_EST_MAPPING=PRECISE</stp>
        <stp>FS=MRC</stp>
        <stp>CURRENCY=USD</stp>
        <stp>XLFILL=b</stp>
        <tr r="R79" s="2"/>
      </tp>
      <tp t="s">
        <v/>
        <stp/>
        <stp>##V3_BQLV12</stp>
        <stp>[MODL_CRM_US1.xlsx]Single Period!R79C30</stp>
        <stp>CRM US Equity</stp>
        <stp>CB_IS_GROSS_PROFIT/1M</stp>
        <stp>FPR=2022Y</stp>
        <stp>FPT=A</stp>
        <stp>FA_ACT_EST_DATA=E, EST_SOURCE=BAM</stp>
        <stp>ACT_EST_MAPPING=PRECISE</stp>
        <stp>FS=MRC</stp>
        <stp>CURRENCY=USD</stp>
        <stp>XLFILL=b</stp>
        <tr r="AD79" s="2"/>
      </tp>
      <tp t="s">
        <v/>
        <stp/>
        <stp>##V3_BQLV12</stp>
        <stp>[MODL_CRM_US1.xlsx]Single Period!R60C46</stp>
        <stp>CRM US Equity</stp>
        <stp>IS_COMPARABLE_EBIT/1M</stp>
        <stp>FPR=2022Y</stp>
        <stp>FPT=A</stp>
        <stp>FA_ACT_EST_DATA=E, EST_SOURCE=CTI</stp>
        <stp>ACT_EST_MAPPING=PRECISE</stp>
        <stp>FS=MRC</stp>
        <stp>CURRENCY=USD</stp>
        <stp>XLFILL=b</stp>
        <tr r="AT60" s="2"/>
      </tp>
      <tp>
        <v>2.9551025585391608</v>
        <stp/>
        <stp>##V3_BQLV12</stp>
        <stp>[MODL_CRM_US1.xlsx]Single Period!R172C21</stp>
        <stp>CRM US Equity</stp>
        <stp>CAP_EXPEND_TO_SALES</stp>
        <stp>FPR=2022Y</stp>
        <stp>FPT=A</stp>
        <stp>FA_ACT_EST_DATA=E, EST_SOURCE=RJA</stp>
        <stp>ACT_EST_MAPPING=PRECISE</stp>
        <stp>FS=MRC</stp>
        <stp>CURRENCY=USD</stp>
        <stp>XLFILL=b</stp>
        <tr r="U172" s="2"/>
      </tp>
      <tp t="s">
        <v/>
        <stp/>
        <stp>##V3_BQLV12</stp>
        <stp>[MODL_CRM_US1.xlsx]Single Period!R79C36</stp>
        <stp>CRM US Equity</stp>
        <stp>CB_IS_GROSS_PROFIT/1M</stp>
        <stp>FPR=2022Y</stp>
        <stp>FPT=A</stp>
        <stp>FA_ACT_EST_DATA=E, EST_SOURCE=MAC</stp>
        <stp>ACT_EST_MAPPING=PRECISE</stp>
        <stp>FS=MRC</stp>
        <stp>CURRENCY=USD</stp>
        <stp>XLFILL=b</stp>
        <tr r="AJ79" s="2"/>
      </tp>
      <tp>
        <v>4994</v>
        <stp/>
        <stp>##V3_BQLV12</stp>
        <stp>[MODL_CRM_US1.xlsx]Single Period!R60C35</stp>
        <stp>CRM US Equity</stp>
        <stp>IS_COMPARABLE_EBIT/1M</stp>
        <stp>FPR=2022Y</stp>
        <stp>FPT=A</stp>
        <stp>FA_ACT_EST_DATA=E, EST_SOURCE=ATL</stp>
        <stp>ACT_EST_MAPPING=PRECISE</stp>
        <stp>FS=MRC</stp>
        <stp>CURRENCY=USD</stp>
        <stp>XLFILL=b</stp>
        <tr r="AI60" s="2"/>
      </tp>
      <tp>
        <v>96343.390770271333</v>
        <stp/>
        <stp>##V3_BQLV12</stp>
        <stp>[MODL_CRM_US1.xlsx]Single Period!R125C7</stp>
        <stp>CRM US Equity</stp>
        <stp>CONTRIBUTOR_STATS(BS_TOT_ASSET, MAX)/1M</stp>
        <stp>FPR=2022Y</stp>
        <stp>FPT=A</stp>
        <stp>FA_ACT_EST_DATA=E</stp>
        <stp>ACT_EST_MAPPING=PRECISE</stp>
        <stp>FS=MRC</stp>
        <stp>CURRENCY=USD</stp>
        <stp>XLFILL=b</stp>
        <tr r="G125" s="2"/>
      </tp>
      <tp>
        <v>96343.390770271333</v>
        <stp/>
        <stp>##V3_BQLV12</stp>
        <stp>[MODL_CRM_US1.xlsx]Single Period!R142C7</stp>
        <stp>CRM US Equity</stp>
        <stp>CONTRIBUTOR_STATS(BS_TOT_ASSET, MAX)/1M</stp>
        <stp>FPR=2022Y</stp>
        <stp>FPT=A</stp>
        <stp>FA_ACT_EST_DATA=E</stp>
        <stp>ACT_EST_MAPPING=PRECISE</stp>
        <stp>FS=MRC</stp>
        <stp>CURRENCY=USD</stp>
        <stp>XLFILL=b</stp>
        <tr r="G142" s="2"/>
      </tp>
      <tp>
        <v>78968.636644094731</v>
        <stp/>
        <stp>##V3_BQLV12</stp>
        <stp>[MODL_CRM_US1.xlsx]Single Period!R125C6</stp>
        <stp>CRM US Equity</stp>
        <stp>CONTRIBUTOR_STATS(BS_TOT_ASSET, MIN)/1M</stp>
        <stp>FPR=2022Y</stp>
        <stp>FPT=A</stp>
        <stp>FA_ACT_EST_DATA=E</stp>
        <stp>ACT_EST_MAPPING=PRECISE</stp>
        <stp>FS=MRC</stp>
        <stp>CURRENCY=USD</stp>
        <stp>XLFILL=b</stp>
        <tr r="F125" s="2"/>
      </tp>
      <tp>
        <v>78968.636644094731</v>
        <stp/>
        <stp>##V3_BQLV12</stp>
        <stp>[MODL_CRM_US1.xlsx]Single Period!R142C6</stp>
        <stp>CRM US Equity</stp>
        <stp>CONTRIBUTOR_STATS(BS_TOT_ASSET, MIN)/1M</stp>
        <stp>FPR=2022Y</stp>
        <stp>FPT=A</stp>
        <stp>FA_ACT_EST_DATA=E</stp>
        <stp>ACT_EST_MAPPING=PRECISE</stp>
        <stp>FS=MRC</stp>
        <stp>CURRENCY=USD</stp>
        <stp>XLFILL=b</stp>
        <tr r="F142" s="2"/>
      </tp>
      <tp>
        <v>840.6965843386904</v>
        <stp/>
        <stp>##V3_BQLV12</stp>
        <stp>[MODL_CRM_US1.xlsx]Single Period!R191C8</stp>
        <stp>CRM US Equity</stp>
        <stp>CONTRIBUTOR_STATS(CF_FREE_CASH_FLOW, STD)/1M</stp>
        <stp>FPR=2022Y</stp>
        <stp>FPT=A</stp>
        <stp>FA_ACT_EST_DATA=E</stp>
        <stp>ACT_EST_MAPPING=PRECISE</stp>
        <stp>FS=MRC</stp>
        <stp>CURRENCY=USD</stp>
        <stp>XLFILL=b</stp>
        <tr r="H191" s="2"/>
      </tp>
      <tp>
        <v>4692.4002048577076</v>
        <stp/>
        <stp>##V3_BQLV12</stp>
        <stp>[MODL_CRM_US1.xlsx]Single Period!R142C8</stp>
        <stp>CRM US Equity</stp>
        <stp>CONTRIBUTOR_STATS(BS_TOT_ASSET, STD)/1M</stp>
        <stp>FPR=2022Y</stp>
        <stp>FPT=A</stp>
        <stp>FA_ACT_EST_DATA=E</stp>
        <stp>ACT_EST_MAPPING=PRECISE</stp>
        <stp>FS=MRC</stp>
        <stp>CURRENCY=USD</stp>
        <stp>XLFILL=b</stp>
        <tr r="H142" s="2"/>
      </tp>
      <tp>
        <v>4692.4002048577076</v>
        <stp/>
        <stp>##V3_BQLV12</stp>
        <stp>[MODL_CRM_US1.xlsx]Single Period!R125C8</stp>
        <stp>CRM US Equity</stp>
        <stp>CONTRIBUTOR_STATS(BS_TOT_ASSET, STD)/1M</stp>
        <stp>FPR=2022Y</stp>
        <stp>FPT=A</stp>
        <stp>FA_ACT_EST_DATA=E</stp>
        <stp>ACT_EST_MAPPING=PRECISE</stp>
        <stp>FS=MRC</stp>
        <stp>CURRENCY=USD</stp>
        <stp>XLFILL=b</stp>
        <tr r="H125" s="2"/>
      </tp>
      <tp>
        <v>4.6500000000000004</v>
        <stp/>
        <stp>##V3_BQLV12</stp>
        <stp>[MODL_CRM_US1.xlsx]Single Period!R6C17</stp>
        <stp>CRM US Equity</stp>
        <stp>IS_COMP_EPS_EXCL_STOCK_COMP</stp>
        <stp>FPR=2022Y</stp>
        <stp>FPT=A</stp>
        <stp>FA_ACT_EST_DATA=E, EST_SOURCE=NDH</stp>
        <stp>ACT_EST_MAPPING=PRECISE</stp>
        <stp>FS=MRC</stp>
        <stp>CURRENCY=USD</stp>
        <stp>XLFILL=b</stp>
        <tr r="Q6" s="2"/>
      </tp>
      <tp>
        <v>4555</v>
        <stp/>
        <stp>##V3_BQLV12</stp>
        <stp>[MODL_CRM_US1.xlsx]Single Period!R70C40</stp>
        <stp>CRM US Equity</stp>
        <stp>IS_COMP_NET_INC_EXCL_STOCK_COMP/1M</stp>
        <stp>FPR=2022Y</stp>
        <stp>FPT=A</stp>
        <stp>FA_ACT_EST_DATA=E, EST_SOURCE=ACC</stp>
        <stp>ACT_EST_MAPPING=PRECISE</stp>
        <stp>FS=MRC</stp>
        <stp>CURRENCY=USD</stp>
        <stp>XLFILL=b</stp>
        <tr r="AN70" s="2"/>
      </tp>
      <tp t="s">
        <v/>
        <stp/>
        <stp>##V3_BQLV12</stp>
        <stp>[MODL_CRM_US1.xlsx]Single Period!R25C14</stp>
        <stp>SEG0000269238 Segment</stp>
        <stp>IS_PERCENTAGE_OF_REVENUE</stp>
        <stp>FPR=2022Y</stp>
        <stp>FPT=A</stp>
        <stp>FA_ACT_EST_DATA=E, EST_SOURCE=SNR</stp>
        <stp>ACT_EST_MAPPING=PRECISE</stp>
        <stp>FS=MRC</stp>
        <stp>CURRENCY=USD</stp>
        <stp>XLFILL=b</stp>
        <tr r="N25" s="2"/>
      </tp>
      <tp>
        <v>4725</v>
        <stp/>
        <stp>##V3_BQLV12</stp>
        <stp>[MODL_CRM_US1.xlsx]Single Period!R70C19</stp>
        <stp>CRM US Equity</stp>
        <stp>IS_COMP_NET_INC_EXCL_STOCK_COMP/1M</stp>
        <stp>FPR=2022Y</stp>
        <stp>FPT=A</stp>
        <stp>FA_ACT_EST_DATA=E, EST_SOURCE=SCB</stp>
        <stp>ACT_EST_MAPPING=PRECISE</stp>
        <stp>FS=MRC</stp>
        <stp>CURRENCY=USD</stp>
        <stp>XLFILL=b</stp>
        <tr r="S70" s="2"/>
      </tp>
      <tp>
        <v>26394.999504089359</v>
        <stp/>
        <stp>##V3_BQLV12</stp>
        <stp>[MODL_CRM_US1.xlsx]Single Period!R7C10</stp>
        <stp>CRM US Equity</stp>
        <stp>IS_COMP_SALES/1M</stp>
        <stp>FPR=2022Y</stp>
        <stp>FPT=A</stp>
        <stp>FA_ACT_EST_DATA=E, EST_SOURCE=CMPY</stp>
        <stp>ACT_EST_MAPPING=PRECISE</stp>
        <stp>FS=MRC</stp>
        <stp>CURRENCY=USD</stp>
        <stp>XLFILL=b</stp>
        <tr r="J7" s="2"/>
      </tp>
      <tp t="s">
        <v/>
        <stp/>
        <stp>##V3_BQLV12</stp>
        <stp>[MODL_CRM_US1.xlsx]Single Period!R33C33</stp>
        <stp>SEG0000269227 Segment</stp>
        <stp>IS_PERCENTAGE_OF_REVENUE</stp>
        <stp>FPR=2022Y</stp>
        <stp>FPT=A</stp>
        <stp>FA_ACT_EST_DATA=E, EST_SOURCE=RHR</stp>
        <stp>ACT_EST_MAPPING=PRECISE</stp>
        <stp>FS=MRC</stp>
        <stp>CURRENCY=USD</stp>
        <stp>XLFILL=b</stp>
        <tr r="AG33" s="2"/>
      </tp>
      <tp>
        <v>4558</v>
        <stp/>
        <stp>##V3_BQLV12</stp>
        <stp>[MODL_CRM_US1.xlsx]Single Period!R70C13</stp>
        <stp>CRM US Equity</stp>
        <stp>IS_COMP_NET_INC_EXCL_STOCK_COMP/1M</stp>
        <stp>FPR=2022Y</stp>
        <stp>FPT=A</stp>
        <stp>FA_ACT_EST_DATA=E, EST_SOURCE=BCA</stp>
        <stp>ACT_EST_MAPPING=PRECISE</stp>
        <stp>FS=MRC</stp>
        <stp>CURRENCY=USD</stp>
        <stp>XLFILL=b</stp>
        <tr r="M70" s="2"/>
      </tp>
      <tp>
        <v>4559</v>
        <stp/>
        <stp>##V3_BQLV12</stp>
        <stp>[MODL_CRM_US1.xlsx]Single Period!R70C27</stp>
        <stp>CRM US Equity</stp>
        <stp>IS_COMP_NET_INC_EXCL_STOCK_COMP/1M</stp>
        <stp>FPR=2022Y</stp>
        <stp>FPT=A</stp>
        <stp>FA_ACT_EST_DATA=E, EST_SOURCE=LCM</stp>
        <stp>ACT_EST_MAPPING=PRECISE</stp>
        <stp>FS=MRC</stp>
        <stp>CURRENCY=USD</stp>
        <stp>XLFILL=b</stp>
        <tr r="AA70" s="2"/>
      </tp>
      <tp>
        <v>57799.5621498275</v>
        <stp/>
        <stp>##V3_BQLV12</stp>
        <stp>[MODL_CRM_US1.xlsx]Single Period!R137C9</stp>
        <stp>CRM US Equity</stp>
        <stp>CONTRIBUTOR_STATS(BS_EQTY_BEFORE_MINORITY_INT, MEDIAN)/1M</stp>
        <stp>FPR=2022Y</stp>
        <stp>FPT=A</stp>
        <stp>FA_ACT_EST_DATA=E</stp>
        <stp>ACT_EST_MAPPING=PRECISE</stp>
        <stp>FS=MRC</stp>
        <stp>CURRENCY=USD</stp>
        <stp>XLFILL=b</stp>
        <tr r="I137" s="2"/>
      </tp>
      <tp>
        <v>44938.55</v>
        <stp/>
        <stp>##V3_BQLV12</stp>
        <stp>[MODL_CRM_US1.xlsx]Single Period!R122C5</stp>
        <stp>CRM US Equity</stp>
        <stp>BS_GOODWILL/1M</stp>
        <stp>FPR=2022Y</stp>
        <stp>FPT=A</stp>
        <stp>FA_ACT_EST_DATA=E</stp>
        <stp>ACT_EST_MAPPING=PRECISE</stp>
        <stp>FS=MRC</stp>
        <stp>CURRENCY=USD</stp>
        <stp>XLFILL=b</stp>
        <tr r="E122" s="2"/>
      </tp>
      <tp t="s">
        <v/>
        <stp/>
        <stp>##V3_BQLV12</stp>
        <stp>[MODL_CRM_US1.xlsx]Single Period!R55C32</stp>
        <stp>CRM US Equity</stp>
        <stp>IS_ADJ_GROSS_PROFIT_AS_REPORTED/1M</stp>
        <stp>FPR=2022Y</stp>
        <stp>FPT=A</stp>
        <stp>FA_ACT_EST_DATA=E, EST_SOURCE=UBS</stp>
        <stp>ACT_EST_MAPPING=PRECISE</stp>
        <stp>FS=MRC</stp>
        <stp>CURRENCY=USD</stp>
        <stp>XLFILL=b</stp>
        <tr r="AF55" s="2"/>
      </tp>
      <tp t="s">
        <v/>
        <stp/>
        <stp>##V3_BQLV12</stp>
        <stp>[MODL_CRM_US1.xlsx]Single Period!R16C32</stp>
        <stp>CRM US Equity</stp>
        <stp>IS_ADJ_GROSS_PROFIT_AS_REPORTED/1M</stp>
        <stp>FPR=2022Y</stp>
        <stp>FPT=A</stp>
        <stp>FA_ACT_EST_DATA=E, EST_SOURCE=UBS</stp>
        <stp>ACT_EST_MAPPING=PRECISE</stp>
        <stp>FS=MRC</stp>
        <stp>CURRENCY=USD</stp>
        <stp>XLFILL=b</stp>
        <tr r="AF16" s="2"/>
      </tp>
      <tp t="s">
        <v/>
        <stp/>
        <stp>##V3_BQLV12</stp>
        <stp>[MODL_CRM_US1.xlsx]Single Period!R39C33</stp>
        <stp>SEG0000269228 Segment</stp>
        <stp>IS_PERCENTAGE_OF_REVENUE</stp>
        <stp>FPR=2022Y</stp>
        <stp>FPT=A</stp>
        <stp>FA_ACT_EST_DATA=E, EST_SOURCE=RHR</stp>
        <stp>ACT_EST_MAPPING=PRECISE</stp>
        <stp>FS=MRC</stp>
        <stp>CURRENCY=USD</stp>
        <stp>XLFILL=b</stp>
        <tr r="AG39" s="2"/>
      </tp>
      <tp t="s">
        <v/>
        <stp/>
        <stp>##V3_BQLV12</stp>
        <stp>[MODL_CRM_US1.xlsx]Single Period!R25C19</stp>
        <stp>SEG0000269238 Segment</stp>
        <stp>IS_PERCENTAGE_OF_REVENUE</stp>
        <stp>FPR=2022Y</stp>
        <stp>FPT=A</stp>
        <stp>FA_ACT_EST_DATA=E, EST_SOURCE=SCB</stp>
        <stp>ACT_EST_MAPPING=PRECISE</stp>
        <stp>FS=MRC</stp>
        <stp>CURRENCY=USD</stp>
        <stp>XLFILL=b</stp>
        <tr r="S25" s="2"/>
      </tp>
      <tp t="s">
        <v/>
        <stp/>
        <stp>##V3_BQLV12</stp>
        <stp>[MODL_CRM_US1.xlsx]Single Period!R70C51</stp>
        <stp>CRM US Equity</stp>
        <stp>IS_COMP_NET_INC_EXCL_STOCK_COMP/1M</stp>
        <stp>FPR=2022Y</stp>
        <stp>FPT=A</stp>
        <stp>FA_ACT_EST_DATA=E, EST_SOURCE=RCP</stp>
        <stp>ACT_EST_MAPPING=PRECISE</stp>
        <stp>FS=MRC</stp>
        <stp>CURRENCY=USD</stp>
        <stp>XLFILL=b</stp>
        <tr r="AY70" s="2"/>
      </tp>
      <tp t="s">
        <v/>
        <stp/>
        <stp>##V3_BQLV12</stp>
        <stp>[MODL_CRM_US1.xlsx]Single Period!R55C11</stp>
        <stp>CRM US Equity</stp>
        <stp>IS_ADJ_GROSS_PROFIT_AS_REPORTED/1M</stp>
        <stp>FPR=2022Y</stp>
        <stp>FPT=A</stp>
        <stp>FA_ACT_EST_DATA=E, EST_SOURCE=WBL</stp>
        <stp>ACT_EST_MAPPING=PRECISE</stp>
        <stp>FS=MRC</stp>
        <stp>CURRENCY=USD</stp>
        <stp>XLFILL=b</stp>
        <tr r="K55" s="2"/>
      </tp>
      <tp t="s">
        <v/>
        <stp/>
        <stp>##V3_BQLV12</stp>
        <stp>[MODL_CRM_US1.xlsx]Single Period!R16C11</stp>
        <stp>CRM US Equity</stp>
        <stp>IS_ADJ_GROSS_PROFIT_AS_REPORTED/1M</stp>
        <stp>FPR=2022Y</stp>
        <stp>FPT=A</stp>
        <stp>FA_ACT_EST_DATA=E, EST_SOURCE=WBL</stp>
        <stp>ACT_EST_MAPPING=PRECISE</stp>
        <stp>FS=MRC</stp>
        <stp>CURRENCY=USD</stp>
        <stp>XLFILL=b</stp>
        <tr r="K16" s="2"/>
      </tp>
      <tp t="s">
        <v/>
        <stp/>
        <stp>##V3_BQLV12</stp>
        <stp>[MODL_CRM_US1.xlsx]Single Period!R33C21</stp>
        <stp>SEG0000269227 Segment</stp>
        <stp>IS_PERCENTAGE_OF_REVENUE</stp>
        <stp>FPR=2022Y</stp>
        <stp>FPT=A</stp>
        <stp>FA_ACT_EST_DATA=E, EST_SOURCE=RJA</stp>
        <stp>ACT_EST_MAPPING=PRECISE</stp>
        <stp>FS=MRC</stp>
        <stp>CURRENCY=USD</stp>
        <stp>XLFILL=b</stp>
        <tr r="U33" s="2"/>
      </tp>
      <tp>
        <v>20743.551510904901</v>
        <stp/>
        <stp>##V3_BQLV12</stp>
        <stp>[MODL_CRM_US1.xlsx]Single Period!R16C16</stp>
        <stp>CRM US Equity</stp>
        <stp>IS_ADJ_GROSS_PROFIT_AS_REPORTED/1M</stp>
        <stp>FPR=2022Y</stp>
        <stp>FPT=A</stp>
        <stp>FA_ACT_EST_DATA=E, EST_SOURCE=DBG</stp>
        <stp>ACT_EST_MAPPING=PRECISE</stp>
        <stp>FS=MRC</stp>
        <stp>CURRENCY=USD</stp>
        <stp>XLFILL=b</stp>
        <tr r="P16" s="2"/>
      </tp>
      <tp>
        <v>20743.551510904901</v>
        <stp/>
        <stp>##V3_BQLV12</stp>
        <stp>[MODL_CRM_US1.xlsx]Single Period!R55C16</stp>
        <stp>CRM US Equity</stp>
        <stp>IS_ADJ_GROSS_PROFIT_AS_REPORTED/1M</stp>
        <stp>FPR=2022Y</stp>
        <stp>FPT=A</stp>
        <stp>FA_ACT_EST_DATA=E, EST_SOURCE=DBG</stp>
        <stp>ACT_EST_MAPPING=PRECISE</stp>
        <stp>FS=MRC</stp>
        <stp>CURRENCY=USD</stp>
        <stp>XLFILL=b</stp>
        <tr r="P55" s="2"/>
      </tp>
      <tp t="s">
        <v/>
        <stp/>
        <stp>##V3_BQLV12</stp>
        <stp>[MODL_CRM_US1.xlsx]Single Period!R25C53</stp>
        <stp>SEG0000269238 Segment</stp>
        <stp>IS_PERCENTAGE_OF_REVENUE</stp>
        <stp>FPR=2022Y</stp>
        <stp>FPT=A</stp>
        <stp>FA_ACT_EST_DATA=E, EST_SOURCE=NIK</stp>
        <stp>ACT_EST_MAPPING=PRECISE</stp>
        <stp>FS=MRC</stp>
        <stp>CURRENCY=USD</stp>
        <stp>XLFILL=b</stp>
        <tr r="BA25" s="2"/>
      </tp>
      <tp t="s">
        <v/>
        <stp/>
        <stp>##V3_BQLV12</stp>
        <stp>[MODL_CRM_US1.xlsx]Single Period!R39C21</stp>
        <stp>SEG0000269228 Segment</stp>
        <stp>IS_PERCENTAGE_OF_REVENUE</stp>
        <stp>FPR=2022Y</stp>
        <stp>FPT=A</stp>
        <stp>FA_ACT_EST_DATA=E, EST_SOURCE=RJA</stp>
        <stp>ACT_EST_MAPPING=PRECISE</stp>
        <stp>FS=MRC</stp>
        <stp>CURRENCY=USD</stp>
        <stp>XLFILL=b</stp>
        <tr r="U39" s="2"/>
      </tp>
      <tp t="s">
        <v/>
        <stp/>
        <stp>##V3_BQLV12</stp>
        <stp>[MODL_CRM_US1.xlsx]Single Period!R55C31</stp>
        <stp>CRM US Equity</stp>
        <stp>IS_ADJ_GROSS_PROFIT_AS_REPORTED/1M</stp>
        <stp>FPR=2022Y</stp>
        <stp>FPT=A</stp>
        <stp>FA_ACT_EST_DATA=E, EST_SOURCE=RBC</stp>
        <stp>ACT_EST_MAPPING=PRECISE</stp>
        <stp>FS=MRC</stp>
        <stp>CURRENCY=USD</stp>
        <stp>XLFILL=b</stp>
        <tr r="AE55" s="2"/>
      </tp>
      <tp t="s">
        <v/>
        <stp/>
        <stp>##V3_BQLV12</stp>
        <stp>[MODL_CRM_US1.xlsx]Single Period!R16C31</stp>
        <stp>CRM US Equity</stp>
        <stp>IS_ADJ_GROSS_PROFIT_AS_REPORTED/1M</stp>
        <stp>FPR=2022Y</stp>
        <stp>FPT=A</stp>
        <stp>FA_ACT_EST_DATA=E, EST_SOURCE=RBC</stp>
        <stp>ACT_EST_MAPPING=PRECISE</stp>
        <stp>FS=MRC</stp>
        <stp>CURRENCY=USD</stp>
        <stp>XLFILL=b</stp>
        <tr r="AE16" s="2"/>
      </tp>
      <tp>
        <v>20753.614542696461</v>
        <stp/>
        <stp>##V3_BQLV12</stp>
        <stp>[MODL_CRM_US1.xlsx]Single Period!R16C24</stp>
        <stp>CRM US Equity</stp>
        <stp>IS_ADJ_GROSS_PROFIT_AS_REPORTED/1M</stp>
        <stp>FPR=2022Y</stp>
        <stp>FPT=A</stp>
        <stp>FA_ACT_EST_DATA=E, EST_SOURCE=FBC</stp>
        <stp>ACT_EST_MAPPING=PRECISE</stp>
        <stp>FS=MRC</stp>
        <stp>CURRENCY=USD</stp>
        <stp>XLFILL=b</stp>
        <tr r="X16" s="2"/>
      </tp>
      <tp>
        <v>20753.614542696461</v>
        <stp/>
        <stp>##V3_BQLV12</stp>
        <stp>[MODL_CRM_US1.xlsx]Single Period!R55C24</stp>
        <stp>CRM US Equity</stp>
        <stp>IS_ADJ_GROSS_PROFIT_AS_REPORTED/1M</stp>
        <stp>FPR=2022Y</stp>
        <stp>FPT=A</stp>
        <stp>FA_ACT_EST_DATA=E, EST_SOURCE=FBC</stp>
        <stp>ACT_EST_MAPPING=PRECISE</stp>
        <stp>FS=MRC</stp>
        <stp>CURRENCY=USD</stp>
        <stp>XLFILL=b</stp>
        <tr r="X55" s="2"/>
      </tp>
      <tp t="s">
        <v/>
        <stp/>
        <stp>##V3_BQLV12</stp>
        <stp>[MODL_CRM_US1.xlsx]Single Period!R81C18</stp>
        <stp>CRM US Equity</stp>
        <stp>IS_TOT_OPER_EXP/1M</stp>
        <stp>FPR=2022Y</stp>
        <stp>FPT=A</stp>
        <stp>FA_ACT_EST_DATA=E, EST_SOURCE=CAN</stp>
        <stp>ACT_EST_MAPPING=PRECISE</stp>
        <stp>FS=MRC</stp>
        <stp>CURRENCY=USD</stp>
        <stp>XLFILL=b</stp>
        <tr r="R81" s="2"/>
      </tp>
      <tp t="s">
        <v/>
        <stp/>
        <stp>##V3_BQLV12</stp>
        <stp>[MODL_CRM_US1.xlsx]Single Period!R81C30</stp>
        <stp>CRM US Equity</stp>
        <stp>IS_TOT_OPER_EXP/1M</stp>
        <stp>FPR=2022Y</stp>
        <stp>FPT=A</stp>
        <stp>FA_ACT_EST_DATA=E, EST_SOURCE=BAM</stp>
        <stp>ACT_EST_MAPPING=PRECISE</stp>
        <stp>FS=MRC</stp>
        <stp>CURRENCY=USD</stp>
        <stp>XLFILL=b</stp>
        <tr r="AD81" s="2"/>
      </tp>
      <tp t="s">
        <v/>
        <stp/>
        <stp>##V3_BQLV12</stp>
        <stp>[MODL_CRM_US1.xlsx]Single Period!R161C23</stp>
        <stp>CRM US Equity</stp>
        <stp>CF_ACCT_RCV_UNBILLED_REV/1M</stp>
        <stp>FPR=2022Y</stp>
        <stp>FPT=A</stp>
        <stp>FA_ACT_EST_DATA=E, EST_SOURCE=JPM</stp>
        <stp>ACT_EST_MAPPING=PRECISE</stp>
        <stp>FS=MRC</stp>
        <stp>CURRENCY=USD</stp>
        <stp>XLFILL=b</stp>
        <tr r="W161" s="2"/>
      </tp>
      <tp t="s">
        <v/>
        <stp/>
        <stp>##V3_BQLV12</stp>
        <stp>[MODL_CRM_US1.xlsx]Single Period!R91C46</stp>
        <stp>CRM US Equity</stp>
        <stp>IS_COMP_NET_INCOME_GAAP/1M</stp>
        <stp>FPR=2022Y</stp>
        <stp>FPT=A</stp>
        <stp>FA_ACT_EST_DATA=E, EST_SOURCE=CTI</stp>
        <stp>ACT_EST_MAPPING=PRECISE</stp>
        <stp>FS=MRC</stp>
        <stp>CURRENCY=USD</stp>
        <stp>XLFILL=b</stp>
        <tr r="AT91" s="2"/>
      </tp>
      <tp>
        <v>1108</v>
        <stp/>
        <stp>##V3_BQLV12</stp>
        <stp>[MODL_CRM_US1.xlsx]Single Period!R91C35</stp>
        <stp>CRM US Equity</stp>
        <stp>IS_COMP_NET_INCOME_GAAP/1M</stp>
        <stp>FPR=2022Y</stp>
        <stp>FPT=A</stp>
        <stp>FA_ACT_EST_DATA=E, EST_SOURCE=ATL</stp>
        <stp>ACT_EST_MAPPING=PRECISE</stp>
        <stp>FS=MRC</stp>
        <stp>CURRENCY=USD</stp>
        <stp>XLFILL=b</stp>
        <tr r="AI91" s="2"/>
      </tp>
      <tp t="s">
        <v/>
        <stp/>
        <stp>##V3_BQLV12</stp>
        <stp>[MODL_CRM_US1.xlsx]Single Period!R8C55</stp>
        <stp>CRM US Equity</stp>
        <stp>REVENUE_GROWTH_CC_1_YR</stp>
        <stp>FPR=2022Y</stp>
        <stp>FPT=A</stp>
        <stp>FA_ACT_EST_DATA=E, EST_SOURCE=RED</stp>
        <stp>ACT_EST_MAPPING=PRECISE</stp>
        <stp>FS=MRC</stp>
        <stp>CURRENCY=USD</stp>
        <stp>XLFILL=b</stp>
        <tr r="BC8" s="2"/>
      </tp>
      <tp t="s">
        <v/>
        <stp/>
        <stp>##V3_BQLV12</stp>
        <stp>[MODL_CRM_US1.xlsx]Single Period!R8C34</stp>
        <stp>CRM US Equity</stp>
        <stp>REVENUE_GROWTH_CC_1_YR</stp>
        <stp>FPR=2022Y</stp>
        <stp>FPT=A</stp>
        <stp>FA_ACT_EST_DATA=E, EST_SOURCE=JEF</stp>
        <stp>ACT_EST_MAPPING=PRECISE</stp>
        <stp>FS=MRC</stp>
        <stp>CURRENCY=USD</stp>
        <stp>XLFILL=b</stp>
        <tr r="AH8" s="2"/>
      </tp>
      <tp t="s">
        <v/>
        <stp/>
        <stp>##V3_BQLV12</stp>
        <stp>[MODL_CRM_US1.xlsx]Single Period!R81C36</stp>
        <stp>CRM US Equity</stp>
        <stp>IS_TOT_OPER_EXP/1M</stp>
        <stp>FPR=2022Y</stp>
        <stp>FPT=A</stp>
        <stp>FA_ACT_EST_DATA=E, EST_SOURCE=MAC</stp>
        <stp>ACT_EST_MAPPING=PRECISE</stp>
        <stp>FS=MRC</stp>
        <stp>CURRENCY=USD</stp>
        <stp>XLFILL=b</stp>
        <tr r="AJ81" s="2"/>
      </tp>
      <tp>
        <v>17.63419604452012</v>
        <stp/>
        <stp>##V3_BQLV12</stp>
        <stp>[MODL_CRM_US1.xlsx]Single Period!R8C26</stp>
        <stp>CRM US Equity</stp>
        <stp>REVENUE_GROWTH_CC_1_YR</stp>
        <stp>FPR=2022Y</stp>
        <stp>FPT=A</stp>
        <stp>FA_ACT_EST_DATA=E, EST_SOURCE=KEY</stp>
        <stp>ACT_EST_MAPPING=PRECISE</stp>
        <stp>FS=MRC</stp>
        <stp>CURRENCY=USD</stp>
        <stp>XLFILL=b</stp>
        <tr r="Z8" s="2"/>
      </tp>
      <tp t="s">
        <v/>
        <stp/>
        <stp>##V3_BQLV12</stp>
        <stp>[MODL_CRM_US1.xlsx]Single Period!R161C22</stp>
        <stp>CRM US Equity</stp>
        <stp>CF_ACCT_RCV_UNBILLED_REV/1M</stp>
        <stp>FPR=2022Y</stp>
        <stp>FPT=A</stp>
        <stp>FA_ACT_EST_DATA=E, EST_SOURCE=OPY</stp>
        <stp>ACT_EST_MAPPING=PRECISE</stp>
        <stp>FS=MRC</stp>
        <stp>CURRENCY=USD</stp>
        <stp>XLFILL=b</stp>
        <tr r="V161" s="2"/>
      </tp>
      <tp>
        <v>-1758.065435616438</v>
        <stp/>
        <stp>##V3_BQLV12</stp>
        <stp>[MODL_CRM_US1.xlsx]Single Period!R161C15</stp>
        <stp>CRM US Equity</stp>
        <stp>CF_ACCT_RCV_UNBILLED_REV/1M</stp>
        <stp>FPR=2022Y</stp>
        <stp>FPT=A</stp>
        <stp>FA_ACT_EST_DATA=E, EST_SOURCE=MSV</stp>
        <stp>ACT_EST_MAPPING=PRECISE</stp>
        <stp>FS=MRC</stp>
        <stp>CURRENCY=USD</stp>
        <stp>XLFILL=b</stp>
        <tr r="O161" s="2"/>
      </tp>
      <tp t="s">
        <v/>
        <stp/>
        <stp>##V3_BQLV12</stp>
        <stp>[MODL_CRM_US1.xlsx]Single Period!R88C52</stp>
        <stp>CRM US Equity</stp>
        <stp>OPER_INC_TO_NET_SALES</stp>
        <stp>FPR=2022Y</stp>
        <stp>FPT=A</stp>
        <stp>FA_ACT_EST_DATA=E, EST_SOURCE=WFR</stp>
        <stp>ACT_EST_MAPPING=PRECISE</stp>
        <stp>FS=MRC</stp>
        <stp>CURRENCY=USD</stp>
        <stp>XLFILL=b</stp>
        <tr r="AZ88" s="2"/>
      </tp>
      <tp t="s">
        <v/>
        <stp/>
        <stp>##V3_BQLV12</stp>
        <stp>[MODL_CRM_US1.xlsx]Single Period!R88C47</stp>
        <stp>CRM US Equity</stp>
        <stp>OPER_INC_TO_NET_SALES</stp>
        <stp>FPR=2022Y</stp>
        <stp>FPT=A</stp>
        <stp>FA_ACT_EST_DATA=E, EST_SOURCE=WFT</stp>
        <stp>ACT_EST_MAPPING=PRECISE</stp>
        <stp>FS=MRC</stp>
        <stp>CURRENCY=USD</stp>
        <stp>XLFILL=b</stp>
        <tr r="AU88" s="2"/>
      </tp>
      <tp t="s">
        <v/>
        <stp/>
        <stp>##V3_BQLV12</stp>
        <stp>[MODL_CRM_US1.xlsx]Single Period!R19C50</stp>
        <stp>CRM US Equity</stp>
        <stp>IS_COMPARABLE_EBIT/1M</stp>
        <stp>FPR=2022Y</stp>
        <stp>FPT=A</stp>
        <stp>FA_ACT_EST_DATA=E, EST_SOURCE=MZS</stp>
        <stp>ACT_EST_MAPPING=PRECISE</stp>
        <stp>FS=MRC</stp>
        <stp>CURRENCY=USD</stp>
        <stp>XLFILL=b</stp>
        <tr r="AX19" s="2"/>
      </tp>
      <tp>
        <v>4922</v>
        <stp/>
        <stp>##V3_BQLV12</stp>
        <stp>[MODL_CRM_US1.xlsx]Single Period!R60C38</stp>
        <stp>CRM US Equity</stp>
        <stp>IS_COMPARABLE_EBIT/1M</stp>
        <stp>FPR=2022Y</stp>
        <stp>FPT=A</stp>
        <stp>FA_ACT_EST_DATA=E, EST_SOURCE=MSR</stp>
        <stp>ACT_EST_MAPPING=PRECISE</stp>
        <stp>FS=MRC</stp>
        <stp>CURRENCY=USD</stp>
        <stp>XLFILL=b</stp>
        <tr r="AL60" s="2"/>
      </tp>
      <tp>
        <v>4916</v>
        <stp/>
        <stp>##V3_BQLV12</stp>
        <stp>[MODL_CRM_US1.xlsx]Single Period!R60C41</stp>
        <stp>CRM US Equity</stp>
        <stp>IS_COMPARABLE_EBIT/1M</stp>
        <stp>FPR=2022Y</stp>
        <stp>FPT=A</stp>
        <stp>FA_ACT_EST_DATA=E, EST_SOURCE=GSR</stp>
        <stp>ACT_EST_MAPPING=PRECISE</stp>
        <stp>FS=MRC</stp>
        <stp>CURRENCY=USD</stp>
        <stp>XLFILL=b</stp>
        <tr r="AO60" s="2"/>
      </tp>
      <tp t="s">
        <v/>
        <stp/>
        <stp>##V3_BQLV12</stp>
        <stp>[MODL_CRM_US1.xlsx]Single Period!R89C49</stp>
        <stp>CRM US Equity</stp>
        <stp>PRETAX_INC/1M</stp>
        <stp>FPR=2022Y</stp>
        <stp>FPT=A</stp>
        <stp>FA_ACT_EST_DATA=E, EST_SOURCE=SGE</stp>
        <stp>ACT_EST_MAPPING=PRECISE</stp>
        <stp>FS=MRC</stp>
        <stp>CURRENCY=USD</stp>
        <stp>XLFILL=b</stp>
        <tr r="AW89" s="2"/>
      </tp>
      <tp>
        <v>424</v>
        <stp/>
        <stp>##V3_BQLV12</stp>
        <stp>[MODL_CRM_US1.xlsx]Single Period!R60C15</stp>
        <stp>CRM US Equity</stp>
        <stp>IS_COMPARABLE_EBIT/1M</stp>
        <stp>FPR=2022Y</stp>
        <stp>FPT=A</stp>
        <stp>FA_ACT_EST_DATA=E, EST_SOURCE=MSV</stp>
        <stp>ACT_EST_MAPPING=PRECISE</stp>
        <stp>FS=MRC</stp>
        <stp>CURRENCY=USD</stp>
        <stp>XLFILL=b</stp>
        <tr r="O60" s="2"/>
      </tp>
      <tp t="s">
        <v/>
        <stp/>
        <stp>##V3_BQLV12</stp>
        <stp>[MODL_CRM_US1.xlsx]Single Period!R89C39</stp>
        <stp>CRM US Equity</stp>
        <stp>PRETAX_INC/1M</stp>
        <stp>FPR=2022Y</stp>
        <stp>FPT=A</stp>
        <stp>FA_ACT_EST_DATA=E, EST_SOURCE=KGI</stp>
        <stp>ACT_EST_MAPPING=PRECISE</stp>
        <stp>FS=MRC</stp>
        <stp>CURRENCY=USD</stp>
        <stp>XLFILL=b</stp>
        <tr r="AM89" s="2"/>
      </tp>
      <tp>
        <v>2.9601454765873618</v>
        <stp/>
        <stp>##V3_BQLV12</stp>
        <stp>[MODL_CRM_US1.xlsx]Single Period!R172C20</stp>
        <stp>CRM US Equity</stp>
        <stp>CAP_EXPEND_TO_SALES</stp>
        <stp>FPR=2022Y</stp>
        <stp>FPT=A</stp>
        <stp>FA_ACT_EST_DATA=E, EST_SOURCE=JMP</stp>
        <stp>ACT_EST_MAPPING=PRECISE</stp>
        <stp>FS=MRC</stp>
        <stp>CURRENCY=USD</stp>
        <stp>XLFILL=b</stp>
        <tr r="T172" s="2"/>
      </tp>
      <tp t="s">
        <v/>
        <stp/>
        <stp>##V3_BQLV12</stp>
        <stp>[MODL_CRM_US1.xlsx]Single Period!R79C47</stp>
        <stp>CRM US Equity</stp>
        <stp>CB_IS_GROSS_PROFIT/1M</stp>
        <stp>FPR=2022Y</stp>
        <stp>FPT=A</stp>
        <stp>FA_ACT_EST_DATA=E, EST_SOURCE=WFT</stp>
        <stp>ACT_EST_MAPPING=PRECISE</stp>
        <stp>FS=MRC</stp>
        <stp>CURRENCY=USD</stp>
        <stp>XLFILL=b</stp>
        <tr r="AU79" s="2"/>
      </tp>
      <tp t="s">
        <v/>
        <stp/>
        <stp>##V3_BQLV12</stp>
        <stp>[MODL_CRM_US1.xlsx]Single Period!R172C14</stp>
        <stp>CRM US Equity</stp>
        <stp>CAP_EXPEND_TO_SALES</stp>
        <stp>FPR=2022Y</stp>
        <stp>FPT=A</stp>
        <stp>FA_ACT_EST_DATA=E, EST_SOURCE=SNR</stp>
        <stp>ACT_EST_MAPPING=PRECISE</stp>
        <stp>FS=MRC</stp>
        <stp>CURRENCY=USD</stp>
        <stp>XLFILL=b</stp>
        <tr r="N172" s="2"/>
      </tp>
      <tp t="s">
        <v/>
        <stp/>
        <stp>##V3_BQLV12</stp>
        <stp>[MODL_CRM_US1.xlsx]Single Period!R172C25</stp>
        <stp>CRM US Equity</stp>
        <stp>CAP_EXPEND_TO_SALES</stp>
        <stp>FPR=2022Y</stp>
        <stp>FPT=A</stp>
        <stp>FA_ACT_EST_DATA=E, EST_SOURCE=WMS</stp>
        <stp>ACT_EST_MAPPING=PRECISE</stp>
        <stp>FS=MRC</stp>
        <stp>CURRENCY=USD</stp>
        <stp>XLFILL=b</stp>
        <tr r="Y172" s="2"/>
      </tp>
      <tp t="s">
        <v/>
        <stp/>
        <stp>##V3_BQLV12</stp>
        <stp>[MODL_CRM_US1.xlsx]Single Period!R79C52</stp>
        <stp>CRM US Equity</stp>
        <stp>CB_IS_GROSS_PROFIT/1M</stp>
        <stp>FPR=2022Y</stp>
        <stp>FPT=A</stp>
        <stp>FA_ACT_EST_DATA=E, EST_SOURCE=WFR</stp>
        <stp>ACT_EST_MAPPING=PRECISE</stp>
        <stp>FS=MRC</stp>
        <stp>CURRENCY=USD</stp>
        <stp>XLFILL=b</stp>
        <tr r="AZ79" s="2"/>
      </tp>
      <tp>
        <v>5210</v>
        <stp/>
        <stp>##V3_BQLV12</stp>
        <stp>[MODL_CRM_US1.xlsx]Single Period!R60C42</stp>
        <stp>CRM US Equity</stp>
        <stp>IS_COMPARABLE_EBIT/1M</stp>
        <stp>FPR=2022Y</stp>
        <stp>FPT=A</stp>
        <stp>FA_ACT_EST_DATA=E, EST_SOURCE=PSG</stp>
        <stp>ACT_EST_MAPPING=PRECISE</stp>
        <stp>FS=MRC</stp>
        <stp>CURRENCY=USD</stp>
        <stp>XLFILL=b</stp>
        <tr r="AP60" s="2"/>
      </tp>
      <tp t="s">
        <v/>
        <stp/>
        <stp>##V3_BQLV12</stp>
        <stp>[MODL_CRM_US1.xlsx]Single Period!R6C47</stp>
        <stp>CRM US Equity</stp>
        <stp>IS_COMP_EPS_EXCL_STOCK_COMP</stp>
        <stp>FPR=2022Y</stp>
        <stp>FPT=A</stp>
        <stp>FA_ACT_EST_DATA=E, EST_SOURCE=WFT</stp>
        <stp>ACT_EST_MAPPING=PRECISE</stp>
        <stp>FS=MRC</stp>
        <stp>CURRENCY=USD</stp>
        <stp>XLFILL=b</stp>
        <tr r="AU6" s="2"/>
      </tp>
      <tp>
        <v>4.6900000000000004</v>
        <stp/>
        <stp>##V3_BQLV12</stp>
        <stp>[MODL_CRM_US1.xlsx]Single Period!R6C13</stp>
        <stp>CRM US Equity</stp>
        <stp>IS_COMP_EPS_EXCL_STOCK_COMP</stp>
        <stp>FPR=2022Y</stp>
        <stp>FPT=A</stp>
        <stp>FA_ACT_EST_DATA=E, EST_SOURCE=BCA</stp>
        <stp>ACT_EST_MAPPING=PRECISE</stp>
        <stp>FS=MRC</stp>
        <stp>CURRENCY=USD</stp>
        <stp>XLFILL=b</stp>
        <tr r="M6" s="2"/>
      </tp>
      <tp>
        <v>4.7</v>
        <stp/>
        <stp>##V3_BQLV12</stp>
        <stp>[MODL_CRM_US1.xlsx]Single Period!R6C36</stp>
        <stp>CRM US Equity</stp>
        <stp>IS_COMP_EPS_EXCL_STOCK_COMP</stp>
        <stp>FPR=2022Y</stp>
        <stp>FPT=A</stp>
        <stp>FA_ACT_EST_DATA=E, EST_SOURCE=MAC</stp>
        <stp>ACT_EST_MAPPING=PRECISE</stp>
        <stp>FS=MRC</stp>
        <stp>CURRENCY=USD</stp>
        <stp>XLFILL=b</stp>
        <tr r="AJ6" s="2"/>
      </tp>
      <tp>
        <v>4.83</v>
        <stp/>
        <stp>##V3_BQLV12</stp>
        <stp>[MODL_CRM_US1.xlsx]Single Period!R6C19</stp>
        <stp>CRM US Equity</stp>
        <stp>IS_COMP_EPS_EXCL_STOCK_COMP</stp>
        <stp>FPR=2022Y</stp>
        <stp>FPT=A</stp>
        <stp>FA_ACT_EST_DATA=E, EST_SOURCE=SCB</stp>
        <stp>ACT_EST_MAPPING=PRECISE</stp>
        <stp>FS=MRC</stp>
        <stp>CURRENCY=USD</stp>
        <stp>XLFILL=b</stp>
        <tr r="S6" s="2"/>
      </tp>
      <tp>
        <v>4.66</v>
        <stp/>
        <stp>##V3_BQLV12</stp>
        <stp>[MODL_CRM_US1.xlsx]Single Period!R6C30</stp>
        <stp>CRM US Equity</stp>
        <stp>IS_COMP_EPS_EXCL_STOCK_COMP</stp>
        <stp>FPR=2022Y</stp>
        <stp>FPT=A</stp>
        <stp>FA_ACT_EST_DATA=E, EST_SOURCE=BAM</stp>
        <stp>ACT_EST_MAPPING=PRECISE</stp>
        <stp>FS=MRC</stp>
        <stp>CURRENCY=USD</stp>
        <stp>XLFILL=b</stp>
        <tr r="AD6" s="2"/>
      </tp>
      <tp>
        <v>4557</v>
        <stp/>
        <stp>##V3_BQLV12</stp>
        <stp>[MODL_CRM_US1.xlsx]Single Period!R70C16</stp>
        <stp>CRM US Equity</stp>
        <stp>IS_COMP_NET_INC_EXCL_STOCK_COMP/1M</stp>
        <stp>FPR=2022Y</stp>
        <stp>FPT=A</stp>
        <stp>FA_ACT_EST_DATA=E, EST_SOURCE=DBG</stp>
        <stp>ACT_EST_MAPPING=PRECISE</stp>
        <stp>FS=MRC</stp>
        <stp>CURRENCY=USD</stp>
        <stp>XLFILL=b</stp>
        <tr r="P70" s="2"/>
      </tp>
      <tp t="s">
        <v/>
        <stp/>
        <stp>##V3_BQLV12</stp>
        <stp>[MODL_CRM_US1.xlsx]Single Period!R25C33</stp>
        <stp>SEG0000269238 Segment</stp>
        <stp>IS_PERCENTAGE_OF_REVENUE</stp>
        <stp>FPR=2022Y</stp>
        <stp>FPT=A</stp>
        <stp>FA_ACT_EST_DATA=E, EST_SOURCE=RHR</stp>
        <stp>ACT_EST_MAPPING=PRECISE</stp>
        <stp>FS=MRC</stp>
        <stp>CURRENCY=USD</stp>
        <stp>XLFILL=b</stp>
        <tr r="AG25" s="2"/>
      </tp>
      <tp>
        <v>23604.049497807799</v>
        <stp/>
        <stp>##V3_BQLV12</stp>
        <stp>[MODL_CRM_US1.xlsx]Single Period!R110C5</stp>
        <stp>CRM US Equity</stp>
        <stp>BS_CUR_ASSET_REPORT/1M</stp>
        <stp>FPR=2022Y</stp>
        <stp>FPT=A</stp>
        <stp>FA_ACT_EST_DATA=E</stp>
        <stp>ACT_EST_MAPPING=PRECISE</stp>
        <stp>FS=MRC</stp>
        <stp>CURRENCY=USD</stp>
        <stp>XLFILL=b</stp>
        <tr r="E110" s="2"/>
      </tp>
      <tp t="s">
        <v/>
        <stp/>
        <stp>##V3_BQLV12</stp>
        <stp>[MODL_CRM_US1.xlsx]Single Period!R33C14</stp>
        <stp>SEG0000269227 Segment</stp>
        <stp>IS_PERCENTAGE_OF_REVENUE</stp>
        <stp>FPR=2022Y</stp>
        <stp>FPT=A</stp>
        <stp>FA_ACT_EST_DATA=E, EST_SOURCE=SNR</stp>
        <stp>ACT_EST_MAPPING=PRECISE</stp>
        <stp>FS=MRC</stp>
        <stp>CURRENCY=USD</stp>
        <stp>XLFILL=b</stp>
        <tr r="N33" s="2"/>
      </tp>
      <tp t="s">
        <v/>
        <stp/>
        <stp>##V3_BQLV12</stp>
        <stp>[MODL_CRM_US1.xlsx]Single Period!R44C20</stp>
        <stp>SEG0000269240 Segment</stp>
        <stp>IS_PERCENTAGE_OF_REVENUE</stp>
        <stp>FPR=2022Y</stp>
        <stp>FPT=A</stp>
        <stp>FA_ACT_EST_DATA=E, EST_SOURCE=JMP</stp>
        <stp>ACT_EST_MAPPING=PRECISE</stp>
        <stp>FS=MRC</stp>
        <stp>CURRENCY=USD</stp>
        <stp>XLFILL=b</stp>
        <tr r="T44" s="2"/>
      </tp>
      <tp>
        <v>4551</v>
        <stp/>
        <stp>##V3_BQLV12</stp>
        <stp>[MODL_CRM_US1.xlsx]Single Period!R70C24</stp>
        <stp>CRM US Equity</stp>
        <stp>IS_COMP_NET_INC_EXCL_STOCK_COMP/1M</stp>
        <stp>FPR=2022Y</stp>
        <stp>FPT=A</stp>
        <stp>FA_ACT_EST_DATA=E, EST_SOURCE=FBC</stp>
        <stp>ACT_EST_MAPPING=PRECISE</stp>
        <stp>FS=MRC</stp>
        <stp>CURRENCY=USD</stp>
        <stp>XLFILL=b</stp>
        <tr r="X70" s="2"/>
      </tp>
      <tp>
        <v>4545</v>
        <stp/>
        <stp>##V3_BQLV12</stp>
        <stp>[MODL_CRM_US1.xlsx]Single Period!R70C31</stp>
        <stp>CRM US Equity</stp>
        <stp>IS_COMP_NET_INC_EXCL_STOCK_COMP/1M</stp>
        <stp>FPR=2022Y</stp>
        <stp>FPT=A</stp>
        <stp>FA_ACT_EST_DATA=E, EST_SOURCE=RBC</stp>
        <stp>ACT_EST_MAPPING=PRECISE</stp>
        <stp>FS=MRC</stp>
        <stp>CURRENCY=USD</stp>
        <stp>XLFILL=b</stp>
        <tr r="AE70" s="2"/>
      </tp>
      <tp>
        <v>4552</v>
        <stp/>
        <stp>##V3_BQLV12</stp>
        <stp>[MODL_CRM_US1.xlsx]Single Period!R70C11</stp>
        <stp>CRM US Equity</stp>
        <stp>IS_COMP_NET_INC_EXCL_STOCK_COMP/1M</stp>
        <stp>FPR=2022Y</stp>
        <stp>FPT=A</stp>
        <stp>FA_ACT_EST_DATA=E, EST_SOURCE=WBL</stp>
        <stp>ACT_EST_MAPPING=PRECISE</stp>
        <stp>FS=MRC</stp>
        <stp>CURRENCY=USD</stp>
        <stp>XLFILL=b</stp>
        <tr r="K70" s="2"/>
      </tp>
      <tp t="s">
        <v/>
        <stp/>
        <stp>##V3_BQLV12</stp>
        <stp>[MODL_CRM_US1.xlsx]Single Period!R55C51</stp>
        <stp>CRM US Equity</stp>
        <stp>IS_ADJ_GROSS_PROFIT_AS_REPORTED/1M</stp>
        <stp>FPR=2022Y</stp>
        <stp>FPT=A</stp>
        <stp>FA_ACT_EST_DATA=E, EST_SOURCE=RCP</stp>
        <stp>ACT_EST_MAPPING=PRECISE</stp>
        <stp>FS=MRC</stp>
        <stp>CURRENCY=USD</stp>
        <stp>XLFILL=b</stp>
        <tr r="AY55" s="2"/>
      </tp>
      <tp t="s">
        <v/>
        <stp/>
        <stp>##V3_BQLV12</stp>
        <stp>[MODL_CRM_US1.xlsx]Single Period!R16C51</stp>
        <stp>CRM US Equity</stp>
        <stp>IS_ADJ_GROSS_PROFIT_AS_REPORTED/1M</stp>
        <stp>FPR=2022Y</stp>
        <stp>FPT=A</stp>
        <stp>FA_ACT_EST_DATA=E, EST_SOURCE=RCP</stp>
        <stp>ACT_EST_MAPPING=PRECISE</stp>
        <stp>FS=MRC</stp>
        <stp>CURRENCY=USD</stp>
        <stp>XLFILL=b</stp>
        <tr r="AY16" s="2"/>
      </tp>
      <tp t="s">
        <v/>
        <stp/>
        <stp>##V3_BQLV12</stp>
        <stp>[MODL_CRM_US1.xlsx]Single Period!R49C20</stp>
        <stp>SEG0000269229 Segment</stp>
        <stp>IS_PERCENTAGE_OF_REVENUE</stp>
        <stp>FPR=2022Y</stp>
        <stp>FPT=A</stp>
        <stp>FA_ACT_EST_DATA=E, EST_SOURCE=JMP</stp>
        <stp>ACT_EST_MAPPING=PRECISE</stp>
        <stp>FS=MRC</stp>
        <stp>CURRENCY=USD</stp>
        <stp>XLFILL=b</stp>
        <tr r="T49" s="2"/>
      </tp>
      <tp t="s">
        <v/>
        <stp/>
        <stp>##V3_BQLV12</stp>
        <stp>[MODL_CRM_US1.xlsx]Single Period!R39C14</stp>
        <stp>SEG0000269228 Segment</stp>
        <stp>IS_PERCENTAGE_OF_REVENUE</stp>
        <stp>FPR=2022Y</stp>
        <stp>FPT=A</stp>
        <stp>FA_ACT_EST_DATA=E, EST_SOURCE=SNR</stp>
        <stp>ACT_EST_MAPPING=PRECISE</stp>
        <stp>FS=MRC</stp>
        <stp>CURRENCY=USD</stp>
        <stp>XLFILL=b</stp>
        <tr r="N39" s="2"/>
      </tp>
      <tp t="s">
        <v/>
        <stp/>
        <stp>##V3_BQLV12</stp>
        <stp>[MODL_CRM_US1.xlsx]Single Period!R25C21</stp>
        <stp>SEG0000269238 Segment</stp>
        <stp>IS_PERCENTAGE_OF_REVENUE</stp>
        <stp>FPR=2022Y</stp>
        <stp>FPT=A</stp>
        <stp>FA_ACT_EST_DATA=E, EST_SOURCE=RJA</stp>
        <stp>ACT_EST_MAPPING=PRECISE</stp>
        <stp>FS=MRC</stp>
        <stp>CURRENCY=USD</stp>
        <stp>XLFILL=b</stp>
        <tr r="U25" s="2"/>
      </tp>
      <tp t="s">
        <v/>
        <stp/>
        <stp>##V3_BQLV12</stp>
        <stp>[MODL_CRM_US1.xlsx]Single Period!R16C27</stp>
        <stp>CRM US Equity</stp>
        <stp>IS_ADJ_GROSS_PROFIT_AS_REPORTED/1M</stp>
        <stp>FPR=2022Y</stp>
        <stp>FPT=A</stp>
        <stp>FA_ACT_EST_DATA=E, EST_SOURCE=LCM</stp>
        <stp>ACT_EST_MAPPING=PRECISE</stp>
        <stp>FS=MRC</stp>
        <stp>CURRENCY=USD</stp>
        <stp>XLFILL=b</stp>
        <tr r="AA16" s="2"/>
      </tp>
      <tp t="s">
        <v/>
        <stp/>
        <stp>##V3_BQLV12</stp>
        <stp>[MODL_CRM_US1.xlsx]Single Period!R55C27</stp>
        <stp>CRM US Equity</stp>
        <stp>IS_ADJ_GROSS_PROFIT_AS_REPORTED/1M</stp>
        <stp>FPR=2022Y</stp>
        <stp>FPT=A</stp>
        <stp>FA_ACT_EST_DATA=E, EST_SOURCE=LCM</stp>
        <stp>ACT_EST_MAPPING=PRECISE</stp>
        <stp>FS=MRC</stp>
        <stp>CURRENCY=USD</stp>
        <stp>XLFILL=b</stp>
        <tr r="AA55" s="2"/>
      </tp>
      <tp t="s">
        <v/>
        <stp/>
        <stp>##V3_BQLV12</stp>
        <stp>[MODL_CRM_US1.xlsx]Single Period!R33C19</stp>
        <stp>SEG0000269227 Segment</stp>
        <stp>IS_PERCENTAGE_OF_REVENUE</stp>
        <stp>FPR=2022Y</stp>
        <stp>FPT=A</stp>
        <stp>FA_ACT_EST_DATA=E, EST_SOURCE=SCB</stp>
        <stp>ACT_EST_MAPPING=PRECISE</stp>
        <stp>FS=MRC</stp>
        <stp>CURRENCY=USD</stp>
        <stp>XLFILL=b</stp>
        <tr r="S33" s="2"/>
      </tp>
      <tp t="s">
        <v/>
        <stp/>
        <stp>##V3_BQLV12</stp>
        <stp>[MODL_CRM_US1.xlsx]Single Period!R39C53</stp>
        <stp>SEG0000269228 Segment</stp>
        <stp>IS_PERCENTAGE_OF_REVENUE</stp>
        <stp>FPR=2022Y</stp>
        <stp>FPT=A</stp>
        <stp>FA_ACT_EST_DATA=E, EST_SOURCE=NIK</stp>
        <stp>ACT_EST_MAPPING=PRECISE</stp>
        <stp>FS=MRC</stp>
        <stp>CURRENCY=USD</stp>
        <stp>XLFILL=b</stp>
        <tr r="BA39" s="2"/>
      </tp>
      <tp>
        <v>4590</v>
        <stp/>
        <stp>##V3_BQLV12</stp>
        <stp>[MODL_CRM_US1.xlsx]Single Period!R70C32</stp>
        <stp>CRM US Equity</stp>
        <stp>IS_COMP_NET_INC_EXCL_STOCK_COMP/1M</stp>
        <stp>FPR=2022Y</stp>
        <stp>FPT=A</stp>
        <stp>FA_ACT_EST_DATA=E, EST_SOURCE=UBS</stp>
        <stp>ACT_EST_MAPPING=PRECISE</stp>
        <stp>FS=MRC</stp>
        <stp>CURRENCY=USD</stp>
        <stp>XLFILL=b</stp>
        <tr r="AF70" s="2"/>
      </tp>
      <tp t="s">
        <v/>
        <stp/>
        <stp>##V3_BQLV12</stp>
        <stp>[MODL_CRM_US1.xlsx]Single Period!R55C40</stp>
        <stp>CRM US Equity</stp>
        <stp>IS_ADJ_GROSS_PROFIT_AS_REPORTED/1M</stp>
        <stp>FPR=2022Y</stp>
        <stp>FPT=A</stp>
        <stp>FA_ACT_EST_DATA=E, EST_SOURCE=ACC</stp>
        <stp>ACT_EST_MAPPING=PRECISE</stp>
        <stp>FS=MRC</stp>
        <stp>CURRENCY=USD</stp>
        <stp>XLFILL=b</stp>
        <tr r="AN55" s="2"/>
      </tp>
      <tp t="s">
        <v/>
        <stp/>
        <stp>##V3_BQLV12</stp>
        <stp>[MODL_CRM_US1.xlsx]Single Period!R16C40</stp>
        <stp>CRM US Equity</stp>
        <stp>IS_ADJ_GROSS_PROFIT_AS_REPORTED/1M</stp>
        <stp>FPR=2022Y</stp>
        <stp>FPT=A</stp>
        <stp>FA_ACT_EST_DATA=E, EST_SOURCE=ACC</stp>
        <stp>ACT_EST_MAPPING=PRECISE</stp>
        <stp>FS=MRC</stp>
        <stp>CURRENCY=USD</stp>
        <stp>XLFILL=b</stp>
        <tr r="AN16" s="2"/>
      </tp>
      <tp t="s">
        <v/>
        <stp/>
        <stp>##V3_BQLV12</stp>
        <stp>[MODL_CRM_US1.xlsx]Single Period!R33C53</stp>
        <stp>SEG0000269227 Segment</stp>
        <stp>IS_PERCENTAGE_OF_REVENUE</stp>
        <stp>FPR=2022Y</stp>
        <stp>FPT=A</stp>
        <stp>FA_ACT_EST_DATA=E, EST_SOURCE=NIK</stp>
        <stp>ACT_EST_MAPPING=PRECISE</stp>
        <stp>FS=MRC</stp>
        <stp>CURRENCY=USD</stp>
        <stp>XLFILL=b</stp>
        <tr r="BA33" s="2"/>
      </tp>
      <tp t="s">
        <v/>
        <stp/>
        <stp>##V3_BQLV12</stp>
        <stp>[MODL_CRM_US1.xlsx]Single Period!R55C19</stp>
        <stp>CRM US Equity</stp>
        <stp>IS_ADJ_GROSS_PROFIT_AS_REPORTED/1M</stp>
        <stp>FPR=2022Y</stp>
        <stp>FPT=A</stp>
        <stp>FA_ACT_EST_DATA=E, EST_SOURCE=SCB</stp>
        <stp>ACT_EST_MAPPING=PRECISE</stp>
        <stp>FS=MRC</stp>
        <stp>CURRENCY=USD</stp>
        <stp>XLFILL=b</stp>
        <tr r="S55" s="2"/>
      </tp>
      <tp t="s">
        <v/>
        <stp/>
        <stp>##V3_BQLV12</stp>
        <stp>[MODL_CRM_US1.xlsx]Single Period!R16C19</stp>
        <stp>CRM US Equity</stp>
        <stp>IS_ADJ_GROSS_PROFIT_AS_REPORTED/1M</stp>
        <stp>FPR=2022Y</stp>
        <stp>FPT=A</stp>
        <stp>FA_ACT_EST_DATA=E, EST_SOURCE=SCB</stp>
        <stp>ACT_EST_MAPPING=PRECISE</stp>
        <stp>FS=MRC</stp>
        <stp>CURRENCY=USD</stp>
        <stp>XLFILL=b</stp>
        <tr r="S16" s="2"/>
      </tp>
      <tp>
        <v>20786.174195079489</v>
        <stp/>
        <stp>##V3_BQLV12</stp>
        <stp>[MODL_CRM_US1.xlsx]Single Period!R55C13</stp>
        <stp>CRM US Equity</stp>
        <stp>IS_ADJ_GROSS_PROFIT_AS_REPORTED/1M</stp>
        <stp>FPR=2022Y</stp>
        <stp>FPT=A</stp>
        <stp>FA_ACT_EST_DATA=E, EST_SOURCE=BCA</stp>
        <stp>ACT_EST_MAPPING=PRECISE</stp>
        <stp>FS=MRC</stp>
        <stp>CURRENCY=USD</stp>
        <stp>XLFILL=b</stp>
        <tr r="M55" s="2"/>
      </tp>
      <tp>
        <v>20786.174195079489</v>
        <stp/>
        <stp>##V3_BQLV12</stp>
        <stp>[MODL_CRM_US1.xlsx]Single Period!R16C13</stp>
        <stp>CRM US Equity</stp>
        <stp>IS_ADJ_GROSS_PROFIT_AS_REPORTED/1M</stp>
        <stp>FPR=2022Y</stp>
        <stp>FPT=A</stp>
        <stp>FA_ACT_EST_DATA=E, EST_SOURCE=BCA</stp>
        <stp>ACT_EST_MAPPING=PRECISE</stp>
        <stp>FS=MRC</stp>
        <stp>CURRENCY=USD</stp>
        <stp>XLFILL=b</stp>
        <tr r="M16" s="2"/>
      </tp>
      <tp t="s">
        <v/>
        <stp/>
        <stp>##V3_BQLV12</stp>
        <stp>[MODL_CRM_US1.xlsx]Single Period!R39C19</stp>
        <stp>SEG0000269228 Segment</stp>
        <stp>IS_PERCENTAGE_OF_REVENUE</stp>
        <stp>FPR=2022Y</stp>
        <stp>FPT=A</stp>
        <stp>FA_ACT_EST_DATA=E, EST_SOURCE=SCB</stp>
        <stp>ACT_EST_MAPPING=PRECISE</stp>
        <stp>FS=MRC</stp>
        <stp>CURRENCY=USD</stp>
        <stp>XLFILL=b</stp>
        <tr r="S39" s="2"/>
      </tp>
      <tp t="s">
        <v/>
        <stp/>
        <stp>##V3_BQLV12</stp>
        <stp>[MODL_CRM_US1.xlsx]Single Period!R161C43</stp>
        <stp>CRM US Equity</stp>
        <stp>CF_ACCT_RCV_UNBILLED_REV/1M</stp>
        <stp>FPR=2022Y</stp>
        <stp>FPT=A</stp>
        <stp>FA_ACT_EST_DATA=E, EST_SOURCE=DWI</stp>
        <stp>ACT_EST_MAPPING=PRECISE</stp>
        <stp>FS=MRC</stp>
        <stp>CURRENCY=USD</stp>
        <stp>XLFILL=b</stp>
        <tr r="AQ161" s="2"/>
      </tp>
      <tp>
        <v>2764</v>
        <stp/>
        <stp>##V3_BQLV12</stp>
        <stp>[MODL_CRM_US1.xlsx]Single Period!R99C25</stp>
        <stp>CRM US Equity</stp>
        <stp>IS_SBC_NON_GAAP/1M</stp>
        <stp>FPR=2022Y</stp>
        <stp>FPT=A</stp>
        <stp>FA_ACT_EST_DATA=E, EST_SOURCE=WMS</stp>
        <stp>ACT_EST_MAPPING=PRECISE</stp>
        <stp>FS=MRC</stp>
        <stp>CURRENCY=USD</stp>
        <stp>XLFILL=b</stp>
        <tr r="Y99" s="2"/>
      </tp>
      <tp t="s">
        <v/>
        <stp/>
        <stp>##V3_BQLV12</stp>
        <stp>[MODL_CRM_US1.xlsx]Single Period!R88C39</stp>
        <stp>CRM US Equity</stp>
        <stp>OPER_INC_TO_NET_SALES</stp>
        <stp>FPR=2022Y</stp>
        <stp>FPT=A</stp>
        <stp>FA_ACT_EST_DATA=E, EST_SOURCE=KGI</stp>
        <stp>ACT_EST_MAPPING=PRECISE</stp>
        <stp>FS=MRC</stp>
        <stp>CURRENCY=USD</stp>
        <stp>XLFILL=b</stp>
        <tr r="AM88" s="2"/>
      </tp>
      <tp t="s">
        <v/>
        <stp/>
        <stp>##V3_BQLV12</stp>
        <stp>[MODL_CRM_US1.xlsx]Single Period!R8C17</stp>
        <stp>CRM US Equity</stp>
        <stp>REVENUE_GROWTH_CC_1_YR</stp>
        <stp>FPR=2022Y</stp>
        <stp>FPT=A</stp>
        <stp>FA_ACT_EST_DATA=E, EST_SOURCE=NDH</stp>
        <stp>ACT_EST_MAPPING=PRECISE</stp>
        <stp>FS=MRC</stp>
        <stp>CURRENCY=USD</stp>
        <stp>XLFILL=b</stp>
        <tr r="Q8" s="2"/>
      </tp>
      <tp>
        <v>2806</v>
        <stp/>
        <stp>##V3_BQLV12</stp>
        <stp>[MODL_CRM_US1.xlsx]Single Period!R99C20</stp>
        <stp>CRM US Equity</stp>
        <stp>IS_SBC_NON_GAAP/1M</stp>
        <stp>FPR=2022Y</stp>
        <stp>FPT=A</stp>
        <stp>FA_ACT_EST_DATA=E, EST_SOURCE=JMP</stp>
        <stp>ACT_EST_MAPPING=PRECISE</stp>
        <stp>FS=MRC</stp>
        <stp>CURRENCY=USD</stp>
        <stp>XLFILL=b</stp>
        <tr r="T99" s="2"/>
      </tp>
      <tp>
        <v>172.3675119876828</v>
        <stp/>
        <stp>##V3_BQLV12</stp>
        <stp>[MODL_CRM_US1.xlsx]Single Period!R117C8</stp>
        <stp>CRM US Equity</stp>
        <stp>CONTRIBUTOR_STATS(BS_TOTAL_NON_CURRENT_ASSETS, STD)/1M</stp>
        <stp>FPR=2022Y</stp>
        <stp>FPT=A</stp>
        <stp>FA_ACT_EST_DATA=E</stp>
        <stp>ACT_EST_MAPPING=PRECISE</stp>
        <stp>FS=MRC</stp>
        <stp>CURRENCY=USD</stp>
        <stp>XLFILL=b</stp>
        <tr r="H117" s="2"/>
      </tp>
      <tp t="s">
        <v/>
        <stp/>
        <stp>##V3_BQLV12</stp>
        <stp>[MODL_CRM_US1.xlsx]Single Period!R161C44</stp>
        <stp>CRM US Equity</stp>
        <stp>CF_ACCT_RCV_UNBILLED_REV/1M</stp>
        <stp>FPR=2022Y</stp>
        <stp>FPT=A</stp>
        <stp>FA_ACT_EST_DATA=E, EST_SOURCE=RWB</stp>
        <stp>ACT_EST_MAPPING=PRECISE</stp>
        <stp>FS=MRC</stp>
        <stp>CURRENCY=USD</stp>
        <stp>XLFILL=b</stp>
        <tr r="AR161" s="2"/>
      </tp>
      <tp t="s">
        <v/>
        <stp/>
        <stp>##V3_BQLV12</stp>
        <stp>[MODL_CRM_US1.xlsx]Single Period!R88C49</stp>
        <stp>CRM US Equity</stp>
        <stp>OPER_INC_TO_NET_SALES</stp>
        <stp>FPR=2022Y</stp>
        <stp>FPT=A</stp>
        <stp>FA_ACT_EST_DATA=E, EST_SOURCE=SGE</stp>
        <stp>ACT_EST_MAPPING=PRECISE</stp>
        <stp>FS=MRC</stp>
        <stp>CURRENCY=USD</stp>
        <stp>XLFILL=b</stp>
        <tr r="AW88" s="2"/>
      </tp>
      <tp t="s">
        <v/>
        <stp/>
        <stp>##V3_BQLV12</stp>
        <stp>[MODL_CRM_US1.xlsx]Single Period!R120C50</stp>
        <stp>CRM US Equity</stp>
        <stp>BS_LONG_TERM_INVESTMENTS/1M</stp>
        <stp>FPR=2022Y</stp>
        <stp>FPT=A</stp>
        <stp>FA_ACT_EST_DATA=E, EST_SOURCE=MZS</stp>
        <stp>ACT_EST_MAPPING=PRECISE</stp>
        <stp>FS=MRC</stp>
        <stp>CURRENCY=USD</stp>
        <stp>XLFILL=b</stp>
        <tr r="AX120" s="2"/>
      </tp>
      <tp>
        <v>70982.527499999997</v>
        <stp/>
        <stp>##V3_BQLV12</stp>
        <stp>[MODL_CRM_US1.xlsx]Single Period!R117C6</stp>
        <stp>CRM US Equity</stp>
        <stp>CONTRIBUTOR_STATS(BS_TOTAL_NON_CURRENT_ASSETS, MIN)/1M</stp>
        <stp>FPR=2022Y</stp>
        <stp>FPT=A</stp>
        <stp>FA_ACT_EST_DATA=E</stp>
        <stp>ACT_EST_MAPPING=PRECISE</stp>
        <stp>FS=MRC</stp>
        <stp>CURRENCY=USD</stp>
        <stp>XLFILL=b</stp>
        <tr r="F117" s="2"/>
      </tp>
      <tp>
        <v>71281.730461643543</v>
        <stp/>
        <stp>##V3_BQLV12</stp>
        <stp>[MODL_CRM_US1.xlsx]Single Period!R117C7</stp>
        <stp>CRM US Equity</stp>
        <stp>CONTRIBUTOR_STATS(BS_TOTAL_NON_CURRENT_ASSETS, MAX)/1M</stp>
        <stp>FPR=2022Y</stp>
        <stp>FPT=A</stp>
        <stp>FA_ACT_EST_DATA=E</stp>
        <stp>ACT_EST_MAPPING=PRECISE</stp>
        <stp>FS=MRC</stp>
        <stp>CURRENCY=USD</stp>
        <stp>XLFILL=b</stp>
        <tr r="G117" s="2"/>
      </tp>
      <tp t="s">
        <v/>
        <stp/>
        <stp>##V3_BQLV12</stp>
        <stp>[MODL_CRM_US1.xlsx]Single Period!R99C12</stp>
        <stp>CRM US Equity</stp>
        <stp>IS_SBC_NON_GAAP/1M</stp>
        <stp>FPR=2022Y</stp>
        <stp>FPT=A</stp>
        <stp>FA_ACT_EST_DATA=E, EST_SOURCE=BMO</stp>
        <stp>ACT_EST_MAPPING=PRECISE</stp>
        <stp>FS=MRC</stp>
        <stp>CURRENCY=USD</stp>
        <stp>XLFILL=b</stp>
        <tr r="L99" s="2"/>
      </tp>
      <tp>
        <v>17.495179375001271</v>
        <stp/>
        <stp>##V3_BQLV12</stp>
        <stp>[MODL_CRM_US1.xlsx]Single Period!R187C9</stp>
        <stp>CRM US Equity</stp>
        <stp>CONTRIBUTOR_STATS(CF_NET_CHNG_CASH, MEDIAN)/1M</stp>
        <stp>FPR=2022Y</stp>
        <stp>FPT=A</stp>
        <stp>FA_ACT_EST_DATA=E</stp>
        <stp>ACT_EST_MAPPING=PRECISE</stp>
        <stp>FS=MRC</stp>
        <stp>CURRENCY=USD</stp>
        <stp>XLFILL=b</stp>
        <tr r="I187" s="2"/>
      </tp>
      <tp t="s">
        <v/>
        <stp/>
        <stp>##V3_BQLV12</stp>
        <stp>[MODL_CRM_US1.xlsx]Single Period!R128C10</stp>
        <stp>CRM US Equity</stp>
        <stp>BS_CUR_LIAB/1M</stp>
        <stp>FPR=2022Y</stp>
        <stp>FPT=A</stp>
        <stp>FA_ACT_EST_DATA=E, EST_SOURCE=CMPY</stp>
        <stp>ACT_EST_MAPPING=PRECISE</stp>
        <stp>FS=MRC</stp>
        <stp>CURRENCY=USD</stp>
        <stp>XLFILL=b</stp>
        <tr r="J128" s="2"/>
      </tp>
      <tp t="s">
        <v/>
        <stp/>
        <stp>##V3_BQLV12</stp>
        <stp>[MODL_CRM_US1.xlsx]Single Period!R89C52</stp>
        <stp>CRM US Equity</stp>
        <stp>PRETAX_INC/1M</stp>
        <stp>FPR=2022Y</stp>
        <stp>FPT=A</stp>
        <stp>FA_ACT_EST_DATA=E, EST_SOURCE=WFR</stp>
        <stp>ACT_EST_MAPPING=PRECISE</stp>
        <stp>FS=MRC</stp>
        <stp>CURRENCY=USD</stp>
        <stp>XLFILL=b</stp>
        <tr r="AZ89" s="2"/>
      </tp>
      <tp t="s">
        <v/>
        <stp/>
        <stp>##V3_BQLV12</stp>
        <stp>[MODL_CRM_US1.xlsx]Single Period!R60C45</stp>
        <stp>CRM US Equity</stp>
        <stp>IS_COMPARABLE_EBIT/1M</stp>
        <stp>FPR=2022Y</stp>
        <stp>FPT=A</stp>
        <stp>FA_ACT_EST_DATA=E, EST_SOURCE=ARG</stp>
        <stp>ACT_EST_MAPPING=PRECISE</stp>
        <stp>FS=MRC</stp>
        <stp>CURRENCY=USD</stp>
        <stp>XLFILL=b</stp>
        <tr r="AS60" s="2"/>
      </tp>
      <tp t="s">
        <v/>
        <stp/>
        <stp>##V3_BQLV12</stp>
        <stp>[MODL_CRM_US1.xlsx]Single Period!R89C47</stp>
        <stp>CRM US Equity</stp>
        <stp>PRETAX_INC/1M</stp>
        <stp>FPR=2022Y</stp>
        <stp>FPT=A</stp>
        <stp>FA_ACT_EST_DATA=E, EST_SOURCE=WFT</stp>
        <stp>ACT_EST_MAPPING=PRECISE</stp>
        <stp>FS=MRC</stp>
        <stp>CURRENCY=USD</stp>
        <stp>XLFILL=b</stp>
        <tr r="AU89" s="2"/>
      </tp>
      <tp t="s">
        <v/>
        <stp/>
        <stp>##V3_BQLV12</stp>
        <stp>[MODL_CRM_US1.xlsx]Single Period!R172C48</stp>
        <stp>CRM US Equity</stp>
        <stp>CAP_EXPEND_TO_SALES</stp>
        <stp>FPR=2022Y</stp>
        <stp>FPT=A</stp>
        <stp>FA_ACT_EST_DATA=E, EST_SOURCE=PJE</stp>
        <stp>ACT_EST_MAPPING=PRECISE</stp>
        <stp>FS=MRC</stp>
        <stp>CURRENCY=USD</stp>
        <stp>XLFILL=b</stp>
        <tr r="AV172" s="2"/>
      </tp>
      <tp t="s">
        <v/>
        <stp/>
        <stp>##V3_BQLV12</stp>
        <stp>[MODL_CRM_US1.xlsx]Single Period!R79C39</stp>
        <stp>CRM US Equity</stp>
        <stp>CB_IS_GROSS_PROFIT/1M</stp>
        <stp>FPR=2022Y</stp>
        <stp>FPT=A</stp>
        <stp>FA_ACT_EST_DATA=E, EST_SOURCE=KGI</stp>
        <stp>ACT_EST_MAPPING=PRECISE</stp>
        <stp>FS=MRC</stp>
        <stp>CURRENCY=USD</stp>
        <stp>XLFILL=b</stp>
        <tr r="AM79" s="2"/>
      </tp>
      <tp t="s">
        <v/>
        <stp/>
        <stp>##V3_BQLV12</stp>
        <stp>[MODL_CRM_US1.xlsx]Single Period!R60C54</stp>
        <stp>CRM US Equity</stp>
        <stp>IS_COMPARABLE_EBIT/1M</stp>
        <stp>FPR=2022Y</stp>
        <stp>FPT=A</stp>
        <stp>FA_ACT_EST_DATA=E, EST_SOURCE=ARE</stp>
        <stp>ACT_EST_MAPPING=PRECISE</stp>
        <stp>FS=MRC</stp>
        <stp>CURRENCY=USD</stp>
        <stp>XLFILL=b</stp>
        <tr r="BB60" s="2"/>
      </tp>
      <tp t="s">
        <v/>
        <stp/>
        <stp>##V3_BQLV12</stp>
        <stp>[MODL_CRM_US1.xlsx]Single Period!R79C49</stp>
        <stp>CRM US Equity</stp>
        <stp>CB_IS_GROSS_PROFIT/1M</stp>
        <stp>FPR=2022Y</stp>
        <stp>FPT=A</stp>
        <stp>FA_ACT_EST_DATA=E, EST_SOURCE=SGE</stp>
        <stp>ACT_EST_MAPPING=PRECISE</stp>
        <stp>FS=MRC</stp>
        <stp>CURRENCY=USD</stp>
        <stp>XLFILL=b</stp>
        <tr r="AW79" s="2"/>
      </tp>
      <tp>
        <v>101.9950103821611</v>
        <stp/>
        <stp>##V3_BQLV12</stp>
        <stp>[MODL_CRM_US1.xlsx]Single Period!R166C8</stp>
        <stp>CRM US Equity</stp>
        <stp>CONTRIBUTOR_STATS(CF_CHANGE_IN_OPER_LEASE_LIBLTS, STD)/1M</stp>
        <stp>FPR=2022Y</stp>
        <stp>FPT=A</stp>
        <stp>FA_ACT_EST_DATA=E</stp>
        <stp>ACT_EST_MAPPING=PRECISE</stp>
        <stp>FS=MRC</stp>
        <stp>CURRENCY=USD</stp>
        <stp>XLFILL=b</stp>
        <tr r="H166" s="2"/>
      </tp>
      <tp t="s">
        <v/>
        <stp/>
        <stp>##V3_BQLV12</stp>
        <stp>[MODL_CRM_US1.xlsx]Single Period!R6C52</stp>
        <stp>CRM US Equity</stp>
        <stp>IS_COMP_EPS_EXCL_STOCK_COMP</stp>
        <stp>FPR=2022Y</stp>
        <stp>FPT=A</stp>
        <stp>FA_ACT_EST_DATA=E, EST_SOURCE=WFR</stp>
        <stp>ACT_EST_MAPPING=PRECISE</stp>
        <stp>FS=MRC</stp>
        <stp>CURRENCY=USD</stp>
        <stp>XLFILL=b</stp>
        <tr r="AZ6" s="2"/>
      </tp>
      <tp>
        <v>4.6900000000000004</v>
        <stp/>
        <stp>##V3_BQLV12</stp>
        <stp>[MODL_CRM_US1.xlsx]Single Period!R6C16</stp>
        <stp>CRM US Equity</stp>
        <stp>IS_COMP_EPS_EXCL_STOCK_COMP</stp>
        <stp>FPR=2022Y</stp>
        <stp>FPT=A</stp>
        <stp>FA_ACT_EST_DATA=E, EST_SOURCE=DBG</stp>
        <stp>ACT_EST_MAPPING=PRECISE</stp>
        <stp>FS=MRC</stp>
        <stp>CURRENCY=USD</stp>
        <stp>XLFILL=b</stp>
        <tr r="P6" s="2"/>
      </tp>
      <tp>
        <v>4.66</v>
        <stp/>
        <stp>##V3_BQLV12</stp>
        <stp>[MODL_CRM_US1.xlsx]Single Period!R6C11</stp>
        <stp>CRM US Equity</stp>
        <stp>IS_COMP_EPS_EXCL_STOCK_COMP</stp>
        <stp>FPR=2022Y</stp>
        <stp>FPT=A</stp>
        <stp>FA_ACT_EST_DATA=E, EST_SOURCE=WBL</stp>
        <stp>ACT_EST_MAPPING=PRECISE</stp>
        <stp>FS=MRC</stp>
        <stp>CURRENCY=USD</stp>
        <stp>XLFILL=b</stp>
        <tr r="K6" s="2"/>
      </tp>
      <tp>
        <v>-607</v>
        <stp/>
        <stp>##V3_BQLV12</stp>
        <stp>[MODL_CRM_US1.xlsx]Single Period!R166C7</stp>
        <stp>CRM US Equity</stp>
        <stp>CONTRIBUTOR_STATS(CF_CHANGE_IN_OPER_LEASE_LIBLTS, MAX)/1M</stp>
        <stp>FPR=2022Y</stp>
        <stp>FPT=A</stp>
        <stp>FA_ACT_EST_DATA=E</stp>
        <stp>ACT_EST_MAPPING=PRECISE</stp>
        <stp>FS=MRC</stp>
        <stp>CURRENCY=USD</stp>
        <stp>XLFILL=b</stp>
        <tr r="G166" s="2"/>
      </tp>
      <tp>
        <v>-807</v>
        <stp/>
        <stp>##V3_BQLV12</stp>
        <stp>[MODL_CRM_US1.xlsx]Single Period!R166C6</stp>
        <stp>CRM US Equity</stp>
        <stp>CONTRIBUTOR_STATS(CF_CHANGE_IN_OPER_LEASE_LIBLTS, MIN)/1M</stp>
        <stp>FPR=2022Y</stp>
        <stp>FPT=A</stp>
        <stp>FA_ACT_EST_DATA=E</stp>
        <stp>ACT_EST_MAPPING=PRECISE</stp>
        <stp>FS=MRC</stp>
        <stp>CURRENCY=USD</stp>
        <stp>XLFILL=b</stp>
        <tr r="F166" s="2"/>
      </tp>
      <tp t="s">
        <v/>
        <stp/>
        <stp>##V3_BQLV12</stp>
        <stp>[MODL_CRM_US1.xlsx]Single Period!R6C49</stp>
        <stp>CRM US Equity</stp>
        <stp>IS_COMP_EPS_EXCL_STOCK_COMP</stp>
        <stp>FPR=2022Y</stp>
        <stp>FPT=A</stp>
        <stp>FA_ACT_EST_DATA=E, EST_SOURCE=SGE</stp>
        <stp>ACT_EST_MAPPING=PRECISE</stp>
        <stp>FS=MRC</stp>
        <stp>CURRENCY=USD</stp>
        <stp>XLFILL=b</stp>
        <tr r="AW6" s="2"/>
      </tp>
      <tp>
        <v>94.755459943210539</v>
        <stp/>
        <stp>##V3_BQLV12</stp>
        <stp>[MODL_CRM_US1.xlsx]Single Period!R25C25</stp>
        <stp>SEG0000269238 Segment</stp>
        <stp>IS_PERCENTAGE_OF_REVENUE</stp>
        <stp>FPR=2022Y</stp>
        <stp>FPT=A</stp>
        <stp>FA_ACT_EST_DATA=E, EST_SOURCE=WMS</stp>
        <stp>ACT_EST_MAPPING=PRECISE</stp>
        <stp>FS=MRC</stp>
        <stp>CURRENCY=USD</stp>
        <stp>XLFILL=b</stp>
        <tr r="Y25" s="2"/>
      </tp>
      <tp>
        <v>4560</v>
        <stp/>
        <stp>##V3_BQLV12</stp>
        <stp>[MODL_CRM_US1.xlsx]Single Period!R70C36</stp>
        <stp>CRM US Equity</stp>
        <stp>IS_COMP_NET_INC_EXCL_STOCK_COMP/1M</stp>
        <stp>FPR=2022Y</stp>
        <stp>FPT=A</stp>
        <stp>FA_ACT_EST_DATA=E, EST_SOURCE=MAC</stp>
        <stp>ACT_EST_MAPPING=PRECISE</stp>
        <stp>FS=MRC</stp>
        <stp>CURRENCY=USD</stp>
        <stp>XLFILL=b</stp>
        <tr r="AJ70" s="2"/>
      </tp>
      <tp>
        <v>4554</v>
        <stp/>
        <stp>##V3_BQLV12</stp>
        <stp>[MODL_CRM_US1.xlsx]Single Period!R70C18</stp>
        <stp>CRM US Equity</stp>
        <stp>IS_COMP_NET_INC_EXCL_STOCK_COMP/1M</stp>
        <stp>FPR=2022Y</stp>
        <stp>FPT=A</stp>
        <stp>FA_ACT_EST_DATA=E, EST_SOURCE=CAN</stp>
        <stp>ACT_EST_MAPPING=PRECISE</stp>
        <stp>FS=MRC</stp>
        <stp>CURRENCY=USD</stp>
        <stp>XLFILL=b</stp>
        <tr r="R70" s="2"/>
      </tp>
      <tp>
        <v>4552</v>
        <stp/>
        <stp>##V3_BQLV12</stp>
        <stp>[MODL_CRM_US1.xlsx]Single Period!R70C30</stp>
        <stp>CRM US Equity</stp>
        <stp>IS_COMP_NET_INC_EXCL_STOCK_COMP/1M</stp>
        <stp>FPR=2022Y</stp>
        <stp>FPT=A</stp>
        <stp>FA_ACT_EST_DATA=E, EST_SOURCE=BAM</stp>
        <stp>ACT_EST_MAPPING=PRECISE</stp>
        <stp>FS=MRC</stp>
        <stp>CURRENCY=USD</stp>
        <stp>XLFILL=b</stp>
        <tr r="AD70" s="2"/>
      </tp>
      <tp t="s">
        <v/>
        <stp/>
        <stp>##V3_BQLV12</stp>
        <stp>[MODL_CRM_US1.xlsx]Single Period!R39C18</stp>
        <stp>SEG0000269228 Segment</stp>
        <stp>IS_PERCENTAGE_OF_REVENUE</stp>
        <stp>FPR=2022Y</stp>
        <stp>FPT=A</stp>
        <stp>FA_ACT_EST_DATA=E, EST_SOURCE=CAN</stp>
        <stp>ACT_EST_MAPPING=PRECISE</stp>
        <stp>FS=MRC</stp>
        <stp>CURRENCY=USD</stp>
        <stp>XLFILL=b</stp>
        <tr r="R39" s="2"/>
      </tp>
      <tp t="s">
        <v/>
        <stp/>
        <stp>##V3_BQLV12</stp>
        <stp>[MODL_CRM_US1.xlsx]Single Period!R44C49</stp>
        <stp>SEG0000269240 Segment</stp>
        <stp>IS_PERCENTAGE_OF_REVENUE</stp>
        <stp>FPR=2022Y</stp>
        <stp>FPT=A</stp>
        <stp>FA_ACT_EST_DATA=E, EST_SOURCE=SGE</stp>
        <stp>ACT_EST_MAPPING=PRECISE</stp>
        <stp>FS=MRC</stp>
        <stp>CURRENCY=USD</stp>
        <stp>XLFILL=b</stp>
        <tr r="AW44" s="2"/>
      </tp>
      <tp t="s">
        <v/>
        <stp/>
        <stp>##V3_BQLV12</stp>
        <stp>[MODL_CRM_US1.xlsx]Single Period!R49C39</stp>
        <stp>SEG0000269229 Segment</stp>
        <stp>IS_PERCENTAGE_OF_REVENUE</stp>
        <stp>FPR=2022Y</stp>
        <stp>FPT=A</stp>
        <stp>FA_ACT_EST_DATA=E, EST_SOURCE=KGI</stp>
        <stp>ACT_EST_MAPPING=PRECISE</stp>
        <stp>FS=MRC</stp>
        <stp>CURRENCY=USD</stp>
        <stp>XLFILL=b</stp>
        <tr r="AM49" s="2"/>
      </tp>
      <tp t="s">
        <v/>
        <stp/>
        <stp>##V3_BQLV12</stp>
        <stp>[MODL_CRM_US1.xlsx]Single Period!R49C49</stp>
        <stp>SEG0000269229 Segment</stp>
        <stp>IS_PERCENTAGE_OF_REVENUE</stp>
        <stp>FPR=2022Y</stp>
        <stp>FPT=A</stp>
        <stp>FA_ACT_EST_DATA=E, EST_SOURCE=SGE</stp>
        <stp>ACT_EST_MAPPING=PRECISE</stp>
        <stp>FS=MRC</stp>
        <stp>CURRENCY=USD</stp>
        <stp>XLFILL=b</stp>
        <tr r="AW49" s="2"/>
      </tp>
      <tp t="s">
        <v/>
        <stp/>
        <stp>##V3_BQLV12</stp>
        <stp>[MODL_CRM_US1.xlsx]Single Period!R33C18</stp>
        <stp>SEG0000269227 Segment</stp>
        <stp>IS_PERCENTAGE_OF_REVENUE</stp>
        <stp>FPR=2022Y</stp>
        <stp>FPT=A</stp>
        <stp>FA_ACT_EST_DATA=E, EST_SOURCE=CAN</stp>
        <stp>ACT_EST_MAPPING=PRECISE</stp>
        <stp>FS=MRC</stp>
        <stp>CURRENCY=USD</stp>
        <stp>XLFILL=b</stp>
        <tr r="R33" s="2"/>
      </tp>
      <tp>
        <v>1126.7484378325119</v>
        <stp/>
        <stp>##V3_BQLV12</stp>
        <stp>[MODL_CRM_US1.xlsx]Single Period!R102C9</stp>
        <stp>CRM US Equity</stp>
        <stp>CONTRIBUTOR_STATS(IS_SBC_ATT_TO_S_AND_M_PRETX, MEDIAN)/1M</stp>
        <stp>FPR=2022Y</stp>
        <stp>FPT=A</stp>
        <stp>FA_ACT_EST_DATA=E</stp>
        <stp>ACT_EST_MAPPING=PRECISE</stp>
        <stp>FS=MRC</stp>
        <stp>CURRENCY=USD</stp>
        <stp>XLFILL=b</stp>
        <tr r="I102" s="2"/>
      </tp>
      <tp t="s">
        <v/>
        <stp/>
        <stp>##V3_BQLV12</stp>
        <stp>[MODL_CRM_US1.xlsx]Single Period!R44C39</stp>
        <stp>SEG0000269240 Segment</stp>
        <stp>IS_PERCENTAGE_OF_REVENUE</stp>
        <stp>FPR=2022Y</stp>
        <stp>FPT=A</stp>
        <stp>FA_ACT_EST_DATA=E, EST_SOURCE=KGI</stp>
        <stp>ACT_EST_MAPPING=PRECISE</stp>
        <stp>FS=MRC</stp>
        <stp>CURRENCY=USD</stp>
        <stp>XLFILL=b</stp>
        <tr r="AM44" s="2"/>
      </tp>
      <tp>
        <v>1.859228200314829</v>
        <stp/>
        <stp>##V3_BQLV12</stp>
        <stp>[MODL_CRM_US1.xlsx]Single Period!R88C17</stp>
        <stp>CRM US Equity</stp>
        <stp>OPER_INC_TO_NET_SALES</stp>
        <stp>FPR=2022Y</stp>
        <stp>FPT=A</stp>
        <stp>FA_ACT_EST_DATA=E, EST_SOURCE=NDH</stp>
        <stp>ACT_EST_MAPPING=PRECISE</stp>
        <stp>FS=MRC</stp>
        <stp>CURRENCY=USD</stp>
        <stp>XLFILL=b</stp>
        <tr r="Q88" s="2"/>
      </tp>
      <tp t="s">
        <v/>
        <stp/>
        <stp>##V3_BQLV12</stp>
        <stp>[MODL_CRM_US1.xlsx]Single Period!R8C39</stp>
        <stp>CRM US Equity</stp>
        <stp>REVENUE_GROWTH_CC_1_YR</stp>
        <stp>FPR=2022Y</stp>
        <stp>FPT=A</stp>
        <stp>FA_ACT_EST_DATA=E, EST_SOURCE=KGI</stp>
        <stp>ACT_EST_MAPPING=PRECISE</stp>
        <stp>FS=MRC</stp>
        <stp>CURRENCY=USD</stp>
        <stp>XLFILL=b</stp>
        <tr r="AM8" s="2"/>
      </tp>
      <tp t="s">
        <v/>
        <stp/>
        <stp>##V3_BQLV12</stp>
        <stp>[MODL_CRM_US1.xlsx]Single Period!R81C27</stp>
        <stp>CRM US Equity</stp>
        <stp>IS_TOT_OPER_EXP/1M</stp>
        <stp>FPR=2022Y</stp>
        <stp>FPT=A</stp>
        <stp>FA_ACT_EST_DATA=E, EST_SOURCE=LCM</stp>
        <stp>ACT_EST_MAPPING=PRECISE</stp>
        <stp>FS=MRC</stp>
        <stp>CURRENCY=USD</stp>
        <stp>XLFILL=b</stp>
        <tr r="AA81" s="2"/>
      </tp>
      <tp t="s">
        <v/>
        <stp/>
        <stp>##V3_BQLV12</stp>
        <stp>[MODL_CRM_US1.xlsx]Single Period!R99C29</stp>
        <stp>CRM US Equity</stp>
        <stp>IS_SBC_NON_GAAP/1M</stp>
        <stp>FPR=2022Y</stp>
        <stp>FPT=A</stp>
        <stp>FA_ACT_EST_DATA=E, EST_SOURCE=BNS</stp>
        <stp>ACT_EST_MAPPING=PRECISE</stp>
        <stp>FS=MRC</stp>
        <stp>CURRENCY=USD</stp>
        <stp>XLFILL=b</stp>
        <tr r="AC99" s="2"/>
      </tp>
      <tp t="s">
        <v/>
        <stp/>
        <stp>##V3_BQLV12</stp>
        <stp>[MODL_CRM_US1.xlsx]Single Period!R99C14</stp>
        <stp>CRM US Equity</stp>
        <stp>IS_SBC_NON_GAAP/1M</stp>
        <stp>FPR=2022Y</stp>
        <stp>FPT=A</stp>
        <stp>FA_ACT_EST_DATA=E, EST_SOURCE=SNR</stp>
        <stp>ACT_EST_MAPPING=PRECISE</stp>
        <stp>FS=MRC</stp>
        <stp>CURRENCY=USD</stp>
        <stp>XLFILL=b</stp>
        <tr r="N99" s="2"/>
      </tp>
      <tp t="s">
        <v/>
        <stp/>
        <stp>##V3_BQLV12</stp>
        <stp>[MODL_CRM_US1.xlsx]Single Period!R161C46</stp>
        <stp>CRM US Equity</stp>
        <stp>CF_ACCT_RCV_UNBILLED_REV/1M</stp>
        <stp>FPR=2022Y</stp>
        <stp>FPT=A</stp>
        <stp>FA_ACT_EST_DATA=E, EST_SOURCE=CTI</stp>
        <stp>ACT_EST_MAPPING=PRECISE</stp>
        <stp>FS=MRC</stp>
        <stp>CURRENCY=USD</stp>
        <stp>XLFILL=b</stp>
        <tr r="AT161" s="2"/>
      </tp>
      <tp t="s">
        <v/>
        <stp/>
        <stp>##V3_BQLV12</stp>
        <stp>[MODL_CRM_US1.xlsx]Single Period!R81C40</stp>
        <stp>CRM US Equity</stp>
        <stp>IS_TOT_OPER_EXP/1M</stp>
        <stp>FPR=2022Y</stp>
        <stp>FPT=A</stp>
        <stp>FA_ACT_EST_DATA=E, EST_SOURCE=ACC</stp>
        <stp>ACT_EST_MAPPING=PRECISE</stp>
        <stp>FS=MRC</stp>
        <stp>CURRENCY=USD</stp>
        <stp>XLFILL=b</stp>
        <tr r="AN81" s="2"/>
      </tp>
      <tp t="s">
        <v/>
        <stp/>
        <stp>##V3_BQLV12</stp>
        <stp>[MODL_CRM_US1.xlsx]Single Period!R8C49</stp>
        <stp>CRM US Equity</stp>
        <stp>REVENUE_GROWTH_CC_1_YR</stp>
        <stp>FPR=2022Y</stp>
        <stp>FPT=A</stp>
        <stp>FA_ACT_EST_DATA=E, EST_SOURCE=SGE</stp>
        <stp>ACT_EST_MAPPING=PRECISE</stp>
        <stp>FS=MRC</stp>
        <stp>CURRENCY=USD</stp>
        <stp>XLFILL=b</stp>
        <tr r="AW8" s="2"/>
      </tp>
      <tp t="s">
        <v/>
        <stp/>
        <stp>##V3_BQLV12</stp>
        <stp>[MODL_CRM_US1.xlsx]Single Period!R81C19</stp>
        <stp>CRM US Equity</stp>
        <stp>IS_TOT_OPER_EXP/1M</stp>
        <stp>FPR=2022Y</stp>
        <stp>FPT=A</stp>
        <stp>FA_ACT_EST_DATA=E, EST_SOURCE=SCB</stp>
        <stp>ACT_EST_MAPPING=PRECISE</stp>
        <stp>FS=MRC</stp>
        <stp>CURRENCY=USD</stp>
        <stp>XLFILL=b</stp>
        <tr r="S81" s="2"/>
      </tp>
      <tp>
        <v>19032.471298900316</v>
        <stp/>
        <stp>##V3_BQLV12</stp>
        <stp>[MODL_CRM_US1.xlsx]Single Period!R81C13</stp>
        <stp>CRM US Equity</stp>
        <stp>IS_TOT_OPER_EXP/1M</stp>
        <stp>FPR=2022Y</stp>
        <stp>FPT=A</stp>
        <stp>FA_ACT_EST_DATA=E, EST_SOURCE=BCA</stp>
        <stp>ACT_EST_MAPPING=PRECISE</stp>
        <stp>FS=MRC</stp>
        <stp>CURRENCY=USD</stp>
        <stp>XLFILL=b</stp>
        <tr r="M81" s="2"/>
      </tp>
      <tp t="s">
        <v/>
        <stp/>
        <stp>##V3_BQLV12</stp>
        <stp>[MODL_CRM_US1.xlsx]Single Period!R161C38</stp>
        <stp>CRM US Equity</stp>
        <stp>CF_ACCT_RCV_UNBILLED_REV/1M</stp>
        <stp>FPR=2022Y</stp>
        <stp>FPT=A</stp>
        <stp>FA_ACT_EST_DATA=E, EST_SOURCE=MSR</stp>
        <stp>ACT_EST_MAPPING=PRECISE</stp>
        <stp>FS=MRC</stp>
        <stp>CURRENCY=USD</stp>
        <stp>XLFILL=b</stp>
        <tr r="AL161" s="2"/>
      </tp>
      <tp t="s">
        <v/>
        <stp/>
        <stp>##V3_BQLV12</stp>
        <stp>[MODL_CRM_US1.xlsx]Single Period!R91C37</stp>
        <stp>CRM US Equity</stp>
        <stp>IS_COMP_NET_INCOME_GAAP/1M</stp>
        <stp>FPR=2022Y</stp>
        <stp>FPT=A</stp>
        <stp>FA_ACT_EST_DATA=E, EST_SOURCE=EVR</stp>
        <stp>ACT_EST_MAPPING=PRECISE</stp>
        <stp>FS=MRC</stp>
        <stp>CURRENCY=USD</stp>
        <stp>XLFILL=b</stp>
        <tr r="AK91" s="2"/>
      </tp>
      <tp t="s">
        <v/>
        <stp/>
        <stp>##V3_BQLV12</stp>
        <stp>[MODL_CRM_US1.xlsx]Single Period!R81C51</stp>
        <stp>CRM US Equity</stp>
        <stp>IS_TOT_OPER_EXP/1M</stp>
        <stp>FPR=2022Y</stp>
        <stp>FPT=A</stp>
        <stp>FA_ACT_EST_DATA=E, EST_SOURCE=RCP</stp>
        <stp>ACT_EST_MAPPING=PRECISE</stp>
        <stp>FS=MRC</stp>
        <stp>CURRENCY=USD</stp>
        <stp>XLFILL=b</stp>
        <tr r="AY81" s="2"/>
      </tp>
      <tp t="s">
        <v/>
        <stp/>
        <stp>##V3_BQLV12</stp>
        <stp>[MODL_CRM_US1.xlsx]Single Period!R89C55</stp>
        <stp>CRM US Equity</stp>
        <stp>PRETAX_INC/1M</stp>
        <stp>FPR=2022Y</stp>
        <stp>FPT=A</stp>
        <stp>FA_ACT_EST_DATA=E, EST_SOURCE=RED</stp>
        <stp>ACT_EST_MAPPING=PRECISE</stp>
        <stp>FS=MRC</stp>
        <stp>CURRENCY=USD</stp>
        <stp>XLFILL=b</stp>
        <tr r="BC89" s="2"/>
      </tp>
      <tp t="s">
        <v/>
        <stp/>
        <stp>##V3_BQLV12</stp>
        <stp>[MODL_CRM_US1.xlsx]Single Period!R89C34</stp>
        <stp>CRM US Equity</stp>
        <stp>PRETAX_INC/1M</stp>
        <stp>FPR=2022Y</stp>
        <stp>FPT=A</stp>
        <stp>FA_ACT_EST_DATA=E, EST_SOURCE=JEF</stp>
        <stp>ACT_EST_MAPPING=PRECISE</stp>
        <stp>FS=MRC</stp>
        <stp>CURRENCY=USD</stp>
        <stp>XLFILL=b</stp>
        <tr r="AH89" s="2"/>
      </tp>
      <tp>
        <v>200.94399999999999</v>
        <stp/>
        <stp>##V3_BQLV12</stp>
        <stp>[MODL_CRM_US1.xlsx]Single Period!R90C7</stp>
        <stp>CRM US Equity</stp>
        <stp>CONTRIBUTOR_STATS(IS_INC_TAX_EXP, MAX)/1M</stp>
        <stp>FPR=2022Y</stp>
        <stp>FPT=A</stp>
        <stp>FA_ACT_EST_DATA=E</stp>
        <stp>ACT_EST_MAPPING=PRECISE</stp>
        <stp>FS=MRC</stp>
        <stp>CURRENCY=USD</stp>
        <stp>XLFILL=b</stp>
        <tr r="G90" s="2"/>
      </tp>
      <tp>
        <v>61.559931519999836</v>
        <stp/>
        <stp>##V3_BQLV12</stp>
        <stp>[MODL_CRM_US1.xlsx]Single Period!R90C6</stp>
        <stp>CRM US Equity</stp>
        <stp>CONTRIBUTOR_STATS(IS_INC_TAX_EXP, MIN)/1M</stp>
        <stp>FPR=2022Y</stp>
        <stp>FPT=A</stp>
        <stp>FA_ACT_EST_DATA=E</stp>
        <stp>ACT_EST_MAPPING=PRECISE</stp>
        <stp>FS=MRC</stp>
        <stp>CURRENCY=USD</stp>
        <stp>XLFILL=b</stp>
        <tr r="F90" s="2"/>
      </tp>
      <tp>
        <v>38.502635187605769</v>
        <stp/>
        <stp>##V3_BQLV12</stp>
        <stp>[MODL_CRM_US1.xlsx]Single Period!R90C8</stp>
        <stp>CRM US Equity</stp>
        <stp>CONTRIBUTOR_STATS(IS_INC_TAX_EXP, STD)/1M</stp>
        <stp>FPR=2022Y</stp>
        <stp>FPT=A</stp>
        <stp>FA_ACT_EST_DATA=E</stp>
        <stp>ACT_EST_MAPPING=PRECISE</stp>
        <stp>FS=MRC</stp>
        <stp>CURRENCY=USD</stp>
        <stp>XLFILL=b</stp>
        <tr r="H90" s="2"/>
      </tp>
      <tp t="s">
        <v/>
        <stp/>
        <stp>##V3_BQLV12</stp>
        <stp>[MODL_CRM_US1.xlsx]Single Period!R79C17</stp>
        <stp>CRM US Equity</stp>
        <stp>CB_IS_GROSS_PROFIT/1M</stp>
        <stp>FPR=2022Y</stp>
        <stp>FPT=A</stp>
        <stp>FA_ACT_EST_DATA=E, EST_SOURCE=NDH</stp>
        <stp>ACT_EST_MAPPING=PRECISE</stp>
        <stp>FS=MRC</stp>
        <stp>CURRENCY=USD</stp>
        <stp>XLFILL=b</stp>
        <tr r="Q79" s="2"/>
      </tp>
      <tp>
        <v>992.15576886655072</v>
        <stp/>
        <stp>##V3_BQLV12</stp>
        <stp>[MODL_CRM_US1.xlsx]Single Period!R89C26</stp>
        <stp>CRM US Equity</stp>
        <stp>PRETAX_INC/1M</stp>
        <stp>FPR=2022Y</stp>
        <stp>FPT=A</stp>
        <stp>FA_ACT_EST_DATA=E, EST_SOURCE=KEY</stp>
        <stp>ACT_EST_MAPPING=PRECISE</stp>
        <stp>FS=MRC</stp>
        <stp>CURRENCY=USD</stp>
        <stp>XLFILL=b</stp>
        <tr r="Z89" s="2"/>
      </tp>
      <tp>
        <v>1917.25</v>
        <stp/>
        <stp>##V3_BQLV12</stp>
        <stp>[MODL_CRM_US1.xlsx]Single Period!R34C9</stp>
        <stp>SEG0000269227 Segment</stp>
        <stp>CONTRIBUTOR_STATS(IS_COGS_TO_FE_AND_PP_AND_G, MEDIAN)/1M</stp>
        <stp>FPR=2022Y</stp>
        <stp>FPT=A</stp>
        <stp>FA_ACT_EST_DATA=E</stp>
        <stp>ACT_EST_MAPPING=PRECISE</stp>
        <stp>FS=MRC</stp>
        <stp>CURRENCY=USD</stp>
        <stp>XLFILL=b</stp>
        <tr r="I34" s="2"/>
      </tp>
      <tp>
        <v>5009.3162549999997</v>
        <stp/>
        <stp>##V3_BQLV12</stp>
        <stp>[MODL_CRM_US1.xlsx]Single Period!R30C9</stp>
        <stp>SEG0000269238 Segment</stp>
        <stp>CONTRIBUTOR_STATS(IS_COGS_TO_FE_AND_PP_AND_G, MEDIAN)/1M</stp>
        <stp>FPR=2022Y</stp>
        <stp>FPT=A</stp>
        <stp>FA_ACT_EST_DATA=E</stp>
        <stp>ACT_EST_MAPPING=PRECISE</stp>
        <stp>FS=MRC</stp>
        <stp>CURRENCY=USD</stp>
        <stp>XLFILL=b</stp>
        <tr r="I30" s="2"/>
      </tp>
      <tp>
        <v>4866.5291849999739</v>
        <stp/>
        <stp>##V3_BQLV12</stp>
        <stp>[MODL_CRM_US1.xlsx]Single Period!R30C5</stp>
        <stp>SEG0000269238 Segment</stp>
        <stp>IS_COGS_TO_FE_AND_PP_AND_G/1M</stp>
        <stp>FPR=2022Y</stp>
        <stp>FPT=A</stp>
        <stp>FA_ACT_EST_DATA=E</stp>
        <stp>ACT_EST_MAPPING=PRECISE</stp>
        <stp>FS=MRC</stp>
        <stp>CURRENCY=USD</stp>
        <stp>XLFILL=b</stp>
        <tr r="E30" s="2"/>
      </tp>
      <tp t="s">
        <v/>
        <stp/>
        <stp>##V3_BQLV12</stp>
        <stp>[MODL_CRM_US1.xlsx]Single Period!R6C55</stp>
        <stp>CRM US Equity</stp>
        <stp>IS_COMP_EPS_EXCL_STOCK_COMP</stp>
        <stp>FPR=2022Y</stp>
        <stp>FPT=A</stp>
        <stp>FA_ACT_EST_DATA=E, EST_SOURCE=RED</stp>
        <stp>ACT_EST_MAPPING=PRECISE</stp>
        <stp>FS=MRC</stp>
        <stp>CURRENCY=USD</stp>
        <stp>XLFILL=b</stp>
        <tr r="BC6" s="2"/>
      </tp>
      <tp>
        <v>4.66</v>
        <stp/>
        <stp>##V3_BQLV12</stp>
        <stp>[MODL_CRM_US1.xlsx]Single Period!R6C24</stp>
        <stp>CRM US Equity</stp>
        <stp>IS_COMP_EPS_EXCL_STOCK_COMP</stp>
        <stp>FPR=2022Y</stp>
        <stp>FPT=A</stp>
        <stp>FA_ACT_EST_DATA=E, EST_SOURCE=FBC</stp>
        <stp>ACT_EST_MAPPING=PRECISE</stp>
        <stp>FS=MRC</stp>
        <stp>CURRENCY=USD</stp>
        <stp>XLFILL=b</stp>
        <tr r="X6" s="2"/>
      </tp>
      <tp>
        <v>4.68</v>
        <stp/>
        <stp>##V3_BQLV12</stp>
        <stp>[MODL_CRM_US1.xlsx]Single Period!R6C18</stp>
        <stp>CRM US Equity</stp>
        <stp>IS_COMP_EPS_EXCL_STOCK_COMP</stp>
        <stp>FPR=2022Y</stp>
        <stp>FPT=A</stp>
        <stp>FA_ACT_EST_DATA=E, EST_SOURCE=CAN</stp>
        <stp>ACT_EST_MAPPING=PRECISE</stp>
        <stp>FS=MRC</stp>
        <stp>CURRENCY=USD</stp>
        <stp>XLFILL=b</stp>
        <tr r="R6" s="2"/>
      </tp>
      <tp t="s">
        <v/>
        <stp/>
        <stp>##V3_BQLV12</stp>
        <stp>[MODL_CRM_US1.xlsx]Single Period!R44C56</stp>
        <stp>SEG0000269240 Segment</stp>
        <stp>IS_PERCENTAGE_OF_REVENUE</stp>
        <stp>FPR=2022Y</stp>
        <stp>FPT=A</stp>
        <stp>FA_ACT_EST_DATA=E, EST_SOURCE=DIR</stp>
        <stp>ACT_EST_MAPPING=PRECISE</stp>
        <stp>FS=MRC</stp>
        <stp>CURRENCY=USD</stp>
        <stp>XLFILL=b</stp>
        <tr r="BD44" s="2"/>
      </tp>
      <tp>
        <v>5.244540056789436</v>
        <stp/>
        <stp>##V3_BQLV12</stp>
        <stp>[MODL_CRM_US1.xlsx]Single Period!R33C25</stp>
        <stp>SEG0000269227 Segment</stp>
        <stp>IS_PERCENTAGE_OF_REVENUE</stp>
        <stp>FPR=2022Y</stp>
        <stp>FPT=A</stp>
        <stp>FA_ACT_EST_DATA=E, EST_SOURCE=WMS</stp>
        <stp>ACT_EST_MAPPING=PRECISE</stp>
        <stp>FS=MRC</stp>
        <stp>CURRENCY=USD</stp>
        <stp>XLFILL=b</stp>
        <tr r="Y33" s="2"/>
      </tp>
      <tp t="s">
        <v/>
        <stp/>
        <stp>##V3_BQLV12</stp>
        <stp>[MODL_CRM_US1.xlsx]Single Period!R39C25</stp>
        <stp>SEG0000269228 Segment</stp>
        <stp>IS_PERCENTAGE_OF_REVENUE</stp>
        <stp>FPR=2022Y</stp>
        <stp>FPT=A</stp>
        <stp>FA_ACT_EST_DATA=E, EST_SOURCE=WMS</stp>
        <stp>ACT_EST_MAPPING=PRECISE</stp>
        <stp>FS=MRC</stp>
        <stp>CURRENCY=USD</stp>
        <stp>XLFILL=b</stp>
        <tr r="Y39" s="2"/>
      </tp>
      <tp t="s">
        <v/>
        <stp/>
        <stp>##V3_BQLV12</stp>
        <stp>[MODL_CRM_US1.xlsx]Single Period!R49C56</stp>
        <stp>SEG0000269229 Segment</stp>
        <stp>IS_PERCENTAGE_OF_REVENUE</stp>
        <stp>FPR=2022Y</stp>
        <stp>FPT=A</stp>
        <stp>FA_ACT_EST_DATA=E, EST_SOURCE=DIR</stp>
        <stp>ACT_EST_MAPPING=PRECISE</stp>
        <stp>FS=MRC</stp>
        <stp>CURRENCY=USD</stp>
        <stp>XLFILL=b</stp>
        <tr r="BD49" s="2"/>
      </tp>
      <tp t="s">
        <v/>
        <stp/>
        <stp>##V3_BQLV12</stp>
        <stp>[MODL_CRM_US1.xlsx]Single Period!R55C30</stp>
        <stp>CRM US Equity</stp>
        <stp>IS_ADJ_GROSS_PROFIT_AS_REPORTED/1M</stp>
        <stp>FPR=2022Y</stp>
        <stp>FPT=A</stp>
        <stp>FA_ACT_EST_DATA=E, EST_SOURCE=BAM</stp>
        <stp>ACT_EST_MAPPING=PRECISE</stp>
        <stp>FS=MRC</stp>
        <stp>CURRENCY=USD</stp>
        <stp>XLFILL=b</stp>
        <tr r="AD55" s="2"/>
      </tp>
      <tp t="s">
        <v/>
        <stp/>
        <stp>##V3_BQLV12</stp>
        <stp>[MODL_CRM_US1.xlsx]Single Period!R16C30</stp>
        <stp>CRM US Equity</stp>
        <stp>IS_ADJ_GROSS_PROFIT_AS_REPORTED/1M</stp>
        <stp>FPR=2022Y</stp>
        <stp>FPT=A</stp>
        <stp>FA_ACT_EST_DATA=E, EST_SOURCE=BAM</stp>
        <stp>ACT_EST_MAPPING=PRECISE</stp>
        <stp>FS=MRC</stp>
        <stp>CURRENCY=USD</stp>
        <stp>XLFILL=b</stp>
        <tr r="AD16" s="2"/>
      </tp>
      <tp t="s">
        <v/>
        <stp/>
        <stp>##V3_BQLV12</stp>
        <stp>[MODL_CRM_US1.xlsx]Single Period!R55C18</stp>
        <stp>CRM US Equity</stp>
        <stp>IS_ADJ_GROSS_PROFIT_AS_REPORTED/1M</stp>
        <stp>FPR=2022Y</stp>
        <stp>FPT=A</stp>
        <stp>FA_ACT_EST_DATA=E, EST_SOURCE=CAN</stp>
        <stp>ACT_EST_MAPPING=PRECISE</stp>
        <stp>FS=MRC</stp>
        <stp>CURRENCY=USD</stp>
        <stp>XLFILL=b</stp>
        <tr r="R55" s="2"/>
      </tp>
      <tp t="s">
        <v/>
        <stp/>
        <stp>##V3_BQLV12</stp>
        <stp>[MODL_CRM_US1.xlsx]Single Period!R16C18</stp>
        <stp>CRM US Equity</stp>
        <stp>IS_ADJ_GROSS_PROFIT_AS_REPORTED/1M</stp>
        <stp>FPR=2022Y</stp>
        <stp>FPT=A</stp>
        <stp>FA_ACT_EST_DATA=E, EST_SOURCE=CAN</stp>
        <stp>ACT_EST_MAPPING=PRECISE</stp>
        <stp>FS=MRC</stp>
        <stp>CURRENCY=USD</stp>
        <stp>XLFILL=b</stp>
        <tr r="R16" s="2"/>
      </tp>
      <tp t="s">
        <v/>
        <stp/>
        <stp>##V3_BQLV12</stp>
        <stp>[MODL_CRM_US1.xlsx]Single Period!R49C12</stp>
        <stp>SEG0000269229 Segment</stp>
        <stp>IS_PERCENTAGE_OF_REVENUE</stp>
        <stp>FPR=2022Y</stp>
        <stp>FPT=A</stp>
        <stp>FA_ACT_EST_DATA=E, EST_SOURCE=BMO</stp>
        <stp>ACT_EST_MAPPING=PRECISE</stp>
        <stp>FS=MRC</stp>
        <stp>CURRENCY=USD</stp>
        <stp>XLFILL=b</stp>
        <tr r="L49" s="2"/>
      </tp>
      <tp>
        <v>1030</v>
        <stp/>
        <stp>##V3_BQLV12</stp>
        <stp>[MODL_CRM_US1.xlsx]Single Period!R176C9</stp>
        <stp>CRM US Equity</stp>
        <stp>CONTRIBUTOR_STATS(CF_INCR_CAP_STOCK, MEDIAN)/1M</stp>
        <stp>FPR=2022Y</stp>
        <stp>FPT=A</stp>
        <stp>FA_ACT_EST_DATA=E</stp>
        <stp>ACT_EST_MAPPING=PRECISE</stp>
        <stp>FS=MRC</stp>
        <stp>CURRENCY=USD</stp>
        <stp>XLFILL=b</stp>
        <tr r="I176" s="2"/>
      </tp>
      <tp t="s">
        <v/>
        <stp/>
        <stp>##V3_BQLV12</stp>
        <stp>[MODL_CRM_US1.xlsx]Single Period!R44C12</stp>
        <stp>SEG0000269240 Segment</stp>
        <stp>IS_PERCENTAGE_OF_REVENUE</stp>
        <stp>FPR=2022Y</stp>
        <stp>FPT=A</stp>
        <stp>FA_ACT_EST_DATA=E, EST_SOURCE=BMO</stp>
        <stp>ACT_EST_MAPPING=PRECISE</stp>
        <stp>FS=MRC</stp>
        <stp>CURRENCY=USD</stp>
        <stp>XLFILL=b</stp>
        <tr r="L44" s="2"/>
      </tp>
      <tp t="s">
        <v/>
        <stp/>
        <stp>##V3_BQLV12</stp>
        <stp>[MODL_CRM_US1.xlsx]Single Period!R25C18</stp>
        <stp>SEG0000269238 Segment</stp>
        <stp>IS_PERCENTAGE_OF_REVENUE</stp>
        <stp>FPR=2022Y</stp>
        <stp>FPT=A</stp>
        <stp>FA_ACT_EST_DATA=E, EST_SOURCE=CAN</stp>
        <stp>ACT_EST_MAPPING=PRECISE</stp>
        <stp>FS=MRC</stp>
        <stp>CURRENCY=USD</stp>
        <stp>XLFILL=b</stp>
        <tr r="R25" s="2"/>
      </tp>
      <tp t="s">
        <v/>
        <stp/>
        <stp>##V3_BQLV12</stp>
        <stp>[MODL_CRM_US1.xlsx]Single Period!R16C36</stp>
        <stp>CRM US Equity</stp>
        <stp>IS_ADJ_GROSS_PROFIT_AS_REPORTED/1M</stp>
        <stp>FPR=2022Y</stp>
        <stp>FPT=A</stp>
        <stp>FA_ACT_EST_DATA=E, EST_SOURCE=MAC</stp>
        <stp>ACT_EST_MAPPING=PRECISE</stp>
        <stp>FS=MRC</stp>
        <stp>CURRENCY=USD</stp>
        <stp>XLFILL=b</stp>
        <tr r="AJ16" s="2"/>
      </tp>
      <tp t="s">
        <v/>
        <stp/>
        <stp>##V3_BQLV12</stp>
        <stp>[MODL_CRM_US1.xlsx]Single Period!R55C36</stp>
        <stp>CRM US Equity</stp>
        <stp>IS_ADJ_GROSS_PROFIT_AS_REPORTED/1M</stp>
        <stp>FPR=2022Y</stp>
        <stp>FPT=A</stp>
        <stp>FA_ACT_EST_DATA=E, EST_SOURCE=MAC</stp>
        <stp>ACT_EST_MAPPING=PRECISE</stp>
        <stp>FS=MRC</stp>
        <stp>CURRENCY=USD</stp>
        <stp>XLFILL=b</stp>
        <tr r="AJ55" s="2"/>
      </tp>
      <tp t="s">
        <v/>
        <stp/>
        <stp>##V3_BQLV12</stp>
        <stp>[MODL_CRM_US1.xlsx]Single Period!R81C11</stp>
        <stp>CRM US Equity</stp>
        <stp>IS_TOT_OPER_EXP/1M</stp>
        <stp>FPR=2022Y</stp>
        <stp>FPT=A</stp>
        <stp>FA_ACT_EST_DATA=E, EST_SOURCE=WBL</stp>
        <stp>ACT_EST_MAPPING=PRECISE</stp>
        <stp>FS=MRC</stp>
        <stp>CURRENCY=USD</stp>
        <stp>XLFILL=b</stp>
        <tr r="K81" s="2"/>
      </tp>
      <tp>
        <v>1256</v>
        <stp/>
        <stp>##V3_BQLV12</stp>
        <stp>[MODL_CRM_US1.xlsx]Single Period!R91C28</stp>
        <stp>CRM US Equity</stp>
        <stp>IS_COMP_NET_INCOME_GAAP/1M</stp>
        <stp>FPR=2022Y</stp>
        <stp>FPT=A</stp>
        <stp>FA_ACT_EST_DATA=E, EST_SOURCE=CWN</stp>
        <stp>ACT_EST_MAPPING=PRECISE</stp>
        <stp>FS=MRC</stp>
        <stp>CURRENCY=USD</stp>
        <stp>XLFILL=b</stp>
        <tr r="AB91" s="2"/>
      </tp>
      <tp t="s">
        <v/>
        <stp/>
        <stp>##V3_BQLV12</stp>
        <stp>[MODL_CRM_US1.xlsx]Single Period!R91C43</stp>
        <stp>CRM US Equity</stp>
        <stp>IS_COMP_NET_INCOME_GAAP/1M</stp>
        <stp>FPR=2022Y</stp>
        <stp>FPT=A</stp>
        <stp>FA_ACT_EST_DATA=E, EST_SOURCE=DWI</stp>
        <stp>ACT_EST_MAPPING=PRECISE</stp>
        <stp>FS=MRC</stp>
        <stp>CURRENCY=USD</stp>
        <stp>XLFILL=b</stp>
        <tr r="AQ91" s="2"/>
      </tp>
      <tp>
        <v>18980.154590962309</v>
        <stp/>
        <stp>##V3_BQLV12</stp>
        <stp>[MODL_CRM_US1.xlsx]Single Period!R81C16</stp>
        <stp>CRM US Equity</stp>
        <stp>IS_TOT_OPER_EXP/1M</stp>
        <stp>FPR=2022Y</stp>
        <stp>FPT=A</stp>
        <stp>FA_ACT_EST_DATA=E, EST_SOURCE=DBG</stp>
        <stp>ACT_EST_MAPPING=PRECISE</stp>
        <stp>FS=MRC</stp>
        <stp>CURRENCY=USD</stp>
        <stp>XLFILL=b</stp>
        <tr r="P81" s="2"/>
      </tp>
      <tp t="s">
        <v/>
        <stp/>
        <stp>##V3_BQLV12</stp>
        <stp>[MODL_CRM_US1.xlsx]Single Period!R88C55</stp>
        <stp>CRM US Equity</stp>
        <stp>OPER_INC_TO_NET_SALES</stp>
        <stp>FPR=2022Y</stp>
        <stp>FPT=A</stp>
        <stp>FA_ACT_EST_DATA=E, EST_SOURCE=RED</stp>
        <stp>ACT_EST_MAPPING=PRECISE</stp>
        <stp>FS=MRC</stp>
        <stp>CURRENCY=USD</stp>
        <stp>XLFILL=b</stp>
        <tr r="BC88" s="2"/>
      </tp>
      <tp t="s">
        <v/>
        <stp/>
        <stp>##V3_BQLV12</stp>
        <stp>[MODL_CRM_US1.xlsx]Single Period!R88C34</stp>
        <stp>CRM US Equity</stp>
        <stp>OPER_INC_TO_NET_SALES</stp>
        <stp>FPR=2022Y</stp>
        <stp>FPT=A</stp>
        <stp>FA_ACT_EST_DATA=E, EST_SOURCE=JEF</stp>
        <stp>ACT_EST_MAPPING=PRECISE</stp>
        <stp>FS=MRC</stp>
        <stp>CURRENCY=USD</stp>
        <stp>XLFILL=b</stp>
        <tr r="AH88" s="2"/>
      </tp>
      <tp>
        <v>18864.6638032954</v>
        <stp/>
        <stp>##V3_BQLV12</stp>
        <stp>[MODL_CRM_US1.xlsx]Single Period!R81C24</stp>
        <stp>CRM US Equity</stp>
        <stp>IS_TOT_OPER_EXP/1M</stp>
        <stp>FPR=2022Y</stp>
        <stp>FPT=A</stp>
        <stp>FA_ACT_EST_DATA=E, EST_SOURCE=FBC</stp>
        <stp>ACT_EST_MAPPING=PRECISE</stp>
        <stp>FS=MRC</stp>
        <stp>CURRENCY=USD</stp>
        <stp>XLFILL=b</stp>
        <tr r="X81" s="2"/>
      </tp>
      <tp>
        <v>584</v>
        <stp/>
        <stp>##V3_BQLV12</stp>
        <stp>[MODL_CRM_US1.xlsx]Single Period!R91C44</stp>
        <stp>CRM US Equity</stp>
        <stp>IS_COMP_NET_INCOME_GAAP/1M</stp>
        <stp>FPR=2022Y</stp>
        <stp>FPT=A</stp>
        <stp>FA_ACT_EST_DATA=E, EST_SOURCE=RWB</stp>
        <stp>ACT_EST_MAPPING=PRECISE</stp>
        <stp>FS=MRC</stp>
        <stp>CURRENCY=USD</stp>
        <stp>XLFILL=b</stp>
        <tr r="AR91" s="2"/>
      </tp>
      <tp t="s">
        <v/>
        <stp/>
        <stp>##V3_BQLV12</stp>
        <stp>[MODL_CRM_US1.xlsx]Single Period!R81C31</stp>
        <stp>CRM US Equity</stp>
        <stp>IS_TOT_OPER_EXP/1M</stp>
        <stp>FPR=2022Y</stp>
        <stp>FPT=A</stp>
        <stp>FA_ACT_EST_DATA=E, EST_SOURCE=RBC</stp>
        <stp>ACT_EST_MAPPING=PRECISE</stp>
        <stp>FS=MRC</stp>
        <stp>CURRENCY=USD</stp>
        <stp>XLFILL=b</stp>
        <tr r="AE81" s="2"/>
      </tp>
      <tp t="s">
        <v/>
        <stp/>
        <stp>##V3_BQLV12</stp>
        <stp>[MODL_CRM_US1.xlsx]Single Period!R88C26</stp>
        <stp>CRM US Equity</stp>
        <stp>OPER_INC_TO_NET_SALES</stp>
        <stp>FPR=2022Y</stp>
        <stp>FPT=A</stp>
        <stp>FA_ACT_EST_DATA=E, EST_SOURCE=KEY</stp>
        <stp>ACT_EST_MAPPING=PRECISE</stp>
        <stp>FS=MRC</stp>
        <stp>CURRENCY=USD</stp>
        <stp>XLFILL=b</stp>
        <tr r="Z88" s="2"/>
      </tp>
      <tp t="s">
        <v/>
        <stp/>
        <stp>##V3_BQLV12</stp>
        <stp>[MODL_CRM_US1.xlsx]Single Period!R8C47</stp>
        <stp>CRM US Equity</stp>
        <stp>REVENUE_GROWTH_CC_1_YR</stp>
        <stp>FPR=2022Y</stp>
        <stp>FPT=A</stp>
        <stp>FA_ACT_EST_DATA=E, EST_SOURCE=WFT</stp>
        <stp>ACT_EST_MAPPING=PRECISE</stp>
        <stp>FS=MRC</stp>
        <stp>CURRENCY=USD</stp>
        <stp>XLFILL=b</stp>
        <tr r="AU8" s="2"/>
      </tp>
      <tp t="s">
        <v/>
        <stp/>
        <stp>##V3_BQLV12</stp>
        <stp>[MODL_CRM_US1.xlsx]Single Period!R8C52</stp>
        <stp>CRM US Equity</stp>
        <stp>REVENUE_GROWTH_CC_1_YR</stp>
        <stp>FPR=2022Y</stp>
        <stp>FPT=A</stp>
        <stp>FA_ACT_EST_DATA=E, EST_SOURCE=WFR</stp>
        <stp>ACT_EST_MAPPING=PRECISE</stp>
        <stp>FS=MRC</stp>
        <stp>CURRENCY=USD</stp>
        <stp>XLFILL=b</stp>
        <tr r="AZ8" s="2"/>
      </tp>
      <tp t="s">
        <v/>
        <stp/>
        <stp>##V3_BQLV12</stp>
        <stp>[MODL_CRM_US1.xlsx]Single Period!R81C32</stp>
        <stp>CRM US Equity</stp>
        <stp>IS_TOT_OPER_EXP/1M</stp>
        <stp>FPR=2022Y</stp>
        <stp>FPT=A</stp>
        <stp>FA_ACT_EST_DATA=E, EST_SOURCE=UBS</stp>
        <stp>ACT_EST_MAPPING=PRECISE</stp>
        <stp>FS=MRC</stp>
        <stp>CURRENCY=USD</stp>
        <stp>XLFILL=b</stp>
        <tr r="AF81" s="2"/>
      </tp>
      <tp>
        <v>-880</v>
        <stp/>
        <stp>##V3_BQLV12</stp>
        <stp>[MODL_CRM_US1.xlsx]Single Period!R67C7</stp>
        <stp>CRM US Equity</stp>
        <stp>CONTRIBUTOR_STATS(IS_NON_OPERATING_INC_LOSS_GAAP, MAX)/1M</stp>
        <stp>FPR=2022Y</stp>
        <stp>FPT=A</stp>
        <stp>FA_ACT_EST_DATA=E</stp>
        <stp>ACT_EST_MAPPING=PRECISE</stp>
        <stp>FS=MRC</stp>
        <stp>CURRENCY=USD</stp>
        <stp>XLFILL=b</stp>
        <tr r="G67" s="2"/>
      </tp>
      <tp>
        <v>-1041.1677</v>
        <stp/>
        <stp>##V3_BQLV12</stp>
        <stp>[MODL_CRM_US1.xlsx]Single Period!R67C6</stp>
        <stp>CRM US Equity</stp>
        <stp>CONTRIBUTOR_STATS(IS_NON_OPERATING_INC_LOSS_GAAP, MIN)/1M</stp>
        <stp>FPR=2022Y</stp>
        <stp>FPT=A</stp>
        <stp>FA_ACT_EST_DATA=E</stp>
        <stp>ACT_EST_MAPPING=PRECISE</stp>
        <stp>FS=MRC</stp>
        <stp>CURRENCY=USD</stp>
        <stp>XLFILL=b</stp>
        <tr r="F67" s="2"/>
      </tp>
      <tp t="s">
        <v/>
        <stp/>
        <stp>##V3_BQLV12</stp>
        <stp>[MODL_CRM_US1.xlsx]Single Period!R172C29</stp>
        <stp>CRM US Equity</stp>
        <stp>CAP_EXPEND_TO_SALES</stp>
        <stp>FPR=2022Y</stp>
        <stp>FPT=A</stp>
        <stp>FA_ACT_EST_DATA=E, EST_SOURCE=BNS</stp>
        <stp>ACT_EST_MAPPING=PRECISE</stp>
        <stp>FS=MRC</stp>
        <stp>CURRENCY=USD</stp>
        <stp>XLFILL=b</stp>
        <tr r="AC172" s="2"/>
      </tp>
      <tp>
        <v>19372.426463324879</v>
        <stp/>
        <stp>##V3_BQLV12</stp>
        <stp>[MODL_CRM_US1.xlsx]Single Period!R79C26</stp>
        <stp>CRM US Equity</stp>
        <stp>CB_IS_GROSS_PROFIT/1M</stp>
        <stp>FPR=2022Y</stp>
        <stp>FPT=A</stp>
        <stp>FA_ACT_EST_DATA=E, EST_SOURCE=KEY</stp>
        <stp>ACT_EST_MAPPING=PRECISE</stp>
        <stp>FS=MRC</stp>
        <stp>CURRENCY=USD</stp>
        <stp>XLFILL=b</stp>
        <tr r="Z79" s="2"/>
      </tp>
      <tp t="s">
        <v/>
        <stp/>
        <stp>##V3_BQLV12</stp>
        <stp>[MODL_CRM_US1.xlsx]Single Period!R89C17</stp>
        <stp>CRM US Equity</stp>
        <stp>PRETAX_INC/1M</stp>
        <stp>FPR=2022Y</stp>
        <stp>FPT=A</stp>
        <stp>FA_ACT_EST_DATA=E, EST_SOURCE=NDH</stp>
        <stp>ACT_EST_MAPPING=PRECISE</stp>
        <stp>FS=MRC</stp>
        <stp>CURRENCY=USD</stp>
        <stp>XLFILL=b</stp>
        <tr r="Q89" s="2"/>
      </tp>
      <tp>
        <v>4918</v>
        <stp/>
        <stp>##V3_BQLV12</stp>
        <stp>[MODL_CRM_US1.xlsx]Single Period!R60C22</stp>
        <stp>CRM US Equity</stp>
        <stp>IS_COMPARABLE_EBIT/1M</stp>
        <stp>FPR=2022Y</stp>
        <stp>FPT=A</stp>
        <stp>FA_ACT_EST_DATA=E, EST_SOURCE=OPY</stp>
        <stp>ACT_EST_MAPPING=PRECISE</stp>
        <stp>FS=MRC</stp>
        <stp>CURRENCY=USD</stp>
        <stp>XLFILL=b</stp>
        <tr r="V60" s="2"/>
      </tp>
      <tp t="s">
        <v/>
        <stp/>
        <stp>##V3_BQLV12</stp>
        <stp>[MODL_CRM_US1.xlsx]Single Period!R146C10</stp>
        <stp>CRM US Equity</stp>
        <stp>CUR_RATIO</stp>
        <stp>FPR=2022Y</stp>
        <stp>FPT=A</stp>
        <stp>FA_ACT_EST_DATA=E, EST_SOURCE=CMPY</stp>
        <stp>ACT_EST_MAPPING=PRECISE</stp>
        <stp>FS=MRC</stp>
        <stp>CURRENCY=USD</stp>
        <stp>XLFILL=b</stp>
        <tr r="J146" s="2"/>
      </tp>
      <tp t="s">
        <v/>
        <stp/>
        <stp>##V3_BQLV12</stp>
        <stp>[MODL_CRM_US1.xlsx]Single Period!R172C56</stp>
        <stp>CRM US Equity</stp>
        <stp>CAP_EXPEND_TO_SALES</stp>
        <stp>FPR=2022Y</stp>
        <stp>FPT=A</stp>
        <stp>FA_ACT_EST_DATA=E, EST_SOURCE=DIR</stp>
        <stp>ACT_EST_MAPPING=PRECISE</stp>
        <stp>FS=MRC</stp>
        <stp>CURRENCY=USD</stp>
        <stp>XLFILL=b</stp>
        <tr r="BD172" s="2"/>
      </tp>
      <tp t="s">
        <v/>
        <stp/>
        <stp>##V3_BQLV12</stp>
        <stp>[MODL_CRM_US1.xlsx]Single Period!R172C53</stp>
        <stp>CRM US Equity</stp>
        <stp>CAP_EXPEND_TO_SALES</stp>
        <stp>FPR=2022Y</stp>
        <stp>FPT=A</stp>
        <stp>FA_ACT_EST_DATA=E, EST_SOURCE=NIK</stp>
        <stp>ACT_EST_MAPPING=PRECISE</stp>
        <stp>FS=MRC</stp>
        <stp>CURRENCY=USD</stp>
        <stp>XLFILL=b</stp>
        <tr r="BA172" s="2"/>
      </tp>
      <tp t="s">
        <v/>
        <stp/>
        <stp>##V3_BQLV12</stp>
        <stp>[MODL_CRM_US1.xlsx]Single Period!R172C12</stp>
        <stp>CRM US Equity</stp>
        <stp>CAP_EXPEND_TO_SALES</stp>
        <stp>FPR=2022Y</stp>
        <stp>FPT=A</stp>
        <stp>FA_ACT_EST_DATA=E, EST_SOURCE=BMO</stp>
        <stp>ACT_EST_MAPPING=PRECISE</stp>
        <stp>FS=MRC</stp>
        <stp>CURRENCY=USD</stp>
        <stp>XLFILL=b</stp>
        <tr r="L172" s="2"/>
      </tp>
      <tp t="s">
        <v/>
        <stp/>
        <stp>##V3_BQLV12</stp>
        <stp>[MODL_CRM_US1.xlsx]Single Period!R79C34</stp>
        <stp>CRM US Equity</stp>
        <stp>CB_IS_GROSS_PROFIT/1M</stp>
        <stp>FPR=2022Y</stp>
        <stp>FPT=A</stp>
        <stp>FA_ACT_EST_DATA=E, EST_SOURCE=JEF</stp>
        <stp>ACT_EST_MAPPING=PRECISE</stp>
        <stp>FS=MRC</stp>
        <stp>CURRENCY=USD</stp>
        <stp>XLFILL=b</stp>
        <tr r="AH79" s="2"/>
      </tp>
      <tp t="s">
        <v/>
        <stp/>
        <stp>##V3_BQLV12</stp>
        <stp>[MODL_CRM_US1.xlsx]Single Period!R79C55</stp>
        <stp>CRM US Equity</stp>
        <stp>CB_IS_GROSS_PROFIT/1M</stp>
        <stp>FPR=2022Y</stp>
        <stp>FPT=A</stp>
        <stp>FA_ACT_EST_DATA=E, EST_SOURCE=RED</stp>
        <stp>ACT_EST_MAPPING=PRECISE</stp>
        <stp>FS=MRC</stp>
        <stp>CURRENCY=USD</stp>
        <stp>XLFILL=b</stp>
        <tr r="BC79" s="2"/>
      </tp>
      <tp>
        <v>47.613159153729299</v>
        <stp/>
        <stp>##V3_BQLV12</stp>
        <stp>[MODL_CRM_US1.xlsx]Single Period!R67C8</stp>
        <stp>CRM US Equity</stp>
        <stp>CONTRIBUTOR_STATS(IS_NON_OPERATING_INC_LOSS_GAAP, STD)/1M</stp>
        <stp>FPR=2022Y</stp>
        <stp>FPT=A</stp>
        <stp>FA_ACT_EST_DATA=E</stp>
        <stp>ACT_EST_MAPPING=PRECISE</stp>
        <stp>FS=MRC</stp>
        <stp>CURRENCY=USD</stp>
        <stp>XLFILL=b</stp>
        <tr r="H67" s="2"/>
      </tp>
      <tp>
        <v>4904</v>
        <stp/>
        <stp>##V3_BQLV12</stp>
        <stp>[MODL_CRM_US1.xlsx]Single Period!R60C23</stp>
        <stp>CRM US Equity</stp>
        <stp>IS_COMPARABLE_EBIT/1M</stp>
        <stp>FPR=2022Y</stp>
        <stp>FPT=A</stp>
        <stp>FA_ACT_EST_DATA=E, EST_SOURCE=JPM</stp>
        <stp>ACT_EST_MAPPING=PRECISE</stp>
        <stp>FS=MRC</stp>
        <stp>CURRENCY=USD</stp>
        <stp>XLFILL=b</stp>
        <tr r="W60" s="2"/>
      </tp>
      <tp>
        <v>1909.9590086851949</v>
        <stp/>
        <stp>##V3_BQLV12</stp>
        <stp>[MODL_CRM_US1.xlsx]Single Period!R34C5</stp>
        <stp>SEG0000269227 Segment</stp>
        <stp>IS_COGS_TO_FE_AND_PP_AND_G/1M</stp>
        <stp>FPR=2022Y</stp>
        <stp>FPT=A</stp>
        <stp>FA_ACT_EST_DATA=E</stp>
        <stp>ACT_EST_MAPPING=PRECISE</stp>
        <stp>FS=MRC</stp>
        <stp>CURRENCY=USD</stp>
        <stp>XLFILL=b</stp>
        <tr r="E34" s="2"/>
      </tp>
      <tp>
        <v>21000</v>
        <stp/>
        <stp>##V3_BQLV12</stp>
        <stp>[MODL_CRM_US1.xlsx]Single Period!R14C9</stp>
        <stp>CRM US Equity</stp>
        <stp>CONTRIBUTOR_STATS(NON_CURRENT_FUTURE_REV_UNDER_CONTRACT, MEDIAN)/1M</stp>
        <stp>FPR=2022Y</stp>
        <stp>FPT=A</stp>
        <stp>FA_ACT_EST_DATA=E</stp>
        <stp>ACT_EST_MAPPING=PRECISE</stp>
        <stp>FS=MRC</stp>
        <stp>CURRENCY=USD</stp>
        <stp>XLFILL=b</stp>
        <tr r="I14" s="2"/>
      </tp>
      <tp>
        <v>4.7</v>
        <stp/>
        <stp>##V3_BQLV12</stp>
        <stp>[MODL_CRM_US1.xlsx]Single Period!R6C32</stp>
        <stp>CRM US Equity</stp>
        <stp>IS_COMP_EPS_EXCL_STOCK_COMP</stp>
        <stp>FPR=2022Y</stp>
        <stp>FPT=A</stp>
        <stp>FA_ACT_EST_DATA=E, EST_SOURCE=UBS</stp>
        <stp>ACT_EST_MAPPING=PRECISE</stp>
        <stp>FS=MRC</stp>
        <stp>CURRENCY=USD</stp>
        <stp>XLFILL=b</stp>
        <tr r="AF6" s="2"/>
      </tp>
      <tp>
        <v>4.66</v>
        <stp/>
        <stp>##V3_BQLV12</stp>
        <stp>[MODL_CRM_US1.xlsx]Single Period!R6C31</stp>
        <stp>CRM US Equity</stp>
        <stp>IS_COMP_EPS_EXCL_STOCK_COMP</stp>
        <stp>FPR=2022Y</stp>
        <stp>FPT=A</stp>
        <stp>FA_ACT_EST_DATA=E, EST_SOURCE=RBC</stp>
        <stp>ACT_EST_MAPPING=PRECISE</stp>
        <stp>FS=MRC</stp>
        <stp>CURRENCY=USD</stp>
        <stp>XLFILL=b</stp>
        <tr r="AE6" s="2"/>
      </tp>
      <tp>
        <v>4.67</v>
        <stp/>
        <stp>##V3_BQLV12</stp>
        <stp>[MODL_CRM_US1.xlsx]Single Period!R6C27</stp>
        <stp>CRM US Equity</stp>
        <stp>IS_COMP_EPS_EXCL_STOCK_COMP</stp>
        <stp>FPR=2022Y</stp>
        <stp>FPT=A</stp>
        <stp>FA_ACT_EST_DATA=E, EST_SOURCE=LCM</stp>
        <stp>ACT_EST_MAPPING=PRECISE</stp>
        <stp>FS=MRC</stp>
        <stp>CURRENCY=USD</stp>
        <stp>XLFILL=b</stp>
        <tr r="AA6" s="2"/>
      </tp>
      <tp t="s">
        <v/>
        <stp/>
        <stp>##V3_BQLV12</stp>
        <stp>[MODL_CRM_US1.xlsx]Single Period!R33C29</stp>
        <stp>SEG0000269227 Segment</stp>
        <stp>IS_PERCENTAGE_OF_REVENUE</stp>
        <stp>FPR=2022Y</stp>
        <stp>FPT=A</stp>
        <stp>FA_ACT_EST_DATA=E, EST_SOURCE=BNS</stp>
        <stp>ACT_EST_MAPPING=PRECISE</stp>
        <stp>FS=MRC</stp>
        <stp>CURRENCY=USD</stp>
        <stp>XLFILL=b</stp>
        <tr r="AC33" s="2"/>
      </tp>
      <tp t="s">
        <v/>
        <stp/>
        <stp>##V3_BQLV12</stp>
        <stp>[MODL_CRM_US1.xlsx]Single Period!R44C32</stp>
        <stp>SEG0000269240 Segment</stp>
        <stp>IS_PERCENTAGE_OF_REVENUE</stp>
        <stp>FPR=2022Y</stp>
        <stp>FPT=A</stp>
        <stp>FA_ACT_EST_DATA=E, EST_SOURCE=UBS</stp>
        <stp>ACT_EST_MAPPING=PRECISE</stp>
        <stp>FS=MRC</stp>
        <stp>CURRENCY=USD</stp>
        <stp>XLFILL=b</stp>
        <tr r="AF44" s="2"/>
      </tp>
      <tp t="s">
        <v/>
        <stp/>
        <stp>##V3_BQLV12</stp>
        <stp>[MODL_CRM_US1.xlsx]Single Period!R16C14</stp>
        <stp>CRM US Equity</stp>
        <stp>IS_ADJ_GROSS_PROFIT_AS_REPORTED/1M</stp>
        <stp>FPR=2022Y</stp>
        <stp>FPT=A</stp>
        <stp>FA_ACT_EST_DATA=E, EST_SOURCE=SNR</stp>
        <stp>ACT_EST_MAPPING=PRECISE</stp>
        <stp>FS=MRC</stp>
        <stp>CURRENCY=USD</stp>
        <stp>XLFILL=b</stp>
        <tr r="N16" s="2"/>
      </tp>
      <tp t="s">
        <v/>
        <stp/>
        <stp>##V3_BQLV12</stp>
        <stp>[MODL_CRM_US1.xlsx]Single Period!R55C14</stp>
        <stp>CRM US Equity</stp>
        <stp>IS_ADJ_GROSS_PROFIT_AS_REPORTED/1M</stp>
        <stp>FPR=2022Y</stp>
        <stp>FPT=A</stp>
        <stp>FA_ACT_EST_DATA=E, EST_SOURCE=SNR</stp>
        <stp>ACT_EST_MAPPING=PRECISE</stp>
        <stp>FS=MRC</stp>
        <stp>CURRENCY=USD</stp>
        <stp>XLFILL=b</stp>
        <tr r="N55" s="2"/>
      </tp>
      <tp t="s">
        <v/>
        <stp/>
        <stp>##V3_BQLV12</stp>
        <stp>[MODL_CRM_US1.xlsx]Single Period!R49C32</stp>
        <stp>SEG0000269229 Segment</stp>
        <stp>IS_PERCENTAGE_OF_REVENUE</stp>
        <stp>FPR=2022Y</stp>
        <stp>FPT=A</stp>
        <stp>FA_ACT_EST_DATA=E, EST_SOURCE=UBS</stp>
        <stp>ACT_EST_MAPPING=PRECISE</stp>
        <stp>FS=MRC</stp>
        <stp>CURRENCY=USD</stp>
        <stp>XLFILL=b</stp>
        <tr r="AF49" s="2"/>
      </tp>
      <tp t="s">
        <v/>
        <stp/>
        <stp>##V3_BQLV12</stp>
        <stp>[MODL_CRM_US1.xlsx]Single Period!R39C29</stp>
        <stp>SEG0000269228 Segment</stp>
        <stp>IS_PERCENTAGE_OF_REVENUE</stp>
        <stp>FPR=2022Y</stp>
        <stp>FPT=A</stp>
        <stp>FA_ACT_EST_DATA=E, EST_SOURCE=BNS</stp>
        <stp>ACT_EST_MAPPING=PRECISE</stp>
        <stp>FS=MRC</stp>
        <stp>CURRENCY=USD</stp>
        <stp>XLFILL=b</stp>
        <tr r="AC39" s="2"/>
      </tp>
      <tp t="s">
        <v/>
        <stp/>
        <stp>##V3_BQLV12</stp>
        <stp>[MODL_CRM_US1.xlsx]Single Period!R55C29</stp>
        <stp>CRM US Equity</stp>
        <stp>IS_ADJ_GROSS_PROFIT_AS_REPORTED/1M</stp>
        <stp>FPR=2022Y</stp>
        <stp>FPT=A</stp>
        <stp>FA_ACT_EST_DATA=E, EST_SOURCE=BNS</stp>
        <stp>ACT_EST_MAPPING=PRECISE</stp>
        <stp>FS=MRC</stp>
        <stp>CURRENCY=USD</stp>
        <stp>XLFILL=b</stp>
        <tr r="AC55" s="2"/>
      </tp>
      <tp t="s">
        <v/>
        <stp/>
        <stp>##V3_BQLV12</stp>
        <stp>[MODL_CRM_US1.xlsx]Single Period!R16C29</stp>
        <stp>CRM US Equity</stp>
        <stp>IS_ADJ_GROSS_PROFIT_AS_REPORTED/1M</stp>
        <stp>FPR=2022Y</stp>
        <stp>FPT=A</stp>
        <stp>FA_ACT_EST_DATA=E, EST_SOURCE=BNS</stp>
        <stp>ACT_EST_MAPPING=PRECISE</stp>
        <stp>FS=MRC</stp>
        <stp>CURRENCY=USD</stp>
        <stp>XLFILL=b</stp>
        <tr r="AC16" s="2"/>
      </tp>
      <tp t="s">
        <v/>
        <stp/>
        <stp>##V3_BQLV12</stp>
        <stp>[MODL_CRM_US1.xlsx]Single Period!R44C55</stp>
        <stp>SEG0000269240 Segment</stp>
        <stp>IS_PERCENTAGE_OF_REVENUE</stp>
        <stp>FPR=2022Y</stp>
        <stp>FPT=A</stp>
        <stp>FA_ACT_EST_DATA=E, EST_SOURCE=RED</stp>
        <stp>ACT_EST_MAPPING=PRECISE</stp>
        <stp>FS=MRC</stp>
        <stp>CURRENCY=USD</stp>
        <stp>XLFILL=b</stp>
        <tr r="BC44" s="2"/>
      </tp>
      <tp>
        <v>93.527552068962478</v>
        <stp/>
        <stp>##V3_BQLV12</stp>
        <stp>[MODL_CRM_US1.xlsx]Single Period!R25C24</stp>
        <stp>SEG0000269238 Segment</stp>
        <stp>IS_PERCENTAGE_OF_REVENUE</stp>
        <stp>FPR=2022Y</stp>
        <stp>FPT=A</stp>
        <stp>FA_ACT_EST_DATA=E, EST_SOURCE=FBC</stp>
        <stp>ACT_EST_MAPPING=PRECISE</stp>
        <stp>FS=MRC</stp>
        <stp>CURRENCY=USD</stp>
        <stp>XLFILL=b</stp>
        <tr r="X25" s="2"/>
      </tp>
      <tp t="s">
        <v/>
        <stp/>
        <stp>##V3_BQLV12</stp>
        <stp>[MODL_CRM_US1.xlsx]Single Period!R33C36</stp>
        <stp>SEG0000269227 Segment</stp>
        <stp>IS_PERCENTAGE_OF_REVENUE</stp>
        <stp>FPR=2022Y</stp>
        <stp>FPT=A</stp>
        <stp>FA_ACT_EST_DATA=E, EST_SOURCE=MAC</stp>
        <stp>ACT_EST_MAPPING=PRECISE</stp>
        <stp>FS=MRC</stp>
        <stp>CURRENCY=USD</stp>
        <stp>XLFILL=b</stp>
        <tr r="AJ33" s="2"/>
      </tp>
      <tp t="s">
        <v/>
        <stp/>
        <stp>##V3_BQLV12</stp>
        <stp>[MODL_CRM_US1.xlsx]Single Period!R44C13</stp>
        <stp>SEG0000269240 Segment</stp>
        <stp>IS_PERCENTAGE_OF_REVENUE</stp>
        <stp>FPR=2022Y</stp>
        <stp>FPT=A</stp>
        <stp>FA_ACT_EST_DATA=E, EST_SOURCE=BCA</stp>
        <stp>ACT_EST_MAPPING=PRECISE</stp>
        <stp>FS=MRC</stp>
        <stp>CURRENCY=USD</stp>
        <stp>XLFILL=b</stp>
        <tr r="M44" s="2"/>
      </tp>
      <tp t="s">
        <v/>
        <stp/>
        <stp>##V3_BQLV12</stp>
        <stp>[MODL_CRM_US1.xlsx]Single Period!R49C55</stp>
        <stp>SEG0000269229 Segment</stp>
        <stp>IS_PERCENTAGE_OF_REVENUE</stp>
        <stp>FPR=2022Y</stp>
        <stp>FPT=A</stp>
        <stp>FA_ACT_EST_DATA=E, EST_SOURCE=RED</stp>
        <stp>ACT_EST_MAPPING=PRECISE</stp>
        <stp>FS=MRC</stp>
        <stp>CURRENCY=USD</stp>
        <stp>XLFILL=b</stp>
        <tr r="BC49" s="2"/>
      </tp>
      <tp t="s">
        <v/>
        <stp/>
        <stp>##V3_BQLV12</stp>
        <stp>[MODL_CRM_US1.xlsx]Single Period!R49C13</stp>
        <stp>SEG0000269229 Segment</stp>
        <stp>IS_PERCENTAGE_OF_REVENUE</stp>
        <stp>FPR=2022Y</stp>
        <stp>FPT=A</stp>
        <stp>FA_ACT_EST_DATA=E, EST_SOURCE=BCA</stp>
        <stp>ACT_EST_MAPPING=PRECISE</stp>
        <stp>FS=MRC</stp>
        <stp>CURRENCY=USD</stp>
        <stp>XLFILL=b</stp>
        <tr r="M49" s="2"/>
      </tp>
      <tp t="s">
        <v/>
        <stp/>
        <stp>##V3_BQLV12</stp>
        <stp>[MODL_CRM_US1.xlsx]Single Period!R39C36</stp>
        <stp>SEG0000269228 Segment</stp>
        <stp>IS_PERCENTAGE_OF_REVENUE</stp>
        <stp>FPR=2022Y</stp>
        <stp>FPT=A</stp>
        <stp>FA_ACT_EST_DATA=E, EST_SOURCE=MAC</stp>
        <stp>ACT_EST_MAPPING=PRECISE</stp>
        <stp>FS=MRC</stp>
        <stp>CURRENCY=USD</stp>
        <stp>XLFILL=b</stp>
        <tr r="AJ39" s="2"/>
      </tp>
      <tp t="s">
        <v/>
        <stp/>
        <stp>##V3_BQLV12</stp>
        <stp>[MODL_CRM_US1.xlsx]Single Period!R81C12</stp>
        <stp>CRM US Equity</stp>
        <stp>IS_TOT_OPER_EXP/1M</stp>
        <stp>FPR=2022Y</stp>
        <stp>FPT=A</stp>
        <stp>FA_ACT_EST_DATA=E, EST_SOURCE=BMO</stp>
        <stp>ACT_EST_MAPPING=PRECISE</stp>
        <stp>FS=MRC</stp>
        <stp>CURRENCY=USD</stp>
        <stp>XLFILL=b</stp>
        <tr r="L81" s="2"/>
      </tp>
      <tp t="s">
        <v/>
        <stp/>
        <stp>##V3_BQLV12</stp>
        <stp>[MODL_CRM_US1.xlsx]Single Period!R8C53</stp>
        <stp>CRM US Equity</stp>
        <stp>REVENUE_GROWTH_CC_1_YR</stp>
        <stp>FPR=2022Y</stp>
        <stp>FPT=A</stp>
        <stp>FA_ACT_EST_DATA=E, EST_SOURCE=NIK</stp>
        <stp>ACT_EST_MAPPING=PRECISE</stp>
        <stp>FS=MRC</stp>
        <stp>CURRENCY=USD</stp>
        <stp>XLFILL=b</stp>
        <tr r="BA8" s="2"/>
      </tp>
      <tp>
        <v>387.85729365768049</v>
        <stp/>
        <stp>##V3_BQLV12</stp>
        <stp>[MODL_CRM_US1.xlsx]Single Period!R114C8</stp>
        <stp>CRM US Equity</stp>
        <stp>CONTRIBUTOR_STATS(BS_ACCTS_REC_EXCL_NOTES_REC, STD)/1M</stp>
        <stp>FPR=2022Y</stp>
        <stp>FPT=A</stp>
        <stp>FA_ACT_EST_DATA=E</stp>
        <stp>ACT_EST_MAPPING=PRECISE</stp>
        <stp>FS=MRC</stp>
        <stp>CURRENCY=USD</stp>
        <stp>XLFILL=b</stp>
        <tr r="H114" s="2"/>
      </tp>
      <tp t="s">
        <v/>
        <stp/>
        <stp>##V3_BQLV12</stp>
        <stp>[MODL_CRM_US1.xlsx]Single Period!R120C22</stp>
        <stp>CRM US Equity</stp>
        <stp>BS_LONG_TERM_INVESTMENTS/1M</stp>
        <stp>FPR=2022Y</stp>
        <stp>FPT=A</stp>
        <stp>FA_ACT_EST_DATA=E, EST_SOURCE=OPY</stp>
        <stp>ACT_EST_MAPPING=PRECISE</stp>
        <stp>FS=MRC</stp>
        <stp>CURRENCY=USD</stp>
        <stp>XLFILL=b</stp>
        <tr r="V120" s="2"/>
      </tp>
      <tp>
        <v>1.8357032308704531</v>
        <stp/>
        <stp>##V3_BQLV12</stp>
        <stp>[MODL_CRM_US1.xlsx]Single Period!R88C21</stp>
        <stp>CRM US Equity</stp>
        <stp>OPER_INC_TO_NET_SALES</stp>
        <stp>FPR=2022Y</stp>
        <stp>FPT=A</stp>
        <stp>FA_ACT_EST_DATA=E, EST_SOURCE=RJA</stp>
        <stp>ACT_EST_MAPPING=PRECISE</stp>
        <stp>FS=MRC</stp>
        <stp>CURRENCY=USD</stp>
        <stp>XLFILL=b</stp>
        <tr r="U88" s="2"/>
      </tp>
      <tp t="s">
        <v/>
        <stp/>
        <stp>##V3_BQLV12</stp>
        <stp>[MODL_CRM_US1.xlsx]Single Period!R88C48</stp>
        <stp>CRM US Equity</stp>
        <stp>OPER_INC_TO_NET_SALES</stp>
        <stp>FPR=2022Y</stp>
        <stp>FPT=A</stp>
        <stp>FA_ACT_EST_DATA=E, EST_SOURCE=PJE</stp>
        <stp>ACT_EST_MAPPING=PRECISE</stp>
        <stp>FS=MRC</stp>
        <stp>CURRENCY=USD</stp>
        <stp>XLFILL=b</stp>
        <tr r="AV88" s="2"/>
      </tp>
      <tp>
        <v>3909</v>
        <stp/>
        <stp>##V3_BQLV12</stp>
        <stp>[MODL_CRM_US1.xlsx]Single Period!R120C15</stp>
        <stp>CRM US Equity</stp>
        <stp>BS_LONG_TERM_INVESTMENTS/1M</stp>
        <stp>FPR=2022Y</stp>
        <stp>FPT=A</stp>
        <stp>FA_ACT_EST_DATA=E, EST_SOURCE=MSV</stp>
        <stp>ACT_EST_MAPPING=PRECISE</stp>
        <stp>FS=MRC</stp>
        <stp>CURRENCY=USD</stp>
        <stp>XLFILL=b</stp>
        <tr r="O120" s="2"/>
      </tp>
      <tp t="s">
        <v/>
        <stp/>
        <stp>##V3_BQLV12</stp>
        <stp>[MODL_CRM_US1.xlsx]Single Period!R120C23</stp>
        <stp>CRM US Equity</stp>
        <stp>BS_LONG_TERM_INVESTMENTS/1M</stp>
        <stp>FPR=2022Y</stp>
        <stp>FPT=A</stp>
        <stp>FA_ACT_EST_DATA=E, EST_SOURCE=JPM</stp>
        <stp>ACT_EST_MAPPING=PRECISE</stp>
        <stp>FS=MRC</stp>
        <stp>CURRENCY=USD</stp>
        <stp>XLFILL=b</stp>
        <tr r="W120" s="2"/>
      </tp>
      <tp>
        <v>8846.040920674528</v>
        <stp/>
        <stp>##V3_BQLV12</stp>
        <stp>[MODL_CRM_US1.xlsx]Single Period!R114C6</stp>
        <stp>CRM US Equity</stp>
        <stp>CONTRIBUTOR_STATS(BS_ACCTS_REC_EXCL_NOTES_REC, MIN)/1M</stp>
        <stp>FPR=2022Y</stp>
        <stp>FPT=A</stp>
        <stp>FA_ACT_EST_DATA=E</stp>
        <stp>ACT_EST_MAPPING=PRECISE</stp>
        <stp>FS=MRC</stp>
        <stp>CURRENCY=USD</stp>
        <stp>XLFILL=b</stp>
        <tr r="F114" s="2"/>
      </tp>
      <tp>
        <v>10247.183935999999</v>
        <stp/>
        <stp>##V3_BQLV12</stp>
        <stp>[MODL_CRM_US1.xlsx]Single Period!R114C7</stp>
        <stp>CRM US Equity</stp>
        <stp>CONTRIBUTOR_STATS(BS_ACCTS_REC_EXCL_NOTES_REC, MAX)/1M</stp>
        <stp>FPR=2022Y</stp>
        <stp>FPT=A</stp>
        <stp>FA_ACT_EST_DATA=E</stp>
        <stp>ACT_EST_MAPPING=PRECISE</stp>
        <stp>FS=MRC</stp>
        <stp>CURRENCY=USD</stp>
        <stp>XLFILL=b</stp>
        <tr r="G114" s="2"/>
      </tp>
      <tp t="s">
        <v/>
        <stp/>
        <stp>##V3_BQLV12</stp>
        <stp>[MODL_CRM_US1.xlsx]Single Period!R8C56</stp>
        <stp>CRM US Equity</stp>
        <stp>REVENUE_GROWTH_CC_1_YR</stp>
        <stp>FPR=2022Y</stp>
        <stp>FPT=A</stp>
        <stp>FA_ACT_EST_DATA=E, EST_SOURCE=DIR</stp>
        <stp>ACT_EST_MAPPING=PRECISE</stp>
        <stp>FS=MRC</stp>
        <stp>CURRENCY=USD</stp>
        <stp>XLFILL=b</stp>
        <tr r="BD8" s="2"/>
      </tp>
      <tp t="s">
        <v/>
        <stp/>
        <stp>##V3_BQLV12</stp>
        <stp>[MODL_CRM_US1.xlsx]Single Period!R81C20</stp>
        <stp>CRM US Equity</stp>
        <stp>IS_TOT_OPER_EXP/1M</stp>
        <stp>FPR=2022Y</stp>
        <stp>FPT=A</stp>
        <stp>FA_ACT_EST_DATA=E, EST_SOURCE=JMP</stp>
        <stp>ACT_EST_MAPPING=PRECISE</stp>
        <stp>FS=MRC</stp>
        <stp>CURRENCY=USD</stp>
        <stp>XLFILL=b</stp>
        <tr r="T81" s="2"/>
      </tp>
      <tp>
        <v>78.634227763136195</v>
        <stp/>
        <stp>##V3_BQLV12</stp>
        <stp>[MODL_CRM_US1.xlsx]Single Period!R56C9</stp>
        <stp>CRM US Equity</stp>
        <stp>CONTRIBUTOR_STATS(IS_COMP_GROSS_MARGIN_PERCENTAGE, MEDIAN)</stp>
        <stp>FPR=2022Y</stp>
        <stp>FPT=A</stp>
        <stp>FA_ACT_EST_DATA=E</stp>
        <stp>ACT_EST_MAPPING=PRECISE</stp>
        <stp>FS=MRC</stp>
        <stp>CURRENCY=USD</stp>
        <stp>XLFILL=b</stp>
        <tr r="I56" s="2"/>
      </tp>
      <tp t="s">
        <v/>
        <stp/>
        <stp>##V3_BQLV12</stp>
        <stp>[MODL_CRM_US1.xlsx]Single Period!R81C25</stp>
        <stp>CRM US Equity</stp>
        <stp>IS_TOT_OPER_EXP/1M</stp>
        <stp>FPR=2022Y</stp>
        <stp>FPT=A</stp>
        <stp>FA_ACT_EST_DATA=E, EST_SOURCE=WMS</stp>
        <stp>ACT_EST_MAPPING=PRECISE</stp>
        <stp>FS=MRC</stp>
        <stp>CURRENCY=USD</stp>
        <stp>XLFILL=b</stp>
        <tr r="Y81" s="2"/>
      </tp>
      <tp t="s">
        <v/>
        <stp/>
        <stp>##V3_BQLV12</stp>
        <stp>[MODL_CRM_US1.xlsx]Single Period!R187C45</stp>
        <stp>CRM US Equity</stp>
        <stp>CF_NET_CHNG_CASH/1M</stp>
        <stp>FPR=2022Y</stp>
        <stp>FPT=A</stp>
        <stp>FA_ACT_EST_DATA=E, EST_SOURCE=ARG</stp>
        <stp>ACT_EST_MAPPING=PRECISE</stp>
        <stp>FS=MRC</stp>
        <stp>CURRENCY=USD</stp>
        <stp>XLFILL=b</stp>
        <tr r="AS187" s="2"/>
      </tp>
      <tp t="s">
        <v/>
        <stp/>
        <stp>##V3_BQLV12</stp>
        <stp>[MODL_CRM_US1.xlsx]Single Period!R130C10</stp>
        <stp>CRM US Equity</stp>
        <stp>BS_ST_OPERATING_LEASE_LIABS/1M</stp>
        <stp>FPR=2022Y</stp>
        <stp>FPT=A</stp>
        <stp>FA_ACT_EST_DATA=E, EST_SOURCE=CMPY</stp>
        <stp>ACT_EST_MAPPING=PRECISE</stp>
        <stp>FS=MRC</stp>
        <stp>CURRENCY=USD</stp>
        <stp>XLFILL=b</stp>
        <tr r="J130" s="2"/>
      </tp>
      <tp>
        <v>4921</v>
        <stp/>
        <stp>##V3_BQLV12</stp>
        <stp>[MODL_CRM_US1.xlsx]Single Period!R19C37</stp>
        <stp>CRM US Equity</stp>
        <stp>IS_COMPARABLE_EBIT/1M</stp>
        <stp>FPR=2022Y</stp>
        <stp>FPT=A</stp>
        <stp>FA_ACT_EST_DATA=E, EST_SOURCE=EVR</stp>
        <stp>ACT_EST_MAPPING=PRECISE</stp>
        <stp>FS=MRC</stp>
        <stp>CURRENCY=USD</stp>
        <stp>XLFILL=b</stp>
        <tr r="AK19" s="2"/>
      </tp>
      <tp t="s">
        <v/>
        <stp/>
        <stp>##V3_BQLV12</stp>
        <stp>[MODL_CRM_US1.xlsx]Single Period!R172C52</stp>
        <stp>CRM US Equity</stp>
        <stp>CAP_EXPEND_TO_SALES</stp>
        <stp>FPR=2022Y</stp>
        <stp>FPT=A</stp>
        <stp>FA_ACT_EST_DATA=E, EST_SOURCE=WFR</stp>
        <stp>ACT_EST_MAPPING=PRECISE</stp>
        <stp>FS=MRC</stp>
        <stp>CURRENCY=USD</stp>
        <stp>XLFILL=b</stp>
        <tr r="AZ172" s="2"/>
      </tp>
      <tp t="s">
        <v/>
        <stp/>
        <stp>##V3_BQLV12</stp>
        <stp>[MODL_CRM_US1.xlsx]Single Period!R172C11</stp>
        <stp>CRM US Equity</stp>
        <stp>CAP_EXPEND_TO_SALES</stp>
        <stp>FPR=2022Y</stp>
        <stp>FPT=A</stp>
        <stp>FA_ACT_EST_DATA=E, EST_SOURCE=WBL</stp>
        <stp>ACT_EST_MAPPING=PRECISE</stp>
        <stp>FS=MRC</stp>
        <stp>CURRENCY=USD</stp>
        <stp>XLFILL=b</stp>
        <tr r="K172" s="2"/>
      </tp>
      <tp t="s">
        <v/>
        <stp/>
        <stp>##V3_BQLV12</stp>
        <stp>[MODL_CRM_US1.xlsx]Single Period!R172C49</stp>
        <stp>CRM US Equity</stp>
        <stp>CAP_EXPEND_TO_SALES</stp>
        <stp>FPR=2022Y</stp>
        <stp>FPT=A</stp>
        <stp>FA_ACT_EST_DATA=E, EST_SOURCE=SGE</stp>
        <stp>ACT_EST_MAPPING=PRECISE</stp>
        <stp>FS=MRC</stp>
        <stp>CURRENCY=USD</stp>
        <stp>XLFILL=b</stp>
        <tr r="AW172" s="2"/>
      </tp>
      <tp t="s">
        <v/>
        <stp/>
        <stp>##V3_BQLV12</stp>
        <stp>[MODL_CRM_US1.xlsx]Single Period!R172C16</stp>
        <stp>CRM US Equity</stp>
        <stp>CAP_EXPEND_TO_SALES</stp>
        <stp>FPR=2022Y</stp>
        <stp>FPT=A</stp>
        <stp>FA_ACT_EST_DATA=E, EST_SOURCE=DBG</stp>
        <stp>ACT_EST_MAPPING=PRECISE</stp>
        <stp>FS=MRC</stp>
        <stp>CURRENCY=USD</stp>
        <stp>XLFILL=b</stp>
        <tr r="P172" s="2"/>
      </tp>
      <tp t="s">
        <v/>
        <stp/>
        <stp>##V3_BQLV12</stp>
        <stp>[MODL_CRM_US1.xlsx]Single Period!R79C48</stp>
        <stp>CRM US Equity</stp>
        <stp>CB_IS_GROSS_PROFIT/1M</stp>
        <stp>FPR=2022Y</stp>
        <stp>FPT=A</stp>
        <stp>FA_ACT_EST_DATA=E, EST_SOURCE=PJE</stp>
        <stp>ACT_EST_MAPPING=PRECISE</stp>
        <stp>FS=MRC</stp>
        <stp>CURRENCY=USD</stp>
        <stp>XLFILL=b</stp>
        <tr r="AV79" s="2"/>
      </tp>
      <tp t="s">
        <v/>
        <stp/>
        <stp>##V3_BQLV12</stp>
        <stp>[MODL_CRM_US1.xlsx]Single Period!R79C21</stp>
        <stp>CRM US Equity</stp>
        <stp>CB_IS_GROSS_PROFIT/1M</stp>
        <stp>FPR=2022Y</stp>
        <stp>FPT=A</stp>
        <stp>FA_ACT_EST_DATA=E, EST_SOURCE=RJA</stp>
        <stp>ACT_EST_MAPPING=PRECISE</stp>
        <stp>FS=MRC</stp>
        <stp>CURRENCY=USD</stp>
        <stp>XLFILL=b</stp>
        <tr r="U79" s="2"/>
      </tp>
    </main>
    <main first="bloomberg.rtd">
      <tp t="s">
        <v/>
        <stp/>
        <stp>##V3_BQLV12</stp>
        <stp>[MODL_CRM_US1.xlsx]Single Period!R6C48</stp>
        <stp>CRM US Equity</stp>
        <stp>IS_COMP_EPS_EXCL_STOCK_COMP</stp>
        <stp>FPR=2022Y</stp>
        <stp>FPT=A</stp>
        <stp>FA_ACT_EST_DATA=E, EST_SOURCE=PJE</stp>
        <stp>ACT_EST_MAPPING=PRECISE</stp>
        <stp>FS=MRC</stp>
        <stp>CURRENCY=USD</stp>
        <stp>XLFILL=b</stp>
        <tr r="AV6" s="2"/>
      </tp>
      <tp t="s">
        <v/>
        <stp/>
        <stp>##V3_BQLV12</stp>
        <stp>[MODL_CRM_US1.xlsx]Single Period!R44C47</stp>
        <stp>SEG0000269240 Segment</stp>
        <stp>IS_PERCENTAGE_OF_REVENUE</stp>
        <stp>FPR=2022Y</stp>
        <stp>FPT=A</stp>
        <stp>FA_ACT_EST_DATA=E, EST_SOURCE=WFT</stp>
        <stp>ACT_EST_MAPPING=PRECISE</stp>
        <stp>FS=MRC</stp>
        <stp>CURRENCY=USD</stp>
        <stp>XLFILL=b</stp>
        <tr r="AU44" s="2"/>
      </tp>
      <tp t="s">
        <v/>
        <stp/>
        <stp>##V3_BQLV12</stp>
        <stp>[MODL_CRM_US1.xlsx]Single Period!R25C29</stp>
        <stp>SEG0000269238 Segment</stp>
        <stp>IS_PERCENTAGE_OF_REVENUE</stp>
        <stp>FPR=2022Y</stp>
        <stp>FPT=A</stp>
        <stp>FA_ACT_EST_DATA=E, EST_SOURCE=BNS</stp>
        <stp>ACT_EST_MAPPING=PRECISE</stp>
        <stp>FS=MRC</stp>
        <stp>CURRENCY=USD</stp>
        <stp>XLFILL=b</stp>
        <tr r="AC25" s="2"/>
      </tp>
      <tp>
        <v>7650.5057579047925</v>
        <stp/>
        <stp>##V3_BQLV12</stp>
        <stp>[MODL_CRM_US1.xlsx]Single Period!R141C9</stp>
        <stp>CRM US Equity</stp>
        <stp>CONTRIBUTOR_STATS(BS_PURE_RETAINED_EARNINGS, MEDIAN)/1M</stp>
        <stp>FPR=2022Y</stp>
        <stp>FPT=A</stp>
        <stp>FA_ACT_EST_DATA=E</stp>
        <stp>ACT_EST_MAPPING=PRECISE</stp>
        <stp>FS=MRC</stp>
        <stp>CURRENCY=USD</stp>
        <stp>XLFILL=b</stp>
        <tr r="I141" s="2"/>
      </tp>
      <tp>
        <v>7753.6056340127825</v>
        <stp/>
        <stp>##V3_BQLV12</stp>
        <stp>[MODL_CRM_US1.xlsx]Single Period!R141C5</stp>
        <stp>CRM US Equity</stp>
        <stp>BS_PURE_RETAINED_EARNINGS/1M</stp>
        <stp>FPR=2022Y</stp>
        <stp>FPT=A</stp>
        <stp>FA_ACT_EST_DATA=E</stp>
        <stp>ACT_EST_MAPPING=PRECISE</stp>
        <stp>FS=MRC</stp>
        <stp>CURRENCY=USD</stp>
        <stp>XLFILL=b</stp>
        <tr r="E141" s="2"/>
      </tp>
      <tp t="s">
        <v/>
        <stp/>
        <stp>##V3_BQLV12</stp>
        <stp>[MODL_CRM_US1.xlsx]Single Period!R49C47</stp>
        <stp>SEG0000269229 Segment</stp>
        <stp>IS_PERCENTAGE_OF_REVENUE</stp>
        <stp>FPR=2022Y</stp>
        <stp>FPT=A</stp>
        <stp>FA_ACT_EST_DATA=E, EST_SOURCE=WFT</stp>
        <stp>ACT_EST_MAPPING=PRECISE</stp>
        <stp>FS=MRC</stp>
        <stp>CURRENCY=USD</stp>
        <stp>XLFILL=b</stp>
        <tr r="AU49" s="2"/>
      </tp>
      <tp t="s">
        <v/>
        <stp/>
        <stp>##V3_BQLV12</stp>
        <stp>[MODL_CRM_US1.xlsx]Single Period!R49C30</stp>
        <stp>SEG0000269229 Segment</stp>
        <stp>IS_PERCENTAGE_OF_REVENUE</stp>
        <stp>FPR=2022Y</stp>
        <stp>FPT=A</stp>
        <stp>FA_ACT_EST_DATA=E, EST_SOURCE=BAM</stp>
        <stp>ACT_EST_MAPPING=PRECISE</stp>
        <stp>FS=MRC</stp>
        <stp>CURRENCY=USD</stp>
        <stp>XLFILL=b</stp>
        <tr r="AD49" s="2"/>
      </tp>
      <tp t="s">
        <v/>
        <stp/>
        <stp>##V3_BQLV12</stp>
        <stp>[MODL_CRM_US1.xlsx]Single Period!R44C34</stp>
        <stp>SEG0000269240 Segment</stp>
        <stp>IS_PERCENTAGE_OF_REVENUE</stp>
        <stp>FPR=2022Y</stp>
        <stp>FPT=A</stp>
        <stp>FA_ACT_EST_DATA=E, EST_SOURCE=JEF</stp>
        <stp>ACT_EST_MAPPING=PRECISE</stp>
        <stp>FS=MRC</stp>
        <stp>CURRENCY=USD</stp>
        <stp>XLFILL=b</stp>
        <tr r="AH44" s="2"/>
      </tp>
      <tp t="s">
        <v/>
        <stp/>
        <stp>##V3_BQLV12</stp>
        <stp>[MODL_CRM_US1.xlsx]Single Period!R25C36</stp>
        <stp>SEG0000269238 Segment</stp>
        <stp>IS_PERCENTAGE_OF_REVENUE</stp>
        <stp>FPR=2022Y</stp>
        <stp>FPT=A</stp>
        <stp>FA_ACT_EST_DATA=E, EST_SOURCE=MAC</stp>
        <stp>ACT_EST_MAPPING=PRECISE</stp>
        <stp>FS=MRC</stp>
        <stp>CURRENCY=USD</stp>
        <stp>XLFILL=b</stp>
        <tr r="AJ25" s="2"/>
      </tp>
      <tp>
        <v>6.472447931037542</v>
        <stp/>
        <stp>##V3_BQLV12</stp>
        <stp>[MODL_CRM_US1.xlsx]Single Period!R33C24</stp>
        <stp>SEG0000269227 Segment</stp>
        <stp>IS_PERCENTAGE_OF_REVENUE</stp>
        <stp>FPR=2022Y</stp>
        <stp>FPT=A</stp>
        <stp>FA_ACT_EST_DATA=E, EST_SOURCE=FBC</stp>
        <stp>ACT_EST_MAPPING=PRECISE</stp>
        <stp>FS=MRC</stp>
        <stp>CURRENCY=USD</stp>
        <stp>XLFILL=b</stp>
        <tr r="X33" s="2"/>
      </tp>
      <tp>
        <v>4553</v>
        <stp/>
        <stp>##V3_BQLV12</stp>
        <stp>[MODL_CRM_US1.xlsx]Single Period!R70C14</stp>
        <stp>CRM US Equity</stp>
        <stp>IS_COMP_NET_INC_EXCL_STOCK_COMP/1M</stp>
        <stp>FPR=2022Y</stp>
        <stp>FPT=A</stp>
        <stp>FA_ACT_EST_DATA=E, EST_SOURCE=SNR</stp>
        <stp>ACT_EST_MAPPING=PRECISE</stp>
        <stp>FS=MRC</stp>
        <stp>CURRENCY=USD</stp>
        <stp>XLFILL=b</stp>
        <tr r="N70" s="2"/>
      </tp>
      <tp>
        <v>4531</v>
        <stp/>
        <stp>##V3_BQLV12</stp>
        <stp>[MODL_CRM_US1.xlsx]Single Period!R70C29</stp>
        <stp>CRM US Equity</stp>
        <stp>IS_COMP_NET_INC_EXCL_STOCK_COMP/1M</stp>
        <stp>FPR=2022Y</stp>
        <stp>FPT=A</stp>
        <stp>FA_ACT_EST_DATA=E, EST_SOURCE=BNS</stp>
        <stp>ACT_EST_MAPPING=PRECISE</stp>
        <stp>FS=MRC</stp>
        <stp>CURRENCY=USD</stp>
        <stp>XLFILL=b</stp>
        <tr r="AC70" s="2"/>
      </tp>
      <tp t="s">
        <v/>
        <stp/>
        <stp>##V3_BQLV12</stp>
        <stp>[MODL_CRM_US1.xlsx]Single Period!R49C34</stp>
        <stp>SEG0000269229 Segment</stp>
        <stp>IS_PERCENTAGE_OF_REVENUE</stp>
        <stp>FPR=2022Y</stp>
        <stp>FPT=A</stp>
        <stp>FA_ACT_EST_DATA=E, EST_SOURCE=JEF</stp>
        <stp>ACT_EST_MAPPING=PRECISE</stp>
        <stp>FS=MRC</stp>
        <stp>CURRENCY=USD</stp>
        <stp>XLFILL=b</stp>
        <tr r="AH49" s="2"/>
      </tp>
      <tp t="s">
        <v/>
        <stp/>
        <stp>##V3_BQLV12</stp>
        <stp>[MODL_CRM_US1.xlsx]Single Period!R44C30</stp>
        <stp>SEG0000269240 Segment</stp>
        <stp>IS_PERCENTAGE_OF_REVENUE</stp>
        <stp>FPR=2022Y</stp>
        <stp>FPT=A</stp>
        <stp>FA_ACT_EST_DATA=E, EST_SOURCE=BAM</stp>
        <stp>ACT_EST_MAPPING=PRECISE</stp>
        <stp>FS=MRC</stp>
        <stp>CURRENCY=USD</stp>
        <stp>XLFILL=b</stp>
        <tr r="AD44" s="2"/>
      </tp>
      <tp>
        <v>901.23468497637793</v>
        <stp/>
        <stp>##V3_BQLV12</stp>
        <stp>[MODL_CRM_US1.xlsx]Single Period!R105C9</stp>
        <stp>CRM US Equity</stp>
        <stp>CONTRIBUTOR_STATS(IS_AMORT_ACQD_INTANGIBLES_COGS, MEDIAN)/1M</stp>
        <stp>FPR=2022Y</stp>
        <stp>FPT=A</stp>
        <stp>FA_ACT_EST_DATA=E</stp>
        <stp>ACT_EST_MAPPING=PRECISE</stp>
        <stp>FS=MRC</stp>
        <stp>CURRENCY=USD</stp>
        <stp>XLFILL=b</stp>
        <tr r="I105" s="2"/>
      </tp>
      <tp>
        <v>67.926975088849133</v>
        <stp/>
        <stp>##V3_BQLV12</stp>
        <stp>[MODL_CRM_US1.xlsx]Single Period!R39C24</stp>
        <stp>SEG0000269228 Segment</stp>
        <stp>IS_PERCENTAGE_OF_REVENUE</stp>
        <stp>FPR=2022Y</stp>
        <stp>FPT=A</stp>
        <stp>FA_ACT_EST_DATA=E, EST_SOURCE=FBC</stp>
        <stp>ACT_EST_MAPPING=PRECISE</stp>
        <stp>FS=MRC</stp>
        <stp>CURRENCY=USD</stp>
        <stp>XLFILL=b</stp>
        <tr r="X39" s="2"/>
      </tp>
      <tp>
        <v>6.1673466342662853E-2</v>
        <stp/>
        <stp>##V3_BQLV12</stp>
        <stp>[MODL_CRM_US1.xlsx]Single Period!R184C8</stp>
        <stp>CRM US Equity</stp>
        <stp>CONTRIBUTOR_STATS(CFO_TO_SALES, STD)</stp>
        <stp>FPR=2022Y</stp>
        <stp>FPT=A</stp>
        <stp>FA_ACT_EST_DATA=E</stp>
        <stp>ACT_EST_MAPPING=PRECISE</stp>
        <stp>FS=MRC</stp>
        <stp>CURRENCY=USD</stp>
        <stp>XLFILL=b</stp>
        <tr r="H184" s="2"/>
      </tp>
      <tp>
        <v>17.831751461055109</v>
        <stp/>
        <stp>##V3_BQLV12</stp>
        <stp>[MODL_CRM_US1.xlsx]Single Period!R71C7</stp>
        <stp>CRM US Equity</stp>
        <stp>CONTRIBUTOR_STATS(ADJ_PROFIT_MARGIN, MAX)</stp>
        <stp>FPR=2022Y</stp>
        <stp>FPT=A</stp>
        <stp>FA_ACT_EST_DATA=E</stp>
        <stp>ACT_EST_MAPPING=PRECISE</stp>
        <stp>FS=MRC</stp>
        <stp>CURRENCY=USD</stp>
        <stp>XLFILL=b</stp>
        <tr r="G71" s="2"/>
      </tp>
      <tp>
        <v>17.205234429084751</v>
        <stp/>
        <stp>##V3_BQLV12</stp>
        <stp>[MODL_CRM_US1.xlsx]Single Period!R71C6</stp>
        <stp>CRM US Equity</stp>
        <stp>CONTRIBUTOR_STATS(ADJ_PROFIT_MARGIN, MIN)</stp>
        <stp>FPR=2022Y</stp>
        <stp>FPT=A</stp>
        <stp>FA_ACT_EST_DATA=E</stp>
        <stp>ACT_EST_MAPPING=PRECISE</stp>
        <stp>FS=MRC</stp>
        <stp>CURRENCY=USD</stp>
        <stp>XLFILL=b</stp>
        <tr r="F71" s="2"/>
      </tp>
      <tp t="s">
        <v/>
        <stp/>
        <stp>##V3_BQLV12</stp>
        <stp>[MODL_CRM_US1.xlsx]Single Period!R187C41</stp>
        <stp>CRM US Equity</stp>
        <stp>CF_NET_CHNG_CASH/1M</stp>
        <stp>FPR=2022Y</stp>
        <stp>FPT=A</stp>
        <stp>FA_ACT_EST_DATA=E, EST_SOURCE=GSR</stp>
        <stp>ACT_EST_MAPPING=PRECISE</stp>
        <stp>FS=MRC</stp>
        <stp>CURRENCY=USD</stp>
        <stp>XLFILL=b</stp>
        <tr r="AO187" s="2"/>
      </tp>
      <tp t="s">
        <v/>
        <stp/>
        <stp>##V3_BQLV12</stp>
        <stp>[MODL_CRM_US1.xlsx]Single Period!R63C10</stp>
        <stp>CRM US Equity</stp>
        <stp>CF_DEPR_AMORT/1M</stp>
        <stp>FPR=2022Y</stp>
        <stp>FPT=A</stp>
        <stp>FA_ACT_EST_DATA=E, EST_SOURCE=CMPY</stp>
        <stp>ACT_EST_MAPPING=PRECISE</stp>
        <stp>FS=MRC</stp>
        <stp>CURRENCY=USD</stp>
        <stp>XLFILL=b</stp>
        <tr r="J63" s="2"/>
      </tp>
      <tp t="s">
        <v/>
        <stp/>
        <stp>##V3_BQLV12</stp>
        <stp>[MODL_CRM_US1.xlsx]Single Period!R99C36</stp>
        <stp>CRM US Equity</stp>
        <stp>IS_SBC_NON_GAAP/1M</stp>
        <stp>FPR=2022Y</stp>
        <stp>FPT=A</stp>
        <stp>FA_ACT_EST_DATA=E, EST_SOURCE=MAC</stp>
        <stp>ACT_EST_MAPPING=PRECISE</stp>
        <stp>FS=MRC</stp>
        <stp>CURRENCY=USD</stp>
        <stp>XLFILL=b</stp>
        <tr r="AJ99" s="2"/>
      </tp>
      <tp t="s">
        <v/>
        <stp/>
        <stp>##V3_BQLV12</stp>
        <stp>[MODL_CRM_US1.xlsx]Single Period!R187C35</stp>
        <stp>CRM US Equity</stp>
        <stp>CF_NET_CHNG_CASH/1M</stp>
        <stp>FPR=2022Y</stp>
        <stp>FPT=A</stp>
        <stp>FA_ACT_EST_DATA=E, EST_SOURCE=ATL</stp>
        <stp>ACT_EST_MAPPING=PRECISE</stp>
        <stp>FS=MRC</stp>
        <stp>CURRENCY=USD</stp>
        <stp>XLFILL=b</stp>
        <tr r="AI187" s="2"/>
      </tp>
      <tp t="s">
        <v/>
        <stp/>
        <stp>##V3_BQLV12</stp>
        <stp>[MODL_CRM_US1.xlsx]Single Period!R120C43</stp>
        <stp>CRM US Equity</stp>
        <stp>BS_LONG_TERM_INVESTMENTS/1M</stp>
        <stp>FPR=2022Y</stp>
        <stp>FPT=A</stp>
        <stp>FA_ACT_EST_DATA=E, EST_SOURCE=DWI</stp>
        <stp>ACT_EST_MAPPING=PRECISE</stp>
        <stp>FS=MRC</stp>
        <stp>CURRENCY=USD</stp>
        <stp>XLFILL=b</stp>
        <tr r="AQ120" s="2"/>
      </tp>
      <tp t="s">
        <v/>
        <stp/>
        <stp>##V3_BQLV12</stp>
        <stp>[MODL_CRM_US1.xlsx]Single Period!R187C42</stp>
        <stp>CRM US Equity</stp>
        <stp>CF_NET_CHNG_CASH/1M</stp>
        <stp>FPR=2022Y</stp>
        <stp>FPT=A</stp>
        <stp>FA_ACT_EST_DATA=E, EST_SOURCE=PSG</stp>
        <stp>ACT_EST_MAPPING=PRECISE</stp>
        <stp>FS=MRC</stp>
        <stp>CURRENCY=USD</stp>
        <stp>XLFILL=b</stp>
        <tr r="AP187" s="2"/>
      </tp>
      <tp t="s">
        <v/>
        <stp/>
        <stp>##V3_BQLV12</stp>
        <stp>[MODL_CRM_US1.xlsx]Single Period!R161C50</stp>
        <stp>CRM US Equity</stp>
        <stp>CF_ACCT_RCV_UNBILLED_REV/1M</stp>
        <stp>FPR=2022Y</stp>
        <stp>FPT=A</stp>
        <stp>FA_ACT_EST_DATA=E, EST_SOURCE=MZS</stp>
        <stp>ACT_EST_MAPPING=PRECISE</stp>
        <stp>FS=MRC</stp>
        <stp>CURRENCY=USD</stp>
        <stp>XLFILL=b</stp>
        <tr r="AX161" s="2"/>
      </tp>
      <tp t="s">
        <v/>
        <stp/>
        <stp>##V3_BQLV12</stp>
        <stp>[MODL_CRM_US1.xlsx]Single Period!R120C44</stp>
        <stp>CRM US Equity</stp>
        <stp>BS_LONG_TERM_INVESTMENTS/1M</stp>
        <stp>FPR=2022Y</stp>
        <stp>FPT=A</stp>
        <stp>FA_ACT_EST_DATA=E, EST_SOURCE=RWB</stp>
        <stp>ACT_EST_MAPPING=PRECISE</stp>
        <stp>FS=MRC</stp>
        <stp>CURRENCY=USD</stp>
        <stp>XLFILL=b</stp>
        <tr r="AR120" s="2"/>
      </tp>
      <tp t="s">
        <v/>
        <stp/>
        <stp>##V3_BQLV12</stp>
        <stp>[MODL_CRM_US1.xlsx]Single Period!R8C33</stp>
        <stp>CRM US Equity</stp>
        <stp>REVENUE_GROWTH_CC_1_YR</stp>
        <stp>FPR=2022Y</stp>
        <stp>FPT=A</stp>
        <stp>FA_ACT_EST_DATA=E, EST_SOURCE=RHR</stp>
        <stp>ACT_EST_MAPPING=PRECISE</stp>
        <stp>FS=MRC</stp>
        <stp>CURRENCY=USD</stp>
        <stp>XLFILL=b</stp>
        <tr r="AG8" s="2"/>
      </tp>
      <tp t="s">
        <v/>
        <stp/>
        <stp>##V3_BQLV12</stp>
        <stp>[MODL_CRM_US1.xlsx]Single Period!R187C54</stp>
        <stp>CRM US Equity</stp>
        <stp>CF_NET_CHNG_CASH/1M</stp>
        <stp>FPR=2022Y</stp>
        <stp>FPT=A</stp>
        <stp>FA_ACT_EST_DATA=E, EST_SOURCE=ARE</stp>
        <stp>ACT_EST_MAPPING=PRECISE</stp>
        <stp>FS=MRC</stp>
        <stp>CURRENCY=USD</stp>
        <stp>XLFILL=b</stp>
        <tr r="BB187" s="2"/>
      </tp>
      <tp>
        <v>78.634227763136195</v>
        <stp/>
        <stp>##V3_BQLV12</stp>
        <stp>[MODL_CRM_US1.xlsx]Single Period!R17C9</stp>
        <stp>CRM US Equity</stp>
        <stp>CONTRIBUTOR_STATS(IS_COMP_GROSS_MARGIN_PERCENTAGE, MEDIAN)</stp>
        <stp>FPR=2022Y</stp>
        <stp>FPT=A</stp>
        <stp>FA_ACT_EST_DATA=E</stp>
        <stp>ACT_EST_MAPPING=PRECISE</stp>
        <stp>FS=MRC</stp>
        <stp>CURRENCY=USD</stp>
        <stp>XLFILL=b</stp>
        <tr r="I17" s="2"/>
      </tp>
      <tp t="s">
        <v/>
        <stp/>
        <stp>##V3_BQLV12</stp>
        <stp>[MODL_CRM_US1.xlsx]Single Period!R99C18</stp>
        <stp>CRM US Equity</stp>
        <stp>IS_SBC_NON_GAAP/1M</stp>
        <stp>FPR=2022Y</stp>
        <stp>FPT=A</stp>
        <stp>FA_ACT_EST_DATA=E, EST_SOURCE=CAN</stp>
        <stp>ACT_EST_MAPPING=PRECISE</stp>
        <stp>FS=MRC</stp>
        <stp>CURRENCY=USD</stp>
        <stp>XLFILL=b</stp>
        <tr r="R99" s="2"/>
      </tp>
      <tp t="s">
        <v/>
        <stp/>
        <stp>##V3_BQLV12</stp>
        <stp>[MODL_CRM_US1.xlsx]Single Period!R99C30</stp>
        <stp>CRM US Equity</stp>
        <stp>IS_SBC_NON_GAAP/1M</stp>
        <stp>FPR=2022Y</stp>
        <stp>FPT=A</stp>
        <stp>FA_ACT_EST_DATA=E, EST_SOURCE=BAM</stp>
        <stp>ACT_EST_MAPPING=PRECISE</stp>
        <stp>FS=MRC</stp>
        <stp>CURRENCY=USD</stp>
        <stp>XLFILL=b</stp>
        <tr r="AD99" s="2"/>
      </tp>
      <tp t="s">
        <v/>
        <stp/>
        <stp>##V3_BQLV12</stp>
        <stp>[MODL_CRM_US1.xlsx]Single Period!R89C21</stp>
        <stp>CRM US Equity</stp>
        <stp>PRETAX_INC/1M</stp>
        <stp>FPR=2022Y</stp>
        <stp>FPT=A</stp>
        <stp>FA_ACT_EST_DATA=E, EST_SOURCE=RJA</stp>
        <stp>ACT_EST_MAPPING=PRECISE</stp>
        <stp>FS=MRC</stp>
        <stp>CURRENCY=USD</stp>
        <stp>XLFILL=b</stp>
        <tr r="U89" s="2"/>
      </tp>
      <tp>
        <v>1.83917174840371</v>
        <stp/>
        <stp>##V3_BQLV12</stp>
        <stp>[MODL_CRM_US1.xlsx]Single Period!R88C9</stp>
        <stp>CRM US Equity</stp>
        <stp>CONTRIBUTOR_STATS(OPER_INC_TO_NET_SALES, MEDIAN)</stp>
        <stp>FPR=2022Y</stp>
        <stp>FPT=A</stp>
        <stp>FA_ACT_EST_DATA=E</stp>
        <stp>ACT_EST_MAPPING=PRECISE</stp>
        <stp>FS=MRC</stp>
        <stp>CURRENCY=USD</stp>
        <stp>XLFILL=b</stp>
        <tr r="I88" s="2"/>
      </tp>
      <tp>
        <v>4.684999942779541</v>
        <stp/>
        <stp>##V3_BQLV12</stp>
        <stp>[MODL_CRM_US1.xlsx]Single Period!R74C10</stp>
        <stp>CRM US Equity</stp>
        <stp>IS_COMP_EPS_EXCL_STOCK_COMP</stp>
        <stp>FPR=2022Y</stp>
        <stp>FPT=A</stp>
        <stp>FA_ACT_EST_DATA=E, EST_SOURCE=CMPY</stp>
        <stp>ACT_EST_MAPPING=PRECISE</stp>
        <stp>FS=MRC</stp>
        <stp>CURRENCY=USD</stp>
        <stp>XLFILL=b</stp>
        <tr r="J74" s="2"/>
      </tp>
      <tp t="s">
        <v/>
        <stp/>
        <stp>##V3_BQLV12</stp>
        <stp>[MODL_CRM_US1.xlsx]Single Period!R89C48</stp>
        <stp>CRM US Equity</stp>
        <stp>PRETAX_INC/1M</stp>
        <stp>FPR=2022Y</stp>
        <stp>FPT=A</stp>
        <stp>FA_ACT_EST_DATA=E, EST_SOURCE=PJE</stp>
        <stp>ACT_EST_MAPPING=PRECISE</stp>
        <stp>FS=MRC</stp>
        <stp>CURRENCY=USD</stp>
        <stp>XLFILL=b</stp>
        <tr r="AV89" s="2"/>
      </tp>
      <tp t="s">
        <v/>
        <stp/>
        <stp>##V3_BQLV12</stp>
        <stp>[MODL_CRM_US1.xlsx]Single Period!R172C47</stp>
        <stp>CRM US Equity</stp>
        <stp>CAP_EXPEND_TO_SALES</stp>
        <stp>FPR=2022Y</stp>
        <stp>FPT=A</stp>
        <stp>FA_ACT_EST_DATA=E, EST_SOURCE=WFT</stp>
        <stp>ACT_EST_MAPPING=PRECISE</stp>
        <stp>FS=MRC</stp>
        <stp>CURRENCY=USD</stp>
        <stp>XLFILL=b</stp>
        <tr r="AU172" s="2"/>
      </tp>
      <tp>
        <v>4004</v>
        <stp/>
        <stp>##V3_BQLV12</stp>
        <stp>[MODL_CRM_US1.xlsx]Single Period!R120C9</stp>
        <stp>CRM US Equity</stp>
        <stp>CONTRIBUTOR_STATS(BS_LONG_TERM_INVESTMENTS, MEDIAN)/1M</stp>
        <stp>FPR=2022Y</stp>
        <stp>FPT=A</stp>
        <stp>FA_ACT_EST_DATA=E</stp>
        <stp>ACT_EST_MAPPING=PRECISE</stp>
        <stp>FS=MRC</stp>
        <stp>CURRENCY=USD</stp>
        <stp>XLFILL=b</stp>
        <tr r="I120" s="2"/>
      </tp>
      <tp t="s">
        <v/>
        <stp/>
        <stp>##V3_BQLV12</stp>
        <stp>[MODL_CRM_US1.xlsx]Single Period!R77C22</stp>
        <stp>CRM US Equity</stp>
        <stp>IS_COGS_TO_FE_AND_PP_AND_G/1M</stp>
        <stp>FPR=2022Y</stp>
        <stp>FPT=A</stp>
        <stp>FA_ACT_EST_DATA=E, EST_SOURCE=OPY</stp>
        <stp>ACT_EST_MAPPING=PRECISE</stp>
        <stp>FS=MRC</stp>
        <stp>CURRENCY=USD</stp>
        <stp>XLFILL=b</stp>
        <tr r="V77" s="2"/>
      </tp>
      <tp t="s">
        <v/>
        <stp/>
        <stp>##V3_BQLV12</stp>
        <stp>[MODL_CRM_US1.xlsx]Single Period!R172C19</stp>
        <stp>CRM US Equity</stp>
        <stp>CAP_EXPEND_TO_SALES</stp>
        <stp>FPR=2022Y</stp>
        <stp>FPT=A</stp>
        <stp>FA_ACT_EST_DATA=E, EST_SOURCE=SCB</stp>
        <stp>ACT_EST_MAPPING=PRECISE</stp>
        <stp>FS=MRC</stp>
        <stp>CURRENCY=USD</stp>
        <stp>XLFILL=b</stp>
        <tr r="S172" s="2"/>
      </tp>
      <tp>
        <v>4875</v>
        <stp/>
        <stp>##V3_BQLV12</stp>
        <stp>[MODL_CRM_US1.xlsx]Single Period!R19C44</stp>
        <stp>CRM US Equity</stp>
        <stp>IS_COMPARABLE_EBIT/1M</stp>
        <stp>FPR=2022Y</stp>
        <stp>FPT=A</stp>
        <stp>FA_ACT_EST_DATA=E, EST_SOURCE=RWB</stp>
        <stp>ACT_EST_MAPPING=PRECISE</stp>
        <stp>FS=MRC</stp>
        <stp>CURRENCY=USD</stp>
        <stp>XLFILL=b</stp>
        <tr r="AR19" s="2"/>
      </tp>
      <tp t="s">
        <v/>
        <stp/>
        <stp>##V3_BQLV12</stp>
        <stp>[MODL_CRM_US1.xlsx]Single Period!R172C30</stp>
        <stp>CRM US Equity</stp>
        <stp>CAP_EXPEND_TO_SALES</stp>
        <stp>FPR=2022Y</stp>
        <stp>FPT=A</stp>
        <stp>FA_ACT_EST_DATA=E, EST_SOURCE=BAM</stp>
        <stp>ACT_EST_MAPPING=PRECISE</stp>
        <stp>FS=MRC</stp>
        <stp>CURRENCY=USD</stp>
        <stp>XLFILL=b</stp>
        <tr r="AD172" s="2"/>
      </tp>
      <tp>
        <v>2.9738264798180669</v>
        <stp/>
        <stp>##V3_BQLV12</stp>
        <stp>[MODL_CRM_US1.xlsx]Single Period!R172C13</stp>
        <stp>CRM US Equity</stp>
        <stp>CAP_EXPEND_TO_SALES</stp>
        <stp>FPR=2022Y</stp>
        <stp>FPT=A</stp>
        <stp>FA_ACT_EST_DATA=E, EST_SOURCE=BCA</stp>
        <stp>ACT_EST_MAPPING=PRECISE</stp>
        <stp>FS=MRC</stp>
        <stp>CURRENCY=USD</stp>
        <stp>XLFILL=b</stp>
        <tr r="M172" s="2"/>
      </tp>
      <tp>
        <v>4900</v>
        <stp/>
        <stp>##V3_BQLV12</stp>
        <stp>[MODL_CRM_US1.xlsx]Single Period!R19C43</stp>
        <stp>CRM US Equity</stp>
        <stp>IS_COMPARABLE_EBIT/1M</stp>
        <stp>FPR=2022Y</stp>
        <stp>FPT=A</stp>
        <stp>FA_ACT_EST_DATA=E, EST_SOURCE=DWI</stp>
        <stp>ACT_EST_MAPPING=PRECISE</stp>
        <stp>FS=MRC</stp>
        <stp>CURRENCY=USD</stp>
        <stp>XLFILL=b</stp>
        <tr r="AQ19" s="2"/>
      </tp>
      <tp t="s">
        <v/>
        <stp/>
        <stp>##V3_BQLV12</stp>
        <stp>[MODL_CRM_US1.xlsx]Single Period!R77C23</stp>
        <stp>CRM US Equity</stp>
        <stp>IS_COGS_TO_FE_AND_PP_AND_G/1M</stp>
        <stp>FPR=2022Y</stp>
        <stp>FPT=A</stp>
        <stp>FA_ACT_EST_DATA=E, EST_SOURCE=JPM</stp>
        <stp>ACT_EST_MAPPING=PRECISE</stp>
        <stp>FS=MRC</stp>
        <stp>CURRENCY=USD</stp>
        <stp>XLFILL=b</stp>
        <tr r="W77" s="2"/>
      </tp>
      <tp>
        <v>4935</v>
        <stp/>
        <stp>##V3_BQLV12</stp>
        <stp>[MODL_CRM_US1.xlsx]Single Period!R19C28</stp>
        <stp>CRM US Equity</stp>
        <stp>IS_COMPARABLE_EBIT/1M</stp>
        <stp>FPR=2022Y</stp>
        <stp>FPT=A</stp>
        <stp>FA_ACT_EST_DATA=E, EST_SOURCE=CWN</stp>
        <stp>ACT_EST_MAPPING=PRECISE</stp>
        <stp>FS=MRC</stp>
        <stp>CURRENCY=USD</stp>
        <stp>XLFILL=b</stp>
        <tr r="AB19" s="2"/>
      </tp>
      <tp t="s">
        <v/>
        <stp/>
        <stp>##V3_BQLV12</stp>
        <stp>[MODL_CRM_US1.xlsx]Single Period!R172C36</stp>
        <stp>CRM US Equity</stp>
        <stp>CAP_EXPEND_TO_SALES</stp>
        <stp>FPR=2022Y</stp>
        <stp>FPT=A</stp>
        <stp>FA_ACT_EST_DATA=E, EST_SOURCE=MAC</stp>
        <stp>ACT_EST_MAPPING=PRECISE</stp>
        <stp>FS=MRC</stp>
        <stp>CURRENCY=USD</stp>
        <stp>XLFILL=b</stp>
        <tr r="AJ172" s="2"/>
      </tp>
      <tp>
        <v>4.68</v>
        <stp/>
        <stp>##V3_BQLV12</stp>
        <stp>[MODL_CRM_US1.xlsx]Single Period!R6C20</stp>
        <stp>CRM US Equity</stp>
        <stp>IS_COMP_EPS_EXCL_STOCK_COMP</stp>
        <stp>FPR=2022Y</stp>
        <stp>FPT=A</stp>
        <stp>FA_ACT_EST_DATA=E, EST_SOURCE=JMP</stp>
        <stp>ACT_EST_MAPPING=PRECISE</stp>
        <stp>FS=MRC</stp>
        <stp>CURRENCY=USD</stp>
        <stp>XLFILL=b</stp>
        <tr r="T6" s="2"/>
      </tp>
      <tp>
        <v>9472</v>
        <stp/>
        <stp>##V3_BQLV12</stp>
        <stp>[MODL_CRM_US1.xlsx]Single Period!R121C7</stp>
        <stp>CRM US Equity</stp>
        <stp>CONTRIBUTOR_STATS(CB_BS_INTANG_ASSETS_EX_GW_NT, MAX)/1M</stp>
        <stp>FPR=2022Y</stp>
        <stp>FPT=A</stp>
        <stp>FA_ACT_EST_DATA=E</stp>
        <stp>ACT_EST_MAPPING=PRECISE</stp>
        <stp>FS=MRC</stp>
        <stp>CURRENCY=USD</stp>
        <stp>XLFILL=b</stp>
        <tr r="G121" s="2"/>
      </tp>
      <tp>
        <v>9472</v>
        <stp/>
        <stp>##V3_BQLV12</stp>
        <stp>[MODL_CRM_US1.xlsx]Single Period!R121C6</stp>
        <stp>CRM US Equity</stp>
        <stp>CONTRIBUTOR_STATS(CB_BS_INTANG_ASSETS_EX_GW_NT, MIN)/1M</stp>
        <stp>FPR=2022Y</stp>
        <stp>FPT=A</stp>
        <stp>FA_ACT_EST_DATA=E</stp>
        <stp>ACT_EST_MAPPING=PRECISE</stp>
        <stp>FS=MRC</stp>
        <stp>CURRENCY=USD</stp>
        <stp>XLFILL=b</stp>
        <tr r="F121" s="2"/>
      </tp>
      <tp>
        <v>4.6399999999999997</v>
        <stp/>
        <stp>##V3_BQLV12</stp>
        <stp>[MODL_CRM_US1.xlsx]Single Period!R6C25</stp>
        <stp>CRM US Equity</stp>
        <stp>IS_COMP_EPS_EXCL_STOCK_COMP</stp>
        <stp>FPR=2022Y</stp>
        <stp>FPT=A</stp>
        <stp>FA_ACT_EST_DATA=E, EST_SOURCE=WMS</stp>
        <stp>ACT_EST_MAPPING=PRECISE</stp>
        <stp>FS=MRC</stp>
        <stp>CURRENCY=USD</stp>
        <stp>XLFILL=b</stp>
        <tr r="Y6" s="2"/>
      </tp>
      <tp>
        <v>4.6900000000000004</v>
        <stp/>
        <stp>##V3_BQLV12</stp>
        <stp>[MODL_CRM_US1.xlsx]Single Period!R6C14</stp>
        <stp>CRM US Equity</stp>
        <stp>IS_COMP_EPS_EXCL_STOCK_COMP</stp>
        <stp>FPR=2022Y</stp>
        <stp>FPT=A</stp>
        <stp>FA_ACT_EST_DATA=E, EST_SOURCE=SNR</stp>
        <stp>ACT_EST_MAPPING=PRECISE</stp>
        <stp>FS=MRC</stp>
        <stp>CURRENCY=USD</stp>
        <stp>XLFILL=b</stp>
        <tr r="N6" s="2"/>
      </tp>
      <tp>
        <v>0</v>
        <stp/>
        <stp>##V3_BQLV12</stp>
        <stp>[MODL_CRM_US1.xlsx]Single Period!R121C8</stp>
        <stp>CRM US Equity</stp>
        <stp>CONTRIBUTOR_STATS(CB_BS_INTANG_ASSETS_EX_GW_NT, STD)/1M</stp>
        <stp>FPR=2022Y</stp>
        <stp>FPT=A</stp>
        <stp>FA_ACT_EST_DATA=E</stp>
        <stp>ACT_EST_MAPPING=PRECISE</stp>
        <stp>FS=MRC</stp>
        <stp>CURRENCY=USD</stp>
        <stp>XLFILL=b</stp>
        <tr r="H121" s="2"/>
      </tp>
      <tp t="s">
        <v/>
        <stp/>
        <stp>##V3_BQLV12</stp>
        <stp>[MODL_CRM_US1.xlsx]Single Period!R25C52</stp>
        <stp>SEG0000269238 Segment</stp>
        <stp>IS_PERCENTAGE_OF_REVENUE</stp>
        <stp>FPR=2022Y</stp>
        <stp>FPT=A</stp>
        <stp>FA_ACT_EST_DATA=E, EST_SOURCE=WFR</stp>
        <stp>ACT_EST_MAPPING=PRECISE</stp>
        <stp>FS=MRC</stp>
        <stp>CURRENCY=USD</stp>
        <stp>XLFILL=b</stp>
        <tr r="AZ25" s="2"/>
      </tp>
      <tp t="s">
        <v/>
        <stp/>
        <stp>##V3_BQLV12</stp>
        <stp>[MODL_CRM_US1.xlsx]Single Period!R44C51</stp>
        <stp>SEG0000269240 Segment</stp>
        <stp>IS_PERCENTAGE_OF_REVENUE</stp>
        <stp>FPR=2022Y</stp>
        <stp>FPT=A</stp>
        <stp>FA_ACT_EST_DATA=E, EST_SOURCE=RCP</stp>
        <stp>ACT_EST_MAPPING=PRECISE</stp>
        <stp>FS=MRC</stp>
        <stp>CURRENCY=USD</stp>
        <stp>XLFILL=b</stp>
        <tr r="AY44" s="2"/>
      </tp>
      <tp>
        <v>4557</v>
        <stp/>
        <stp>##V3_BQLV12</stp>
        <stp>[MODL_CRM_US1.xlsx]Single Period!R70C12</stp>
        <stp>CRM US Equity</stp>
        <stp>IS_COMP_NET_INC_EXCL_STOCK_COMP/1M</stp>
        <stp>FPR=2022Y</stp>
        <stp>FPT=A</stp>
        <stp>FA_ACT_EST_DATA=E, EST_SOURCE=BMO</stp>
        <stp>ACT_EST_MAPPING=PRECISE</stp>
        <stp>FS=MRC</stp>
        <stp>CURRENCY=USD</stp>
        <stp>XLFILL=b</stp>
        <tr r="L70" s="2"/>
      </tp>
      <tp t="s">
        <v/>
        <stp/>
        <stp>##V3_BQLV12</stp>
        <stp>[MODL_CRM_US1.xlsx]Single Period!R49C51</stp>
        <stp>SEG0000269229 Segment</stp>
        <stp>IS_PERCENTAGE_OF_REVENUE</stp>
        <stp>FPR=2022Y</stp>
        <stp>FPT=A</stp>
        <stp>FA_ACT_EST_DATA=E, EST_SOURCE=RCP</stp>
        <stp>ACT_EST_MAPPING=PRECISE</stp>
        <stp>FS=MRC</stp>
        <stp>CURRENCY=USD</stp>
        <stp>XLFILL=b</stp>
        <tr r="AY49" s="2"/>
      </tp>
      <tp t="s">
        <v/>
        <stp/>
        <stp>##V3_BQLV12</stp>
        <stp>[MODL_CRM_US1.xlsx]Single Period!R44C48</stp>
        <stp>SEG0000269240 Segment</stp>
        <stp>IS_PERCENTAGE_OF_REVENUE</stp>
        <stp>FPR=2022Y</stp>
        <stp>FPT=A</stp>
        <stp>FA_ACT_EST_DATA=E, EST_SOURCE=PJE</stp>
        <stp>ACT_EST_MAPPING=PRECISE</stp>
        <stp>FS=MRC</stp>
        <stp>CURRENCY=USD</stp>
        <stp>XLFILL=b</stp>
        <tr r="AV44" s="2"/>
      </tp>
      <tp>
        <v>4560</v>
        <stp/>
        <stp>##V3_BQLV12</stp>
        <stp>[MODL_CRM_US1.xlsx]Single Period!R70C20</stp>
        <stp>CRM US Equity</stp>
        <stp>IS_COMP_NET_INC_EXCL_STOCK_COMP/1M</stp>
        <stp>FPR=2022Y</stp>
        <stp>FPT=A</stp>
        <stp>FA_ACT_EST_DATA=E, EST_SOURCE=JMP</stp>
        <stp>ACT_EST_MAPPING=PRECISE</stp>
        <stp>FS=MRC</stp>
        <stp>CURRENCY=USD</stp>
        <stp>XLFILL=b</stp>
        <tr r="T70" s="2"/>
      </tp>
      <tp>
        <v>4612</v>
        <stp/>
        <stp>##V3_BQLV12</stp>
        <stp>[MODL_CRM_US1.xlsx]Single Period!R70C25</stp>
        <stp>CRM US Equity</stp>
        <stp>IS_COMP_NET_INC_EXCL_STOCK_COMP/1M</stp>
        <stp>FPR=2022Y</stp>
        <stp>FPT=A</stp>
        <stp>FA_ACT_EST_DATA=E, EST_SOURCE=WMS</stp>
        <stp>ACT_EST_MAPPING=PRECISE</stp>
        <stp>FS=MRC</stp>
        <stp>CURRENCY=USD</stp>
        <stp>XLFILL=b</stp>
        <tr r="Y70" s="2"/>
      </tp>
      <tp>
        <v>93.077234496745248</v>
        <stp/>
        <stp>##V3_BQLV12</stp>
        <stp>[MODL_CRM_US1.xlsx]Single Period!R25C16</stp>
        <stp>SEG0000269238 Segment</stp>
        <stp>IS_PERCENTAGE_OF_REVENUE</stp>
        <stp>FPR=2022Y</stp>
        <stp>FPT=A</stp>
        <stp>FA_ACT_EST_DATA=E, EST_SOURCE=DBG</stp>
        <stp>ACT_EST_MAPPING=PRECISE</stp>
        <stp>FS=MRC</stp>
        <stp>CURRENCY=USD</stp>
        <stp>XLFILL=b</stp>
        <tr r="P25" s="2"/>
      </tp>
      <tp t="s">
        <v/>
        <stp/>
        <stp>##V3_BQLV12</stp>
        <stp>[MODL_CRM_US1.xlsx]Single Period!R49C48</stp>
        <stp>SEG0000269229 Segment</stp>
        <stp>IS_PERCENTAGE_OF_REVENUE</stp>
        <stp>FPR=2022Y</stp>
        <stp>FPT=A</stp>
        <stp>FA_ACT_EST_DATA=E, EST_SOURCE=PJE</stp>
        <stp>ACT_EST_MAPPING=PRECISE</stp>
        <stp>FS=MRC</stp>
        <stp>CURRENCY=USD</stp>
        <stp>XLFILL=b</stp>
        <tr r="AV49" s="2"/>
      </tp>
      <tp t="s">
        <v/>
        <stp/>
        <stp>##V3_BQLV12</stp>
        <stp>[MODL_CRM_US1.xlsx]Single Period!R25C27</stp>
        <stp>SEG0000269238 Segment</stp>
        <stp>IS_PERCENTAGE_OF_REVENUE</stp>
        <stp>FPR=2022Y</stp>
        <stp>FPT=A</stp>
        <stp>FA_ACT_EST_DATA=E, EST_SOURCE=LCM</stp>
        <stp>ACT_EST_MAPPING=PRECISE</stp>
        <stp>FS=MRC</stp>
        <stp>CURRENCY=USD</stp>
        <stp>XLFILL=b</stp>
        <tr r="AA25" s="2"/>
      </tp>
      <tp>
        <v>2.1111013204139471E-2</v>
        <stp/>
        <stp>##V3_BQLV12</stp>
        <stp>[MODL_CRM_US1.xlsx]Single Period!R193C8</stp>
        <stp>CRM US Equity</stp>
        <stp>CONTRIBUTOR_STATS(FCF_PER_DIL_SHR, STD)</stp>
        <stp>FPR=2022Y</stp>
        <stp>FPT=A</stp>
        <stp>FA_ACT_EST_DATA=E</stp>
        <stp>ACT_EST_MAPPING=PRECISE</stp>
        <stp>FS=MRC</stp>
        <stp>CURRENCY=USD</stp>
        <stp>XLFILL=b</stp>
        <tr r="H193" s="2"/>
      </tp>
      <tp t="s">
        <v/>
        <stp/>
        <stp>##V3_BQLV12</stp>
        <stp>[MODL_CRM_US1.xlsx]Single Period!R99C32</stp>
        <stp>CRM US Equity</stp>
        <stp>IS_SBC_NON_GAAP/1M</stp>
        <stp>FPR=2022Y</stp>
        <stp>FPT=A</stp>
        <stp>FA_ACT_EST_DATA=E, EST_SOURCE=UBS</stp>
        <stp>ACT_EST_MAPPING=PRECISE</stp>
        <stp>FS=MRC</stp>
        <stp>CURRENCY=USD</stp>
        <stp>XLFILL=b</stp>
        <tr r="AF99" s="2"/>
      </tp>
      <tp t="s">
        <v/>
        <stp/>
        <stp>##V3_BQLV12</stp>
        <stp>[MODL_CRM_US1.xlsx]Single Period!R120C38</stp>
        <stp>CRM US Equity</stp>
        <stp>BS_LONG_TERM_INVESTMENTS/1M</stp>
        <stp>FPR=2022Y</stp>
        <stp>FPT=A</stp>
        <stp>FA_ACT_EST_DATA=E, EST_SOURCE=MSR</stp>
        <stp>ACT_EST_MAPPING=PRECISE</stp>
        <stp>FS=MRC</stp>
        <stp>CURRENCY=USD</stp>
        <stp>XLFILL=b</stp>
        <tr r="AL120" s="2"/>
      </tp>
      <tp t="s">
        <v/>
        <stp/>
        <stp>##V3_BQLV12</stp>
        <stp>[MODL_CRM_US1.xlsx]Single Period!R184C10</stp>
        <stp>CRM US Equity</stp>
        <stp>CFO_TO_SALES</stp>
        <stp>FPR=2022Y</stp>
        <stp>FPT=A</stp>
        <stp>FA_ACT_EST_DATA=E, EST_SOURCE=CMPY</stp>
        <stp>ACT_EST_MAPPING=PRECISE</stp>
        <stp>FS=MRC</stp>
        <stp>CURRENCY=USD</stp>
        <stp>XLFILL=b</stp>
        <tr r="J184" s="2"/>
      </tp>
      <tp>
        <v>5401.0190255680727</v>
        <stp/>
        <stp>##V3_BQLV12</stp>
        <stp>[MODL_CRM_US1.xlsx]Single Period!R137C8</stp>
        <stp>CRM US Equity</stp>
        <stp>CONTRIBUTOR_STATS(BS_EQTY_BEFORE_MINORITY_INT, STD)/1M</stp>
        <stp>FPR=2022Y</stp>
        <stp>FPT=A</stp>
        <stp>FA_ACT_EST_DATA=E</stp>
        <stp>ACT_EST_MAPPING=PRECISE</stp>
        <stp>FS=MRC</stp>
        <stp>CURRENCY=USD</stp>
        <stp>XLFILL=b</stp>
        <tr r="H137" s="2"/>
      </tp>
      <tp>
        <v>2747.8719999999998</v>
        <stp/>
        <stp>##V3_BQLV12</stp>
        <stp>[MODL_CRM_US1.xlsx]Single Period!R99C24</stp>
        <stp>CRM US Equity</stp>
        <stp>IS_SBC_NON_GAAP/1M</stp>
        <stp>FPR=2022Y</stp>
        <stp>FPT=A</stp>
        <stp>FA_ACT_EST_DATA=E, EST_SOURCE=FBC</stp>
        <stp>ACT_EST_MAPPING=PRECISE</stp>
        <stp>FS=MRC</stp>
        <stp>CURRENCY=USD</stp>
        <stp>XLFILL=b</stp>
        <tr r="X99" s="2"/>
      </tp>
      <tp t="s">
        <v/>
        <stp/>
        <stp>##V3_BQLV12</stp>
        <stp>[MODL_CRM_US1.xlsx]Single Period!R99C31</stp>
        <stp>CRM US Equity</stp>
        <stp>IS_SBC_NON_GAAP/1M</stp>
        <stp>FPR=2022Y</stp>
        <stp>FPT=A</stp>
        <stp>FA_ACT_EST_DATA=E, EST_SOURCE=RBC</stp>
        <stp>ACT_EST_MAPPING=PRECISE</stp>
        <stp>FS=MRC</stp>
        <stp>CURRENCY=USD</stp>
        <stp>XLFILL=b</stp>
        <tr r="AE99" s="2"/>
      </tp>
      <tp>
        <v>42729.48963081259</v>
        <stp/>
        <stp>##V3_BQLV12</stp>
        <stp>[MODL_CRM_US1.xlsx]Single Period!R137C6</stp>
        <stp>CRM US Equity</stp>
        <stp>CONTRIBUTOR_STATS(BS_EQTY_BEFORE_MINORITY_INT, MIN)/1M</stp>
        <stp>FPR=2022Y</stp>
        <stp>FPT=A</stp>
        <stp>FA_ACT_EST_DATA=E</stp>
        <stp>ACT_EST_MAPPING=PRECISE</stp>
        <stp>FS=MRC</stp>
        <stp>CURRENCY=USD</stp>
        <stp>XLFILL=b</stp>
        <tr r="F137" s="2"/>
      </tp>
      <tp>
        <v>58608.591386815715</v>
        <stp/>
        <stp>##V3_BQLV12</stp>
        <stp>[MODL_CRM_US1.xlsx]Single Period!R137C7</stp>
        <stp>CRM US Equity</stp>
        <stp>CONTRIBUTOR_STATS(BS_EQTY_BEFORE_MINORITY_INT, MAX)/1M</stp>
        <stp>FPR=2022Y</stp>
        <stp>FPT=A</stp>
        <stp>FA_ACT_EST_DATA=E</stp>
        <stp>ACT_EST_MAPPING=PRECISE</stp>
        <stp>FS=MRC</stp>
        <stp>CURRENCY=USD</stp>
        <stp>XLFILL=b</stp>
        <tr r="G137" s="2"/>
      </tp>
      <tp t="s">
        <v/>
        <stp/>
        <stp>##V3_BQLV12</stp>
        <stp>[MODL_CRM_US1.xlsx]Single Period!R120C46</stp>
        <stp>CRM US Equity</stp>
        <stp>BS_LONG_TERM_INVESTMENTS/1M</stp>
        <stp>FPR=2022Y</stp>
        <stp>FPT=A</stp>
        <stp>FA_ACT_EST_DATA=E, EST_SOURCE=CTI</stp>
        <stp>ACT_EST_MAPPING=PRECISE</stp>
        <stp>FS=MRC</stp>
        <stp>CURRENCY=USD</stp>
        <stp>XLFILL=b</stp>
        <tr r="AT120" s="2"/>
      </tp>
      <tp>
        <v>2828</v>
        <stp/>
        <stp>##V3_BQLV12</stp>
        <stp>[MODL_CRM_US1.xlsx]Single Period!R99C16</stp>
        <stp>CRM US Equity</stp>
        <stp>IS_SBC_NON_GAAP/1M</stp>
        <stp>FPR=2022Y</stp>
        <stp>FPT=A</stp>
        <stp>FA_ACT_EST_DATA=E, EST_SOURCE=DBG</stp>
        <stp>ACT_EST_MAPPING=PRECISE</stp>
        <stp>FS=MRC</stp>
        <stp>CURRENCY=USD</stp>
        <stp>XLFILL=b</stp>
        <tr r="P99" s="2"/>
      </tp>
      <tp t="s">
        <v/>
        <stp/>
        <stp>##V3_BQLV12</stp>
        <stp>[MODL_CRM_US1.xlsx]Single Period!R88C33</stp>
        <stp>CRM US Equity</stp>
        <stp>OPER_INC_TO_NET_SALES</stp>
        <stp>FPR=2022Y</stp>
        <stp>FPT=A</stp>
        <stp>FA_ACT_EST_DATA=E, EST_SOURCE=RHR</stp>
        <stp>ACT_EST_MAPPING=PRECISE</stp>
        <stp>FS=MRC</stp>
        <stp>CURRENCY=USD</stp>
        <stp>XLFILL=b</stp>
        <tr r="AG88" s="2"/>
      </tp>
      <tp t="s">
        <v/>
        <stp/>
        <stp>##V3_BQLV12</stp>
        <stp>[MODL_CRM_US1.xlsx]Single Period!R99C11</stp>
        <stp>CRM US Equity</stp>
        <stp>IS_SBC_NON_GAAP/1M</stp>
        <stp>FPR=2022Y</stp>
        <stp>FPT=A</stp>
        <stp>FA_ACT_EST_DATA=E, EST_SOURCE=WBL</stp>
        <stp>ACT_EST_MAPPING=PRECISE</stp>
        <stp>FS=MRC</stp>
        <stp>CURRENCY=USD</stp>
        <stp>XLFILL=b</stp>
        <tr r="K99" s="2"/>
      </tp>
      <tp t="s">
        <v/>
        <stp/>
        <stp>##V3_BQLV12</stp>
        <stp>[MODL_CRM_US1.xlsx]Single Period!R91C50</stp>
        <stp>CRM US Equity</stp>
        <stp>IS_COMP_NET_INCOME_GAAP/1M</stp>
        <stp>FPR=2022Y</stp>
        <stp>FPT=A</stp>
        <stp>FA_ACT_EST_DATA=E, EST_SOURCE=MZS</stp>
        <stp>ACT_EST_MAPPING=PRECISE</stp>
        <stp>FS=MRC</stp>
        <stp>CURRENCY=USD</stp>
        <stp>XLFILL=b</stp>
        <tr r="AX91" s="2"/>
      </tp>
      <tp>
        <v>6861.7762409999996</v>
        <stp/>
        <stp>##V3_BQLV12</stp>
        <stp>[MODL_CRM_US1.xlsx]Single Period!R77C15</stp>
        <stp>CRM US Equity</stp>
        <stp>IS_COGS_TO_FE_AND_PP_AND_G/1M</stp>
        <stp>FPR=2022Y</stp>
        <stp>FPT=A</stp>
        <stp>FA_ACT_EST_DATA=E, EST_SOURCE=MSV</stp>
        <stp>ACT_EST_MAPPING=PRECISE</stp>
        <stp>FS=MRC</stp>
        <stp>CURRENCY=USD</stp>
        <stp>XLFILL=b</stp>
        <tr r="O77" s="2"/>
      </tp>
      <tp>
        <v>-118</v>
        <stp/>
        <stp>##V3_BQLV12</stp>
        <stp>[MODL_CRM_US1.xlsx]Single Period!R177C9</stp>
        <stp>CRM US Equity</stp>
        <stp>CONTRIBUTOR_STATS(CB_CF_OTHER_FINANCING_ACTIVITIES, MEDIAN)/1M</stp>
        <stp>FPR=2022Y</stp>
        <stp>FPT=A</stp>
        <stp>FA_ACT_EST_DATA=E</stp>
        <stp>ACT_EST_MAPPING=PRECISE</stp>
        <stp>FS=MRC</stp>
        <stp>CURRENCY=USD</stp>
        <stp>XLFILL=b</stp>
        <tr r="I177" s="2"/>
      </tp>
      <tp t="s">
        <v/>
        <stp/>
        <stp>##V3_BQLV12</stp>
        <stp>[MODL_CRM_US1.xlsx]Single Period!R77C41</stp>
        <stp>CRM US Equity</stp>
        <stp>IS_COGS_TO_FE_AND_PP_AND_G/1M</stp>
        <stp>FPR=2022Y</stp>
        <stp>FPT=A</stp>
        <stp>FA_ACT_EST_DATA=E, EST_SOURCE=GSR</stp>
        <stp>ACT_EST_MAPPING=PRECISE</stp>
        <stp>FS=MRC</stp>
        <stp>CURRENCY=USD</stp>
        <stp>XLFILL=b</stp>
        <tr r="AO77" s="2"/>
      </tp>
      <tp t="s">
        <v/>
        <stp/>
        <stp>##V3_BQLV12</stp>
        <stp>[MODL_CRM_US1.xlsx]Single Period!R77C38</stp>
        <stp>CRM US Equity</stp>
        <stp>IS_COGS_TO_FE_AND_PP_AND_G/1M</stp>
        <stp>FPR=2022Y</stp>
        <stp>FPT=A</stp>
        <stp>FA_ACT_EST_DATA=E, EST_SOURCE=MSR</stp>
        <stp>ACT_EST_MAPPING=PRECISE</stp>
        <stp>FS=MRC</stp>
        <stp>CURRENCY=USD</stp>
        <stp>XLFILL=b</stp>
        <tr r="AL77" s="2"/>
      </tp>
      <tp t="s">
        <v/>
        <stp/>
        <stp>##V3_BQLV12</stp>
        <stp>[MODL_CRM_US1.xlsx]Single Period!R132C10</stp>
        <stp>CRM US Equity</stp>
        <stp>BS_ADJ_TOTAL_LT_LIABILITIES/1M</stp>
        <stp>FPR=2022Y</stp>
        <stp>FPT=A</stp>
        <stp>FA_ACT_EST_DATA=E, EST_SOURCE=CMPY</stp>
        <stp>ACT_EST_MAPPING=PRECISE</stp>
        <stp>FS=MRC</stp>
        <stp>CURRENCY=USD</stp>
        <stp>XLFILL=b</stp>
        <tr r="J132" s="2"/>
      </tp>
      <tp t="s">
        <v/>
        <stp/>
        <stp>##V3_BQLV12</stp>
        <stp>[MODL_CRM_US1.xlsx]Single Period!R172C32</stp>
        <stp>CRM US Equity</stp>
        <stp>CAP_EXPEND_TO_SALES</stp>
        <stp>FPR=2022Y</stp>
        <stp>FPT=A</stp>
        <stp>FA_ACT_EST_DATA=E, EST_SOURCE=UBS</stp>
        <stp>ACT_EST_MAPPING=PRECISE</stp>
        <stp>FS=MRC</stp>
        <stp>CURRENCY=USD</stp>
        <stp>XLFILL=b</stp>
        <tr r="AF172" s="2"/>
      </tp>
      <tp t="s">
        <v/>
        <stp/>
        <stp>##V3_BQLV12</stp>
        <stp>[MODL_CRM_US1.xlsx]Single Period!R89C53</stp>
        <stp>CRM US Equity</stp>
        <stp>PRETAX_INC/1M</stp>
        <stp>FPR=2022Y</stp>
        <stp>FPT=A</stp>
        <stp>FA_ACT_EST_DATA=E, EST_SOURCE=NIK</stp>
        <stp>ACT_EST_MAPPING=PRECISE</stp>
        <stp>FS=MRC</stp>
        <stp>CURRENCY=USD</stp>
        <stp>XLFILL=b</stp>
        <tr r="BA89" s="2"/>
      </tp>
      <tp t="s">
        <v/>
        <stp/>
        <stp>##V3_BQLV12</stp>
        <stp>[MODL_CRM_US1.xlsx]Single Period!R79C33</stp>
        <stp>CRM US Equity</stp>
        <stp>CB_IS_GROSS_PROFIT/1M</stp>
        <stp>FPR=2022Y</stp>
        <stp>FPT=A</stp>
        <stp>FA_ACT_EST_DATA=E, EST_SOURCE=RHR</stp>
        <stp>ACT_EST_MAPPING=PRECISE</stp>
        <stp>FS=MRC</stp>
        <stp>CURRENCY=USD</stp>
        <stp>XLFILL=b</stp>
        <tr r="AG79" s="2"/>
      </tp>
      <tp t="s">
        <v/>
        <stp/>
        <stp>##V3_BQLV12</stp>
        <stp>[MODL_CRM_US1.xlsx]Single Period!R77C42</stp>
        <stp>CRM US Equity</stp>
        <stp>IS_COGS_TO_FE_AND_PP_AND_G/1M</stp>
        <stp>FPR=2022Y</stp>
        <stp>FPT=A</stp>
        <stp>FA_ACT_EST_DATA=E, EST_SOURCE=PSG</stp>
        <stp>ACT_EST_MAPPING=PRECISE</stp>
        <stp>FS=MRC</stp>
        <stp>CURRENCY=USD</stp>
        <stp>XLFILL=b</stp>
        <tr r="AP77" s="2"/>
      </tp>
      <tp t="s">
        <v/>
        <stp/>
        <stp>##V3_BQLV12</stp>
        <stp>[MODL_CRM_US1.xlsx]Single Period!R172C27</stp>
        <stp>CRM US Equity</stp>
        <stp>CAP_EXPEND_TO_SALES</stp>
        <stp>FPR=2022Y</stp>
        <stp>FPT=A</stp>
        <stp>FA_ACT_EST_DATA=E, EST_SOURCE=LCM</stp>
        <stp>ACT_EST_MAPPING=PRECISE</stp>
        <stp>FS=MRC</stp>
        <stp>CURRENCY=USD</stp>
        <stp>XLFILL=b</stp>
        <tr r="AA172" s="2"/>
      </tp>
      <tp t="s">
        <v/>
        <stp/>
        <stp>##V3_BQLV12</stp>
        <stp>[MODL_CRM_US1.xlsx]Single Period!R89C56</stp>
        <stp>CRM US Equity</stp>
        <stp>PRETAX_INC/1M</stp>
        <stp>FPR=2022Y</stp>
        <stp>FPT=A</stp>
        <stp>FA_ACT_EST_DATA=E, EST_SOURCE=DIR</stp>
        <stp>ACT_EST_MAPPING=PRECISE</stp>
        <stp>FS=MRC</stp>
        <stp>CURRENCY=USD</stp>
        <stp>XLFILL=b</stp>
        <tr r="BD89" s="2"/>
      </tp>
      <tp t="s">
        <v/>
        <stp/>
        <stp>##V3_BQLV12</stp>
        <stp>[MODL_CRM_US1.xlsx]Single Period!R172C31</stp>
        <stp>CRM US Equity</stp>
        <stp>CAP_EXPEND_TO_SALES</stp>
        <stp>FPR=2022Y</stp>
        <stp>FPT=A</stp>
        <stp>FA_ACT_EST_DATA=E, EST_SOURCE=RBC</stp>
        <stp>ACT_EST_MAPPING=PRECISE</stp>
        <stp>FS=MRC</stp>
        <stp>CURRENCY=USD</stp>
        <stp>XLFILL=b</stp>
        <tr r="AE172" s="2"/>
      </tp>
      <tp t="s">
        <v/>
        <stp/>
        <stp>##V3_BQLV12</stp>
        <stp>[MODL_CRM_US1.xlsx]Single Period!R19C46</stp>
        <stp>CRM US Equity</stp>
        <stp>IS_COMPARABLE_EBIT/1M</stp>
        <stp>FPR=2022Y</stp>
        <stp>FPT=A</stp>
        <stp>FA_ACT_EST_DATA=E, EST_SOURCE=CTI</stp>
        <stp>ACT_EST_MAPPING=PRECISE</stp>
        <stp>FS=MRC</stp>
        <stp>CURRENCY=USD</stp>
        <stp>XLFILL=b</stp>
        <tr r="AT19" s="2"/>
      </tp>
      <tp>
        <v>4994</v>
        <stp/>
        <stp>##V3_BQLV12</stp>
        <stp>[MODL_CRM_US1.xlsx]Single Period!R19C35</stp>
        <stp>CRM US Equity</stp>
        <stp>IS_COMPARABLE_EBIT/1M</stp>
        <stp>FPR=2022Y</stp>
        <stp>FPT=A</stp>
        <stp>FA_ACT_EST_DATA=E, EST_SOURCE=ATL</stp>
        <stp>ACT_EST_MAPPING=PRECISE</stp>
        <stp>FS=MRC</stp>
        <stp>CURRENCY=USD</stp>
        <stp>XLFILL=b</stp>
        <tr r="AI19" s="2"/>
      </tp>
      <tp>
        <v>9.511635187310862</v>
        <stp/>
        <stp>##V3_BQLV12</stp>
        <stp>[MODL_CRM_US1.xlsx]Single Period!R49C7</stp>
        <stp>SEG0000269229 Segment</stp>
        <stp>CONTRIBUTOR_STATS(IS_PERCENTAGE_OF_REVENUE, MAX)</stp>
        <stp>FPR=2022Y</stp>
        <stp>FPT=A</stp>
        <stp>FA_ACT_EST_DATA=E</stp>
        <stp>ACT_EST_MAPPING=PRECISE</stp>
        <stp>FS=MRC</stp>
        <stp>CURRENCY=USD</stp>
        <stp>XLFILL=b</stp>
        <tr r="G49" s="2"/>
      </tp>
      <tp>
        <v>93.336409718109422</v>
        <stp/>
        <stp>##V3_BQLV12</stp>
        <stp>[MODL_CRM_US1.xlsx]Single Period!R25C7</stp>
        <stp>SEG0000269238 Segment</stp>
        <stp>CONTRIBUTOR_STATS(IS_PERCENTAGE_OF_REVENUE, MAX)</stp>
        <stp>FPR=2022Y</stp>
        <stp>FPT=A</stp>
        <stp>FA_ACT_EST_DATA=E</stp>
        <stp>ACT_EST_MAPPING=PRECISE</stp>
        <stp>FS=MRC</stp>
        <stp>CURRENCY=USD</stp>
        <stp>XLFILL=b</stp>
        <tr r="G25" s="2"/>
      </tp>
      <tp>
        <v>68.656716417910445</v>
        <stp/>
        <stp>##V3_BQLV12</stp>
        <stp>[MODL_CRM_US1.xlsx]Single Period!R39C7</stp>
        <stp>SEG0000269228 Segment</stp>
        <stp>CONTRIBUTOR_STATS(IS_PERCENTAGE_OF_REVENUE, MAX)</stp>
        <stp>FPR=2022Y</stp>
        <stp>FPT=A</stp>
        <stp>FA_ACT_EST_DATA=E</stp>
        <stp>ACT_EST_MAPPING=PRECISE</stp>
        <stp>FS=MRC</stp>
        <stp>CURRENCY=USD</stp>
        <stp>XLFILL=b</stp>
        <tr r="G39" s="2"/>
      </tp>
      <tp>
        <v>7.0103521716369936</v>
        <stp/>
        <stp>##V3_BQLV12</stp>
        <stp>[MODL_CRM_US1.xlsx]Single Period!R33C7</stp>
        <stp>SEG0000269227 Segment</stp>
        <stp>CONTRIBUTOR_STATS(IS_PERCENTAGE_OF_REVENUE, MAX)</stp>
        <stp>FPR=2022Y</stp>
        <stp>FPT=A</stp>
        <stp>FA_ACT_EST_DATA=E</stp>
        <stp>ACT_EST_MAPPING=PRECISE</stp>
        <stp>FS=MRC</stp>
        <stp>CURRENCY=USD</stp>
        <stp>XLFILL=b</stp>
        <tr r="G33" s="2"/>
      </tp>
      <tp>
        <v>22.596458740884721</v>
        <stp/>
        <stp>##V3_BQLV12</stp>
        <stp>[MODL_CRM_US1.xlsx]Single Period!R44C7</stp>
        <stp>SEG0000269240 Segment</stp>
        <stp>CONTRIBUTOR_STATS(IS_PERCENTAGE_OF_REVENUE, MAX)</stp>
        <stp>FPR=2022Y</stp>
        <stp>FPT=A</stp>
        <stp>FA_ACT_EST_DATA=E</stp>
        <stp>ACT_EST_MAPPING=PRECISE</stp>
        <stp>FS=MRC</stp>
        <stp>CURRENCY=USD</stp>
        <stp>XLFILL=b</stp>
        <tr r="G44" s="2"/>
      </tp>
      <tp t="s">
        <v/>
        <stp/>
        <stp>##V3_BQLV12</stp>
        <stp>[MODL_CRM_US1.xlsx]Single Period!R6C56</stp>
        <stp>CRM US Equity</stp>
        <stp>IS_COMP_EPS_EXCL_STOCK_COMP</stp>
        <stp>FPR=2022Y</stp>
        <stp>FPT=A</stp>
        <stp>FA_ACT_EST_DATA=E, EST_SOURCE=DIR</stp>
        <stp>ACT_EST_MAPPING=PRECISE</stp>
        <stp>FS=MRC</stp>
        <stp>CURRENCY=USD</stp>
        <stp>XLFILL=b</stp>
        <tr r="BD6" s="2"/>
      </tp>
      <tp>
        <v>4.67</v>
        <stp/>
        <stp>##V3_BQLV12</stp>
        <stp>[MODL_CRM_US1.xlsx]Single Period!R6C29</stp>
        <stp>CRM US Equity</stp>
        <stp>IS_COMP_EPS_EXCL_STOCK_COMP</stp>
        <stp>FPR=2022Y</stp>
        <stp>FPT=A</stp>
        <stp>FA_ACT_EST_DATA=E, EST_SOURCE=BNS</stp>
        <stp>ACT_EST_MAPPING=PRECISE</stp>
        <stp>FS=MRC</stp>
        <stp>CURRENCY=USD</stp>
        <stp>XLFILL=b</stp>
        <tr r="AC6" s="2"/>
      </tp>
      <tp t="s">
        <v/>
        <stp/>
        <stp>##V3_BQLV12</stp>
        <stp>[MODL_CRM_US1.xlsx]Single Period!R6C53</stp>
        <stp>CRM US Equity</stp>
        <stp>IS_COMP_EPS_EXCL_STOCK_COMP</stp>
        <stp>FPR=2022Y</stp>
        <stp>FPT=A</stp>
        <stp>FA_ACT_EST_DATA=E, EST_SOURCE=NIK</stp>
        <stp>ACT_EST_MAPPING=PRECISE</stp>
        <stp>FS=MRC</stp>
        <stp>CURRENCY=USD</stp>
        <stp>XLFILL=b</stp>
        <tr r="BA6" s="2"/>
      </tp>
      <tp>
        <v>4.67</v>
        <stp/>
        <stp>##V3_BQLV12</stp>
        <stp>[MODL_CRM_US1.xlsx]Single Period!R6C12</stp>
        <stp>CRM US Equity</stp>
        <stp>IS_COMP_EPS_EXCL_STOCK_COMP</stp>
        <stp>FPR=2022Y</stp>
        <stp>FPT=A</stp>
        <stp>FA_ACT_EST_DATA=E, EST_SOURCE=BMO</stp>
        <stp>ACT_EST_MAPPING=PRECISE</stp>
        <stp>FS=MRC</stp>
        <stp>CURRENCY=USD</stp>
        <stp>XLFILL=b</stp>
        <tr r="L6" s="2"/>
      </tp>
      <tp t="s">
        <v/>
        <stp/>
        <stp>##V3_BQLV12</stp>
        <stp>[MODL_CRM_US1.xlsx]Single Period!R49C26</stp>
        <stp>SEG0000269229 Segment</stp>
        <stp>IS_PERCENTAGE_OF_REVENUE</stp>
        <stp>FPR=2022Y</stp>
        <stp>FPT=A</stp>
        <stp>FA_ACT_EST_DATA=E, EST_SOURCE=KEY</stp>
        <stp>ACT_EST_MAPPING=PRECISE</stp>
        <stp>FS=MRC</stp>
        <stp>CURRENCY=USD</stp>
        <stp>XLFILL=b</stp>
        <tr r="Z49" s="2"/>
      </tp>
      <tp t="s">
        <v/>
        <stp/>
        <stp>##V3_BQLV12</stp>
        <stp>[MODL_CRM_US1.xlsx]Single Period!R33C52</stp>
        <stp>SEG0000269227 Segment</stp>
        <stp>IS_PERCENTAGE_OF_REVENUE</stp>
        <stp>FPR=2022Y</stp>
        <stp>FPT=A</stp>
        <stp>FA_ACT_EST_DATA=E, EST_SOURCE=WFR</stp>
        <stp>ACT_EST_MAPPING=PRECISE</stp>
        <stp>FS=MRC</stp>
        <stp>CURRENCY=USD</stp>
        <stp>XLFILL=b</stp>
        <tr r="AZ33" s="2"/>
      </tp>
      <tp t="s">
        <v/>
        <stp/>
        <stp>##V3_BQLV12</stp>
        <stp>[MODL_CRM_US1.xlsx]Single Period!R55C20</stp>
        <stp>CRM US Equity</stp>
        <stp>IS_ADJ_GROSS_PROFIT_AS_REPORTED/1M</stp>
        <stp>FPR=2022Y</stp>
        <stp>FPT=A</stp>
        <stp>FA_ACT_EST_DATA=E, EST_SOURCE=JMP</stp>
        <stp>ACT_EST_MAPPING=PRECISE</stp>
        <stp>FS=MRC</stp>
        <stp>CURRENCY=USD</stp>
        <stp>XLFILL=b</stp>
        <tr r="T55" s="2"/>
      </tp>
      <tp t="s">
        <v/>
        <stp/>
        <stp>##V3_BQLV12</stp>
        <stp>[MODL_CRM_US1.xlsx]Single Period!R16C20</stp>
        <stp>CRM US Equity</stp>
        <stp>IS_ADJ_GROSS_PROFIT_AS_REPORTED/1M</stp>
        <stp>FPR=2022Y</stp>
        <stp>FPT=A</stp>
        <stp>FA_ACT_EST_DATA=E, EST_SOURCE=JMP</stp>
        <stp>ACT_EST_MAPPING=PRECISE</stp>
        <stp>FS=MRC</stp>
        <stp>CURRENCY=USD</stp>
        <stp>XLFILL=b</stp>
        <tr r="T16" s="2"/>
      </tp>
      <tp t="s">
        <v/>
        <stp/>
        <stp>##V3_BQLV12</stp>
        <stp>[MODL_CRM_US1.xlsx]Single Period!R39C52</stp>
        <stp>SEG0000269228 Segment</stp>
        <stp>IS_PERCENTAGE_OF_REVENUE</stp>
        <stp>FPR=2022Y</stp>
        <stp>FPT=A</stp>
        <stp>FA_ACT_EST_DATA=E, EST_SOURCE=WFR</stp>
        <stp>ACT_EST_MAPPING=PRECISE</stp>
        <stp>FS=MRC</stp>
        <stp>CURRENCY=USD</stp>
        <stp>XLFILL=b</stp>
        <tr r="AZ39" s="2"/>
      </tp>
      <tp t="s">
        <v/>
        <stp/>
        <stp>##V3_BQLV12</stp>
        <stp>[MODL_CRM_US1.xlsx]Single Period!R44C26</stp>
        <stp>SEG0000269240 Segment</stp>
        <stp>IS_PERCENTAGE_OF_REVENUE</stp>
        <stp>FPR=2022Y</stp>
        <stp>FPT=A</stp>
        <stp>FA_ACT_EST_DATA=E, EST_SOURCE=KEY</stp>
        <stp>ACT_EST_MAPPING=PRECISE</stp>
        <stp>FS=MRC</stp>
        <stp>CURRENCY=USD</stp>
        <stp>XLFILL=b</stp>
        <tr r="Z44" s="2"/>
      </tp>
      <tp>
        <v>20371.377765000001</v>
        <stp/>
        <stp>##V3_BQLV12</stp>
        <stp>[MODL_CRM_US1.xlsx]Single Period!R16C25</stp>
        <stp>CRM US Equity</stp>
        <stp>IS_ADJ_GROSS_PROFIT_AS_REPORTED/1M</stp>
        <stp>FPR=2022Y</stp>
        <stp>FPT=A</stp>
        <stp>FA_ACT_EST_DATA=E, EST_SOURCE=WMS</stp>
        <stp>ACT_EST_MAPPING=PRECISE</stp>
        <stp>FS=MRC</stp>
        <stp>CURRENCY=USD</stp>
        <stp>XLFILL=b</stp>
        <tr r="Y16" s="2"/>
      </tp>
      <tp>
        <v>20371.377765000001</v>
        <stp/>
        <stp>##V3_BQLV12</stp>
        <stp>[MODL_CRM_US1.xlsx]Single Period!R55C25</stp>
        <stp>CRM US Equity</stp>
        <stp>IS_ADJ_GROSS_PROFIT_AS_REPORTED/1M</stp>
        <stp>FPR=2022Y</stp>
        <stp>FPT=A</stp>
        <stp>FA_ACT_EST_DATA=E, EST_SOURCE=WMS</stp>
        <stp>ACT_EST_MAPPING=PRECISE</stp>
        <stp>FS=MRC</stp>
        <stp>CURRENCY=USD</stp>
        <stp>XLFILL=b</stp>
        <tr r="Y55" s="2"/>
      </tp>
      <tp t="s">
        <v/>
        <stp/>
        <stp>##V3_BQLV12</stp>
        <stp>[MODL_CRM_US1.xlsx]Single Period!R39C27</stp>
        <stp>SEG0000269228 Segment</stp>
        <stp>IS_PERCENTAGE_OF_REVENUE</stp>
        <stp>FPR=2022Y</stp>
        <stp>FPT=A</stp>
        <stp>FA_ACT_EST_DATA=E, EST_SOURCE=LCM</stp>
        <stp>ACT_EST_MAPPING=PRECISE</stp>
        <stp>FS=MRC</stp>
        <stp>CURRENCY=USD</stp>
        <stp>XLFILL=b</stp>
        <tr r="AA39" s="2"/>
      </tp>
      <tp>
        <v>6.9227655032547366</v>
        <stp/>
        <stp>##V3_BQLV12</stp>
        <stp>[MODL_CRM_US1.xlsx]Single Period!R33C16</stp>
        <stp>SEG0000269227 Segment</stp>
        <stp>IS_PERCENTAGE_OF_REVENUE</stp>
        <stp>FPR=2022Y</stp>
        <stp>FPT=A</stp>
        <stp>FA_ACT_EST_DATA=E, EST_SOURCE=DBG</stp>
        <stp>ACT_EST_MAPPING=PRECISE</stp>
        <stp>FS=MRC</stp>
        <stp>CURRENCY=USD</stp>
        <stp>XLFILL=b</stp>
        <tr r="P33" s="2"/>
      </tp>
      <tp t="s">
        <v/>
        <stp/>
        <stp>##V3_BQLV12</stp>
        <stp>[MODL_CRM_US1.xlsx]Single Period!R55C12</stp>
        <stp>CRM US Equity</stp>
        <stp>IS_ADJ_GROSS_PROFIT_AS_REPORTED/1M</stp>
        <stp>FPR=2022Y</stp>
        <stp>FPT=A</stp>
        <stp>FA_ACT_EST_DATA=E, EST_SOURCE=BMO</stp>
        <stp>ACT_EST_MAPPING=PRECISE</stp>
        <stp>FS=MRC</stp>
        <stp>CURRENCY=USD</stp>
        <stp>XLFILL=b</stp>
        <tr r="L55" s="2"/>
      </tp>
      <tp t="s">
        <v/>
        <stp/>
        <stp>##V3_BQLV12</stp>
        <stp>[MODL_CRM_US1.xlsx]Single Period!R16C12</stp>
        <stp>CRM US Equity</stp>
        <stp>IS_ADJ_GROSS_PROFIT_AS_REPORTED/1M</stp>
        <stp>FPR=2022Y</stp>
        <stp>FPT=A</stp>
        <stp>FA_ACT_EST_DATA=E, EST_SOURCE=BMO</stp>
        <stp>ACT_EST_MAPPING=PRECISE</stp>
        <stp>FS=MRC</stp>
        <stp>CURRENCY=USD</stp>
        <stp>XLFILL=b</stp>
        <tr r="L16" s="2"/>
      </tp>
      <tp t="s">
        <v/>
        <stp/>
        <stp>##V3_BQLV12</stp>
        <stp>[MODL_CRM_US1.xlsx]Single Period!R49C11</stp>
        <stp>SEG0000269229 Segment</stp>
        <stp>IS_PERCENTAGE_OF_REVENUE</stp>
        <stp>FPR=2022Y</stp>
        <stp>FPT=A</stp>
        <stp>FA_ACT_EST_DATA=E, EST_SOURCE=WBL</stp>
        <stp>ACT_EST_MAPPING=PRECISE</stp>
        <stp>FS=MRC</stp>
        <stp>CURRENCY=USD</stp>
        <stp>XLFILL=b</stp>
        <tr r="K49" s="2"/>
      </tp>
      <tp t="s">
        <v/>
        <stp/>
        <stp>##V3_BQLV12</stp>
        <stp>[MODL_CRM_US1.xlsx]Single Period!R49C17</stp>
        <stp>SEG0000269229 Segment</stp>
        <stp>IS_PERCENTAGE_OF_REVENUE</stp>
        <stp>FPR=2022Y</stp>
        <stp>FPT=A</stp>
        <stp>FA_ACT_EST_DATA=E, EST_SOURCE=NDH</stp>
        <stp>ACT_EST_MAPPING=PRECISE</stp>
        <stp>FS=MRC</stp>
        <stp>CURRENCY=USD</stp>
        <stp>XLFILL=b</stp>
        <tr r="Q49" s="2"/>
      </tp>
      <tp t="s">
        <v/>
        <stp/>
        <stp>##V3_BQLV12</stp>
        <stp>[MODL_CRM_US1.xlsx]Single Period!R44C31</stp>
        <stp>SEG0000269240 Segment</stp>
        <stp>IS_PERCENTAGE_OF_REVENUE</stp>
        <stp>FPR=2022Y</stp>
        <stp>FPT=A</stp>
        <stp>FA_ACT_EST_DATA=E, EST_SOURCE=RBC</stp>
        <stp>ACT_EST_MAPPING=PRECISE</stp>
        <stp>FS=MRC</stp>
        <stp>CURRENCY=USD</stp>
        <stp>XLFILL=b</stp>
        <tr r="AE44" s="2"/>
      </tp>
      <tp t="s">
        <v/>
        <stp/>
        <stp>##V3_BQLV12</stp>
        <stp>[MODL_CRM_US1.xlsx]Single Period!R44C40</stp>
        <stp>SEG0000269240 Segment</stp>
        <stp>IS_PERCENTAGE_OF_REVENUE</stp>
        <stp>FPR=2022Y</stp>
        <stp>FPT=A</stp>
        <stp>FA_ACT_EST_DATA=E, EST_SOURCE=ACC</stp>
        <stp>ACT_EST_MAPPING=PRECISE</stp>
        <stp>FS=MRC</stp>
        <stp>CURRENCY=USD</stp>
        <stp>XLFILL=b</stp>
        <tr r="AN44" s="2"/>
      </tp>
      <tp>
        <v>55626.451871829551</v>
        <stp/>
        <stp>##V3_BQLV12</stp>
        <stp>[MODL_CRM_US1.xlsx]Single Period!R137C5</stp>
        <stp>CRM US Equity</stp>
        <stp>BS_EQTY_BEFORE_MINORITY_INT/1M</stp>
        <stp>FPR=2022Y</stp>
        <stp>FPT=A</stp>
        <stp>FA_ACT_EST_DATA=E</stp>
        <stp>ACT_EST_MAPPING=PRECISE</stp>
        <stp>FS=MRC</stp>
        <stp>CURRENCY=USD</stp>
        <stp>XLFILL=b</stp>
        <tr r="E137" s="2"/>
      </tp>
      <tp t="s">
        <v/>
        <stp/>
        <stp>##V3_BQLV12</stp>
        <stp>[MODL_CRM_US1.xlsx]Single Period!R39C16</stp>
        <stp>SEG0000269228 Segment</stp>
        <stp>IS_PERCENTAGE_OF_REVENUE</stp>
        <stp>FPR=2022Y</stp>
        <stp>FPT=A</stp>
        <stp>FA_ACT_EST_DATA=E, EST_SOURCE=DBG</stp>
        <stp>ACT_EST_MAPPING=PRECISE</stp>
        <stp>FS=MRC</stp>
        <stp>CURRENCY=USD</stp>
        <stp>XLFILL=b</stp>
        <tr r="P39" s="2"/>
      </tp>
      <tp t="s">
        <v/>
        <stp/>
        <stp>##V3_BQLV12</stp>
        <stp>[MODL_CRM_US1.xlsx]Single Period!R44C11</stp>
        <stp>SEG0000269240 Segment</stp>
        <stp>IS_PERCENTAGE_OF_REVENUE</stp>
        <stp>FPR=2022Y</stp>
        <stp>FPT=A</stp>
        <stp>FA_ACT_EST_DATA=E, EST_SOURCE=WBL</stp>
        <stp>ACT_EST_MAPPING=PRECISE</stp>
        <stp>FS=MRC</stp>
        <stp>CURRENCY=USD</stp>
        <stp>XLFILL=b</stp>
        <tr r="K44" s="2"/>
      </tp>
      <tp t="s">
        <v/>
        <stp/>
        <stp>##V3_BQLV12</stp>
        <stp>[MODL_CRM_US1.xlsx]Single Period!R33C27</stp>
        <stp>SEG0000269227 Segment</stp>
        <stp>IS_PERCENTAGE_OF_REVENUE</stp>
        <stp>FPR=2022Y</stp>
        <stp>FPT=A</stp>
        <stp>FA_ACT_EST_DATA=E, EST_SOURCE=LCM</stp>
        <stp>ACT_EST_MAPPING=PRECISE</stp>
        <stp>FS=MRC</stp>
        <stp>CURRENCY=USD</stp>
        <stp>XLFILL=b</stp>
        <tr r="AA33" s="2"/>
      </tp>
      <tp t="s">
        <v/>
        <stp/>
        <stp>##V3_BQLV12</stp>
        <stp>[MODL_CRM_US1.xlsx]Single Period!R49C31</stp>
        <stp>SEG0000269229 Segment</stp>
        <stp>IS_PERCENTAGE_OF_REVENUE</stp>
        <stp>FPR=2022Y</stp>
        <stp>FPT=A</stp>
        <stp>FA_ACT_EST_DATA=E, EST_SOURCE=RBC</stp>
        <stp>ACT_EST_MAPPING=PRECISE</stp>
        <stp>FS=MRC</stp>
        <stp>CURRENCY=USD</stp>
        <stp>XLFILL=b</stp>
        <tr r="AE49" s="2"/>
      </tp>
      <tp t="s">
        <v/>
        <stp/>
        <stp>##V3_BQLV12</stp>
        <stp>[MODL_CRM_US1.xlsx]Single Period!R49C40</stp>
        <stp>SEG0000269229 Segment</stp>
        <stp>IS_PERCENTAGE_OF_REVENUE</stp>
        <stp>FPR=2022Y</stp>
        <stp>FPT=A</stp>
        <stp>FA_ACT_EST_DATA=E, EST_SOURCE=ACC</stp>
        <stp>ACT_EST_MAPPING=PRECISE</stp>
        <stp>FS=MRC</stp>
        <stp>CURRENCY=USD</stp>
        <stp>XLFILL=b</stp>
        <tr r="AN49" s="2"/>
      </tp>
      <tp t="s">
        <v/>
        <stp/>
        <stp>##V3_BQLV12</stp>
        <stp>[MODL_CRM_US1.xlsx]Single Period!R44C17</stp>
        <stp>SEG0000269240 Segment</stp>
        <stp>IS_PERCENTAGE_OF_REVENUE</stp>
        <stp>FPR=2022Y</stp>
        <stp>FPT=A</stp>
        <stp>FA_ACT_EST_DATA=E, EST_SOURCE=NDH</stp>
        <stp>ACT_EST_MAPPING=PRECISE</stp>
        <stp>FS=MRC</stp>
        <stp>CURRENCY=USD</stp>
        <stp>XLFILL=b</stp>
        <tr r="Q44" s="2"/>
      </tp>
      <tp t="s">
        <v/>
        <stp/>
        <stp>##V3_BQLV12</stp>
        <stp>[MODL_CRM_US1.xlsx]Single Period!R88C53</stp>
        <stp>CRM US Equity</stp>
        <stp>OPER_INC_TO_NET_SALES</stp>
        <stp>FPR=2022Y</stp>
        <stp>FPT=A</stp>
        <stp>FA_ACT_EST_DATA=E, EST_SOURCE=NIK</stp>
        <stp>ACT_EST_MAPPING=PRECISE</stp>
        <stp>FS=MRC</stp>
        <stp>CURRENCY=USD</stp>
        <stp>XLFILL=b</stp>
        <tr r="BA88" s="2"/>
      </tp>
      <tp t="s">
        <v/>
        <stp/>
        <stp>##V3_BQLV12</stp>
        <stp>[MODL_CRM_US1.xlsx]Single Period!R99C51</stp>
        <stp>CRM US Equity</stp>
        <stp>IS_SBC_NON_GAAP/1M</stp>
        <stp>FPR=2022Y</stp>
        <stp>FPT=A</stp>
        <stp>FA_ACT_EST_DATA=E, EST_SOURCE=RCP</stp>
        <stp>ACT_EST_MAPPING=PRECISE</stp>
        <stp>FS=MRC</stp>
        <stp>CURRENCY=USD</stp>
        <stp>XLFILL=b</stp>
        <tr r="AY99" s="2"/>
      </tp>
      <tp t="s">
        <v/>
        <stp/>
        <stp>##V3_BQLV12</stp>
        <stp>[MODL_CRM_US1.xlsx]Single Period!R187C37</stp>
        <stp>CRM US Equity</stp>
        <stp>CF_NET_CHNG_CASH/1M</stp>
        <stp>FPR=2022Y</stp>
        <stp>FPT=A</stp>
        <stp>FA_ACT_EST_DATA=E, EST_SOURCE=EVR</stp>
        <stp>ACT_EST_MAPPING=PRECISE</stp>
        <stp>FS=MRC</stp>
        <stp>CURRENCY=USD</stp>
        <stp>XLFILL=b</stp>
        <tr r="AK187" s="2"/>
      </tp>
      <tp t="s">
        <v/>
        <stp/>
        <stp>##V3_BQLV12</stp>
        <stp>[MODL_CRM_US1.xlsx]Single Period!R8C21</stp>
        <stp>CRM US Equity</stp>
        <stp>REVENUE_GROWTH_CC_1_YR</stp>
        <stp>FPR=2022Y</stp>
        <stp>FPT=A</stp>
        <stp>FA_ACT_EST_DATA=E, EST_SOURCE=RJA</stp>
        <stp>ACT_EST_MAPPING=PRECISE</stp>
        <stp>FS=MRC</stp>
        <stp>CURRENCY=USD</stp>
        <stp>XLFILL=b</stp>
        <tr r="U8" s="2"/>
      </tp>
      <tp>
        <v>-11</v>
        <stp/>
        <stp>##V3_BQLV12</stp>
        <stp>[MODL_CRM_US1.xlsx]Single Period!R185C7</stp>
        <stp>CRM US Equity</stp>
        <stp>CONTRIBUTOR_STATS(CF_EFFECT_FOREIGN_EXCHANGES, MAX)/1M</stp>
        <stp>FPR=2022Y</stp>
        <stp>FPT=A</stp>
        <stp>FA_ACT_EST_DATA=E</stp>
        <stp>ACT_EST_MAPPING=PRECISE</stp>
        <stp>FS=MRC</stp>
        <stp>CURRENCY=USD</stp>
        <stp>XLFILL=b</stp>
        <tr r="G185" s="2"/>
      </tp>
      <tp>
        <v>-18</v>
        <stp/>
        <stp>##V3_BQLV12</stp>
        <stp>[MODL_CRM_US1.xlsx]Single Period!R185C6</stp>
        <stp>CRM US Equity</stp>
        <stp>CONTRIBUTOR_STATS(CF_EFFECT_FOREIGN_EXCHANGES, MIN)/1M</stp>
        <stp>FPR=2022Y</stp>
        <stp>FPT=A</stp>
        <stp>FA_ACT_EST_DATA=E</stp>
        <stp>ACT_EST_MAPPING=PRECISE</stp>
        <stp>FS=MRC</stp>
        <stp>CURRENCY=USD</stp>
        <stp>XLFILL=b</stp>
        <tr r="F185" s="2"/>
      </tp>
      <tp t="s">
        <v/>
        <stp/>
        <stp>##V3_BQLV12</stp>
        <stp>[MODL_CRM_US1.xlsx]Single Period!R8C48</stp>
        <stp>CRM US Equity</stp>
        <stp>REVENUE_GROWTH_CC_1_YR</stp>
        <stp>FPR=2022Y</stp>
        <stp>FPT=A</stp>
        <stp>FA_ACT_EST_DATA=E, EST_SOURCE=PJE</stp>
        <stp>ACT_EST_MAPPING=PRECISE</stp>
        <stp>FS=MRC</stp>
        <stp>CURRENCY=USD</stp>
        <stp>XLFILL=b</stp>
        <tr r="AV8" s="2"/>
      </tp>
      <tp t="s">
        <v/>
        <stp/>
        <stp>##V3_BQLV12</stp>
        <stp>[MODL_CRM_US1.xlsx]Single Period!R93C10</stp>
        <stp>CRM US Equity</stp>
        <stp>IS_AVG_NUM_SH_FOR_EPS/1M</stp>
        <stp>FPR=2022Y</stp>
        <stp>FPT=A</stp>
        <stp>FA_ACT_EST_DATA=E, EST_SOURCE=CMPY</stp>
        <stp>ACT_EST_MAPPING=PRECISE</stp>
        <stp>FS=MRC</stp>
        <stp>CURRENCY=USD</stp>
        <stp>XLFILL=b</stp>
        <tr r="J93" s="2"/>
      </tp>
      <tp>
        <v>2831</v>
        <stp/>
        <stp>##V3_BQLV12</stp>
        <stp>[MODL_CRM_US1.xlsx]Single Period!R99C13</stp>
        <stp>CRM US Equity</stp>
        <stp>IS_SBC_NON_GAAP/1M</stp>
        <stp>FPR=2022Y</stp>
        <stp>FPT=A</stp>
        <stp>FA_ACT_EST_DATA=E, EST_SOURCE=BCA</stp>
        <stp>ACT_EST_MAPPING=PRECISE</stp>
        <stp>FS=MRC</stp>
        <stp>CURRENCY=USD</stp>
        <stp>XLFILL=b</stp>
        <tr r="M99" s="2"/>
      </tp>
      <tp t="s">
        <v/>
        <stp/>
        <stp>##V3_BQLV12</stp>
        <stp>[MODL_CRM_US1.xlsx]Single Period!R99C19</stp>
        <stp>CRM US Equity</stp>
        <stp>IS_SBC_NON_GAAP/1M</stp>
        <stp>FPR=2022Y</stp>
        <stp>FPT=A</stp>
        <stp>FA_ACT_EST_DATA=E, EST_SOURCE=SCB</stp>
        <stp>ACT_EST_MAPPING=PRECISE</stp>
        <stp>FS=MRC</stp>
        <stp>CURRENCY=USD</stp>
        <stp>XLFILL=b</stp>
        <tr r="S99" s="2"/>
      </tp>
      <tp>
        <v>1.9414506867883019</v>
        <stp/>
        <stp>##V3_BQLV12</stp>
        <stp>[MODL_CRM_US1.xlsx]Single Period!R185C8</stp>
        <stp>CRM US Equity</stp>
        <stp>CONTRIBUTOR_STATS(CF_EFFECT_FOREIGN_EXCHANGES, STD)/1M</stp>
        <stp>FPR=2022Y</stp>
        <stp>FPT=A</stp>
        <stp>FA_ACT_EST_DATA=E</stp>
        <stp>ACT_EST_MAPPING=PRECISE</stp>
        <stp>FS=MRC</stp>
        <stp>CURRENCY=USD</stp>
        <stp>XLFILL=b</stp>
        <tr r="H185" s="2"/>
      </tp>
      <tp t="s">
        <v/>
        <stp/>
        <stp>##V3_BQLV12</stp>
        <stp>[MODL_CRM_US1.xlsx]Single Period!R99C40</stp>
        <stp>CRM US Equity</stp>
        <stp>IS_SBC_NON_GAAP/1M</stp>
        <stp>FPR=2022Y</stp>
        <stp>FPT=A</stp>
        <stp>FA_ACT_EST_DATA=E, EST_SOURCE=ACC</stp>
        <stp>ACT_EST_MAPPING=PRECISE</stp>
        <stp>FS=MRC</stp>
        <stp>CURRENCY=USD</stp>
        <stp>XLFILL=b</stp>
        <tr r="AN99" s="2"/>
      </tp>
      <tp t="s">
        <v/>
        <stp/>
        <stp>##V3_BQLV12</stp>
        <stp>[MODL_CRM_US1.xlsx]Single Period!R88C56</stp>
        <stp>CRM US Equity</stp>
        <stp>OPER_INC_TO_NET_SALES</stp>
        <stp>FPR=2022Y</stp>
        <stp>FPT=A</stp>
        <stp>FA_ACT_EST_DATA=E, EST_SOURCE=DIR</stp>
        <stp>ACT_EST_MAPPING=PRECISE</stp>
        <stp>FS=MRC</stp>
        <stp>CURRENCY=USD</stp>
        <stp>XLFILL=b</stp>
        <tr r="BD88" s="2"/>
      </tp>
      <tp t="s">
        <v/>
        <stp/>
        <stp>##V3_BQLV12</stp>
        <stp>[MODL_CRM_US1.xlsx]Single Period!R187C28</stp>
        <stp>CRM US Equity</stp>
        <stp>CF_NET_CHNG_CASH/1M</stp>
        <stp>FPR=2022Y</stp>
        <stp>FPT=A</stp>
        <stp>FA_ACT_EST_DATA=E, EST_SOURCE=CWN</stp>
        <stp>ACT_EST_MAPPING=PRECISE</stp>
        <stp>FS=MRC</stp>
        <stp>CURRENCY=USD</stp>
        <stp>XLFILL=b</stp>
        <tr r="AB187" s="2"/>
      </tp>
      <tp t="s">
        <v/>
        <stp/>
        <stp>##V3_BQLV12</stp>
        <stp>[MODL_CRM_US1.xlsx]Single Period!R81C14</stp>
        <stp>CRM US Equity</stp>
        <stp>IS_TOT_OPER_EXP/1M</stp>
        <stp>FPR=2022Y</stp>
        <stp>FPT=A</stp>
        <stp>FA_ACT_EST_DATA=E, EST_SOURCE=SNR</stp>
        <stp>ACT_EST_MAPPING=PRECISE</stp>
        <stp>FS=MRC</stp>
        <stp>CURRENCY=USD</stp>
        <stp>XLFILL=b</stp>
        <tr r="N81" s="2"/>
      </tp>
      <tp t="s">
        <v/>
        <stp/>
        <stp>##V3_BQLV12</stp>
        <stp>[MODL_CRM_US1.xlsx]Single Period!R81C29</stp>
        <stp>CRM US Equity</stp>
        <stp>IS_TOT_OPER_EXP/1M</stp>
        <stp>FPR=2022Y</stp>
        <stp>FPT=A</stp>
        <stp>FA_ACT_EST_DATA=E, EST_SOURCE=BNS</stp>
        <stp>ACT_EST_MAPPING=PRECISE</stp>
        <stp>FS=MRC</stp>
        <stp>CURRENCY=USD</stp>
        <stp>XLFILL=b</stp>
        <tr r="AC81" s="2"/>
      </tp>
      <tp t="s">
        <v/>
        <stp/>
        <stp>##V3_BQLV12</stp>
        <stp>[MODL_CRM_US1.xlsx]Single Period!R99C27</stp>
        <stp>CRM US Equity</stp>
        <stp>IS_SBC_NON_GAAP/1M</stp>
        <stp>FPR=2022Y</stp>
        <stp>FPT=A</stp>
        <stp>FA_ACT_EST_DATA=E, EST_SOURCE=LCM</stp>
        <stp>ACT_EST_MAPPING=PRECISE</stp>
        <stp>FS=MRC</stp>
        <stp>CURRENCY=USD</stp>
        <stp>XLFILL=b</stp>
        <tr r="AA99" s="2"/>
      </tp>
      <tp t="s">
        <v/>
        <stp/>
        <stp>##V3_BQLV12</stp>
        <stp>[MODL_CRM_US1.xlsx]Single Period!R73C10</stp>
        <stp>CRM US Equity</stp>
        <stp>IS_SH_FOR_DILUTED_EPS/1M</stp>
        <stp>FPR=2022Y</stp>
        <stp>FPT=A</stp>
        <stp>FA_ACT_EST_DATA=E, EST_SOURCE=CMPY</stp>
        <stp>ACT_EST_MAPPING=PRECISE</stp>
        <stp>FS=MRC</stp>
        <stp>CURRENCY=USD</stp>
        <stp>XLFILL=b</stp>
        <tr r="J73" s="2"/>
      </tp>
      <tp t="s">
        <v/>
        <stp/>
        <stp>##V3_BQLV12</stp>
        <stp>[MODL_CRM_US1.xlsx]Single Period!R79C56</stp>
        <stp>CRM US Equity</stp>
        <stp>CB_IS_GROSS_PROFIT/1M</stp>
        <stp>FPR=2022Y</stp>
        <stp>FPT=A</stp>
        <stp>FA_ACT_EST_DATA=E, EST_SOURCE=DIR</stp>
        <stp>ACT_EST_MAPPING=PRECISE</stp>
        <stp>FS=MRC</stp>
        <stp>CURRENCY=USD</stp>
        <stp>XLFILL=b</stp>
        <tr r="BD79" s="2"/>
      </tp>
      <tp>
        <v>1599.4896765333331</v>
        <stp/>
        <stp>##V3_BQLV12</stp>
        <stp>[MODL_CRM_US1.xlsx]Single Period!R65C5</stp>
        <stp>CRM US Equity</stp>
        <stp>IS_AMORT_OF_TOT_INTANG_PRETX/1M</stp>
        <stp>FPR=2022Y</stp>
        <stp>FPT=A</stp>
        <stp>FA_ACT_EST_DATA=E</stp>
        <stp>ACT_EST_MAPPING=PRECISE</stp>
        <stp>FS=MRC</stp>
        <stp>CURRENCY=USD</stp>
        <stp>XLFILL=b</stp>
        <tr r="E65" s="2"/>
      </tp>
      <tp t="s">
        <v/>
        <stp/>
        <stp>##V3_BQLV12</stp>
        <stp>[MODL_CRM_US1.xlsx]Single Period!R77C45</stp>
        <stp>CRM US Equity</stp>
        <stp>IS_COGS_TO_FE_AND_PP_AND_G/1M</stp>
        <stp>FPR=2022Y</stp>
        <stp>FPT=A</stp>
        <stp>FA_ACT_EST_DATA=E, EST_SOURCE=ARG</stp>
        <stp>ACT_EST_MAPPING=PRECISE</stp>
        <stp>FS=MRC</stp>
        <stp>CURRENCY=USD</stp>
        <stp>XLFILL=b</stp>
        <tr r="AS77" s="2"/>
      </tp>
      <tp t="s">
        <v/>
        <stp/>
        <stp>##V3_BQLV12</stp>
        <stp>[MODL_CRM_US1.xlsx]Single Period!R77C54</stp>
        <stp>CRM US Equity</stp>
        <stp>IS_COGS_TO_FE_AND_PP_AND_G/1M</stp>
        <stp>FPR=2022Y</stp>
        <stp>FPT=A</stp>
        <stp>FA_ACT_EST_DATA=E, EST_SOURCE=ARE</stp>
        <stp>ACT_EST_MAPPING=PRECISE</stp>
        <stp>FS=MRC</stp>
        <stp>CURRENCY=USD</stp>
        <stp>XLFILL=b</stp>
        <tr r="BB77" s="2"/>
      </tp>
      <tp t="s">
        <v/>
        <stp/>
        <stp>##V3_BQLV12</stp>
        <stp>[MODL_CRM_US1.xlsx]Single Period!R89C33</stp>
        <stp>CRM US Equity</stp>
        <stp>PRETAX_INC/1M</stp>
        <stp>FPR=2022Y</stp>
        <stp>FPT=A</stp>
        <stp>FA_ACT_EST_DATA=E, EST_SOURCE=RHR</stp>
        <stp>ACT_EST_MAPPING=PRECISE</stp>
        <stp>FS=MRC</stp>
        <stp>CURRENCY=USD</stp>
        <stp>XLFILL=b</stp>
        <tr r="AG89" s="2"/>
      </tp>
      <tp t="s">
        <v/>
        <stp/>
        <stp>##V3_BQLV12</stp>
        <stp>[MODL_CRM_US1.xlsx]Single Period!R79C53</stp>
        <stp>CRM US Equity</stp>
        <stp>CB_IS_GROSS_PROFIT/1M</stp>
        <stp>FPR=2022Y</stp>
        <stp>FPT=A</stp>
        <stp>FA_ACT_EST_DATA=E, EST_SOURCE=NIK</stp>
        <stp>ACT_EST_MAPPING=PRECISE</stp>
        <stp>FS=MRC</stp>
        <stp>CURRENCY=USD</stp>
        <stp>XLFILL=b</stp>
        <tr r="BA79" s="2"/>
      </tp>
      <tp t="s">
        <v/>
        <stp/>
        <stp>##V3_BQLV12</stp>
        <stp>[MODL_CRM_US1.xlsx]Single Period!R172C55</stp>
        <stp>CRM US Equity</stp>
        <stp>CAP_EXPEND_TO_SALES</stp>
        <stp>FPR=2022Y</stp>
        <stp>FPT=A</stp>
        <stp>FA_ACT_EST_DATA=E, EST_SOURCE=RED</stp>
        <stp>ACT_EST_MAPPING=PRECISE</stp>
        <stp>FS=MRC</stp>
        <stp>CURRENCY=USD</stp>
        <stp>XLFILL=b</stp>
        <tr r="BC172" s="2"/>
      </tp>
      <tp>
        <v>2.9506384616365802</v>
        <stp/>
        <stp>##V3_BQLV12</stp>
        <stp>[MODL_CRM_US1.xlsx]Single Period!R172C24</stp>
        <stp>CRM US Equity</stp>
        <stp>CAP_EXPEND_TO_SALES</stp>
        <stp>FPR=2022Y</stp>
        <stp>FPT=A</stp>
        <stp>FA_ACT_EST_DATA=E, EST_SOURCE=FBC</stp>
        <stp>ACT_EST_MAPPING=PRECISE</stp>
        <stp>FS=MRC</stp>
        <stp>CURRENCY=USD</stp>
        <stp>XLFILL=b</stp>
        <tr r="X172" s="2"/>
      </tp>
      <tp t="s">
        <v/>
        <stp/>
        <stp>##V3_BQLV12</stp>
        <stp>[MODL_CRM_US1.xlsx]Single Period!R172C18</stp>
        <stp>CRM US Equity</stp>
        <stp>CAP_EXPEND_TO_SALES</stp>
        <stp>FPR=2022Y</stp>
        <stp>FPT=A</stp>
        <stp>FA_ACT_EST_DATA=E, EST_SOURCE=CAN</stp>
        <stp>ACT_EST_MAPPING=PRECISE</stp>
        <stp>FS=MRC</stp>
        <stp>CURRENCY=USD</stp>
        <stp>XLFILL=b</stp>
        <tr r="R172" s="2"/>
      </tp>
      <tp>
        <v>9.4765661702661497</v>
        <stp/>
        <stp>##V3_BQLV12</stp>
        <stp>[MODL_CRM_US1.xlsx]Single Period!R49C6</stp>
        <stp>SEG0000269229 Segment</stp>
        <stp>CONTRIBUTOR_STATS(IS_PERCENTAGE_OF_REVENUE, MIN)</stp>
        <stp>FPR=2022Y</stp>
        <stp>FPT=A</stp>
        <stp>FA_ACT_EST_DATA=E</stp>
        <stp>ACT_EST_MAPPING=PRECISE</stp>
        <stp>FS=MRC</stp>
        <stp>CURRENCY=USD</stp>
        <stp>XLFILL=b</stp>
        <tr r="F49" s="2"/>
      </tp>
      <tp>
        <v>8815</v>
        <stp/>
        <stp>##V3_BQLV12</stp>
        <stp>[MODL_CRM_US1.xlsx]Single Period!R179C7</stp>
        <stp>CRM US Equity</stp>
        <stp>CONTRIBUTOR_STATS(CB_CF_NET_CASH_FINANCING_ACT, MAX)/1M</stp>
        <stp>FPR=2022Y</stp>
        <stp>FPT=A</stp>
        <stp>FA_ACT_EST_DATA=E</stp>
        <stp>ACT_EST_MAPPING=PRECISE</stp>
        <stp>FS=MRC</stp>
        <stp>CURRENCY=USD</stp>
        <stp>XLFILL=b</stp>
        <tr r="G179" s="2"/>
      </tp>
      <tp>
        <v>7635</v>
        <stp/>
        <stp>##V3_BQLV12</stp>
        <stp>[MODL_CRM_US1.xlsx]Single Period!R179C6</stp>
        <stp>CRM US Equity</stp>
        <stp>CONTRIBUTOR_STATS(CB_CF_NET_CASH_FINANCING_ACT, MIN)/1M</stp>
        <stp>FPR=2022Y</stp>
        <stp>FPT=A</stp>
        <stp>FA_ACT_EST_DATA=E</stp>
        <stp>ACT_EST_MAPPING=PRECISE</stp>
        <stp>FS=MRC</stp>
        <stp>CURRENCY=USD</stp>
        <stp>XLFILL=b</stp>
        <tr r="F179" s="2"/>
      </tp>
      <tp>
        <v>92.989647828363005</v>
        <stp/>
        <stp>##V3_BQLV12</stp>
        <stp>[MODL_CRM_US1.xlsx]Single Period!R25C6</stp>
        <stp>SEG0000269238 Segment</stp>
        <stp>CONTRIBUTOR_STATS(IS_PERCENTAGE_OF_REVENUE, MIN)</stp>
        <stp>FPR=2022Y</stp>
        <stp>FPT=A</stp>
        <stp>FA_ACT_EST_DATA=E</stp>
        <stp>ACT_EST_MAPPING=PRECISE</stp>
        <stp>FS=MRC</stp>
        <stp>CURRENCY=USD</stp>
        <stp>XLFILL=b</stp>
        <tr r="F25" s="2"/>
      </tp>
      <tp>
        <v>6.6635902818905732</v>
        <stp/>
        <stp>##V3_BQLV12</stp>
        <stp>[MODL_CRM_US1.xlsx]Single Period!R33C6</stp>
        <stp>SEG0000269227 Segment</stp>
        <stp>CONTRIBUTOR_STATS(IS_PERCENTAGE_OF_REVENUE, MIN)</stp>
        <stp>FPR=2022Y</stp>
        <stp>FPT=A</stp>
        <stp>FA_ACT_EST_DATA=E</stp>
        <stp>ACT_EST_MAPPING=PRECISE</stp>
        <stp>FS=MRC</stp>
        <stp>CURRENCY=USD</stp>
        <stp>XLFILL=b</stp>
        <tr r="F33" s="2"/>
      </tp>
      <tp>
        <v>67.926975088849133</v>
        <stp/>
        <stp>##V3_BQLV12</stp>
        <stp>[MODL_CRM_US1.xlsx]Single Period!R39C6</stp>
        <stp>SEG0000269228 Segment</stp>
        <stp>CONTRIBUTOR_STATS(IS_PERCENTAGE_OF_REVENUE, MIN)</stp>
        <stp>FPR=2022Y</stp>
        <stp>FPT=A</stp>
        <stp>FA_ACT_EST_DATA=E</stp>
        <stp>ACT_EST_MAPPING=PRECISE</stp>
        <stp>FS=MRC</stp>
        <stp>CURRENCY=USD</stp>
        <stp>XLFILL=b</stp>
        <tr r="F39" s="2"/>
      </tp>
      <tp>
        <v>22.43034540331838</v>
        <stp/>
        <stp>##V3_BQLV12</stp>
        <stp>[MODL_CRM_US1.xlsx]Single Period!R44C6</stp>
        <stp>SEG0000269240 Segment</stp>
        <stp>CONTRIBUTOR_STATS(IS_PERCENTAGE_OF_REVENUE, MIN)</stp>
        <stp>FPR=2022Y</stp>
        <stp>FPT=A</stp>
        <stp>FA_ACT_EST_DATA=E</stp>
        <stp>ACT_EST_MAPPING=PRECISE</stp>
        <stp>FS=MRC</stp>
        <stp>CURRENCY=USD</stp>
        <stp>XLFILL=b</stp>
        <tr r="F44" s="2"/>
      </tp>
      <tp>
        <v>386.3999064355412</v>
        <stp/>
        <stp>##V3_BQLV12</stp>
        <stp>[MODL_CRM_US1.xlsx]Single Period!R179C8</stp>
        <stp>CRM US Equity</stp>
        <stp>CONTRIBUTOR_STATS(CB_CF_NET_CASH_FINANCING_ACT, STD)/1M</stp>
        <stp>FPR=2022Y</stp>
        <stp>FPT=A</stp>
        <stp>FA_ACT_EST_DATA=E</stp>
        <stp>ACT_EST_MAPPING=PRECISE</stp>
        <stp>FS=MRC</stp>
        <stp>CURRENCY=USD</stp>
        <stp>XLFILL=b</stp>
        <tr r="H179" s="2"/>
      </tp>
    </main>
    <main first="bloomberg.rtd">
      <tp t="s">
        <v/>
        <stp/>
        <stp>##V3_BQLV12</stp>
        <stp>[MODL_CRM_US1.xlsx]Single Period!R25C51</stp>
        <stp>SEG0000269238 Segment</stp>
        <stp>IS_PERCENTAGE_OF_REVENUE</stp>
        <stp>FPR=2022Y</stp>
        <stp>FPT=A</stp>
        <stp>FA_ACT_EST_DATA=E, EST_SOURCE=RCP</stp>
        <stp>ACT_EST_MAPPING=PRECISE</stp>
        <stp>FS=MRC</stp>
        <stp>CURRENCY=USD</stp>
        <stp>XLFILL=b</stp>
        <tr r="AY25" s="2"/>
      </tp>
      <tp t="s">
        <v/>
        <stp/>
        <stp>##V3_BQLV12</stp>
        <stp>[MODL_CRM_US1.xlsx]Single Period!R39C26</stp>
        <stp>SEG0000269228 Segment</stp>
        <stp>IS_PERCENTAGE_OF_REVENUE</stp>
        <stp>FPR=2022Y</stp>
        <stp>FPT=A</stp>
        <stp>FA_ACT_EST_DATA=E, EST_SOURCE=KEY</stp>
        <stp>ACT_EST_MAPPING=PRECISE</stp>
        <stp>FS=MRC</stp>
        <stp>CURRENCY=USD</stp>
        <stp>XLFILL=b</stp>
        <tr r="Z39" s="2"/>
      </tp>
      <tp t="s">
        <v/>
        <stp/>
        <stp>##V3_BQLV12</stp>
        <stp>[MODL_CRM_US1.xlsx]Single Period!R44C52</stp>
        <stp>SEG0000269240 Segment</stp>
        <stp>IS_PERCENTAGE_OF_REVENUE</stp>
        <stp>FPR=2022Y</stp>
        <stp>FPT=A</stp>
        <stp>FA_ACT_EST_DATA=E, EST_SOURCE=WFR</stp>
        <stp>ACT_EST_MAPPING=PRECISE</stp>
        <stp>FS=MRC</stp>
        <stp>CURRENCY=USD</stp>
        <stp>XLFILL=b</stp>
        <tr r="AZ44" s="2"/>
      </tp>
      <tp>
        <v>-607</v>
        <stp/>
        <stp>##V3_BQLV12</stp>
        <stp>[MODL_CRM_US1.xlsx]Single Period!R166C9</stp>
        <stp>CRM US Equity</stp>
        <stp>CONTRIBUTOR_STATS(CF_CHANGE_IN_OPER_LEASE_LIBLTS, MEDIAN)/1M</stp>
        <stp>FPR=2022Y</stp>
        <stp>FPT=A</stp>
        <stp>FA_ACT_EST_DATA=E</stp>
        <stp>ACT_EST_MAPPING=PRECISE</stp>
        <stp>FS=MRC</stp>
        <stp>CURRENCY=USD</stp>
        <stp>XLFILL=b</stp>
        <tr r="I166" s="2"/>
      </tp>
      <tp>
        <v>6.6742231179574878</v>
        <stp/>
        <stp>##V3_BQLV12</stp>
        <stp>[MODL_CRM_US1.xlsx]Single Period!R33C26</stp>
        <stp>SEG0000269227 Segment</stp>
        <stp>IS_PERCENTAGE_OF_REVENUE</stp>
        <stp>FPR=2022Y</stp>
        <stp>FPT=A</stp>
        <stp>FA_ACT_EST_DATA=E, EST_SOURCE=KEY</stp>
        <stp>ACT_EST_MAPPING=PRECISE</stp>
        <stp>FS=MRC</stp>
        <stp>CURRENCY=USD</stp>
        <stp>XLFILL=b</stp>
        <tr r="Z33" s="2"/>
      </tp>
      <tp t="s">
        <v/>
        <stp/>
        <stp>##V3_BQLV12</stp>
        <stp>[MODL_CRM_US1.xlsx]Single Period!R49C52</stp>
        <stp>SEG0000269229 Segment</stp>
        <stp>IS_PERCENTAGE_OF_REVENUE</stp>
        <stp>FPR=2022Y</stp>
        <stp>FPT=A</stp>
        <stp>FA_ACT_EST_DATA=E, EST_SOURCE=WFR</stp>
        <stp>ACT_EST_MAPPING=PRECISE</stp>
        <stp>FS=MRC</stp>
        <stp>CURRENCY=USD</stp>
        <stp>XLFILL=b</stp>
        <tr r="AZ49" s="2"/>
      </tp>
      <tp t="s">
        <v/>
        <stp/>
        <stp>##V3_BQLV12</stp>
        <stp>[MODL_CRM_US1.xlsx]Single Period!R49C27</stp>
        <stp>SEG0000269229 Segment</stp>
        <stp>IS_PERCENTAGE_OF_REVENUE</stp>
        <stp>FPR=2022Y</stp>
        <stp>FPT=A</stp>
        <stp>FA_ACT_EST_DATA=E, EST_SOURCE=LCM</stp>
        <stp>ACT_EST_MAPPING=PRECISE</stp>
        <stp>FS=MRC</stp>
        <stp>CURRENCY=USD</stp>
        <stp>XLFILL=b</stp>
        <tr r="AA49" s="2"/>
      </tp>
      <tp>
        <v>0.92920327342314724</v>
        <stp/>
        <stp>##V3_BQLV12</stp>
        <stp>[MODL_CRM_US1.xlsx]Single Period!R146C6</stp>
        <stp>CRM US Equity</stp>
        <stp>CONTRIBUTOR_STATS(CUR_RATIO, MIN)</stp>
        <stp>FPR=2022Y</stp>
        <stp>FPT=A</stp>
        <stp>FA_ACT_EST_DATA=E</stp>
        <stp>ACT_EST_MAPPING=PRECISE</stp>
        <stp>FS=MRC</stp>
        <stp>CURRENCY=USD</stp>
        <stp>XLFILL=b</stp>
        <tr r="F146" s="2"/>
      </tp>
      <tp t="s">
        <v/>
        <stp/>
        <stp>##V3_BQLV12</stp>
        <stp>[MODL_CRM_US1.xlsx]Single Period!R39C11</stp>
        <stp>SEG0000269228 Segment</stp>
        <stp>IS_PERCENTAGE_OF_REVENUE</stp>
        <stp>FPR=2022Y</stp>
        <stp>FPT=A</stp>
        <stp>FA_ACT_EST_DATA=E, EST_SOURCE=WBL</stp>
        <stp>ACT_EST_MAPPING=PRECISE</stp>
        <stp>FS=MRC</stp>
        <stp>CURRENCY=USD</stp>
        <stp>XLFILL=b</stp>
        <tr r="K39" s="2"/>
      </tp>
      <tp t="s">
        <v/>
        <stp/>
        <stp>##V3_BQLV12</stp>
        <stp>[MODL_CRM_US1.xlsx]Single Period!R44C16</stp>
        <stp>SEG0000269240 Segment</stp>
        <stp>IS_PERCENTAGE_OF_REVENUE</stp>
        <stp>FPR=2022Y</stp>
        <stp>FPT=A</stp>
        <stp>FA_ACT_EST_DATA=E, EST_SOURCE=DBG</stp>
        <stp>ACT_EST_MAPPING=PRECISE</stp>
        <stp>FS=MRC</stp>
        <stp>CURRENCY=USD</stp>
        <stp>XLFILL=b</stp>
        <tr r="P44" s="2"/>
      </tp>
      <tp t="s">
        <v/>
        <stp/>
        <stp>##V3_BQLV12</stp>
        <stp>[MODL_CRM_US1.xlsx]Single Period!R33C31</stp>
        <stp>SEG0000269227 Segment</stp>
        <stp>IS_PERCENTAGE_OF_REVENUE</stp>
        <stp>FPR=2022Y</stp>
        <stp>FPT=A</stp>
        <stp>FA_ACT_EST_DATA=E, EST_SOURCE=RBC</stp>
        <stp>ACT_EST_MAPPING=PRECISE</stp>
        <stp>FS=MRC</stp>
        <stp>CURRENCY=USD</stp>
        <stp>XLFILL=b</stp>
        <tr r="AE33" s="2"/>
      </tp>
      <tp t="s">
        <v/>
        <stp/>
        <stp>##V3_BQLV12</stp>
        <stp>[MODL_CRM_US1.xlsx]Single Period!R33C40</stp>
        <stp>SEG0000269227 Segment</stp>
        <stp>IS_PERCENTAGE_OF_REVENUE</stp>
        <stp>FPR=2022Y</stp>
        <stp>FPT=A</stp>
        <stp>FA_ACT_EST_DATA=E, EST_SOURCE=ACC</stp>
        <stp>ACT_EST_MAPPING=PRECISE</stp>
        <stp>FS=MRC</stp>
        <stp>CURRENCY=USD</stp>
        <stp>XLFILL=b</stp>
        <tr r="AN33" s="2"/>
      </tp>
      <tp t="s">
        <v/>
        <stp/>
        <stp>##V3_BQLV12</stp>
        <stp>[MODL_CRM_US1.xlsx]Single Period!R25C48</stp>
        <stp>SEG0000269238 Segment</stp>
        <stp>IS_PERCENTAGE_OF_REVENUE</stp>
        <stp>FPR=2022Y</stp>
        <stp>FPT=A</stp>
        <stp>FA_ACT_EST_DATA=E, EST_SOURCE=PJE</stp>
        <stp>ACT_EST_MAPPING=PRECISE</stp>
        <stp>FS=MRC</stp>
        <stp>CURRENCY=USD</stp>
        <stp>XLFILL=b</stp>
        <tr r="AV25" s="2"/>
      </tp>
      <tp t="s">
        <v/>
        <stp/>
        <stp>##V3_BQLV12</stp>
        <stp>[MODL_CRM_US1.xlsx]Single Period!R39C17</stp>
        <stp>SEG0000269228 Segment</stp>
        <stp>IS_PERCENTAGE_OF_REVENUE</stp>
        <stp>FPR=2022Y</stp>
        <stp>FPT=A</stp>
        <stp>FA_ACT_EST_DATA=E, EST_SOURCE=NDH</stp>
        <stp>ACT_EST_MAPPING=PRECISE</stp>
        <stp>FS=MRC</stp>
        <stp>CURRENCY=USD</stp>
        <stp>XLFILL=b</stp>
        <tr r="Q39" s="2"/>
      </tp>
      <tp>
        <v>1.117193977189086</v>
        <stp/>
        <stp>##V3_BQLV12</stp>
        <stp>[MODL_CRM_US1.xlsx]Single Period!R146C7</stp>
        <stp>CRM US Equity</stp>
        <stp>CONTRIBUTOR_STATS(CUR_RATIO, MAX)</stp>
        <stp>FPR=2022Y</stp>
        <stp>FPT=A</stp>
        <stp>FA_ACT_EST_DATA=E</stp>
        <stp>ACT_EST_MAPPING=PRECISE</stp>
        <stp>FS=MRC</stp>
        <stp>CURRENCY=USD</stp>
        <stp>XLFILL=b</stp>
        <tr r="G146" s="2"/>
      </tp>
      <tp t="s">
        <v/>
        <stp/>
        <stp>##V3_BQLV12</stp>
        <stp>[MODL_CRM_US1.xlsx]Single Period!R49C16</stp>
        <stp>SEG0000269229 Segment</stp>
        <stp>IS_PERCENTAGE_OF_REVENUE</stp>
        <stp>FPR=2022Y</stp>
        <stp>FPT=A</stp>
        <stp>FA_ACT_EST_DATA=E, EST_SOURCE=DBG</stp>
        <stp>ACT_EST_MAPPING=PRECISE</stp>
        <stp>FS=MRC</stp>
        <stp>CURRENCY=USD</stp>
        <stp>XLFILL=b</stp>
        <tr r="P49" s="2"/>
      </tp>
      <tp t="s">
        <v/>
        <stp/>
        <stp>##V3_BQLV12</stp>
        <stp>[MODL_CRM_US1.xlsx]Single Period!R44C27</stp>
        <stp>SEG0000269240 Segment</stp>
        <stp>IS_PERCENTAGE_OF_REVENUE</stp>
        <stp>FPR=2022Y</stp>
        <stp>FPT=A</stp>
        <stp>FA_ACT_EST_DATA=E, EST_SOURCE=LCM</stp>
        <stp>ACT_EST_MAPPING=PRECISE</stp>
        <stp>FS=MRC</stp>
        <stp>CURRENCY=USD</stp>
        <stp>XLFILL=b</stp>
        <tr r="AA44" s="2"/>
      </tp>
      <tp t="s">
        <v/>
        <stp/>
        <stp>##V3_BQLV12</stp>
        <stp>[MODL_CRM_US1.xlsx]Single Period!R33C11</stp>
        <stp>SEG0000269227 Segment</stp>
        <stp>IS_PERCENTAGE_OF_REVENUE</stp>
        <stp>FPR=2022Y</stp>
        <stp>FPT=A</stp>
        <stp>FA_ACT_EST_DATA=E, EST_SOURCE=WBL</stp>
        <stp>ACT_EST_MAPPING=PRECISE</stp>
        <stp>FS=MRC</stp>
        <stp>CURRENCY=USD</stp>
        <stp>XLFILL=b</stp>
        <tr r="K33" s="2"/>
      </tp>
      <tp>
        <v>20722.459289999999</v>
        <stp/>
        <stp>##V3_BQLV12</stp>
        <stp>[MODL_CRM_US1.xlsx]Single Period!R55C21</stp>
        <stp>CRM US Equity</stp>
        <stp>IS_ADJ_GROSS_PROFIT_AS_REPORTED/1M</stp>
        <stp>FPR=2022Y</stp>
        <stp>FPT=A</stp>
        <stp>FA_ACT_EST_DATA=E, EST_SOURCE=RJA</stp>
        <stp>ACT_EST_MAPPING=PRECISE</stp>
        <stp>FS=MRC</stp>
        <stp>CURRENCY=USD</stp>
        <stp>XLFILL=b</stp>
        <tr r="U55" s="2"/>
      </tp>
      <tp>
        <v>20722.459289999999</v>
        <stp/>
        <stp>##V3_BQLV12</stp>
        <stp>[MODL_CRM_US1.xlsx]Single Period!R16C21</stp>
        <stp>CRM US Equity</stp>
        <stp>IS_ADJ_GROSS_PROFIT_AS_REPORTED/1M</stp>
        <stp>FPR=2022Y</stp>
        <stp>FPT=A</stp>
        <stp>FA_ACT_EST_DATA=E, EST_SOURCE=RJA</stp>
        <stp>ACT_EST_MAPPING=PRECISE</stp>
        <stp>FS=MRC</stp>
        <stp>CURRENCY=USD</stp>
        <stp>XLFILL=b</stp>
        <tr r="U16" s="2"/>
      </tp>
      <tp t="s">
        <v/>
        <stp/>
        <stp>##V3_BQLV12</stp>
        <stp>[MODL_CRM_US1.xlsx]Single Period!R39C31</stp>
        <stp>SEG0000269228 Segment</stp>
        <stp>IS_PERCENTAGE_OF_REVENUE</stp>
        <stp>FPR=2022Y</stp>
        <stp>FPT=A</stp>
        <stp>FA_ACT_EST_DATA=E, EST_SOURCE=RBC</stp>
        <stp>ACT_EST_MAPPING=PRECISE</stp>
        <stp>FS=MRC</stp>
        <stp>CURRENCY=USD</stp>
        <stp>XLFILL=b</stp>
        <tr r="AE39" s="2"/>
      </tp>
      <tp t="s">
        <v/>
        <stp/>
        <stp>##V3_BQLV12</stp>
        <stp>[MODL_CRM_US1.xlsx]Single Period!R39C40</stp>
        <stp>SEG0000269228 Segment</stp>
        <stp>IS_PERCENTAGE_OF_REVENUE</stp>
        <stp>FPR=2022Y</stp>
        <stp>FPT=A</stp>
        <stp>FA_ACT_EST_DATA=E, EST_SOURCE=ACC</stp>
        <stp>ACT_EST_MAPPING=PRECISE</stp>
        <stp>FS=MRC</stp>
        <stp>CURRENCY=USD</stp>
        <stp>XLFILL=b</stp>
        <tr r="AN39" s="2"/>
      </tp>
      <tp>
        <v>6.9385064471338813</v>
        <stp/>
        <stp>##V3_BQLV12</stp>
        <stp>[MODL_CRM_US1.xlsx]Single Period!R33C17</stp>
        <stp>SEG0000269227 Segment</stp>
        <stp>IS_PERCENTAGE_OF_REVENUE</stp>
        <stp>FPR=2022Y</stp>
        <stp>FPT=A</stp>
        <stp>FA_ACT_EST_DATA=E, EST_SOURCE=NDH</stp>
        <stp>ACT_EST_MAPPING=PRECISE</stp>
        <stp>FS=MRC</stp>
        <stp>CURRENCY=USD</stp>
        <stp>XLFILL=b</stp>
        <tr r="Q33" s="2"/>
      </tp>
      <tp t="s">
        <v/>
        <stp/>
        <stp>##V3_BQLV12</stp>
        <stp>[MODL_CRM_US1.xlsx]Single Period!R55C48</stp>
        <stp>CRM US Equity</stp>
        <stp>IS_ADJ_GROSS_PROFIT_AS_REPORTED/1M</stp>
        <stp>FPR=2022Y</stp>
        <stp>FPT=A</stp>
        <stp>FA_ACT_EST_DATA=E, EST_SOURCE=PJE</stp>
        <stp>ACT_EST_MAPPING=PRECISE</stp>
        <stp>FS=MRC</stp>
        <stp>CURRENCY=USD</stp>
        <stp>XLFILL=b</stp>
        <tr r="AV55" s="2"/>
      </tp>
      <tp t="s">
        <v/>
        <stp/>
        <stp>##V3_BQLV12</stp>
        <stp>[MODL_CRM_US1.xlsx]Single Period!R16C48</stp>
        <stp>CRM US Equity</stp>
        <stp>IS_ADJ_GROSS_PROFIT_AS_REPORTED/1M</stp>
        <stp>FPR=2022Y</stp>
        <stp>FPT=A</stp>
        <stp>FA_ACT_EST_DATA=E, EST_SOURCE=PJE</stp>
        <stp>ACT_EST_MAPPING=PRECISE</stp>
        <stp>FS=MRC</stp>
        <stp>CURRENCY=USD</stp>
        <stp>XLFILL=b</stp>
        <tr r="AV16" s="2"/>
      </tp>
      <tp t="s">
        <v/>
        <stp/>
        <stp>##V3_BQLV12</stp>
        <stp>[MODL_CRM_US1.xlsx]Single Period!R81C53</stp>
        <stp>CRM US Equity</stp>
        <stp>IS_TOT_OPER_EXP/1M</stp>
        <stp>FPR=2022Y</stp>
        <stp>FPT=A</stp>
        <stp>FA_ACT_EST_DATA=E, EST_SOURCE=NIK</stp>
        <stp>ACT_EST_MAPPING=PRECISE</stp>
        <stp>FS=MRC</stp>
        <stp>CURRENCY=USD</stp>
        <stp>XLFILL=b</stp>
        <tr r="BA81" s="2"/>
      </tp>
      <tp t="s">
        <v/>
        <stp/>
        <stp>##V3_BQLV12</stp>
        <stp>[MODL_CRM_US1.xlsx]Single Period!R8C12</stp>
        <stp>CRM US Equity</stp>
        <stp>REVENUE_GROWTH_CC_1_YR</stp>
        <stp>FPR=2022Y</stp>
        <stp>FPT=A</stp>
        <stp>FA_ACT_EST_DATA=E, EST_SOURCE=BMO</stp>
        <stp>ACT_EST_MAPPING=PRECISE</stp>
        <stp>FS=MRC</stp>
        <stp>CURRENCY=USD</stp>
        <stp>XLFILL=b</stp>
        <tr r="L8" s="2"/>
      </tp>
      <tp t="s">
        <v/>
        <stp/>
        <stp>##V3_BQLV12</stp>
        <stp>[MODL_CRM_US1.xlsx]Single Period!R187C22</stp>
        <stp>CRM US Equity</stp>
        <stp>CF_NET_CHNG_CASH/1M</stp>
        <stp>FPR=2022Y</stp>
        <stp>FPT=A</stp>
        <stp>FA_ACT_EST_DATA=E, EST_SOURCE=OPY</stp>
        <stp>ACT_EST_MAPPING=PRECISE</stp>
        <stp>FS=MRC</stp>
        <stp>CURRENCY=USD</stp>
        <stp>XLFILL=b</stp>
        <tr r="V187" s="2"/>
      </tp>
      <tp>
        <v>-5739.0693040760962</v>
        <stp/>
        <stp>##V3_BQLV12</stp>
        <stp>[MODL_CRM_US1.xlsx]Single Period!R187C15</stp>
        <stp>CRM US Equity</stp>
        <stp>CF_NET_CHNG_CASH/1M</stp>
        <stp>FPR=2022Y</stp>
        <stp>FPT=A</stp>
        <stp>FA_ACT_EST_DATA=E, EST_SOURCE=MSV</stp>
        <stp>ACT_EST_MAPPING=PRECISE</stp>
        <stp>FS=MRC</stp>
        <stp>CURRENCY=USD</stp>
        <stp>XLFILL=b</stp>
        <tr r="O187" s="2"/>
      </tp>
      <tp>
        <v>26394.999504089359</v>
        <stp/>
        <stp>##V3_BQLV12</stp>
        <stp>[MODL_CRM_US1.xlsx]Single Period!R52C10</stp>
        <stp>CRM US Equity</stp>
        <stp>IS_COMP_SALES/1M</stp>
        <stp>FPR=2022Y</stp>
        <stp>FPT=A</stp>
        <stp>FA_ACT_EST_DATA=E, EST_SOURCE=CMPY</stp>
        <stp>ACT_EST_MAPPING=PRECISE</stp>
        <stp>FS=MRC</stp>
        <stp>CURRENCY=USD</stp>
        <stp>XLFILL=b</stp>
        <tr r="J52" s="2"/>
      </tp>
      <tp t="s">
        <v/>
        <stp/>
        <stp>##V3_BQLV12</stp>
        <stp>[MODL_CRM_US1.xlsx]Single Period!R187C23</stp>
        <stp>CRM US Equity</stp>
        <stp>CF_NET_CHNG_CASH/1M</stp>
        <stp>FPR=2022Y</stp>
        <stp>FPT=A</stp>
        <stp>FA_ACT_EST_DATA=E, EST_SOURCE=JPM</stp>
        <stp>ACT_EST_MAPPING=PRECISE</stp>
        <stp>FS=MRC</stp>
        <stp>CURRENCY=USD</stp>
        <stp>XLFILL=b</stp>
        <tr r="W187" s="2"/>
      </tp>
      <tp>
        <v>15829.473599999999</v>
        <stp/>
        <stp>##V3_BQLV12</stp>
        <stp>[MODL_CRM_US1.xlsx]Single Period!R58C9</stp>
        <stp>CRM US Equity</stp>
        <stp>CONTRIBUTOR_STATS(CB_IS_ADJUSTED_OPEX, MEDIAN)/1M</stp>
        <stp>FPR=2022Y</stp>
        <stp>FPT=A</stp>
        <stp>FA_ACT_EST_DATA=E</stp>
        <stp>ACT_EST_MAPPING=PRECISE</stp>
        <stp>FS=MRC</stp>
        <stp>CURRENCY=USD</stp>
        <stp>XLFILL=b</stp>
        <tr r="I58" s="2"/>
      </tp>
      <tp t="s">
        <v/>
        <stp/>
        <stp>##V3_BQLV12</stp>
        <stp>[MODL_CRM_US1.xlsx]Single Period!R8C20</stp>
        <stp>CRM US Equity</stp>
        <stp>REVENUE_GROWTH_CC_1_YR</stp>
        <stp>FPR=2022Y</stp>
        <stp>FPT=A</stp>
        <stp>FA_ACT_EST_DATA=E, EST_SOURCE=JMP</stp>
        <stp>ACT_EST_MAPPING=PRECISE</stp>
        <stp>FS=MRC</stp>
        <stp>CURRENCY=USD</stp>
        <stp>XLFILL=b</stp>
        <tr r="T8" s="2"/>
      </tp>
      <tp t="s">
        <v/>
        <stp/>
        <stp>##V3_BQLV12</stp>
        <stp>[MODL_CRM_US1.xlsx]Single Period!R81C56</stp>
        <stp>CRM US Equity</stp>
        <stp>IS_TOT_OPER_EXP/1M</stp>
        <stp>FPR=2022Y</stp>
        <stp>FPT=A</stp>
        <stp>FA_ACT_EST_DATA=E, EST_SOURCE=DIR</stp>
        <stp>ACT_EST_MAPPING=PRECISE</stp>
        <stp>FS=MRC</stp>
        <stp>CURRENCY=USD</stp>
        <stp>XLFILL=b</stp>
        <tr r="BD81" s="2"/>
      </tp>
      <tp>
        <v>2766</v>
        <stp/>
        <stp>##V3_BQLV12</stp>
        <stp>[MODL_CRM_US1.xlsx]Single Period!R99C17</stp>
        <stp>CRM US Equity</stp>
        <stp>IS_SBC_NON_GAAP/1M</stp>
        <stp>FPR=2022Y</stp>
        <stp>FPT=A</stp>
        <stp>FA_ACT_EST_DATA=E, EST_SOURCE=NDH</stp>
        <stp>ACT_EST_MAPPING=PRECISE</stp>
        <stp>FS=MRC</stp>
        <stp>CURRENCY=USD</stp>
        <stp>XLFILL=b</stp>
        <tr r="Q99" s="2"/>
      </tp>
      <tp t="s">
        <v/>
        <stp/>
        <stp>##V3_BQLV12</stp>
        <stp>[MODL_CRM_US1.xlsx]Single Period!R88C14</stp>
        <stp>CRM US Equity</stp>
        <stp>OPER_INC_TO_NET_SALES</stp>
        <stp>FPR=2022Y</stp>
        <stp>FPT=A</stp>
        <stp>FA_ACT_EST_DATA=E, EST_SOURCE=SNR</stp>
        <stp>ACT_EST_MAPPING=PRECISE</stp>
        <stp>FS=MRC</stp>
        <stp>CURRENCY=USD</stp>
        <stp>XLFILL=b</stp>
        <tr r="N88" s="2"/>
      </tp>
      <tp t="s">
        <v/>
        <stp/>
        <stp>##V3_BQLV12</stp>
        <stp>[MODL_CRM_US1.xlsx]Single Period!R88C29</stp>
        <stp>CRM US Equity</stp>
        <stp>OPER_INC_TO_NET_SALES</stp>
        <stp>FPR=2022Y</stp>
        <stp>FPT=A</stp>
        <stp>FA_ACT_EST_DATA=E, EST_SOURCE=BNS</stp>
        <stp>ACT_EST_MAPPING=PRECISE</stp>
        <stp>FS=MRC</stp>
        <stp>CURRENCY=USD</stp>
        <stp>XLFILL=b</stp>
        <tr r="AC88" s="2"/>
      </tp>
      <tp t="s">
        <v/>
        <stp/>
        <stp>##V3_BQLV12</stp>
        <stp>[MODL_CRM_US1.xlsx]Single Period!R8C25</stp>
        <stp>CRM US Equity</stp>
        <stp>REVENUE_GROWTH_CC_1_YR</stp>
        <stp>FPR=2022Y</stp>
        <stp>FPT=A</stp>
        <stp>FA_ACT_EST_DATA=E, EST_SOURCE=WMS</stp>
        <stp>ACT_EST_MAPPING=PRECISE</stp>
        <stp>FS=MRC</stp>
        <stp>CURRENCY=USD</stp>
        <stp>XLFILL=b</stp>
        <tr r="Y8" s="2"/>
      </tp>
      <tp t="s">
        <v/>
        <stp/>
        <stp>##V3_BQLV12</stp>
        <stp>[MODL_CRM_US1.xlsx]Single Period!R120C45</stp>
        <stp>CRM US Equity</stp>
        <stp>BS_LONG_TERM_INVESTMENTS/1M</stp>
        <stp>FPR=2022Y</stp>
        <stp>FPT=A</stp>
        <stp>FA_ACT_EST_DATA=E, EST_SOURCE=ARG</stp>
        <stp>ACT_EST_MAPPING=PRECISE</stp>
        <stp>FS=MRC</stp>
        <stp>CURRENCY=USD</stp>
        <stp>XLFILL=b</stp>
        <tr r="AS120" s="2"/>
      </tp>
      <tp t="s">
        <v/>
        <stp/>
        <stp>##V3_BQLV12</stp>
        <stp>[MODL_CRM_US1.xlsx]Single Period!R94C10</stp>
        <stp>CRM US Equity</stp>
        <stp>IS_SH_FOR_DILUTED_EPS/1M</stp>
        <stp>FPR=2022Y</stp>
        <stp>FPT=A</stp>
        <stp>FA_ACT_EST_DATA=E, EST_SOURCE=CMPY</stp>
        <stp>ACT_EST_MAPPING=PRECISE</stp>
        <stp>FS=MRC</stp>
        <stp>CURRENCY=USD</stp>
        <stp>XLFILL=b</stp>
        <tr r="J94" s="2"/>
      </tp>
      <tp>
        <v>2.9518745564697828</v>
        <stp/>
        <stp>##V3_BQLV12</stp>
        <stp>[MODL_CRM_US1.xlsx]Single Period!R172C26</stp>
        <stp>CRM US Equity</stp>
        <stp>CAP_EXPEND_TO_SALES</stp>
        <stp>FPR=2022Y</stp>
        <stp>FPT=A</stp>
        <stp>FA_ACT_EST_DATA=E, EST_SOURCE=KEY</stp>
        <stp>ACT_EST_MAPPING=PRECISE</stp>
        <stp>FS=MRC</stp>
        <stp>CURRENCY=USD</stp>
        <stp>XLFILL=b</stp>
        <tr r="Z172" s="2"/>
      </tp>
      <tp t="s">
        <v/>
        <stp/>
        <stp>##V3_BQLV12</stp>
        <stp>[MODL_CRM_US1.xlsx]Single Period!R79C29</stp>
        <stp>CRM US Equity</stp>
        <stp>CB_IS_GROSS_PROFIT/1M</stp>
        <stp>FPR=2022Y</stp>
        <stp>FPT=A</stp>
        <stp>FA_ACT_EST_DATA=E, EST_SOURCE=BNS</stp>
        <stp>ACT_EST_MAPPING=PRECISE</stp>
        <stp>FS=MRC</stp>
        <stp>CURRENCY=USD</stp>
        <stp>XLFILL=b</stp>
        <tr r="AC79" s="2"/>
      </tp>
      <tp t="s">
        <v/>
        <stp/>
        <stp>##V3_BQLV12</stp>
        <stp>[MODL_CRM_US1.xlsx]Single Period!R79C14</stp>
        <stp>CRM US Equity</stp>
        <stp>CB_IS_GROSS_PROFIT/1M</stp>
        <stp>FPR=2022Y</stp>
        <stp>FPT=A</stp>
        <stp>FA_ACT_EST_DATA=E, EST_SOURCE=SNR</stp>
        <stp>ACT_EST_MAPPING=PRECISE</stp>
        <stp>FS=MRC</stp>
        <stp>CURRENCY=USD</stp>
        <stp>XLFILL=b</stp>
        <tr r="N79" s="2"/>
      </tp>
      <tp t="s">
        <v/>
        <stp/>
        <stp>##V3_BQLV12</stp>
        <stp>[MODL_CRM_US1.xlsx]Single Period!R19C45</stp>
        <stp>CRM US Equity</stp>
        <stp>IS_COMPARABLE_EBIT/1M</stp>
        <stp>FPR=2022Y</stp>
        <stp>FPT=A</stp>
        <stp>FA_ACT_EST_DATA=E, EST_SOURCE=ARG</stp>
        <stp>ACT_EST_MAPPING=PRECISE</stp>
        <stp>FS=MRC</stp>
        <stp>CURRENCY=USD</stp>
        <stp>XLFILL=b</stp>
        <tr r="AS19" s="2"/>
      </tp>
      <tp t="s">
        <v/>
        <stp/>
        <stp>##V3_BQLV12</stp>
        <stp>[MODL_CRM_US1.xlsx]Single Period!R19C54</stp>
        <stp>CRM US Equity</stp>
        <stp>IS_COMPARABLE_EBIT/1M</stp>
        <stp>FPR=2022Y</stp>
        <stp>FPT=A</stp>
        <stp>FA_ACT_EST_DATA=E, EST_SOURCE=ARE</stp>
        <stp>ACT_EST_MAPPING=PRECISE</stp>
        <stp>FS=MRC</stp>
        <stp>CURRENCY=USD</stp>
        <stp>XLFILL=b</stp>
        <tr r="BB19" s="2"/>
      </tp>
      <tp t="s">
        <v/>
        <stp/>
        <stp>##V3_BQLV12</stp>
        <stp>[MODL_CRM_US1.xlsx]Single Period!R172C40</stp>
        <stp>CRM US Equity</stp>
        <stp>CAP_EXPEND_TO_SALES</stp>
        <stp>FPR=2022Y</stp>
        <stp>FPT=A</stp>
        <stp>FA_ACT_EST_DATA=E, EST_SOURCE=ACC</stp>
        <stp>ACT_EST_MAPPING=PRECISE</stp>
        <stp>FS=MRC</stp>
        <stp>CURRENCY=USD</stp>
        <stp>XLFILL=b</stp>
        <tr r="AN172" s="2"/>
      </tp>
      <tp>
        <v>7168.9196308125938</v>
        <stp/>
        <stp>##V3_BQLV12</stp>
        <stp>[MODL_CRM_US1.xlsx]Single Period!R141C6</stp>
        <stp>CRM US Equity</stp>
        <stp>CONTRIBUTOR_STATS(BS_PURE_RETAINED_EARNINGS, MIN)/1M</stp>
        <stp>FPR=2022Y</stp>
        <stp>FPT=A</stp>
        <stp>FA_ACT_EST_DATA=E</stp>
        <stp>ACT_EST_MAPPING=PRECISE</stp>
        <stp>FS=MRC</stp>
        <stp>CURRENCY=USD</stp>
        <stp>XLFILL=b</stp>
        <tr r="F141" s="2"/>
      </tp>
      <tp>
        <v>2.7738142495324909</v>
        <stp/>
        <stp>##V3_BQLV12</stp>
        <stp>[MODL_CRM_US1.xlsx]Single Period!R189C8</stp>
        <stp>CRM US Equity</stp>
        <stp>CONTRIBUTOR_STATS(CF_CASH_AND_CASH_EQUIV_BEG_BAL, STD)/1M</stp>
        <stp>FPR=2022Y</stp>
        <stp>FPT=A</stp>
        <stp>FA_ACT_EST_DATA=E</stp>
        <stp>ACT_EST_MAPPING=PRECISE</stp>
        <stp>FS=MRC</stp>
        <stp>CURRENCY=USD</stp>
        <stp>XLFILL=b</stp>
        <tr r="H189" s="2"/>
      </tp>
      <tp>
        <v>7825.6163687503113</v>
        <stp/>
        <stp>##V3_BQLV12</stp>
        <stp>[MODL_CRM_US1.xlsx]Single Period!R191C7</stp>
        <stp>CRM US Equity</stp>
        <stp>CONTRIBUTOR_STATS(CF_FREE_CASH_FLOW, MAX)/1M</stp>
        <stp>FPR=2022Y</stp>
        <stp>FPT=A</stp>
        <stp>FA_ACT_EST_DATA=E</stp>
        <stp>ACT_EST_MAPPING=PRECISE</stp>
        <stp>FS=MRC</stp>
        <stp>CURRENCY=USD</stp>
        <stp>XLFILL=b</stp>
        <tr r="G191" s="2"/>
      </tp>
      <tp>
        <v>6203.8850000000002</v>
        <stp/>
        <stp>##V3_BQLV12</stp>
        <stp>[MODL_CRM_US1.xlsx]Single Period!R189C7</stp>
        <stp>CRM US Equity</stp>
        <stp>CONTRIBUTOR_STATS(CF_CASH_AND_CASH_EQUIV_BEG_BAL, MAX)/1M</stp>
        <stp>FPR=2022Y</stp>
        <stp>FPT=A</stp>
        <stp>FA_ACT_EST_DATA=E</stp>
        <stp>ACT_EST_MAPPING=PRECISE</stp>
        <stp>FS=MRC</stp>
        <stp>CURRENCY=USD</stp>
        <stp>XLFILL=b</stp>
        <tr r="G189" s="2"/>
      </tp>
      <tp>
        <v>6193.6279999999997</v>
        <stp/>
        <stp>##V3_BQLV12</stp>
        <stp>[MODL_CRM_US1.xlsx]Single Period!R189C6</stp>
        <stp>CRM US Equity</stp>
        <stp>CONTRIBUTOR_STATS(CF_CASH_AND_CASH_EQUIV_BEG_BAL, MIN)/1M</stp>
        <stp>FPR=2022Y</stp>
        <stp>FPT=A</stp>
        <stp>FA_ACT_EST_DATA=E</stp>
        <stp>ACT_EST_MAPPING=PRECISE</stp>
        <stp>FS=MRC</stp>
        <stp>CURRENCY=USD</stp>
        <stp>XLFILL=b</stp>
        <tr r="F189" s="2"/>
      </tp>
      <tp>
        <v>4555</v>
        <stp/>
        <stp>##V3_BQLV12</stp>
        <stp>[MODL_CRM_US1.xlsx]Single Period!R70C21</stp>
        <stp>CRM US Equity</stp>
        <stp>IS_COMP_NET_INC_EXCL_STOCK_COMP/1M</stp>
        <stp>FPR=2022Y</stp>
        <stp>FPT=A</stp>
        <stp>FA_ACT_EST_DATA=E, EST_SOURCE=RJA</stp>
        <stp>ACT_EST_MAPPING=PRECISE</stp>
        <stp>FS=MRC</stp>
        <stp>CURRENCY=USD</stp>
        <stp>XLFILL=b</stp>
        <tr r="U70" s="2"/>
      </tp>
      <tp t="s">
        <v/>
        <stp/>
        <stp>##V3_BQLV12</stp>
        <stp>[MODL_CRM_US1.xlsx]Single Period!R70C48</stp>
        <stp>CRM US Equity</stp>
        <stp>IS_COMP_NET_INC_EXCL_STOCK_COMP/1M</stp>
        <stp>FPR=2022Y</stp>
        <stp>FPT=A</stp>
        <stp>FA_ACT_EST_DATA=E, EST_SOURCE=PJE</stp>
        <stp>ACT_EST_MAPPING=PRECISE</stp>
        <stp>FS=MRC</stp>
        <stp>CURRENCY=USD</stp>
        <stp>XLFILL=b</stp>
        <tr r="AV70" s="2"/>
      </tp>
      <tp t="s">
        <v/>
        <stp/>
        <stp>##V3_BQLV12</stp>
        <stp>[MODL_CRM_US1.xlsx]Single Period!R33C51</stp>
        <stp>SEG0000269227 Segment</stp>
        <stp>IS_PERCENTAGE_OF_REVENUE</stp>
        <stp>FPR=2022Y</stp>
        <stp>FPT=A</stp>
        <stp>FA_ACT_EST_DATA=E, EST_SOURCE=RCP</stp>
        <stp>ACT_EST_MAPPING=PRECISE</stp>
        <stp>FS=MRC</stp>
        <stp>CURRENCY=USD</stp>
        <stp>XLFILL=b</stp>
        <tr r="AY33" s="2"/>
      </tp>
      <tp>
        <v>93.325776882042504</v>
        <stp/>
        <stp>##V3_BQLV12</stp>
        <stp>[MODL_CRM_US1.xlsx]Single Period!R25C26</stp>
        <stp>SEG0000269238 Segment</stp>
        <stp>IS_PERCENTAGE_OF_REVENUE</stp>
        <stp>FPR=2022Y</stp>
        <stp>FPT=A</stp>
        <stp>FA_ACT_EST_DATA=E, EST_SOURCE=KEY</stp>
        <stp>ACT_EST_MAPPING=PRECISE</stp>
        <stp>FS=MRC</stp>
        <stp>CURRENCY=USD</stp>
        <stp>XLFILL=b</stp>
        <tr r="Z25" s="2"/>
      </tp>
      <tp t="s">
        <v/>
        <stp/>
        <stp>##V3_BQLV12</stp>
        <stp>[MODL_CRM_US1.xlsx]Single Period!R39C51</stp>
        <stp>SEG0000269228 Segment</stp>
        <stp>IS_PERCENTAGE_OF_REVENUE</stp>
        <stp>FPR=2022Y</stp>
        <stp>FPT=A</stp>
        <stp>FA_ACT_EST_DATA=E, EST_SOURCE=RCP</stp>
        <stp>ACT_EST_MAPPING=PRECISE</stp>
        <stp>FS=MRC</stp>
        <stp>CURRENCY=USD</stp>
        <stp>XLFILL=b</stp>
        <tr r="AY39" s="2"/>
      </tp>
      <tp t="s">
        <v/>
        <stp/>
        <stp>##V3_BQLV12</stp>
        <stp>[MODL_CRM_US1.xlsx]Single Period!R33C48</stp>
        <stp>SEG0000269227 Segment</stp>
        <stp>IS_PERCENTAGE_OF_REVENUE</stp>
        <stp>FPR=2022Y</stp>
        <stp>FPT=A</stp>
        <stp>FA_ACT_EST_DATA=E, EST_SOURCE=PJE</stp>
        <stp>ACT_EST_MAPPING=PRECISE</stp>
        <stp>FS=MRC</stp>
        <stp>CURRENCY=USD</stp>
        <stp>XLFILL=b</stp>
        <tr r="AV33" s="2"/>
      </tp>
      <tp t="s">
        <v/>
        <stp/>
        <stp>##V3_BQLV12</stp>
        <stp>[MODL_CRM_US1.xlsx]Single Period!R25C31</stp>
        <stp>SEG0000269238 Segment</stp>
        <stp>IS_PERCENTAGE_OF_REVENUE</stp>
        <stp>FPR=2022Y</stp>
        <stp>FPT=A</stp>
        <stp>FA_ACT_EST_DATA=E, EST_SOURCE=RBC</stp>
        <stp>ACT_EST_MAPPING=PRECISE</stp>
        <stp>FS=MRC</stp>
        <stp>CURRENCY=USD</stp>
        <stp>XLFILL=b</stp>
        <tr r="AE25" s="2"/>
      </tp>
      <tp t="s">
        <v/>
        <stp/>
        <stp>##V3_BQLV12</stp>
        <stp>[MODL_CRM_US1.xlsx]Single Period!R25C40</stp>
        <stp>SEG0000269238 Segment</stp>
        <stp>IS_PERCENTAGE_OF_REVENUE</stp>
        <stp>FPR=2022Y</stp>
        <stp>FPT=A</stp>
        <stp>FA_ACT_EST_DATA=E, EST_SOURCE=ACC</stp>
        <stp>ACT_EST_MAPPING=PRECISE</stp>
        <stp>FS=MRC</stp>
        <stp>CURRENCY=USD</stp>
        <stp>XLFILL=b</stp>
        <tr r="AN25" s="2"/>
      </tp>
      <tp t="s">
        <v/>
        <stp/>
        <stp>##V3_BQLV12</stp>
        <stp>[MODL_CRM_US1.xlsx]Single Period!R39C48</stp>
        <stp>SEG0000269228 Segment</stp>
        <stp>IS_PERCENTAGE_OF_REVENUE</stp>
        <stp>FPR=2022Y</stp>
        <stp>FPT=A</stp>
        <stp>FA_ACT_EST_DATA=E, EST_SOURCE=PJE</stp>
        <stp>ACT_EST_MAPPING=PRECISE</stp>
        <stp>FS=MRC</stp>
        <stp>CURRENCY=USD</stp>
        <stp>XLFILL=b</stp>
        <tr r="AV39" s="2"/>
      </tp>
      <tp>
        <v>93.061493552866111</v>
        <stp/>
        <stp>##V3_BQLV12</stp>
        <stp>[MODL_CRM_US1.xlsx]Single Period!R25C17</stp>
        <stp>SEG0000269238 Segment</stp>
        <stp>IS_PERCENTAGE_OF_REVENUE</stp>
        <stp>FPR=2022Y</stp>
        <stp>FPT=A</stp>
        <stp>FA_ACT_EST_DATA=E, EST_SOURCE=NDH</stp>
        <stp>ACT_EST_MAPPING=PRECISE</stp>
        <stp>FS=MRC</stp>
        <stp>CURRENCY=USD</stp>
        <stp>XLFILL=b</stp>
        <tr r="Q25" s="2"/>
      </tp>
      <tp t="s">
        <v/>
        <stp/>
        <stp>##V3_BQLV12</stp>
        <stp>[MODL_CRM_US1.xlsx]Single Period!R25C11</stp>
        <stp>SEG0000269238 Segment</stp>
        <stp>IS_PERCENTAGE_OF_REVENUE</stp>
        <stp>FPR=2022Y</stp>
        <stp>FPT=A</stp>
        <stp>FA_ACT_EST_DATA=E, EST_SOURCE=WBL</stp>
        <stp>ACT_EST_MAPPING=PRECISE</stp>
        <stp>FS=MRC</stp>
        <stp>CURRENCY=USD</stp>
        <stp>XLFILL=b</stp>
        <tr r="K25" s="2"/>
      </tp>
      <tp>
        <v>2803.406265640378</v>
        <stp/>
        <stp>##V3_BQLV12</stp>
        <stp>[MODL_CRM_US1.xlsx]Single Period!R99C26</stp>
        <stp>CRM US Equity</stp>
        <stp>IS_SBC_NON_GAAP/1M</stp>
        <stp>FPR=2022Y</stp>
        <stp>FPT=A</stp>
        <stp>FA_ACT_EST_DATA=E, EST_SOURCE=KEY</stp>
        <stp>ACT_EST_MAPPING=PRECISE</stp>
        <stp>FS=MRC</stp>
        <stp>CURRENCY=USD</stp>
        <stp>XLFILL=b</stp>
        <tr r="Z99" s="2"/>
      </tp>
      <tp t="s">
        <v/>
        <stp/>
        <stp>##V3_BQLV12</stp>
        <stp>[MODL_CRM_US1.xlsx]Single Period!R120C41</stp>
        <stp>CRM US Equity</stp>
        <stp>BS_LONG_TERM_INVESTMENTS/1M</stp>
        <stp>FPR=2022Y</stp>
        <stp>FPT=A</stp>
        <stp>FA_ACT_EST_DATA=E, EST_SOURCE=GSR</stp>
        <stp>ACT_EST_MAPPING=PRECISE</stp>
        <stp>FS=MRC</stp>
        <stp>CURRENCY=USD</stp>
        <stp>XLFILL=b</stp>
        <tr r="AO120" s="2"/>
      </tp>
      <tp>
        <v>483.72</v>
        <stp/>
        <stp>##V3_BQLV12</stp>
        <stp>[MODL_CRM_US1.xlsx]Single Period!R87C9</stp>
        <stp>CRM US Equity</stp>
        <stp>CONTRIBUTOR_STATS(IS_EBIT_AS_REPORTED, MEDIAN)/1M</stp>
        <stp>FPR=2022Y</stp>
        <stp>FPT=A</stp>
        <stp>FA_ACT_EST_DATA=E</stp>
        <stp>ACT_EST_MAPPING=PRECISE</stp>
        <stp>FS=MRC</stp>
        <stp>CURRENCY=USD</stp>
        <stp>XLFILL=b</stp>
        <tr r="I87" s="2"/>
      </tp>
      <tp t="s">
        <v/>
        <stp/>
        <stp>##V3_BQLV12</stp>
        <stp>[MODL_CRM_US1.xlsx]Single Period!R99C55</stp>
        <stp>CRM US Equity</stp>
        <stp>IS_SBC_NON_GAAP/1M</stp>
        <stp>FPR=2022Y</stp>
        <stp>FPT=A</stp>
        <stp>FA_ACT_EST_DATA=E, EST_SOURCE=RED</stp>
        <stp>ACT_EST_MAPPING=PRECISE</stp>
        <stp>FS=MRC</stp>
        <stp>CURRENCY=USD</stp>
        <stp>XLFILL=b</stp>
        <tr r="BC99" s="2"/>
      </tp>
      <tp t="s">
        <v/>
        <stp/>
        <stp>##V3_BQLV12</stp>
        <stp>[MODL_CRM_US1.xlsx]Single Period!R99C34</stp>
        <stp>CRM US Equity</stp>
        <stp>IS_SBC_NON_GAAP/1M</stp>
        <stp>FPR=2022Y</stp>
        <stp>FPT=A</stp>
        <stp>FA_ACT_EST_DATA=E, EST_SOURCE=JEF</stp>
        <stp>ACT_EST_MAPPING=PRECISE</stp>
        <stp>FS=MRC</stp>
        <stp>CURRENCY=USD</stp>
        <stp>XLFILL=b</stp>
        <tr r="AH99" s="2"/>
      </tp>
      <tp t="s">
        <v/>
        <stp/>
        <stp>##V3_BQLV12</stp>
        <stp>[MODL_CRM_US1.xlsx]Single Period!R120C35</stp>
        <stp>CRM US Equity</stp>
        <stp>BS_LONG_TERM_INVESTMENTS/1M</stp>
        <stp>FPR=2022Y</stp>
        <stp>FPT=A</stp>
        <stp>FA_ACT_EST_DATA=E, EST_SOURCE=ATL</stp>
        <stp>ACT_EST_MAPPING=PRECISE</stp>
        <stp>FS=MRC</stp>
        <stp>CURRENCY=USD</stp>
        <stp>XLFILL=b</stp>
        <tr r="AI120" s="2"/>
      </tp>
      <tp t="s">
        <v/>
        <stp/>
        <stp>##V3_BQLV12</stp>
        <stp>[MODL_CRM_US1.xlsx]Single Period!R187C43</stp>
        <stp>CRM US Equity</stp>
        <stp>CF_NET_CHNG_CASH/1M</stp>
        <stp>FPR=2022Y</stp>
        <stp>FPT=A</stp>
        <stp>FA_ACT_EST_DATA=E, EST_SOURCE=DWI</stp>
        <stp>ACT_EST_MAPPING=PRECISE</stp>
        <stp>FS=MRC</stp>
        <stp>CURRENCY=USD</stp>
        <stp>XLFILL=b</stp>
        <tr r="AQ187" s="2"/>
      </tp>
      <tp t="s">
        <v/>
        <stp/>
        <stp>##V3_BQLV12</stp>
        <stp>[MODL_CRM_US1.xlsx]Single Period!R120C42</stp>
        <stp>CRM US Equity</stp>
        <stp>BS_LONG_TERM_INVESTMENTS/1M</stp>
        <stp>FPR=2022Y</stp>
        <stp>FPT=A</stp>
        <stp>FA_ACT_EST_DATA=E, EST_SOURCE=PSG</stp>
        <stp>ACT_EST_MAPPING=PRECISE</stp>
        <stp>FS=MRC</stp>
        <stp>CURRENCY=USD</stp>
        <stp>XLFILL=b</stp>
        <tr r="AP120" s="2"/>
      </tp>
      <tp t="s">
        <v/>
        <stp/>
        <stp>##V3_BQLV12</stp>
        <stp>[MODL_CRM_US1.xlsx]Single Period!R187C44</stp>
        <stp>CRM US Equity</stp>
        <stp>CF_NET_CHNG_CASH/1M</stp>
        <stp>FPR=2022Y</stp>
        <stp>FPT=A</stp>
        <stp>FA_ACT_EST_DATA=E, EST_SOURCE=RWB</stp>
        <stp>ACT_EST_MAPPING=PRECISE</stp>
        <stp>FS=MRC</stp>
        <stp>CURRENCY=USD</stp>
        <stp>XLFILL=b</stp>
        <tr r="AR187" s="2"/>
      </tp>
      <tp t="s">
        <v/>
        <stp/>
        <stp>##V3_BQLV12</stp>
        <stp>[MODL_CRM_US1.xlsx]Single Period!R120C54</stp>
        <stp>CRM US Equity</stp>
        <stp>BS_LONG_TERM_INVESTMENTS/1M</stp>
        <stp>FPR=2022Y</stp>
        <stp>FPT=A</stp>
        <stp>FA_ACT_EST_DATA=E, EST_SOURCE=ARE</stp>
        <stp>ACT_EST_MAPPING=PRECISE</stp>
        <stp>FS=MRC</stp>
        <stp>CURRENCY=USD</stp>
        <stp>XLFILL=b</stp>
        <tr r="BB120" s="2"/>
      </tp>
      <tp t="s">
        <v/>
        <stp/>
        <stp>##V3_BQLV12</stp>
        <stp>[MODL_CRM_US1.xlsx]Single Period!R81C33</stp>
        <stp>CRM US Equity</stp>
        <stp>IS_TOT_OPER_EXP/1M</stp>
        <stp>FPR=2022Y</stp>
        <stp>FPT=A</stp>
        <stp>FA_ACT_EST_DATA=E, EST_SOURCE=RHR</stp>
        <stp>ACT_EST_MAPPING=PRECISE</stp>
        <stp>FS=MRC</stp>
        <stp>CURRENCY=USD</stp>
        <stp>XLFILL=b</stp>
        <tr r="AG81" s="2"/>
      </tp>
      <tp t="s">
        <v/>
        <stp/>
        <stp>##V3_BQLV12</stp>
        <stp>[MODL_CRM_US1.xlsx]Single Period!R60C50</stp>
        <stp>CRM US Equity</stp>
        <stp>IS_COMPARABLE_EBIT/1M</stp>
        <stp>FPR=2022Y</stp>
        <stp>FPT=A</stp>
        <stp>FA_ACT_EST_DATA=E, EST_SOURCE=MZS</stp>
        <stp>ACT_EST_MAPPING=PRECISE</stp>
        <stp>FS=MRC</stp>
        <stp>CURRENCY=USD</stp>
        <stp>XLFILL=b</stp>
        <tr r="AX60" s="2"/>
      </tp>
      <tp>
        <v>4922</v>
        <stp/>
        <stp>##V3_BQLV12</stp>
        <stp>[MODL_CRM_US1.xlsx]Single Period!R19C38</stp>
        <stp>CRM US Equity</stp>
        <stp>IS_COMPARABLE_EBIT/1M</stp>
        <stp>FPR=2022Y</stp>
        <stp>FPT=A</stp>
        <stp>FA_ACT_EST_DATA=E, EST_SOURCE=MSR</stp>
        <stp>ACT_EST_MAPPING=PRECISE</stp>
        <stp>FS=MRC</stp>
        <stp>CURRENCY=USD</stp>
        <stp>XLFILL=b</stp>
        <tr r="AL19" s="2"/>
      </tp>
      <tp>
        <v>4916</v>
        <stp/>
        <stp>##V3_BQLV12</stp>
        <stp>[MODL_CRM_US1.xlsx]Single Period!R19C41</stp>
        <stp>CRM US Equity</stp>
        <stp>IS_COMPARABLE_EBIT/1M</stp>
        <stp>FPR=2022Y</stp>
        <stp>FPT=A</stp>
        <stp>FA_ACT_EST_DATA=E, EST_SOURCE=GSR</stp>
        <stp>ACT_EST_MAPPING=PRECISE</stp>
        <stp>FS=MRC</stp>
        <stp>CURRENCY=USD</stp>
        <stp>XLFILL=b</stp>
        <tr r="AO19" s="2"/>
      </tp>
      <tp>
        <v>424</v>
        <stp/>
        <stp>##V3_BQLV12</stp>
        <stp>[MODL_CRM_US1.xlsx]Single Period!R19C15</stp>
        <stp>CRM US Equity</stp>
        <stp>IS_COMPARABLE_EBIT/1M</stp>
        <stp>FPR=2022Y</stp>
        <stp>FPT=A</stp>
        <stp>FA_ACT_EST_DATA=E, EST_SOURCE=MSV</stp>
        <stp>ACT_EST_MAPPING=PRECISE</stp>
        <stp>FS=MRC</stp>
        <stp>CURRENCY=USD</stp>
        <stp>XLFILL=b</stp>
        <tr r="O19" s="2"/>
      </tp>
      <tp t="s">
        <v/>
        <stp/>
        <stp>##V3_BQLV12</stp>
        <stp>[MODL_CRM_US1.xlsx]Single Period!R172C51</stp>
        <stp>CRM US Equity</stp>
        <stp>CAP_EXPEND_TO_SALES</stp>
        <stp>FPR=2022Y</stp>
        <stp>FPT=A</stp>
        <stp>FA_ACT_EST_DATA=E, EST_SOURCE=RCP</stp>
        <stp>ACT_EST_MAPPING=PRECISE</stp>
        <stp>FS=MRC</stp>
        <stp>CURRENCY=USD</stp>
        <stp>XLFILL=b</stp>
        <tr r="AY172" s="2"/>
      </tp>
      <tp t="s">
        <v/>
        <stp/>
        <stp>##V3_BQLV12</stp>
        <stp>[MODL_CRM_US1.xlsx]Single Period!R89C29</stp>
        <stp>CRM US Equity</stp>
        <stp>PRETAX_INC/1M</stp>
        <stp>FPR=2022Y</stp>
        <stp>FPT=A</stp>
        <stp>FA_ACT_EST_DATA=E, EST_SOURCE=BNS</stp>
        <stp>ACT_EST_MAPPING=PRECISE</stp>
        <stp>FS=MRC</stp>
        <stp>CURRENCY=USD</stp>
        <stp>XLFILL=b</stp>
        <tr r="AC89" s="2"/>
      </tp>
      <tp t="s">
        <v/>
        <stp/>
        <stp>##V3_BQLV12</stp>
        <stp>[MODL_CRM_US1.xlsx]Single Period!R89C14</stp>
        <stp>CRM US Equity</stp>
        <stp>PRETAX_INC/1M</stp>
        <stp>FPR=2022Y</stp>
        <stp>FPT=A</stp>
        <stp>FA_ACT_EST_DATA=E, EST_SOURCE=SNR</stp>
        <stp>ACT_EST_MAPPING=PRECISE</stp>
        <stp>FS=MRC</stp>
        <stp>CURRENCY=USD</stp>
        <stp>XLFILL=b</stp>
        <tr r="N89" s="2"/>
      </tp>
      <tp>
        <v>5210</v>
        <stp/>
        <stp>##V3_BQLV12</stp>
        <stp>[MODL_CRM_US1.xlsx]Single Period!R19C42</stp>
        <stp>CRM US Equity</stp>
        <stp>IS_COMPARABLE_EBIT/1M</stp>
        <stp>FPR=2022Y</stp>
        <stp>FPT=A</stp>
        <stp>FA_ACT_EST_DATA=E, EST_SOURCE=PSG</stp>
        <stp>ACT_EST_MAPPING=PRECISE</stp>
        <stp>FS=MRC</stp>
        <stp>CURRENCY=USD</stp>
        <stp>XLFILL=b</stp>
        <tr r="AP19" s="2"/>
      </tp>
      <tp t="s">
        <v/>
        <stp/>
        <stp>##V3_BQLV12</stp>
        <stp>[MODL_CRM_US1.xlsx]Single Period!R172C34</stp>
        <stp>CRM US Equity</stp>
        <stp>CAP_EXPEND_TO_SALES</stp>
        <stp>FPR=2022Y</stp>
        <stp>FPT=A</stp>
        <stp>FA_ACT_EST_DATA=E, EST_SOURCE=JEF</stp>
        <stp>ACT_EST_MAPPING=PRECISE</stp>
        <stp>FS=MRC</stp>
        <stp>CURRENCY=USD</stp>
        <stp>XLFILL=b</stp>
        <tr r="AH172" s="2"/>
      </tp>
      <tp t="s">
        <v/>
        <stp/>
        <stp>##V3_BQLV12</stp>
        <stp>[MODL_CRM_US1.xlsx]Single Period!R77C35</stp>
        <stp>CRM US Equity</stp>
        <stp>IS_COGS_TO_FE_AND_PP_AND_G/1M</stp>
        <stp>FPR=2022Y</stp>
        <stp>FPT=A</stp>
        <stp>FA_ACT_EST_DATA=E, EST_SOURCE=ATL</stp>
        <stp>ACT_EST_MAPPING=PRECISE</stp>
        <stp>FS=MRC</stp>
        <stp>CURRENCY=USD</stp>
        <stp>XLFILL=b</stp>
        <tr r="AI77" s="2"/>
      </tp>
      <tp t="s">
        <v/>
        <stp/>
        <stp>##V3_BQLV12</stp>
        <stp>[MODL_CRM_US1.xlsx]Single Period!R77C46</stp>
        <stp>CRM US Equity</stp>
        <stp>IS_COGS_TO_FE_AND_PP_AND_G/1M</stp>
        <stp>FPR=2022Y</stp>
        <stp>FPT=A</stp>
        <stp>FA_ACT_EST_DATA=E, EST_SOURCE=CTI</stp>
        <stp>ACT_EST_MAPPING=PRECISE</stp>
        <stp>FS=MRC</stp>
        <stp>CURRENCY=USD</stp>
        <stp>XLFILL=b</stp>
        <tr r="AT77" s="2"/>
      </tp>
      <tp>
        <v>4.68</v>
        <stp/>
        <stp>##V3_BQLV12</stp>
        <stp>[MODL_CRM_US1.xlsx]Single Period!R6C33</stp>
        <stp>CRM US Equity</stp>
        <stp>IS_COMP_EPS_EXCL_STOCK_COMP</stp>
        <stp>FPR=2022Y</stp>
        <stp>FPT=A</stp>
        <stp>FA_ACT_EST_DATA=E, EST_SOURCE=RHR</stp>
        <stp>ACT_EST_MAPPING=PRECISE</stp>
        <stp>FS=MRC</stp>
        <stp>CURRENCY=USD</stp>
        <stp>XLFILL=b</stp>
        <tr r="AG6" s="2"/>
      </tp>
      <tp>
        <v>2259.09744</v>
        <stp/>
        <stp>##V3_BQLV12</stp>
        <stp>[MODL_CRM_US1.xlsx]Single Period!R165C6</stp>
        <stp>CRM US Equity</stp>
        <stp>CONTRIBUTOR_STATS(CF_CHG_IN_DEFER_UNEARND_REV_ST, MIN)/1M</stp>
        <stp>FPR=2022Y</stp>
        <stp>FPT=A</stp>
        <stp>FA_ACT_EST_DATA=E</stp>
        <stp>ACT_EST_MAPPING=PRECISE</stp>
        <stp>FS=MRC</stp>
        <stp>CURRENCY=USD</stp>
        <stp>XLFILL=b</stp>
        <tr r="F165" s="2"/>
      </tp>
      <tp>
        <v>3920.913</v>
        <stp/>
        <stp>##V3_BQLV12</stp>
        <stp>[MODL_CRM_US1.xlsx]Single Period!R165C7</stp>
        <stp>CRM US Equity</stp>
        <stp>CONTRIBUTOR_STATS(CF_CHG_IN_DEFER_UNEARND_REV_ST, MAX)/1M</stp>
        <stp>FPR=2022Y</stp>
        <stp>FPT=A</stp>
        <stp>FA_ACT_EST_DATA=E</stp>
        <stp>ACT_EST_MAPPING=PRECISE</stp>
        <stp>FS=MRC</stp>
        <stp>CURRENCY=USD</stp>
        <stp>XLFILL=b</stp>
        <tr r="G165" s="2"/>
      </tp>
      <tp>
        <v>8845.9438428012654</v>
        <stp/>
        <stp>##V3_BQLV12</stp>
        <stp>[MODL_CRM_US1.xlsx]Single Period!R141C7</stp>
        <stp>CRM US Equity</stp>
        <stp>CONTRIBUTOR_STATS(BS_PURE_RETAINED_EARNINGS, MAX)/1M</stp>
        <stp>FPR=2022Y</stp>
        <stp>FPT=A</stp>
        <stp>FA_ACT_EST_DATA=E</stp>
        <stp>ACT_EST_MAPPING=PRECISE</stp>
        <stp>FS=MRC</stp>
        <stp>CURRENCY=USD</stp>
        <stp>XLFILL=b</stp>
        <tr r="G141" s="2"/>
      </tp>
      <tp>
        <v>4895.0249999999996</v>
        <stp/>
        <stp>##V3_BQLV12</stp>
        <stp>[MODL_CRM_US1.xlsx]Single Period!R191C6</stp>
        <stp>CRM US Equity</stp>
        <stp>CONTRIBUTOR_STATS(CF_FREE_CASH_FLOW, MIN)/1M</stp>
        <stp>FPR=2022Y</stp>
        <stp>FPT=A</stp>
        <stp>FA_ACT_EST_DATA=E</stp>
        <stp>ACT_EST_MAPPING=PRECISE</stp>
        <stp>FS=MRC</stp>
        <stp>CURRENCY=USD</stp>
        <stp>XLFILL=b</stp>
        <tr r="F191" s="2"/>
      </tp>
      <tp>
        <v>460.1103376897575</v>
        <stp/>
        <stp>##V3_BQLV12</stp>
        <stp>[MODL_CRM_US1.xlsx]Single Period!R165C8</stp>
        <stp>CRM US Equity</stp>
        <stp>CONTRIBUTOR_STATS(CF_CHG_IN_DEFER_UNEARND_REV_ST, STD)/1M</stp>
        <stp>FPR=2022Y</stp>
        <stp>FPT=A</stp>
        <stp>FA_ACT_EST_DATA=E</stp>
        <stp>ACT_EST_MAPPING=PRECISE</stp>
        <stp>FS=MRC</stp>
        <stp>CURRENCY=USD</stp>
        <stp>XLFILL=b</stp>
        <tr r="H165" s="2"/>
      </tp>
      <tp t="s">
        <v/>
        <stp/>
        <stp>##V3_BQLV12</stp>
        <stp>[MODL_CRM_US1.xlsx]Single Period!R25C32</stp>
        <stp>SEG0000269238 Segment</stp>
        <stp>IS_PERCENTAGE_OF_REVENUE</stp>
        <stp>FPR=2022Y</stp>
        <stp>FPT=A</stp>
        <stp>FA_ACT_EST_DATA=E, EST_SOURCE=UBS</stp>
        <stp>ACT_EST_MAPPING=PRECISE</stp>
        <stp>FS=MRC</stp>
        <stp>CURRENCY=USD</stp>
        <stp>XLFILL=b</stp>
        <tr r="AF25" s="2"/>
      </tp>
      <tp t="s">
        <v/>
        <stp/>
        <stp>##V3_BQLV12</stp>
        <stp>[MODL_CRM_US1.xlsx]Single Period!R33C47</stp>
        <stp>SEG0000269227 Segment</stp>
        <stp>IS_PERCENTAGE_OF_REVENUE</stp>
        <stp>FPR=2022Y</stp>
        <stp>FPT=A</stp>
        <stp>FA_ACT_EST_DATA=E, EST_SOURCE=WFT</stp>
        <stp>ACT_EST_MAPPING=PRECISE</stp>
        <stp>FS=MRC</stp>
        <stp>CURRENCY=USD</stp>
        <stp>XLFILL=b</stp>
        <tr r="AU33" s="2"/>
      </tp>
      <tp t="s">
        <v/>
        <stp/>
        <stp>##V3_BQLV12</stp>
        <stp>[MODL_CRM_US1.xlsx]Single Period!R39C47</stp>
        <stp>SEG0000269228 Segment</stp>
        <stp>IS_PERCENTAGE_OF_REVENUE</stp>
        <stp>FPR=2022Y</stp>
        <stp>FPT=A</stp>
        <stp>FA_ACT_EST_DATA=E, EST_SOURCE=WFT</stp>
        <stp>ACT_EST_MAPPING=PRECISE</stp>
        <stp>FS=MRC</stp>
        <stp>CURRENCY=USD</stp>
        <stp>XLFILL=b</stp>
        <tr r="AU39" s="2"/>
      </tp>
      <tp t="s">
        <v/>
        <stp/>
        <stp>##V3_BQLV12</stp>
        <stp>[MODL_CRM_US1.xlsx]Single Period!R70C53</stp>
        <stp>CRM US Equity</stp>
        <stp>IS_COMP_NET_INC_EXCL_STOCK_COMP/1M</stp>
        <stp>FPR=2022Y</stp>
        <stp>FPT=A</stp>
        <stp>FA_ACT_EST_DATA=E, EST_SOURCE=NIK</stp>
        <stp>ACT_EST_MAPPING=PRECISE</stp>
        <stp>FS=MRC</stp>
        <stp>CURRENCY=USD</stp>
        <stp>XLFILL=b</stp>
        <tr r="BA70" s="2"/>
      </tp>
      <tp>
        <v>2464.7918804063979</v>
        <stp/>
        <stp>##V3_BQLV12</stp>
        <stp>[MODL_CRM_US1.xlsx]Single Period!R165C9</stp>
        <stp>CRM US Equity</stp>
        <stp>CONTRIBUTOR_STATS(CF_CHG_IN_DEFER_UNEARND_REV_ST, MEDIAN)/1M</stp>
        <stp>FPR=2022Y</stp>
        <stp>FPT=A</stp>
        <stp>FA_ACT_EST_DATA=E</stp>
        <stp>ACT_EST_MAPPING=PRECISE</stp>
        <stp>FS=MRC</stp>
        <stp>CURRENCY=USD</stp>
        <stp>XLFILL=b</stp>
        <tr r="I165" s="2"/>
      </tp>
      <tp t="s">
        <v/>
        <stp/>
        <stp>##V3_BQLV12</stp>
        <stp>[MODL_CRM_US1.xlsx]Single Period!R55C33</stp>
        <stp>CRM US Equity</stp>
        <stp>IS_ADJ_GROSS_PROFIT_AS_REPORTED/1M</stp>
        <stp>FPR=2022Y</stp>
        <stp>FPT=A</stp>
        <stp>FA_ACT_EST_DATA=E, EST_SOURCE=RHR</stp>
        <stp>ACT_EST_MAPPING=PRECISE</stp>
        <stp>FS=MRC</stp>
        <stp>CURRENCY=USD</stp>
        <stp>XLFILL=b</stp>
        <tr r="AG55" s="2"/>
      </tp>
      <tp t="s">
        <v/>
        <stp/>
        <stp>##V3_BQLV12</stp>
        <stp>[MODL_CRM_US1.xlsx]Single Period!R16C33</stp>
        <stp>CRM US Equity</stp>
        <stp>IS_ADJ_GROSS_PROFIT_AS_REPORTED/1M</stp>
        <stp>FPR=2022Y</stp>
        <stp>FPT=A</stp>
        <stp>FA_ACT_EST_DATA=E, EST_SOURCE=RHR</stp>
        <stp>ACT_EST_MAPPING=PRECISE</stp>
        <stp>FS=MRC</stp>
        <stp>CURRENCY=USD</stp>
        <stp>XLFILL=b</stp>
        <tr r="AG16" s="2"/>
      </tp>
      <tp t="s">
        <v/>
        <stp/>
        <stp>##V3_BQLV12</stp>
        <stp>[MODL_CRM_US1.xlsx]Single Period!R39C30</stp>
        <stp>SEG0000269228 Segment</stp>
        <stp>IS_PERCENTAGE_OF_REVENUE</stp>
        <stp>FPR=2022Y</stp>
        <stp>FPT=A</stp>
        <stp>FA_ACT_EST_DATA=E, EST_SOURCE=BAM</stp>
        <stp>ACT_EST_MAPPING=PRECISE</stp>
        <stp>FS=MRC</stp>
        <stp>CURRENCY=USD</stp>
        <stp>XLFILL=b</stp>
        <tr r="AD39" s="2"/>
      </tp>
      <tp t="s">
        <v/>
        <stp/>
        <stp>##V3_BQLV12</stp>
        <stp>[MODL_CRM_US1.xlsx]Single Period!R70C56</stp>
        <stp>CRM US Equity</stp>
        <stp>IS_COMP_NET_INC_EXCL_STOCK_COMP/1M</stp>
        <stp>FPR=2022Y</stp>
        <stp>FPT=A</stp>
        <stp>FA_ACT_EST_DATA=E, EST_SOURCE=DIR</stp>
        <stp>ACT_EST_MAPPING=PRECISE</stp>
        <stp>FS=MRC</stp>
        <stp>CURRENCY=USD</stp>
        <stp>XLFILL=b</stp>
        <tr r="BD70" s="2"/>
      </tp>
      <tp>
        <v>93.32612547350459</v>
        <stp/>
        <stp>##V3_BQLV12</stp>
        <stp>[MODL_CRM_US1.xlsx]Single Period!R25C13</stp>
        <stp>SEG0000269238 Segment</stp>
        <stp>IS_PERCENTAGE_OF_REVENUE</stp>
        <stp>FPR=2022Y</stp>
        <stp>FPT=A</stp>
        <stp>FA_ACT_EST_DATA=E, EST_SOURCE=BCA</stp>
        <stp>ACT_EST_MAPPING=PRECISE</stp>
        <stp>FS=MRC</stp>
        <stp>CURRENCY=USD</stp>
        <stp>XLFILL=b</stp>
        <tr r="M25" s="2"/>
      </tp>
      <tp t="s">
        <v/>
        <stp/>
        <stp>##V3_BQLV12</stp>
        <stp>[MODL_CRM_US1.xlsx]Single Period!R33C34</stp>
        <stp>SEG0000269227 Segment</stp>
        <stp>IS_PERCENTAGE_OF_REVENUE</stp>
        <stp>FPR=2022Y</stp>
        <stp>FPT=A</stp>
        <stp>FA_ACT_EST_DATA=E, EST_SOURCE=JEF</stp>
        <stp>ACT_EST_MAPPING=PRECISE</stp>
        <stp>FS=MRC</stp>
        <stp>CURRENCY=USD</stp>
        <stp>XLFILL=b</stp>
        <tr r="AH33" s="2"/>
      </tp>
      <tp t="s">
        <v/>
        <stp/>
        <stp>##V3_BQLV12</stp>
        <stp>[MODL_CRM_US1.xlsx]Single Period!R25C55</stp>
        <stp>SEG0000269238 Segment</stp>
        <stp>IS_PERCENTAGE_OF_REVENUE</stp>
        <stp>FPR=2022Y</stp>
        <stp>FPT=A</stp>
        <stp>FA_ACT_EST_DATA=E, EST_SOURCE=RED</stp>
        <stp>ACT_EST_MAPPING=PRECISE</stp>
        <stp>FS=MRC</stp>
        <stp>CURRENCY=USD</stp>
        <stp>XLFILL=b</stp>
        <tr r="BC25" s="2"/>
      </tp>
      <tp>
        <v>22.596458740884721</v>
        <stp/>
        <stp>##V3_BQLV12</stp>
        <stp>[MODL_CRM_US1.xlsx]Single Period!R44C24</stp>
        <stp>SEG0000269240 Segment</stp>
        <stp>IS_PERCENTAGE_OF_REVENUE</stp>
        <stp>FPR=2022Y</stp>
        <stp>FPT=A</stp>
        <stp>FA_ACT_EST_DATA=E, EST_SOURCE=FBC</stp>
        <stp>ACT_EST_MAPPING=PRECISE</stp>
        <stp>FS=MRC</stp>
        <stp>CURRENCY=USD</stp>
        <stp>XLFILL=b</stp>
        <tr r="X44" s="2"/>
      </tp>
      <tp t="s">
        <v/>
        <stp/>
        <stp>##V3_BQLV12</stp>
        <stp>[MODL_CRM_US1.xlsx]Single Period!R33C30</stp>
        <stp>SEG0000269227 Segment</stp>
        <stp>IS_PERCENTAGE_OF_REVENUE</stp>
        <stp>FPR=2022Y</stp>
        <stp>FPT=A</stp>
        <stp>FA_ACT_EST_DATA=E, EST_SOURCE=BAM</stp>
        <stp>ACT_EST_MAPPING=PRECISE</stp>
        <stp>FS=MRC</stp>
        <stp>CURRENCY=USD</stp>
        <stp>XLFILL=b</stp>
        <tr r="AD33" s="2"/>
      </tp>
      <tp t="s">
        <v/>
        <stp/>
        <stp>##V3_BQLV12</stp>
        <stp>[MODL_CRM_US1.xlsx]Single Period!R39C34</stp>
        <stp>SEG0000269228 Segment</stp>
        <stp>IS_PERCENTAGE_OF_REVENUE</stp>
        <stp>FPR=2022Y</stp>
        <stp>FPT=A</stp>
        <stp>FA_ACT_EST_DATA=E, EST_SOURCE=JEF</stp>
        <stp>ACT_EST_MAPPING=PRECISE</stp>
        <stp>FS=MRC</stp>
        <stp>CURRENCY=USD</stp>
        <stp>XLFILL=b</stp>
        <tr r="AH39" s="2"/>
      </tp>
      <tp>
        <v>9.4765661702661497</v>
        <stp/>
        <stp>##V3_BQLV12</stp>
        <stp>[MODL_CRM_US1.xlsx]Single Period!R49C24</stp>
        <stp>SEG0000269229 Segment</stp>
        <stp>IS_PERCENTAGE_OF_REVENUE</stp>
        <stp>FPR=2022Y</stp>
        <stp>FPT=A</stp>
        <stp>FA_ACT_EST_DATA=E, EST_SOURCE=FBC</stp>
        <stp>ACT_EST_MAPPING=PRECISE</stp>
        <stp>FS=MRC</stp>
        <stp>CURRENCY=USD</stp>
        <stp>XLFILL=b</stp>
        <tr r="X49" s="2"/>
      </tp>
      <tp t="s">
        <v/>
        <stp/>
        <stp>##V3_BQLV12</stp>
        <stp>[MODL_CRM_US1.xlsx]Single Period!R99C47</stp>
        <stp>CRM US Equity</stp>
        <stp>IS_SBC_NON_GAAP/1M</stp>
        <stp>FPR=2022Y</stp>
        <stp>FPT=A</stp>
        <stp>FA_ACT_EST_DATA=E, EST_SOURCE=WFT</stp>
        <stp>ACT_EST_MAPPING=PRECISE</stp>
        <stp>FS=MRC</stp>
        <stp>CURRENCY=USD</stp>
        <stp>XLFILL=b</stp>
        <tr r="AU99" s="2"/>
      </tp>
      <tp t="s">
        <v/>
        <stp/>
        <stp>##V3_BQLV12</stp>
        <stp>[MODL_CRM_US1.xlsx]Single Period!R99C52</stp>
        <stp>CRM US Equity</stp>
        <stp>IS_SBC_NON_GAAP/1M</stp>
        <stp>FPR=2022Y</stp>
        <stp>FPT=A</stp>
        <stp>FA_ACT_EST_DATA=E, EST_SOURCE=WFR</stp>
        <stp>ACT_EST_MAPPING=PRECISE</stp>
        <stp>FS=MRC</stp>
        <stp>CURRENCY=USD</stp>
        <stp>XLFILL=b</stp>
        <tr r="AZ99" s="2"/>
      </tp>
      <tp t="s">
        <v/>
        <stp/>
        <stp>##V3_BQLV12</stp>
        <stp>[MODL_CRM_US1.xlsx]Single Period!R187C38</stp>
        <stp>CRM US Equity</stp>
        <stp>CF_NET_CHNG_CASH/1M</stp>
        <stp>FPR=2022Y</stp>
        <stp>FPT=A</stp>
        <stp>FA_ACT_EST_DATA=E, EST_SOURCE=MSR</stp>
        <stp>ACT_EST_MAPPING=PRECISE</stp>
        <stp>FS=MRC</stp>
        <stp>CURRENCY=USD</stp>
        <stp>XLFILL=b</stp>
        <tr r="AL187" s="2"/>
      </tp>
      <tp t="s">
        <v/>
        <stp/>
        <stp>##V3_BQLV12</stp>
        <stp>[MODL_CRM_US1.xlsx]Single Period!R187C46</stp>
        <stp>CRM US Equity</stp>
        <stp>CF_NET_CHNG_CASH/1M</stp>
        <stp>FPR=2022Y</stp>
        <stp>FPT=A</stp>
        <stp>FA_ACT_EST_DATA=E, EST_SOURCE=CTI</stp>
        <stp>ACT_EST_MAPPING=PRECISE</stp>
        <stp>FS=MRC</stp>
        <stp>CURRENCY=USD</stp>
        <stp>XLFILL=b</stp>
        <tr r="AT187" s="2"/>
      </tp>
      <tp t="s">
        <v/>
        <stp/>
        <stp>##V3_BQLV12</stp>
        <stp>[MODL_CRM_US1.xlsx]Single Period!R102C10</stp>
        <stp>CRM US Equity</stp>
        <stp>IS_SBC_ATT_TO_S_AND_M_PRETX/1M</stp>
        <stp>FPR=2022Y</stp>
        <stp>FPT=A</stp>
        <stp>FA_ACT_EST_DATA=E, EST_SOURCE=CMPY</stp>
        <stp>ACT_EST_MAPPING=PRECISE</stp>
        <stp>FS=MRC</stp>
        <stp>CURRENCY=USD</stp>
        <stp>XLFILL=b</stp>
        <tr r="J102" s="2"/>
      </tp>
      <tp>
        <v>4918</v>
        <stp/>
        <stp>##V3_BQLV12</stp>
        <stp>[MODL_CRM_US1.xlsx]Single Period!R19C22</stp>
        <stp>CRM US Equity</stp>
        <stp>IS_COMPARABLE_EBIT/1M</stp>
        <stp>FPR=2022Y</stp>
        <stp>FPT=A</stp>
        <stp>FA_ACT_EST_DATA=E, EST_SOURCE=OPY</stp>
        <stp>ACT_EST_MAPPING=PRECISE</stp>
        <stp>FS=MRC</stp>
        <stp>CURRENCY=USD</stp>
        <stp>XLFILL=b</stp>
        <tr r="V19" s="2"/>
      </tp>
      <tp t="s">
        <v/>
        <stp/>
        <stp>##V3_BQLV12</stp>
        <stp>[MODL_CRM_US1.xlsx]Single Period!R89C12</stp>
        <stp>CRM US Equity</stp>
        <stp>PRETAX_INC/1M</stp>
        <stp>FPR=2022Y</stp>
        <stp>FPT=A</stp>
        <stp>FA_ACT_EST_DATA=E, EST_SOURCE=BMO</stp>
        <stp>ACT_EST_MAPPING=PRECISE</stp>
        <stp>FS=MRC</stp>
        <stp>CURRENCY=USD</stp>
        <stp>XLFILL=b</stp>
        <tr r="L89" s="2"/>
      </tp>
      <tp>
        <v>1448.72</v>
        <stp/>
        <stp>##V3_BQLV12</stp>
        <stp>[MODL_CRM_US1.xlsx]Single Period!R89C20</stp>
        <stp>CRM US Equity</stp>
        <stp>PRETAX_INC/1M</stp>
        <stp>FPR=2022Y</stp>
        <stp>FPT=A</stp>
        <stp>FA_ACT_EST_DATA=E, EST_SOURCE=JMP</stp>
        <stp>ACT_EST_MAPPING=PRECISE</stp>
        <stp>FS=MRC</stp>
        <stp>CURRENCY=USD</stp>
        <stp>XLFILL=b</stp>
        <tr r="T89" s="2"/>
      </tp>
      <tp>
        <v>604</v>
        <stp/>
        <stp>##V3_BQLV12</stp>
        <stp>[MODL_CRM_US1.xlsx]Single Period!R89C25</stp>
        <stp>CRM US Equity</stp>
        <stp>PRETAX_INC/1M</stp>
        <stp>FPR=2022Y</stp>
        <stp>FPT=A</stp>
        <stp>FA_ACT_EST_DATA=E, EST_SOURCE=WMS</stp>
        <stp>ACT_EST_MAPPING=PRECISE</stp>
        <stp>FS=MRC</stp>
        <stp>CURRENCY=USD</stp>
        <stp>XLFILL=b</stp>
        <tr r="Y89" s="2"/>
      </tp>
      <tp t="s">
        <v/>
        <stp/>
        <stp>##V3_BQLV12</stp>
        <stp>[MODL_CRM_US1.xlsx]Single Period!R172C17</stp>
        <stp>CRM US Equity</stp>
        <stp>CAP_EXPEND_TO_SALES</stp>
        <stp>FPR=2022Y</stp>
        <stp>FPT=A</stp>
        <stp>FA_ACT_EST_DATA=E, EST_SOURCE=NDH</stp>
        <stp>ACT_EST_MAPPING=PRECISE</stp>
        <stp>FS=MRC</stp>
        <stp>CURRENCY=USD</stp>
        <stp>XLFILL=b</stp>
        <tr r="Q172" s="2"/>
      </tp>
      <tp t="s">
        <v/>
        <stp/>
        <stp>##V3_BQLV12</stp>
        <stp>[MODL_CRM_US1.xlsx]Single Period!R77C44</stp>
        <stp>CRM US Equity</stp>
        <stp>IS_COGS_TO_FE_AND_PP_AND_G/1M</stp>
        <stp>FPR=2022Y</stp>
        <stp>FPT=A</stp>
        <stp>FA_ACT_EST_DATA=E, EST_SOURCE=RWB</stp>
        <stp>ACT_EST_MAPPING=PRECISE</stp>
        <stp>FS=MRC</stp>
        <stp>CURRENCY=USD</stp>
        <stp>XLFILL=b</stp>
        <tr r="AR77" s="2"/>
      </tp>
      <tp t="s">
        <v/>
        <stp/>
        <stp>##V3_BQLV12</stp>
        <stp>[MODL_CRM_US1.xlsx]Single Period!R77C28</stp>
        <stp>CRM US Equity</stp>
        <stp>IS_COGS_TO_FE_AND_PP_AND_G/1M</stp>
        <stp>FPR=2022Y</stp>
        <stp>FPT=A</stp>
        <stp>FA_ACT_EST_DATA=E, EST_SOURCE=CWN</stp>
        <stp>ACT_EST_MAPPING=PRECISE</stp>
        <stp>FS=MRC</stp>
        <stp>CURRENCY=USD</stp>
        <stp>XLFILL=b</stp>
        <tr r="AB77" s="2"/>
      </tp>
      <tp>
        <v>4471.6217729161881</v>
        <stp/>
        <stp>##V3_BQLV12</stp>
        <stp>[MODL_CRM_US1.xlsx]Single Period!R83C5</stp>
        <stp>CRM US Equity</stp>
        <stp>IS_OPEX_R_AND_D_GAAP/1M</stp>
        <stp>FPR=2022Y</stp>
        <stp>FPT=A</stp>
        <stp>FA_ACT_EST_DATA=E</stp>
        <stp>ACT_EST_MAPPING=PRECISE</stp>
        <stp>FS=MRC</stp>
        <stp>CURRENCY=USD</stp>
        <stp>XLFILL=b</stp>
        <tr r="E83" s="2"/>
      </tp>
      <tp t="s">
        <v/>
        <stp/>
        <stp>##V3_BQLV12</stp>
        <stp>[MODL_CRM_US1.xlsx]Single Period!R77C43</stp>
        <stp>CRM US Equity</stp>
        <stp>IS_COGS_TO_FE_AND_PP_AND_G/1M</stp>
        <stp>FPR=2022Y</stp>
        <stp>FPT=A</stp>
        <stp>FA_ACT_EST_DATA=E, EST_SOURCE=DWI</stp>
        <stp>ACT_EST_MAPPING=PRECISE</stp>
        <stp>FS=MRC</stp>
        <stp>CURRENCY=USD</stp>
        <stp>XLFILL=b</stp>
        <tr r="AQ77" s="2"/>
      </tp>
      <tp>
        <v>4904</v>
        <stp/>
        <stp>##V3_BQLV12</stp>
        <stp>[MODL_CRM_US1.xlsx]Single Period!R19C23</stp>
        <stp>CRM US Equity</stp>
        <stp>IS_COMPARABLE_EBIT/1M</stp>
        <stp>FPR=2022Y</stp>
        <stp>FPT=A</stp>
        <stp>FA_ACT_EST_DATA=E, EST_SOURCE=JPM</stp>
        <stp>ACT_EST_MAPPING=PRECISE</stp>
        <stp>FS=MRC</stp>
        <stp>CURRENCY=USD</stp>
        <stp>XLFILL=b</stp>
        <tr r="W19" s="2"/>
      </tp>
      <tp>
        <v>4.6900000000000004</v>
        <stp/>
        <stp>##V3_BQLV12</stp>
        <stp>[MODL_CRM_US1.xlsx]Single Period!R6C21</stp>
        <stp>CRM US Equity</stp>
        <stp>IS_COMP_EPS_EXCL_STOCK_COMP</stp>
        <stp>FPR=2022Y</stp>
        <stp>FPT=A</stp>
        <stp>FA_ACT_EST_DATA=E, EST_SOURCE=RJA</stp>
        <stp>ACT_EST_MAPPING=PRECISE</stp>
        <stp>FS=MRC</stp>
        <stp>CURRENCY=USD</stp>
        <stp>XLFILL=b</stp>
        <tr r="U6" s="2"/>
      </tp>
      <tp t="s">
        <v/>
        <stp/>
        <stp>##V3_BQLV12</stp>
        <stp>[MODL_CRM_US1.xlsx]Single Period!R25C47</stp>
        <stp>SEG0000269238 Segment</stp>
        <stp>IS_PERCENTAGE_OF_REVENUE</stp>
        <stp>FPR=2022Y</stp>
        <stp>FPT=A</stp>
        <stp>FA_ACT_EST_DATA=E, EST_SOURCE=WFT</stp>
        <stp>ACT_EST_MAPPING=PRECISE</stp>
        <stp>FS=MRC</stp>
        <stp>CURRENCY=USD</stp>
        <stp>XLFILL=b</stp>
        <tr r="AU25" s="2"/>
      </tp>
      <tp t="s">
        <v/>
        <stp/>
        <stp>##V3_BQLV12</stp>
        <stp>[MODL_CRM_US1.xlsx]Single Period!R33C32</stp>
        <stp>SEG0000269227 Segment</stp>
        <stp>IS_PERCENTAGE_OF_REVENUE</stp>
        <stp>FPR=2022Y</stp>
        <stp>FPT=A</stp>
        <stp>FA_ACT_EST_DATA=E, EST_SOURCE=UBS</stp>
        <stp>ACT_EST_MAPPING=PRECISE</stp>
        <stp>FS=MRC</stp>
        <stp>CURRENCY=USD</stp>
        <stp>XLFILL=b</stp>
        <tr r="AF33" s="2"/>
      </tp>
      <tp t="s">
        <v/>
        <stp/>
        <stp>##V3_BQLV12</stp>
        <stp>[MODL_CRM_US1.xlsx]Single Period!R44C29</stp>
        <stp>SEG0000269240 Segment</stp>
        <stp>IS_PERCENTAGE_OF_REVENUE</stp>
        <stp>FPR=2022Y</stp>
        <stp>FPT=A</stp>
        <stp>FA_ACT_EST_DATA=E, EST_SOURCE=BNS</stp>
        <stp>ACT_EST_MAPPING=PRECISE</stp>
        <stp>FS=MRC</stp>
        <stp>CURRENCY=USD</stp>
        <stp>XLFILL=b</stp>
        <tr r="AC44" s="2"/>
      </tp>
      <tp t="s">
        <v/>
        <stp/>
        <stp>##V3_BQLV12</stp>
        <stp>[MODL_CRM_US1.xlsx]Single Period!R16C56</stp>
        <stp>CRM US Equity</stp>
        <stp>IS_ADJ_GROSS_PROFIT_AS_REPORTED/1M</stp>
        <stp>FPR=2022Y</stp>
        <stp>FPT=A</stp>
        <stp>FA_ACT_EST_DATA=E, EST_SOURCE=DIR</stp>
        <stp>ACT_EST_MAPPING=PRECISE</stp>
        <stp>FS=MRC</stp>
        <stp>CURRENCY=USD</stp>
        <stp>XLFILL=b</stp>
        <tr r="BD16" s="2"/>
      </tp>
      <tp t="s">
        <v/>
        <stp/>
        <stp>##V3_BQLV12</stp>
        <stp>[MODL_CRM_US1.xlsx]Single Period!R55C56</stp>
        <stp>CRM US Equity</stp>
        <stp>IS_ADJ_GROSS_PROFIT_AS_REPORTED/1M</stp>
        <stp>FPR=2022Y</stp>
        <stp>FPT=A</stp>
        <stp>FA_ACT_EST_DATA=E, EST_SOURCE=DIR</stp>
        <stp>ACT_EST_MAPPING=PRECISE</stp>
        <stp>FS=MRC</stp>
        <stp>CURRENCY=USD</stp>
        <stp>XLFILL=b</stp>
        <tr r="BD55" s="2"/>
      </tp>
      <tp t="s">
        <v/>
        <stp/>
        <stp>##V3_BQLV12</stp>
        <stp>[MODL_CRM_US1.xlsx]Single Period!R49C29</stp>
        <stp>SEG0000269229 Segment</stp>
        <stp>IS_PERCENTAGE_OF_REVENUE</stp>
        <stp>FPR=2022Y</stp>
        <stp>FPT=A</stp>
        <stp>FA_ACT_EST_DATA=E, EST_SOURCE=BNS</stp>
        <stp>ACT_EST_MAPPING=PRECISE</stp>
        <stp>FS=MRC</stp>
        <stp>CURRENCY=USD</stp>
        <stp>XLFILL=b</stp>
        <tr r="AC49" s="2"/>
      </tp>
      <tp t="s">
        <v/>
        <stp/>
        <stp>##V3_BQLV12</stp>
        <stp>[MODL_CRM_US1.xlsx]Single Period!R39C32</stp>
        <stp>SEG0000269228 Segment</stp>
        <stp>IS_PERCENTAGE_OF_REVENUE</stp>
        <stp>FPR=2022Y</stp>
        <stp>FPT=A</stp>
        <stp>FA_ACT_EST_DATA=E, EST_SOURCE=UBS</stp>
        <stp>ACT_EST_MAPPING=PRECISE</stp>
        <stp>FS=MRC</stp>
        <stp>CURRENCY=USD</stp>
        <stp>XLFILL=b</stp>
        <tr r="AF39" s="2"/>
      </tp>
      <tp t="s">
        <v/>
        <stp/>
        <stp>##V3_BQLV12</stp>
        <stp>[MODL_CRM_US1.xlsx]Single Period!R55C53</stp>
        <stp>CRM US Equity</stp>
        <stp>IS_ADJ_GROSS_PROFIT_AS_REPORTED/1M</stp>
        <stp>FPR=2022Y</stp>
        <stp>FPT=A</stp>
        <stp>FA_ACT_EST_DATA=E, EST_SOURCE=NIK</stp>
        <stp>ACT_EST_MAPPING=PRECISE</stp>
        <stp>FS=MRC</stp>
        <stp>CURRENCY=USD</stp>
        <stp>XLFILL=b</stp>
        <tr r="BA55" s="2"/>
      </tp>
      <tp t="s">
        <v/>
        <stp/>
        <stp>##V3_BQLV12</stp>
        <stp>[MODL_CRM_US1.xlsx]Single Period!R16C53</stp>
        <stp>CRM US Equity</stp>
        <stp>IS_ADJ_GROSS_PROFIT_AS_REPORTED/1M</stp>
        <stp>FPR=2022Y</stp>
        <stp>FPT=A</stp>
        <stp>FA_ACT_EST_DATA=E, EST_SOURCE=NIK</stp>
        <stp>ACT_EST_MAPPING=PRECISE</stp>
        <stp>FS=MRC</stp>
        <stp>CURRENCY=USD</stp>
        <stp>XLFILL=b</stp>
        <tr r="BA16" s="2"/>
      </tp>
      <tp t="s">
        <v/>
        <stp/>
        <stp>##V3_BQLV12</stp>
        <stp>[MODL_CRM_US1.xlsx]Single Period!R33C55</stp>
        <stp>SEG0000269227 Segment</stp>
        <stp>IS_PERCENTAGE_OF_REVENUE</stp>
        <stp>FPR=2022Y</stp>
        <stp>FPT=A</stp>
        <stp>FA_ACT_EST_DATA=E, EST_SOURCE=RED</stp>
        <stp>ACT_EST_MAPPING=PRECISE</stp>
        <stp>FS=MRC</stp>
        <stp>CURRENCY=USD</stp>
        <stp>XLFILL=b</stp>
        <tr r="BC33" s="2"/>
      </tp>
      <tp t="s">
        <v/>
        <stp/>
        <stp>##V3_BQLV12</stp>
        <stp>[MODL_CRM_US1.xlsx]Single Period!R44C36</stp>
        <stp>SEG0000269240 Segment</stp>
        <stp>IS_PERCENTAGE_OF_REVENUE</stp>
        <stp>FPR=2022Y</stp>
        <stp>FPT=A</stp>
        <stp>FA_ACT_EST_DATA=E, EST_SOURCE=MAC</stp>
        <stp>ACT_EST_MAPPING=PRECISE</stp>
        <stp>FS=MRC</stp>
        <stp>CURRENCY=USD</stp>
        <stp>XLFILL=b</stp>
        <tr r="AJ44" s="2"/>
      </tp>
      <tp>
        <v>-1</v>
        <stp/>
        <stp>##V3_BQLV12</stp>
        <stp>[MODL_CRM_US1.xlsx]Single Period!R162C9</stp>
        <stp>CRM US Equity</stp>
        <stp>CONTRIBUTOR_STATS(CF_CHANGE_IN_PREPAID_EXPNSS, MEDIAN)/1M</stp>
        <stp>FPR=2022Y</stp>
        <stp>FPT=A</stp>
        <stp>FA_ACT_EST_DATA=E</stp>
        <stp>ACT_EST_MAPPING=PRECISE</stp>
        <stp>FS=MRC</stp>
        <stp>CURRENCY=USD</stp>
        <stp>XLFILL=b</stp>
        <tr r="I162" s="2"/>
      </tp>
      <tp t="s">
        <v/>
        <stp/>
        <stp>##V3_BQLV12</stp>
        <stp>[MODL_CRM_US1.xlsx]Single Period!R25C34</stp>
        <stp>SEG0000269238 Segment</stp>
        <stp>IS_PERCENTAGE_OF_REVENUE</stp>
        <stp>FPR=2022Y</stp>
        <stp>FPT=A</stp>
        <stp>FA_ACT_EST_DATA=E, EST_SOURCE=JEF</stp>
        <stp>ACT_EST_MAPPING=PRECISE</stp>
        <stp>FS=MRC</stp>
        <stp>CURRENCY=USD</stp>
        <stp>XLFILL=b</stp>
        <tr r="AH25" s="2"/>
      </tp>
      <tp>
        <v>6.6738745264954131</v>
        <stp/>
        <stp>##V3_BQLV12</stp>
        <stp>[MODL_CRM_US1.xlsx]Single Period!R33C13</stp>
        <stp>SEG0000269227 Segment</stp>
        <stp>IS_PERCENTAGE_OF_REVENUE</stp>
        <stp>FPR=2022Y</stp>
        <stp>FPT=A</stp>
        <stp>FA_ACT_EST_DATA=E, EST_SOURCE=BCA</stp>
        <stp>ACT_EST_MAPPING=PRECISE</stp>
        <stp>FS=MRC</stp>
        <stp>CURRENCY=USD</stp>
        <stp>XLFILL=b</stp>
        <tr r="M33" s="2"/>
      </tp>
      <tp>
        <v>4555</v>
        <stp/>
        <stp>##V3_BQLV12</stp>
        <stp>[MODL_CRM_US1.xlsx]Single Period!R70C33</stp>
        <stp>CRM US Equity</stp>
        <stp>IS_COMP_NET_INC_EXCL_STOCK_COMP/1M</stp>
        <stp>FPR=2022Y</stp>
        <stp>FPT=A</stp>
        <stp>FA_ACT_EST_DATA=E, EST_SOURCE=RHR</stp>
        <stp>ACT_EST_MAPPING=PRECISE</stp>
        <stp>FS=MRC</stp>
        <stp>CURRENCY=USD</stp>
        <stp>XLFILL=b</stp>
        <tr r="AG70" s="2"/>
      </tp>
      <tp t="s">
        <v/>
        <stp/>
        <stp>##V3_BQLV12</stp>
        <stp>[MODL_CRM_US1.xlsx]Single Period!R39C55</stp>
        <stp>SEG0000269228 Segment</stp>
        <stp>IS_PERCENTAGE_OF_REVENUE</stp>
        <stp>FPR=2022Y</stp>
        <stp>FPT=A</stp>
        <stp>FA_ACT_EST_DATA=E, EST_SOURCE=RED</stp>
        <stp>ACT_EST_MAPPING=PRECISE</stp>
        <stp>FS=MRC</stp>
        <stp>CURRENCY=USD</stp>
        <stp>XLFILL=b</stp>
        <tr r="BC39" s="2"/>
      </tp>
      <tp t="s">
        <v/>
        <stp/>
        <stp>##V3_BQLV12</stp>
        <stp>[MODL_CRM_US1.xlsx]Single Period!R39C13</stp>
        <stp>SEG0000269228 Segment</stp>
        <stp>IS_PERCENTAGE_OF_REVENUE</stp>
        <stp>FPR=2022Y</stp>
        <stp>FPT=A</stp>
        <stp>FA_ACT_EST_DATA=E, EST_SOURCE=BCA</stp>
        <stp>ACT_EST_MAPPING=PRECISE</stp>
        <stp>FS=MRC</stp>
        <stp>CURRENCY=USD</stp>
        <stp>XLFILL=b</stp>
        <tr r="M39" s="2"/>
      </tp>
      <tp t="s">
        <v/>
        <stp/>
        <stp>##V3_BQLV12</stp>
        <stp>[MODL_CRM_US1.xlsx]Single Period!R25C30</stp>
        <stp>SEG0000269238 Segment</stp>
        <stp>IS_PERCENTAGE_OF_REVENUE</stp>
        <stp>FPR=2022Y</stp>
        <stp>FPT=A</stp>
        <stp>FA_ACT_EST_DATA=E, EST_SOURCE=BAM</stp>
        <stp>ACT_EST_MAPPING=PRECISE</stp>
        <stp>FS=MRC</stp>
        <stp>CURRENCY=USD</stp>
        <stp>XLFILL=b</stp>
        <tr r="AD25" s="2"/>
      </tp>
      <tp t="s">
        <v/>
        <stp/>
        <stp>##V3_BQLV12</stp>
        <stp>[MODL_CRM_US1.xlsx]Single Period!R49C36</stp>
        <stp>SEG0000269229 Segment</stp>
        <stp>IS_PERCENTAGE_OF_REVENUE</stp>
        <stp>FPR=2022Y</stp>
        <stp>FPT=A</stp>
        <stp>FA_ACT_EST_DATA=E, EST_SOURCE=MAC</stp>
        <stp>ACT_EST_MAPPING=PRECISE</stp>
        <stp>FS=MRC</stp>
        <stp>CURRENCY=USD</stp>
        <stp>XLFILL=b</stp>
        <tr r="AJ49" s="2"/>
      </tp>
      <tp>
        <v>21420</v>
        <stp/>
        <stp>##V3_BQLV12</stp>
        <stp>[MODL_CRM_US1.xlsx]Single Period!R150C9</stp>
        <stp>CRM US Equity</stp>
        <stp>CONTRIBUTOR_STATS(CURRENT_FUTURE_REV_UNDER_CONTRACT, MEDIAN)/1M</stp>
        <stp>FPR=2022Y</stp>
        <stp>FPT=A</stp>
        <stp>FA_ACT_EST_DATA=E</stp>
        <stp>ACT_EST_MAPPING=PRECISE</stp>
        <stp>FS=MRC</stp>
        <stp>CURRENCY=USD</stp>
        <stp>XLFILL=b</stp>
        <tr r="I150" s="2"/>
      </tp>
      <tp t="s">
        <v/>
        <stp/>
        <stp>##V3_BQLV12</stp>
        <stp>[MODL_CRM_US1.xlsx]Single Period!R88C12</stp>
        <stp>CRM US Equity</stp>
        <stp>OPER_INC_TO_NET_SALES</stp>
        <stp>FPR=2022Y</stp>
        <stp>FPT=A</stp>
        <stp>FA_ACT_EST_DATA=E, EST_SOURCE=BMO</stp>
        <stp>ACT_EST_MAPPING=PRECISE</stp>
        <stp>FS=MRC</stp>
        <stp>CURRENCY=USD</stp>
        <stp>XLFILL=b</stp>
        <tr r="L88" s="2"/>
      </tp>
      <tp t="s">
        <v/>
        <stp/>
        <stp>##V3_BQLV12</stp>
        <stp>[MODL_CRM_US1.xlsx]Single Period!R120C37</stp>
        <stp>CRM US Equity</stp>
        <stp>BS_LONG_TERM_INVESTMENTS/1M</stp>
        <stp>FPR=2022Y</stp>
        <stp>FPT=A</stp>
        <stp>FA_ACT_EST_DATA=E, EST_SOURCE=EVR</stp>
        <stp>ACT_EST_MAPPING=PRECISE</stp>
        <stp>FS=MRC</stp>
        <stp>CURRENCY=USD</stp>
        <stp>XLFILL=b</stp>
        <tr r="AK120" s="2"/>
      </tp>
      <tp t="s">
        <v/>
        <stp/>
        <stp>##V3_BQLV12</stp>
        <stp>[MODL_CRM_US1.xlsx]Single Period!R81C21</stp>
        <stp>CRM US Equity</stp>
        <stp>IS_TOT_OPER_EXP/1M</stp>
        <stp>FPR=2022Y</stp>
        <stp>FPT=A</stp>
        <stp>FA_ACT_EST_DATA=E, EST_SOURCE=RJA</stp>
        <stp>ACT_EST_MAPPING=PRECISE</stp>
        <stp>FS=MRC</stp>
        <stp>CURRENCY=USD</stp>
        <stp>XLFILL=b</stp>
        <tr r="U81" s="2"/>
      </tp>
      <tp t="s">
        <v/>
        <stp/>
        <stp>##V3_BQLV12</stp>
        <stp>[MODL_CRM_US1.xlsx]Single Period!R81C48</stp>
        <stp>CRM US Equity</stp>
        <stp>IS_TOT_OPER_EXP/1M</stp>
        <stp>FPR=2022Y</stp>
        <stp>FPT=A</stp>
        <stp>FA_ACT_EST_DATA=E, EST_SOURCE=PJE</stp>
        <stp>ACT_EST_MAPPING=PRECISE</stp>
        <stp>FS=MRC</stp>
        <stp>CURRENCY=USD</stp>
        <stp>XLFILL=b</stp>
        <tr r="AV81" s="2"/>
      </tp>
      <tp t="s">
        <v/>
        <stp/>
        <stp>##V3_BQLV12</stp>
        <stp>[MODL_CRM_US1.xlsx]Single Period!R99C49</stp>
        <stp>CRM US Equity</stp>
        <stp>IS_SBC_NON_GAAP/1M</stp>
        <stp>FPR=2022Y</stp>
        <stp>FPT=A</stp>
        <stp>FA_ACT_EST_DATA=E, EST_SOURCE=SGE</stp>
        <stp>ACT_EST_MAPPING=PRECISE</stp>
        <stp>FS=MRC</stp>
        <stp>CURRENCY=USD</stp>
        <stp>XLFILL=b</stp>
        <tr r="AW99" s="2"/>
      </tp>
      <tp>
        <v>1.832550386422185</v>
        <stp/>
        <stp>##V3_BQLV12</stp>
        <stp>[MODL_CRM_US1.xlsx]Single Period!R88C20</stp>
        <stp>CRM US Equity</stp>
        <stp>OPER_INC_TO_NET_SALES</stp>
        <stp>FPR=2022Y</stp>
        <stp>FPT=A</stp>
        <stp>FA_ACT_EST_DATA=E, EST_SOURCE=JMP</stp>
        <stp>ACT_EST_MAPPING=PRECISE</stp>
        <stp>FS=MRC</stp>
        <stp>CURRENCY=USD</stp>
        <stp>XLFILL=b</stp>
        <tr r="T88" s="2"/>
      </tp>
      <tp t="s">
        <v/>
        <stp/>
        <stp>##V3_BQLV12</stp>
        <stp>[MODL_CRM_US1.xlsx]Single Period!R12C10</stp>
        <stp>CRM US Equity</stp>
        <stp>TOT_FUTURE_REV_UNDER_CONTRACT/1M</stp>
        <stp>FPR=2022Y</stp>
        <stp>FPT=A</stp>
        <stp>FA_ACT_EST_DATA=E, EST_SOURCE=CMPY</stp>
        <stp>ACT_EST_MAPPING=PRECISE</stp>
        <stp>FS=MRC</stp>
        <stp>CURRENCY=USD</stp>
        <stp>XLFILL=b</stp>
        <tr r="J12" s="2"/>
      </tp>
      <tp t="s">
        <v/>
        <stp/>
        <stp>##V3_BQLV12</stp>
        <stp>[MODL_CRM_US1.xlsx]Single Period!R8C14</stp>
        <stp>CRM US Equity</stp>
        <stp>REVENUE_GROWTH_CC_1_YR</stp>
        <stp>FPR=2022Y</stp>
        <stp>FPT=A</stp>
        <stp>FA_ACT_EST_DATA=E, EST_SOURCE=SNR</stp>
        <stp>ACT_EST_MAPPING=PRECISE</stp>
        <stp>FS=MRC</stp>
        <stp>CURRENCY=USD</stp>
        <stp>XLFILL=b</stp>
        <tr r="N8" s="2"/>
      </tp>
      <tp t="s">
        <v/>
        <stp/>
        <stp>##V3_BQLV12</stp>
        <stp>[MODL_CRM_US1.xlsx]Single Period!R120C28</stp>
        <stp>CRM US Equity</stp>
        <stp>BS_LONG_TERM_INVESTMENTS/1M</stp>
        <stp>FPR=2022Y</stp>
        <stp>FPT=A</stp>
        <stp>FA_ACT_EST_DATA=E, EST_SOURCE=CWN</stp>
        <stp>ACT_EST_MAPPING=PRECISE</stp>
        <stp>FS=MRC</stp>
        <stp>CURRENCY=USD</stp>
        <stp>XLFILL=b</stp>
        <tr r="AB120" s="2"/>
      </tp>
      <tp t="s">
        <v/>
        <stp/>
        <stp>##V3_BQLV12</stp>
        <stp>[MODL_CRM_US1.xlsx]Single Period!R88C25</stp>
        <stp>CRM US Equity</stp>
        <stp>OPER_INC_TO_NET_SALES</stp>
        <stp>FPR=2022Y</stp>
        <stp>FPT=A</stp>
        <stp>FA_ACT_EST_DATA=E, EST_SOURCE=WMS</stp>
        <stp>ACT_EST_MAPPING=PRECISE</stp>
        <stp>FS=MRC</stp>
        <stp>CURRENCY=USD</stp>
        <stp>XLFILL=b</stp>
        <tr r="Y88" s="2"/>
      </tp>
      <tp t="s">
        <v/>
        <stp/>
        <stp>##V3_BQLV12</stp>
        <stp>[MODL_CRM_US1.xlsx]Single Period!R8C29</stp>
        <stp>CRM US Equity</stp>
        <stp>REVENUE_GROWTH_CC_1_YR</stp>
        <stp>FPR=2022Y</stp>
        <stp>FPT=A</stp>
        <stp>FA_ACT_EST_DATA=E, EST_SOURCE=BNS</stp>
        <stp>ACT_EST_MAPPING=PRECISE</stp>
        <stp>FS=MRC</stp>
        <stp>CURRENCY=USD</stp>
        <stp>XLFILL=b</stp>
        <tr r="AC8" s="2"/>
      </tp>
      <tp t="s">
        <v/>
        <stp/>
        <stp>##V3_BQLV12</stp>
        <stp>[MODL_CRM_US1.xlsx]Single Period!R99C39</stp>
        <stp>CRM US Equity</stp>
        <stp>IS_SBC_NON_GAAP/1M</stp>
        <stp>FPR=2022Y</stp>
        <stp>FPT=A</stp>
        <stp>FA_ACT_EST_DATA=E, EST_SOURCE=KGI</stp>
        <stp>ACT_EST_MAPPING=PRECISE</stp>
        <stp>FS=MRC</stp>
        <stp>CURRENCY=USD</stp>
        <stp>XLFILL=b</stp>
        <tr r="AM99" s="2"/>
      </tp>
      <tp t="s">
        <v/>
        <stp/>
        <stp>##V3_BQLV12</stp>
        <stp>[MODL_CRM_US1.xlsx]Single Period!R89C10</stp>
        <stp>CRM US Equity</stp>
        <stp>PRETAX_INC/1M</stp>
        <stp>FPR=2022Y</stp>
        <stp>FPT=A</stp>
        <stp>FA_ACT_EST_DATA=E, EST_SOURCE=CMPY</stp>
        <stp>ACT_EST_MAPPING=PRECISE</stp>
        <stp>FS=MRC</stp>
        <stp>CURRENCY=USD</stp>
        <stp>XLFILL=b</stp>
        <tr r="J89" s="2"/>
      </tp>
      <tp t="s">
        <v/>
        <stp/>
        <stp>##V3_BQLV12</stp>
        <stp>[MODL_CRM_US1.xlsx]Single Period!R77C37</stp>
        <stp>CRM US Equity</stp>
        <stp>IS_COGS_TO_FE_AND_PP_AND_G/1M</stp>
        <stp>FPR=2022Y</stp>
        <stp>FPT=A</stp>
        <stp>FA_ACT_EST_DATA=E, EST_SOURCE=EVR</stp>
        <stp>ACT_EST_MAPPING=PRECISE</stp>
        <stp>FS=MRC</stp>
        <stp>CURRENCY=USD</stp>
        <stp>XLFILL=b</stp>
        <tr r="AK77" s="2"/>
      </tp>
      <tp>
        <v>1988</v>
        <stp/>
        <stp>##V3_BQLV12</stp>
        <stp>[MODL_CRM_US1.xlsx]Single Period!R79C25</stp>
        <stp>CRM US Equity</stp>
        <stp>CB_IS_GROSS_PROFIT/1M</stp>
        <stp>FPR=2022Y</stp>
        <stp>FPT=A</stp>
        <stp>FA_ACT_EST_DATA=E, EST_SOURCE=WMS</stp>
        <stp>ACT_EST_MAPPING=PRECISE</stp>
        <stp>FS=MRC</stp>
        <stp>CURRENCY=USD</stp>
        <stp>XLFILL=b</stp>
        <tr r="Y79" s="2"/>
      </tp>
      <tp>
        <v>19488.05</v>
        <stp/>
        <stp>##V3_BQLV12</stp>
        <stp>[MODL_CRM_US1.xlsx]Single Period!R79C20</stp>
        <stp>CRM US Equity</stp>
        <stp>CB_IS_GROSS_PROFIT/1M</stp>
        <stp>FPR=2022Y</stp>
        <stp>FPT=A</stp>
        <stp>FA_ACT_EST_DATA=E, EST_SOURCE=JMP</stp>
        <stp>ACT_EST_MAPPING=PRECISE</stp>
        <stp>FS=MRC</stp>
        <stp>CURRENCY=USD</stp>
        <stp>XLFILL=b</stp>
        <tr r="T79" s="2"/>
      </tp>
      <tp t="s">
        <v/>
        <stp/>
        <stp>##V3_BQLV12</stp>
        <stp>[MODL_CRM_US1.xlsx]Single Period!R79C12</stp>
        <stp>CRM US Equity</stp>
        <stp>CB_IS_GROSS_PROFIT/1M</stp>
        <stp>FPR=2022Y</stp>
        <stp>FPT=A</stp>
        <stp>FA_ACT_EST_DATA=E, EST_SOURCE=BMO</stp>
        <stp>ACT_EST_MAPPING=PRECISE</stp>
        <stp>FS=MRC</stp>
        <stp>CURRENCY=USD</stp>
        <stp>XLFILL=b</stp>
        <tr r="L79" s="2"/>
      </tp>
      <tp t="s">
        <v/>
        <stp/>
        <stp>##V3_BQLV12</stp>
        <stp>[MODL_CRM_US1.xlsx]Single Period!R137C10</stp>
        <stp>CRM US Equity</stp>
        <stp>BS_EQTY_BEFORE_MINORITY_INT/1M</stp>
        <stp>FPR=2022Y</stp>
        <stp>FPT=A</stp>
        <stp>FA_ACT_EST_DATA=E, EST_SOURCE=CMPY</stp>
        <stp>ACT_EST_MAPPING=PRECISE</stp>
        <stp>FS=MRC</stp>
        <stp>CURRENCY=USD</stp>
        <stp>XLFILL=b</stp>
        <tr r="J137" s="2"/>
      </tp>
      <tp t="s">
        <v/>
        <stp/>
        <stp>##V3_BQLV12</stp>
        <stp>[MODL_CRM_US1.xlsx]Single Period!R172C39</stp>
        <stp>CRM US Equity</stp>
        <stp>CAP_EXPEND_TO_SALES</stp>
        <stp>FPR=2022Y</stp>
        <stp>FPT=A</stp>
        <stp>FA_ACT_EST_DATA=E, EST_SOURCE=KGI</stp>
        <stp>ACT_EST_MAPPING=PRECISE</stp>
        <stp>FS=MRC</stp>
        <stp>CURRENCY=USD</stp>
        <stp>XLFILL=b</stp>
        <tr r="AM172" s="2"/>
      </tp>
      <tp>
        <v>1.28</v>
        <stp/>
        <stp>##V3_BQLV12</stp>
        <stp>[MODL_CRM_US1.xlsx]Single Period!R95C9</stp>
        <stp>CRM US Equity</stp>
        <stp>CONTRIBUTOR_STATS(IS_COMP_EPS_GAAP, MEDIAN)</stp>
        <stp>FPR=2022Y</stp>
        <stp>FPT=A</stp>
        <stp>FA_ACT_EST_DATA=E</stp>
        <stp>ACT_EST_MAPPING=PRECISE</stp>
        <stp>FS=MRC</stp>
        <stp>CURRENCY=USD</stp>
        <stp>XLFILL=b</stp>
        <tr r="I95" s="2"/>
      </tp>
      <tp>
        <v>901.73989210568914</v>
        <stp/>
        <stp>##V3_BQLV12</stp>
        <stp>[MODL_CRM_US1.xlsx]Single Period!R101C5</stp>
        <stp>CRM US Equity</stp>
        <stp>IS_SBC_ATTRIBUTABLE_TO_R_AND_D_PRETX/1M</stp>
        <stp>FPR=2022Y</stp>
        <stp>FPT=A</stp>
        <stp>FA_ACT_EST_DATA=E</stp>
        <stp>ACT_EST_MAPPING=PRECISE</stp>
        <stp>FS=MRC</stp>
        <stp>CURRENCY=USD</stp>
        <stp>XLFILL=b</stp>
        <tr r="E101" s="2"/>
      </tp>
      <tp>
        <v>3366</v>
        <stp/>
        <stp>##V3_BQLV12</stp>
        <stp>[MODL_CRM_US1.xlsx]Single Period!R70C44</stp>
        <stp>CRM US Equity</stp>
        <stp>IS_COMP_NET_INC_EXCL_STOCK_COMP/1M</stp>
        <stp>FPR=2022Y</stp>
        <stp>FPT=A</stp>
        <stp>FA_ACT_EST_DATA=E, EST_SOURCE=RWB</stp>
        <stp>ACT_EST_MAPPING=PRECISE</stp>
        <stp>FS=MRC</stp>
        <stp>CURRENCY=USD</stp>
        <stp>XLFILL=b</stp>
        <tr r="AR70" s="2"/>
      </tp>
      <tp>
        <v>71280.41879292723</v>
        <stp/>
        <stp>##V3_BQLV12</stp>
        <stp>[MODL_CRM_US1.xlsx]Single Period!R117C9</stp>
        <stp>CRM US Equity</stp>
        <stp>CONTRIBUTOR_STATS(BS_TOTAL_NON_CURRENT_ASSETS, MEDIAN)/1M</stp>
        <stp>FPR=2022Y</stp>
        <stp>FPT=A</stp>
        <stp>FA_ACT_EST_DATA=E</stp>
        <stp>ACT_EST_MAPPING=PRECISE</stp>
        <stp>FS=MRC</stp>
        <stp>CURRENCY=USD</stp>
        <stp>XLFILL=b</stp>
        <tr r="I117" s="2"/>
      </tp>
      <tp>
        <v>820</v>
        <stp/>
        <stp>##V3_BQLV12</stp>
        <stp>[MODL_CRM_US1.xlsx]Single Period!R70C43</stp>
        <stp>CRM US Equity</stp>
        <stp>IS_COMP_NET_INC_EXCL_STOCK_COMP/1M</stp>
        <stp>FPR=2022Y</stp>
        <stp>FPT=A</stp>
        <stp>FA_ACT_EST_DATA=E, EST_SOURCE=DWI</stp>
        <stp>ACT_EST_MAPPING=PRECISE</stp>
        <stp>FS=MRC</stp>
        <stp>CURRENCY=USD</stp>
        <stp>XLFILL=b</stp>
        <tr r="AQ70" s="2"/>
      </tp>
      <tp>
        <v>4568</v>
        <stp/>
        <stp>##V3_BQLV12</stp>
        <stp>[MODL_CRM_US1.xlsx]Single Period!R70C28</stp>
        <stp>CRM US Equity</stp>
        <stp>IS_COMP_NET_INC_EXCL_STOCK_COMP/1M</stp>
        <stp>FPR=2022Y</stp>
        <stp>FPT=A</stp>
        <stp>FA_ACT_EST_DATA=E, EST_SOURCE=CWN</stp>
        <stp>ACT_EST_MAPPING=PRECISE</stp>
        <stp>FS=MRC</stp>
        <stp>CURRENCY=USD</stp>
        <stp>XLFILL=b</stp>
        <tr r="AB70" s="2"/>
      </tp>
      <tp>
        <v>383.59896666921298</v>
        <stp/>
        <stp>##V3_BQLV12</stp>
        <stp>[MODL_CRM_US1.xlsx]Single Period!R100C5</stp>
        <stp>CRM US Equity</stp>
        <stp>IS_SBC_ATTRIB_TO_COGS_PRETX/1M</stp>
        <stp>FPR=2022Y</stp>
        <stp>FPT=A</stp>
        <stp>FA_ACT_EST_DATA=E</stp>
        <stp>ACT_EST_MAPPING=PRECISE</stp>
        <stp>FS=MRC</stp>
        <stp>CURRENCY=USD</stp>
        <stp>XLFILL=b</stp>
        <tr r="E100" s="2"/>
      </tp>
      <tp t="s">
        <v/>
        <stp/>
        <stp>##V3_BQLV12</stp>
        <stp>[MODL_CRM_US1.xlsx]Single Period!R16C37</stp>
        <stp>CRM US Equity</stp>
        <stp>IS_ADJ_GROSS_PROFIT_AS_REPORTED/1M</stp>
        <stp>FPR=2022Y</stp>
        <stp>FPT=A</stp>
        <stp>FA_ACT_EST_DATA=E, EST_SOURCE=EVR</stp>
        <stp>ACT_EST_MAPPING=PRECISE</stp>
        <stp>FS=MRC</stp>
        <stp>CURRENCY=USD</stp>
        <stp>XLFILL=b</stp>
        <tr r="AK16" s="2"/>
      </tp>
      <tp t="s">
        <v/>
        <stp/>
        <stp>##V3_BQLV12</stp>
        <stp>[MODL_CRM_US1.xlsx]Single Period!R55C37</stp>
        <stp>CRM US Equity</stp>
        <stp>IS_ADJ_GROSS_PROFIT_AS_REPORTED/1M</stp>
        <stp>FPR=2022Y</stp>
        <stp>FPT=A</stp>
        <stp>FA_ACT_EST_DATA=E, EST_SOURCE=EVR</stp>
        <stp>ACT_EST_MAPPING=PRECISE</stp>
        <stp>FS=MRC</stp>
        <stp>CURRENCY=USD</stp>
        <stp>XLFILL=b</stp>
        <tr r="AK55" s="2"/>
      </tp>
      <tp t="s">
        <v/>
        <stp/>
        <stp>##V3_BQLV12</stp>
        <stp>[MODL_CRM_US1.xlsx]Single Period!R39C28</stp>
        <stp>SEG0000269228 Segment</stp>
        <stp>IS_PERCENTAGE_OF_REVENUE</stp>
        <stp>FPR=2022Y</stp>
        <stp>FPT=A</stp>
        <stp>FA_ACT_EST_DATA=E, EST_SOURCE=CWN</stp>
        <stp>ACT_EST_MAPPING=PRECISE</stp>
        <stp>FS=MRC</stp>
        <stp>CURRENCY=USD</stp>
        <stp>XLFILL=b</stp>
        <tr r="AB39" s="2"/>
      </tp>
      <tp t="s">
        <v/>
        <stp/>
        <stp>##V3_BQLV12</stp>
        <stp>[MODL_CRM_US1.xlsx]Single Period!R33C28</stp>
        <stp>SEG0000269227 Segment</stp>
        <stp>IS_PERCENTAGE_OF_REVENUE</stp>
        <stp>FPR=2022Y</stp>
        <stp>FPT=A</stp>
        <stp>FA_ACT_EST_DATA=E, EST_SOURCE=CWN</stp>
        <stp>ACT_EST_MAPPING=PRECISE</stp>
        <stp>FS=MRC</stp>
        <stp>CURRENCY=USD</stp>
        <stp>XLFILL=b</stp>
        <tr r="AB33" s="2"/>
      </tp>
      <tp t="s">
        <v/>
        <stp/>
        <stp>##V3_BQLV12</stp>
        <stp>[MODL_CRM_US1.xlsx]Single Period!R68C10</stp>
        <stp>CRM US Equity</stp>
        <stp>IS_COMP_PTP_EX_STK_BASED_COMP/1M</stp>
        <stp>FPR=2022Y</stp>
        <stp>FPT=A</stp>
        <stp>FA_ACT_EST_DATA=E, EST_SOURCE=CMPY</stp>
        <stp>ACT_EST_MAPPING=PRECISE</stp>
        <stp>FS=MRC</stp>
        <stp>CURRENCY=USD</stp>
        <stp>XLFILL=b</stp>
        <tr r="J68" s="2"/>
      </tp>
      <tp t="s">
        <v/>
        <stp/>
        <stp>##V3_BQLV12</stp>
        <stp>[MODL_CRM_US1.xlsx]Single Period!R161C34</stp>
        <stp>CRM US Equity</stp>
        <stp>CF_ACCT_RCV_UNBILLED_REV/1M</stp>
        <stp>FPR=2022Y</stp>
        <stp>FPT=A</stp>
        <stp>FA_ACT_EST_DATA=E, EST_SOURCE=JEF</stp>
        <stp>ACT_EST_MAPPING=PRECISE</stp>
        <stp>FS=MRC</stp>
        <stp>CURRENCY=USD</stp>
        <stp>XLFILL=b</stp>
        <tr r="AH161" s="2"/>
      </tp>
      <tp t="s">
        <v/>
        <stp/>
        <stp>##V3_BQLV12</stp>
        <stp>[MODL_CRM_US1.xlsx]Single Period!R88C54</stp>
        <stp>CRM US Equity</stp>
        <stp>OPER_INC_TO_NET_SALES</stp>
        <stp>FPR=2022Y</stp>
        <stp>FPT=A</stp>
        <stp>FA_ACT_EST_DATA=E, EST_SOURCE=ARE</stp>
        <stp>ACT_EST_MAPPING=PRECISE</stp>
        <stp>FS=MRC</stp>
        <stp>CURRENCY=USD</stp>
        <stp>XLFILL=b</stp>
        <tr r="BB88" s="2"/>
      </tp>
      <tp t="s">
        <v/>
        <stp/>
        <stp>##V3_BQLV12</stp>
        <stp>[MODL_CRM_US1.xlsx]Single Period!R88C45</stp>
        <stp>CRM US Equity</stp>
        <stp>OPER_INC_TO_NET_SALES</stp>
        <stp>FPR=2022Y</stp>
        <stp>FPT=A</stp>
        <stp>FA_ACT_EST_DATA=E, EST_SOURCE=ARG</stp>
        <stp>ACT_EST_MAPPING=PRECISE</stp>
        <stp>FS=MRC</stp>
        <stp>CURRENCY=USD</stp>
        <stp>XLFILL=b</stp>
        <tr r="AS88" s="2"/>
      </tp>
      <tp t="s">
        <v/>
        <stp/>
        <stp>##V3_BQLV12</stp>
        <stp>[MODL_CRM_US1.xlsx]Single Period!R187C48</stp>
        <stp>CRM US Equity</stp>
        <stp>CF_NET_CHNG_CASH/1M</stp>
        <stp>FPR=2022Y</stp>
        <stp>FPT=A</stp>
        <stp>FA_ACT_EST_DATA=E, EST_SOURCE=PJE</stp>
        <stp>ACT_EST_MAPPING=PRECISE</stp>
        <stp>FS=MRC</stp>
        <stp>CURRENCY=USD</stp>
        <stp>XLFILL=b</stp>
        <tr r="AV187" s="2"/>
      </tp>
      <tp>
        <v>71.998508223486567</v>
        <stp/>
        <stp>##V3_BQLV12</stp>
        <stp>[MODL_CRM_US1.xlsx]Single Period!R82C5</stp>
        <stp>CRM US Equity</stp>
        <stp>OPERATING_EXPENSES_TO_NET_SALES</stp>
        <stp>FPR=2022Y</stp>
        <stp>FPT=A</stp>
        <stp>FA_ACT_EST_DATA=E</stp>
        <stp>ACT_EST_MAPPING=PRECISE</stp>
        <stp>FS=MRC</stp>
        <stp>CURRENCY=USD</stp>
        <stp>XLFILL=b</stp>
        <tr r="E82" s="2"/>
      </tp>
      <tp t="s">
        <v/>
        <stp/>
        <stp>##V3_BQLV12</stp>
        <stp>[MODL_CRM_US1.xlsx]Single Period!R98C10</stp>
        <stp>CRM US Equity</stp>
        <stp>IS_INC_TAX_EFFECT_NONGAAP_REC/1M</stp>
        <stp>FPR=2022Y</stp>
        <stp>FPT=A</stp>
        <stp>FA_ACT_EST_DATA=E, EST_SOURCE=CMPY</stp>
        <stp>ACT_EST_MAPPING=PRECISE</stp>
        <stp>FS=MRC</stp>
        <stp>CURRENCY=USD</stp>
        <stp>XLFILL=b</stp>
        <tr r="J98" s="2"/>
      </tp>
      <tp t="s">
        <v/>
        <stp/>
        <stp>##V3_BQLV12</stp>
        <stp>[MODL_CRM_US1.xlsx]Single Period!R161C51</stp>
        <stp>CRM US Equity</stp>
        <stp>CF_ACCT_RCV_UNBILLED_REV/1M</stp>
        <stp>FPR=2022Y</stp>
        <stp>FPT=A</stp>
        <stp>FA_ACT_EST_DATA=E, EST_SOURCE=RCP</stp>
        <stp>ACT_EST_MAPPING=PRECISE</stp>
        <stp>FS=MRC</stp>
        <stp>CURRENCY=USD</stp>
        <stp>XLFILL=b</stp>
        <tr r="AY161" s="2"/>
      </tp>
      <tp>
        <v>4896</v>
        <stp/>
        <stp>##V3_BQLV12</stp>
        <stp>[MODL_CRM_US1.xlsx]Single Period!R19C29</stp>
        <stp>CRM US Equity</stp>
        <stp>IS_COMPARABLE_EBIT/1M</stp>
        <stp>FPR=2022Y</stp>
        <stp>FPT=A</stp>
        <stp>FA_ACT_EST_DATA=E, EST_SOURCE=BNS</stp>
        <stp>ACT_EST_MAPPING=PRECISE</stp>
        <stp>FS=MRC</stp>
        <stp>CURRENCY=USD</stp>
        <stp>XLFILL=b</stp>
        <tr r="AC19" s="2"/>
      </tp>
      <tp>
        <v>4900</v>
        <stp/>
        <stp>##V3_BQLV12</stp>
        <stp>[MODL_CRM_US1.xlsx]Single Period!R19C14</stp>
        <stp>CRM US Equity</stp>
        <stp>IS_COMPARABLE_EBIT/1M</stp>
        <stp>FPR=2022Y</stp>
        <stp>FPT=A</stp>
        <stp>FA_ACT_EST_DATA=E, EST_SOURCE=SNR</stp>
        <stp>ACT_EST_MAPPING=PRECISE</stp>
        <stp>FS=MRC</stp>
        <stp>CURRENCY=USD</stp>
        <stp>XLFILL=b</stp>
        <tr r="N19" s="2"/>
      </tp>
      <tp t="s">
        <v/>
        <stp/>
        <stp>##V3_BQLV12</stp>
        <stp>[MODL_CRM_US1.xlsx]Single Period!R77C56</stp>
        <stp>CRM US Equity</stp>
        <stp>IS_COGS_TO_FE_AND_PP_AND_G/1M</stp>
        <stp>FPR=2022Y</stp>
        <stp>FPT=A</stp>
        <stp>FA_ACT_EST_DATA=E, EST_SOURCE=DIR</stp>
        <stp>ACT_EST_MAPPING=PRECISE</stp>
        <stp>FS=MRC</stp>
        <stp>CURRENCY=USD</stp>
        <stp>XLFILL=b</stp>
        <tr r="BD77" s="2"/>
      </tp>
      <tp t="s">
        <v/>
        <stp/>
        <stp>##V3_BQLV12</stp>
        <stp>[MODL_CRM_US1.xlsx]Single Period!R89C42</stp>
        <stp>CRM US Equity</stp>
        <stp>PRETAX_INC/1M</stp>
        <stp>FPR=2022Y</stp>
        <stp>FPT=A</stp>
        <stp>FA_ACT_EST_DATA=E, EST_SOURCE=PSG</stp>
        <stp>ACT_EST_MAPPING=PRECISE</stp>
        <stp>FS=MRC</stp>
        <stp>CURRENCY=USD</stp>
        <stp>XLFILL=b</stp>
        <tr r="AP89" s="2"/>
      </tp>
      <tp t="s">
        <v/>
        <stp/>
        <stp>##V3_BQLV12</stp>
        <stp>[MODL_CRM_US1.xlsx]Single Period!R89C38</stp>
        <stp>CRM US Equity</stp>
        <stp>PRETAX_INC/1M</stp>
        <stp>FPR=2022Y</stp>
        <stp>FPT=A</stp>
        <stp>FA_ACT_EST_DATA=E, EST_SOURCE=MSR</stp>
        <stp>ACT_EST_MAPPING=PRECISE</stp>
        <stp>FS=MRC</stp>
        <stp>CURRENCY=USD</stp>
        <stp>XLFILL=b</stp>
        <tr r="AL89" s="2"/>
      </tp>
      <tp t="s">
        <v/>
        <stp/>
        <stp>##V3_BQLV12</stp>
        <stp>[MODL_CRM_US1.xlsx]Single Period!R89C41</stp>
        <stp>CRM US Equity</stp>
        <stp>PRETAX_INC/1M</stp>
        <stp>FPR=2022Y</stp>
        <stp>FPT=A</stp>
        <stp>FA_ACT_EST_DATA=E, EST_SOURCE=GSR</stp>
        <stp>ACT_EST_MAPPING=PRECISE</stp>
        <stp>FS=MRC</stp>
        <stp>CURRENCY=USD</stp>
        <stp>XLFILL=b</stp>
        <tr r="AO89" s="2"/>
      </tp>
      <tp t="s">
        <v/>
        <stp/>
        <stp>##V3_BQLV12</stp>
        <stp>[MODL_CRM_US1.xlsx]Single Period!R60C49</stp>
        <stp>CRM US Equity</stp>
        <stp>IS_COMPARABLE_EBIT/1M</stp>
        <stp>FPR=2022Y</stp>
        <stp>FPT=A</stp>
        <stp>FA_ACT_EST_DATA=E, EST_SOURCE=SGE</stp>
        <stp>ACT_EST_MAPPING=PRECISE</stp>
        <stp>FS=MRC</stp>
        <stp>CURRENCY=USD</stp>
        <stp>XLFILL=b</stp>
        <tr r="AW60" s="2"/>
      </tp>
      <tp>
        <v>1428.365827571703</v>
        <stp/>
        <stp>##V3_BQLV12</stp>
        <stp>[MODL_CRM_US1.xlsx]Single Period!R89C15</stp>
        <stp>CRM US Equity</stp>
        <stp>PRETAX_INC/1M</stp>
        <stp>FPR=2022Y</stp>
        <stp>FPT=A</stp>
        <stp>FA_ACT_EST_DATA=E, EST_SOURCE=MSV</stp>
        <stp>ACT_EST_MAPPING=PRECISE</stp>
        <stp>FS=MRC</stp>
        <stp>CURRENCY=USD</stp>
        <stp>XLFILL=b</stp>
        <tr r="O89" s="2"/>
      </tp>
      <tp t="s">
        <v/>
        <stp/>
        <stp>##V3_BQLV12</stp>
        <stp>[MODL_CRM_US1.xlsx]Single Period!R79C45</stp>
        <stp>CRM US Equity</stp>
        <stp>CB_IS_GROSS_PROFIT/1M</stp>
        <stp>FPR=2022Y</stp>
        <stp>FPT=A</stp>
        <stp>FA_ACT_EST_DATA=E, EST_SOURCE=ARG</stp>
        <stp>ACT_EST_MAPPING=PRECISE</stp>
        <stp>FS=MRC</stp>
        <stp>CURRENCY=USD</stp>
        <stp>XLFILL=b</stp>
        <tr r="AS79" s="2"/>
      </tp>
      <tp t="s">
        <v/>
        <stp/>
        <stp>##V3_BQLV12</stp>
        <stp>[MODL_CRM_US1.xlsx]Single Period!R79C54</stp>
        <stp>CRM US Equity</stp>
        <stp>CB_IS_GROSS_PROFIT/1M</stp>
        <stp>FPR=2022Y</stp>
        <stp>FPT=A</stp>
        <stp>FA_ACT_EST_DATA=E, EST_SOURCE=ARE</stp>
        <stp>ACT_EST_MAPPING=PRECISE</stp>
        <stp>FS=MRC</stp>
        <stp>CURRENCY=USD</stp>
        <stp>XLFILL=b</stp>
        <tr r="BB79" s="2"/>
      </tp>
      <tp>
        <v>5267</v>
        <stp/>
        <stp>##V3_BQLV12</stp>
        <stp>[MODL_CRM_US1.xlsx]Single Period!R60C39</stp>
        <stp>CRM US Equity</stp>
        <stp>IS_COMPARABLE_EBIT/1M</stp>
        <stp>FPR=2022Y</stp>
        <stp>FPT=A</stp>
        <stp>FA_ACT_EST_DATA=E, EST_SOURCE=KGI</stp>
        <stp>ACT_EST_MAPPING=PRECISE</stp>
        <stp>FS=MRC</stp>
        <stp>CURRENCY=USD</stp>
        <stp>XLFILL=b</stp>
        <tr r="AM60" s="2"/>
      </tp>
      <tp t="s">
        <v/>
        <stp/>
        <stp>##V3_BQLV12</stp>
        <stp>[MODL_CRM_US1.xlsx]Single Period!R77C53</stp>
        <stp>CRM US Equity</stp>
        <stp>IS_COGS_TO_FE_AND_PP_AND_G/1M</stp>
        <stp>FPR=2022Y</stp>
        <stp>FPT=A</stp>
        <stp>FA_ACT_EST_DATA=E, EST_SOURCE=NIK</stp>
        <stp>ACT_EST_MAPPING=PRECISE</stp>
        <stp>FS=MRC</stp>
        <stp>CURRENCY=USD</stp>
        <stp>XLFILL=b</stp>
        <tr r="BA77" s="2"/>
      </tp>
      <tp>
        <v>4.75</v>
        <stp/>
        <stp>##V3_BQLV12</stp>
        <stp>[MODL_CRM_US1.xlsx]Single Period!R6C45</stp>
        <stp>CRM US Equity</stp>
        <stp>IS_COMP_EPS_EXCL_STOCK_COMP</stp>
        <stp>FPR=2022Y</stp>
        <stp>FPT=A</stp>
        <stp>FA_ACT_EST_DATA=E, EST_SOURCE=ARG</stp>
        <stp>ACT_EST_MAPPING=PRECISE</stp>
        <stp>FS=MRC</stp>
        <stp>CURRENCY=USD</stp>
        <stp>XLFILL=b</stp>
        <tr r="AS6" s="2"/>
      </tp>
      <tp>
        <v>21500</v>
        <stp/>
        <stp>##V3_BQLV12</stp>
        <stp>[MODL_CRM_US1.xlsx]Single Period!R150C7</stp>
        <stp>CRM US Equity</stp>
        <stp>CONTRIBUTOR_STATS(CURRENT_FUTURE_REV_UNDER_CONTRACT, MAX)/1M</stp>
        <stp>FPR=2022Y</stp>
        <stp>FPT=A</stp>
        <stp>FA_ACT_EST_DATA=E</stp>
        <stp>ACT_EST_MAPPING=PRECISE</stp>
        <stp>FS=MRC</stp>
        <stp>CURRENCY=USD</stp>
        <stp>XLFILL=b</stp>
        <tr r="G150" s="2"/>
      </tp>
      <tp>
        <v>9471.1752178082206</v>
        <stp/>
        <stp>##V3_BQLV12</stp>
        <stp>[MODL_CRM_US1.xlsx]Single Period!R114C9</stp>
        <stp>CRM US Equity</stp>
        <stp>CONTRIBUTOR_STATS(BS_ACCTS_REC_EXCL_NOTES_REC, MEDIAN)/1M</stp>
        <stp>FPR=2022Y</stp>
        <stp>FPT=A</stp>
        <stp>FA_ACT_EST_DATA=E</stp>
        <stp>ACT_EST_MAPPING=PRECISE</stp>
        <stp>FS=MRC</stp>
        <stp>CURRENCY=USD</stp>
        <stp>XLFILL=b</stp>
        <tr r="I114" s="2"/>
      </tp>
      <tp>
        <v>1115.106688031161</v>
        <stp/>
        <stp>##V3_BQLV12</stp>
        <stp>[MODL_CRM_US1.xlsx]Single Period!R176C5</stp>
        <stp>CRM US Equity</stp>
        <stp>CF_INCR_CAP_STOCK/1M</stp>
        <stp>FPR=2022Y</stp>
        <stp>FPT=A</stp>
        <stp>FA_ACT_EST_DATA=E</stp>
        <stp>ACT_EST_MAPPING=PRECISE</stp>
        <stp>FS=MRC</stp>
        <stp>CURRENCY=USD</stp>
        <stp>XLFILL=b</stp>
        <tr r="E176" s="2"/>
      </tp>
      <tp t="s">
        <v/>
        <stp/>
        <stp>##V3_BQLV12</stp>
        <stp>[MODL_CRM_US1.xlsx]Single Period!R55C28</stp>
        <stp>CRM US Equity</stp>
        <stp>IS_ADJ_GROSS_PROFIT_AS_REPORTED/1M</stp>
        <stp>FPR=2022Y</stp>
        <stp>FPT=A</stp>
        <stp>FA_ACT_EST_DATA=E, EST_SOURCE=CWN</stp>
        <stp>ACT_EST_MAPPING=PRECISE</stp>
        <stp>FS=MRC</stp>
        <stp>CURRENCY=USD</stp>
        <stp>XLFILL=b</stp>
        <tr r="AB55" s="2"/>
      </tp>
      <tp t="s">
        <v/>
        <stp/>
        <stp>##V3_BQLV12</stp>
        <stp>[MODL_CRM_US1.xlsx]Single Period!R16C28</stp>
        <stp>CRM US Equity</stp>
        <stp>IS_ADJ_GROSS_PROFIT_AS_REPORTED/1M</stp>
        <stp>FPR=2022Y</stp>
        <stp>FPT=A</stp>
        <stp>FA_ACT_EST_DATA=E, EST_SOURCE=CWN</stp>
        <stp>ACT_EST_MAPPING=PRECISE</stp>
        <stp>FS=MRC</stp>
        <stp>CURRENCY=USD</stp>
        <stp>XLFILL=b</stp>
        <tr r="AB16" s="2"/>
      </tp>
      <tp>
        <v>6221.5710327355901</v>
        <stp/>
        <stp>##V3_BQLV12</stp>
        <stp>[MODL_CRM_US1.xlsx]Single Period!R112C9</stp>
        <stp>CRM US Equity</stp>
        <stp>CONTRIBUTOR_STATS(BS_CASH_NEAR_CASH_ITEM, MEDIAN)/1M</stp>
        <stp>FPR=2022Y</stp>
        <stp>FPT=A</stp>
        <stp>FA_ACT_EST_DATA=E</stp>
        <stp>ACT_EST_MAPPING=PRECISE</stp>
        <stp>FS=MRC</stp>
        <stp>CURRENCY=USD</stp>
        <stp>XLFILL=b</stp>
        <tr r="I112" s="2"/>
      </tp>
      <tp t="s">
        <v/>
        <stp/>
        <stp>##V3_BQLV12</stp>
        <stp>[MODL_CRM_US1.xlsx]Single Period!R55C43</stp>
        <stp>CRM US Equity</stp>
        <stp>IS_ADJ_GROSS_PROFIT_AS_REPORTED/1M</stp>
        <stp>FPR=2022Y</stp>
        <stp>FPT=A</stp>
        <stp>FA_ACT_EST_DATA=E, EST_SOURCE=DWI</stp>
        <stp>ACT_EST_MAPPING=PRECISE</stp>
        <stp>FS=MRC</stp>
        <stp>CURRENCY=USD</stp>
        <stp>XLFILL=b</stp>
        <tr r="AQ55" s="2"/>
      </tp>
      <tp t="s">
        <v/>
        <stp/>
        <stp>##V3_BQLV12</stp>
        <stp>[MODL_CRM_US1.xlsx]Single Period!R16C43</stp>
        <stp>CRM US Equity</stp>
        <stp>IS_ADJ_GROSS_PROFIT_AS_REPORTED/1M</stp>
        <stp>FPR=2022Y</stp>
        <stp>FPT=A</stp>
        <stp>FA_ACT_EST_DATA=E, EST_SOURCE=DWI</stp>
        <stp>ACT_EST_MAPPING=PRECISE</stp>
        <stp>FS=MRC</stp>
        <stp>CURRENCY=USD</stp>
        <stp>XLFILL=b</stp>
        <tr r="AQ16" s="2"/>
      </tp>
      <tp>
        <v>4556</v>
        <stp/>
        <stp>##V3_BQLV12</stp>
        <stp>[MODL_CRM_US1.xlsx]Single Period!R70C37</stp>
        <stp>CRM US Equity</stp>
        <stp>IS_COMP_NET_INC_EXCL_STOCK_COMP/1M</stp>
        <stp>FPR=2022Y</stp>
        <stp>FPT=A</stp>
        <stp>FA_ACT_EST_DATA=E, EST_SOURCE=EVR</stp>
        <stp>ACT_EST_MAPPING=PRECISE</stp>
        <stp>FS=MRC</stp>
        <stp>CURRENCY=USD</stp>
        <stp>XLFILL=b</stp>
        <tr r="AK70" s="2"/>
      </tp>
      <tp t="s">
        <v/>
        <stp/>
        <stp>##V3_BQLV12</stp>
        <stp>[MODL_CRM_US1.xlsx]Single Period!R16C44</stp>
        <stp>CRM US Equity</stp>
        <stp>IS_ADJ_GROSS_PROFIT_AS_REPORTED/1M</stp>
        <stp>FPR=2022Y</stp>
        <stp>FPT=A</stp>
        <stp>FA_ACT_EST_DATA=E, EST_SOURCE=RWB</stp>
        <stp>ACT_EST_MAPPING=PRECISE</stp>
        <stp>FS=MRC</stp>
        <stp>CURRENCY=USD</stp>
        <stp>XLFILL=b</stp>
        <tr r="AR16" s="2"/>
      </tp>
      <tp t="s">
        <v/>
        <stp/>
        <stp>##V3_BQLV12</stp>
        <stp>[MODL_CRM_US1.xlsx]Single Period!R55C44</stp>
        <stp>CRM US Equity</stp>
        <stp>IS_ADJ_GROSS_PROFIT_AS_REPORTED/1M</stp>
        <stp>FPR=2022Y</stp>
        <stp>FPT=A</stp>
        <stp>FA_ACT_EST_DATA=E, EST_SOURCE=RWB</stp>
        <stp>ACT_EST_MAPPING=PRECISE</stp>
        <stp>FS=MRC</stp>
        <stp>CURRENCY=USD</stp>
        <stp>XLFILL=b</stp>
        <tr r="AR55" s="2"/>
      </tp>
      <tp>
        <v>6221.5710327355901</v>
        <stp/>
        <stp>##V3_BQLV12</stp>
        <stp>[MODL_CRM_US1.xlsx]Single Period!R188C9</stp>
        <stp>CRM US Equity</stp>
        <stp>CONTRIBUTOR_STATS(BS_CASH_NEAR_CASH_ITEM, MEDIAN)/1M</stp>
        <stp>FPR=2022Y</stp>
        <stp>FPT=A</stp>
        <stp>FA_ACT_EST_DATA=E</stp>
        <stp>ACT_EST_MAPPING=PRECISE</stp>
        <stp>FS=MRC</stp>
        <stp>CURRENCY=USD</stp>
        <stp>XLFILL=b</stp>
        <tr r="I188" s="2"/>
      </tp>
      <tp t="s">
        <v/>
        <stp/>
        <stp>##V3_BQLV12</stp>
        <stp>[MODL_CRM_US1.xlsx]Single Period!R25C28</stp>
        <stp>SEG0000269238 Segment</stp>
        <stp>IS_PERCENTAGE_OF_REVENUE</stp>
        <stp>FPR=2022Y</stp>
        <stp>FPT=A</stp>
        <stp>FA_ACT_EST_DATA=E, EST_SOURCE=CWN</stp>
        <stp>ACT_EST_MAPPING=PRECISE</stp>
        <stp>FS=MRC</stp>
        <stp>CURRENCY=USD</stp>
        <stp>XLFILL=b</stp>
        <tr r="AB25" s="2"/>
      </tp>
      <tp t="s">
        <v/>
        <stp/>
        <stp>##V3_BQLV12</stp>
        <stp>[MODL_CRM_US1.xlsx]Single Period!R81C35</stp>
        <stp>CRM US Equity</stp>
        <stp>IS_TOT_OPER_EXP/1M</stp>
        <stp>FPR=2022Y</stp>
        <stp>FPT=A</stp>
        <stp>FA_ACT_EST_DATA=E, EST_SOURCE=ATL</stp>
        <stp>ACT_EST_MAPPING=PRECISE</stp>
        <stp>FS=MRC</stp>
        <stp>CURRENCY=USD</stp>
        <stp>XLFILL=b</stp>
        <tr r="AI81" s="2"/>
      </tp>
      <tp t="s">
        <v/>
        <stp/>
        <stp>##V3_BQLV12</stp>
        <stp>[MODL_CRM_US1.xlsx]Single Period!R81C46</stp>
        <stp>CRM US Equity</stp>
        <stp>IS_TOT_OPER_EXP/1M</stp>
        <stp>FPR=2022Y</stp>
        <stp>FPT=A</stp>
        <stp>FA_ACT_EST_DATA=E, EST_SOURCE=CTI</stp>
        <stp>ACT_EST_MAPPING=PRECISE</stp>
        <stp>FS=MRC</stp>
        <stp>CURRENCY=USD</stp>
        <stp>XLFILL=b</stp>
        <tr r="AT81" s="2"/>
      </tp>
      <tp t="s">
        <v/>
        <stp/>
        <stp>##V3_BQLV12</stp>
        <stp>[MODL_CRM_US1.xlsx]Single Period!R8C23</stp>
        <stp>CRM US Equity</stp>
        <stp>REVENUE_GROWTH_CC_1_YR</stp>
        <stp>FPR=2022Y</stp>
        <stp>FPT=A</stp>
        <stp>FA_ACT_EST_DATA=E, EST_SOURCE=JPM</stp>
        <stp>ACT_EST_MAPPING=PRECISE</stp>
        <stp>FS=MRC</stp>
        <stp>CURRENCY=USD</stp>
        <stp>XLFILL=b</stp>
        <tr r="W8" s="2"/>
      </tp>
      <tp>
        <v>1235</v>
        <stp/>
        <stp>##V3_BQLV12</stp>
        <stp>[MODL_CRM_US1.xlsx]Single Period!R91C30</stp>
        <stp>CRM US Equity</stp>
        <stp>IS_COMP_NET_INCOME_GAAP/1M</stp>
        <stp>FPR=2022Y</stp>
        <stp>FPT=A</stp>
        <stp>FA_ACT_EST_DATA=E, EST_SOURCE=BAM</stp>
        <stp>ACT_EST_MAPPING=PRECISE</stp>
        <stp>FS=MRC</stp>
        <stp>CURRENCY=USD</stp>
        <stp>XLFILL=b</stp>
        <tr r="AD91" s="2"/>
      </tp>
      <tp>
        <v>78.610101705341833</v>
        <stp/>
        <stp>##V3_BQLV12</stp>
        <stp>[MODL_CRM_US1.xlsx]Single Period!R56C5</stp>
        <stp>CRM US Equity</stp>
        <stp>IS_COMP_GROSS_MARGIN_PERCENTAGE</stp>
        <stp>FPR=2022Y</stp>
        <stp>FPT=A</stp>
        <stp>FA_ACT_EST_DATA=E</stp>
        <stp>ACT_EST_MAPPING=PRECISE</stp>
        <stp>FS=MRC</stp>
        <stp>CURRENCY=USD</stp>
        <stp>XLFILL=b</stp>
        <tr r="E56" s="2"/>
      </tp>
      <tp>
        <v>78.610101705341833</v>
        <stp/>
        <stp>##V3_BQLV12</stp>
        <stp>[MODL_CRM_US1.xlsx]Single Period!R17C5</stp>
        <stp>CRM US Equity</stp>
        <stp>IS_COMP_GROSS_MARGIN_PERCENTAGE</stp>
        <stp>FPR=2022Y</stp>
        <stp>FPT=A</stp>
        <stp>FA_ACT_EST_DATA=E</stp>
        <stp>ACT_EST_MAPPING=PRECISE</stp>
        <stp>FS=MRC</stp>
        <stp>CURRENCY=USD</stp>
        <stp>XLFILL=b</stp>
        <tr r="E17" s="2"/>
      </tp>
      <tp>
        <v>1244</v>
        <stp/>
        <stp>##V3_BQLV12</stp>
        <stp>[MODL_CRM_US1.xlsx]Single Period!R91C18</stp>
        <stp>CRM US Equity</stp>
        <stp>IS_COMP_NET_INCOME_GAAP/1M</stp>
        <stp>FPR=2022Y</stp>
        <stp>FPT=A</stp>
        <stp>FA_ACT_EST_DATA=E, EST_SOURCE=CAN</stp>
        <stp>ACT_EST_MAPPING=PRECISE</stp>
        <stp>FS=MRC</stp>
        <stp>CURRENCY=USD</stp>
        <stp>XLFILL=b</stp>
        <tr r="R91" s="2"/>
      </tp>
      <tp t="s">
        <v/>
        <stp/>
        <stp>##V3_BQLV12</stp>
        <stp>[MODL_CRM_US1.xlsx]Single Period!R91C36</stp>
        <stp>CRM US Equity</stp>
        <stp>IS_COMP_NET_INCOME_GAAP/1M</stp>
        <stp>FPR=2022Y</stp>
        <stp>FPT=A</stp>
        <stp>FA_ACT_EST_DATA=E, EST_SOURCE=MAC</stp>
        <stp>ACT_EST_MAPPING=PRECISE</stp>
        <stp>FS=MRC</stp>
        <stp>CURRENCY=USD</stp>
        <stp>XLFILL=b</stp>
        <tr r="AJ91" s="2"/>
      </tp>
      <tp t="s">
        <v/>
        <stp/>
        <stp>##V3_BQLV12</stp>
        <stp>[MODL_CRM_US1.xlsx]Single Period!R161C40</stp>
        <stp>CRM US Equity</stp>
        <stp>CF_ACCT_RCV_UNBILLED_REV/1M</stp>
        <stp>FPR=2022Y</stp>
        <stp>FPT=A</stp>
        <stp>FA_ACT_EST_DATA=E, EST_SOURCE=ACC</stp>
        <stp>ACT_EST_MAPPING=PRECISE</stp>
        <stp>FS=MRC</stp>
        <stp>CURRENCY=USD</stp>
        <stp>XLFILL=b</stp>
        <tr r="AN161" s="2"/>
      </tp>
      <tp>
        <v>2522</v>
        <stp/>
        <stp>##V3_BQLV12</stp>
        <stp>[MODL_CRM_US1.xlsx]Single Period!R134C6</stp>
        <stp>CRM US Equity</stp>
        <stp>CONTRIBUTOR_STATS(BS_LT_OPERATING_LEASE_LIABS, MIN)/1M</stp>
        <stp>FPR=2022Y</stp>
        <stp>FPT=A</stp>
        <stp>FA_ACT_EST_DATA=E</stp>
        <stp>ACT_EST_MAPPING=PRECISE</stp>
        <stp>FS=MRC</stp>
        <stp>CURRENCY=USD</stp>
        <stp>XLFILL=b</stp>
        <tr r="F134" s="2"/>
      </tp>
      <tp>
        <v>2722</v>
        <stp/>
        <stp>##V3_BQLV12</stp>
        <stp>[MODL_CRM_US1.xlsx]Single Period!R134C7</stp>
        <stp>CRM US Equity</stp>
        <stp>CONTRIBUTOR_STATS(BS_LT_OPERATING_LEASE_LIABS, MAX)/1M</stp>
        <stp>FPR=2022Y</stp>
        <stp>FPT=A</stp>
        <stp>FA_ACT_EST_DATA=E</stp>
        <stp>ACT_EST_MAPPING=PRECISE</stp>
        <stp>FS=MRC</stp>
        <stp>CURRENCY=USD</stp>
        <stp>XLFILL=b</stp>
        <tr r="G134" s="2"/>
      </tp>
      <tp>
        <v>7474.6406934218248</v>
        <stp/>
        <stp>##V3_BQLV12</stp>
        <stp>[MODL_CRM_US1.xlsx]Single Period!R187C25</stp>
        <stp>CRM US Equity</stp>
        <stp>CF_NET_CHNG_CASH/1M</stp>
        <stp>FPR=2022Y</stp>
        <stp>FPT=A</stp>
        <stp>FA_ACT_EST_DATA=E, EST_SOURCE=WMS</stp>
        <stp>ACT_EST_MAPPING=PRECISE</stp>
        <stp>FS=MRC</stp>
        <stp>CURRENCY=USD</stp>
        <stp>XLFILL=b</stp>
        <tr r="Y187" s="2"/>
      </tp>
      <tp t="s">
        <v/>
        <stp/>
        <stp>##V3_BQLV12</stp>
        <stp>[MODL_CRM_US1.xlsx]Single Period!R187C14</stp>
        <stp>CRM US Equity</stp>
        <stp>CF_NET_CHNG_CASH/1M</stp>
        <stp>FPR=2022Y</stp>
        <stp>FPT=A</stp>
        <stp>FA_ACT_EST_DATA=E, EST_SOURCE=SNR</stp>
        <stp>ACT_EST_MAPPING=PRECISE</stp>
        <stp>FS=MRC</stp>
        <stp>CURRENCY=USD</stp>
        <stp>XLFILL=b</stp>
        <tr r="N187" s="2"/>
      </tp>
      <tp>
        <v>575.08037470200952</v>
        <stp/>
        <stp>##V3_BQLV12</stp>
        <stp>[MODL_CRM_US1.xlsx]Single Period!R128C8</stp>
        <stp>CRM US Equity</stp>
        <stp>CONTRIBUTOR_STATS(BS_CUR_LIAB, STD)/1M</stp>
        <stp>FPR=2022Y</stp>
        <stp>FPT=A</stp>
        <stp>FA_ACT_EST_DATA=E</stp>
        <stp>ACT_EST_MAPPING=PRECISE</stp>
        <stp>FS=MRC</stp>
        <stp>CURRENCY=USD</stp>
        <stp>XLFILL=b</stp>
        <tr r="H128" s="2"/>
      </tp>
      <tp t="s">
        <v/>
        <stp/>
        <stp>##V3_BQLV12</stp>
        <stp>[MODL_CRM_US1.xlsx]Single Period!R120C33</stp>
        <stp>CRM US Equity</stp>
        <stp>BS_LONG_TERM_INVESTMENTS/1M</stp>
        <stp>FPR=2022Y</stp>
        <stp>FPT=A</stp>
        <stp>FA_ACT_EST_DATA=E, EST_SOURCE=RHR</stp>
        <stp>ACT_EST_MAPPING=PRECISE</stp>
        <stp>FS=MRC</stp>
        <stp>CURRENCY=USD</stp>
        <stp>XLFILL=b</stp>
        <tr r="AG120" s="2"/>
      </tp>
      <tp t="s">
        <v/>
        <stp/>
        <stp>##V3_BQLV12</stp>
        <stp>[MODL_CRM_US1.xlsx]Single Period!R187C20</stp>
        <stp>CRM US Equity</stp>
        <stp>CF_NET_CHNG_CASH/1M</stp>
        <stp>FPR=2022Y</stp>
        <stp>FPT=A</stp>
        <stp>FA_ACT_EST_DATA=E, EST_SOURCE=JMP</stp>
        <stp>ACT_EST_MAPPING=PRECISE</stp>
        <stp>FS=MRC</stp>
        <stp>CURRENCY=USD</stp>
        <stp>XLFILL=b</stp>
        <tr r="T187" s="2"/>
      </tp>
      <tp t="s">
        <v/>
        <stp/>
        <stp>##V3_BQLV12</stp>
        <stp>[MODL_CRM_US1.xlsx]Single Period!R88C42</stp>
        <stp>CRM US Equity</stp>
        <stp>OPER_INC_TO_NET_SALES</stp>
        <stp>FPR=2022Y</stp>
        <stp>FPT=A</stp>
        <stp>FA_ACT_EST_DATA=E, EST_SOURCE=PSG</stp>
        <stp>ACT_EST_MAPPING=PRECISE</stp>
        <stp>FS=MRC</stp>
        <stp>CURRENCY=USD</stp>
        <stp>XLFILL=b</stp>
        <tr r="AP88" s="2"/>
      </tp>
      <tp t="s">
        <v/>
        <stp/>
        <stp>##V3_BQLV12</stp>
        <stp>[MODL_CRM_US1.xlsx]Single Period!R8C22</stp>
        <stp>CRM US Equity</stp>
        <stp>REVENUE_GROWTH_CC_1_YR</stp>
        <stp>FPR=2022Y</stp>
        <stp>FPT=A</stp>
        <stp>FA_ACT_EST_DATA=E, EST_SOURCE=OPY</stp>
        <stp>ACT_EST_MAPPING=PRECISE</stp>
        <stp>FS=MRC</stp>
        <stp>CURRENCY=USD</stp>
        <stp>XLFILL=b</stp>
        <tr r="V8" s="2"/>
      </tp>
      <tp>
        <v>22471.42724099481</v>
        <stp/>
        <stp>##V3_BQLV12</stp>
        <stp>[MODL_CRM_US1.xlsx]Single Period!R128C7</stp>
        <stp>CRM US Equity</stp>
        <stp>CONTRIBUTOR_STATS(BS_CUR_LIAB, MAX)/1M</stp>
        <stp>FPR=2022Y</stp>
        <stp>FPT=A</stp>
        <stp>FA_ACT_EST_DATA=E</stp>
        <stp>ACT_EST_MAPPING=PRECISE</stp>
        <stp>FS=MRC</stp>
        <stp>CURRENCY=USD</stp>
        <stp>XLFILL=b</stp>
        <tr r="G128" s="2"/>
      </tp>
      <tp>
        <v>20664.333977453131</v>
        <stp/>
        <stp>##V3_BQLV12</stp>
        <stp>[MODL_CRM_US1.xlsx]Single Period!R128C6</stp>
        <stp>CRM US Equity</stp>
        <stp>CONTRIBUTOR_STATS(BS_CUR_LIAB, MIN)/1M</stp>
        <stp>FPR=2022Y</stp>
        <stp>FPT=A</stp>
        <stp>FA_ACT_EST_DATA=E</stp>
        <stp>ACT_EST_MAPPING=PRECISE</stp>
        <stp>FS=MRC</stp>
        <stp>CURRENCY=USD</stp>
        <stp>XLFILL=b</stp>
        <tr r="F128" s="2"/>
      </tp>
      <tp>
        <v>70.710678118654755</v>
        <stp/>
        <stp>##V3_BQLV12</stp>
        <stp>[MODL_CRM_US1.xlsx]Single Period!R134C8</stp>
        <stp>CRM US Equity</stp>
        <stp>CONTRIBUTOR_STATS(BS_LT_OPERATING_LEASE_LIABS, STD)/1M</stp>
        <stp>FPR=2022Y</stp>
        <stp>FPT=A</stp>
        <stp>FA_ACT_EST_DATA=E</stp>
        <stp>ACT_EST_MAPPING=PRECISE</stp>
        <stp>FS=MRC</stp>
        <stp>CURRENCY=USD</stp>
        <stp>XLFILL=b</stp>
        <tr r="H134" s="2"/>
      </tp>
      <tp>
        <v>-1176.405856637866</v>
        <stp/>
        <stp>##V3_BQLV12</stp>
        <stp>[MODL_CRM_US1.xlsx]Single Period!R161C26</stp>
        <stp>CRM US Equity</stp>
        <stp>CF_ACCT_RCV_UNBILLED_REV/1M</stp>
        <stp>FPR=2022Y</stp>
        <stp>FPT=A</stp>
        <stp>FA_ACT_EST_DATA=E, EST_SOURCE=KEY</stp>
        <stp>ACT_EST_MAPPING=PRECISE</stp>
        <stp>FS=MRC</stp>
        <stp>CURRENCY=USD</stp>
        <stp>XLFILL=b</stp>
        <tr r="Z161" s="2"/>
      </tp>
      <tp t="s">
        <v/>
        <stp/>
        <stp>##V3_BQLV12</stp>
        <stp>[MODL_CRM_US1.xlsx]Single Period!R88C38</stp>
        <stp>CRM US Equity</stp>
        <stp>OPER_INC_TO_NET_SALES</stp>
        <stp>FPR=2022Y</stp>
        <stp>FPT=A</stp>
        <stp>FA_ACT_EST_DATA=E, EST_SOURCE=MSR</stp>
        <stp>ACT_EST_MAPPING=PRECISE</stp>
        <stp>FS=MRC</stp>
        <stp>CURRENCY=USD</stp>
        <stp>XLFILL=b</stp>
        <tr r="AL88" s="2"/>
      </tp>
      <tp t="s">
        <v/>
        <stp/>
        <stp>##V3_BQLV12</stp>
        <stp>[MODL_CRM_US1.xlsx]Single Period!R88C41</stp>
        <stp>CRM US Equity</stp>
        <stp>OPER_INC_TO_NET_SALES</stp>
        <stp>FPR=2022Y</stp>
        <stp>FPT=A</stp>
        <stp>FA_ACT_EST_DATA=E, EST_SOURCE=GSR</stp>
        <stp>ACT_EST_MAPPING=PRECISE</stp>
        <stp>FS=MRC</stp>
        <stp>CURRENCY=USD</stp>
        <stp>XLFILL=b</stp>
        <tr r="AO88" s="2"/>
      </tp>
      <tp>
        <v>1.606957969785981</v>
        <stp/>
        <stp>##V3_BQLV12</stp>
        <stp>[MODL_CRM_US1.xlsx]Single Period!R88C15</stp>
        <stp>CRM US Equity</stp>
        <stp>OPER_INC_TO_NET_SALES</stp>
        <stp>FPR=2022Y</stp>
        <stp>FPT=A</stp>
        <stp>FA_ACT_EST_DATA=E, EST_SOURCE=MSV</stp>
        <stp>ACT_EST_MAPPING=PRECISE</stp>
        <stp>FS=MRC</stp>
        <stp>CURRENCY=USD</stp>
        <stp>XLFILL=b</stp>
        <tr r="O88" s="2"/>
      </tp>
      <tp t="s">
        <v/>
        <stp/>
        <stp>##V3_BQLV12</stp>
        <stp>[MODL_CRM_US1.xlsx]Single Period!R60C52</stp>
        <stp>CRM US Equity</stp>
        <stp>IS_COMPARABLE_EBIT/1M</stp>
        <stp>FPR=2022Y</stp>
        <stp>FPT=A</stp>
        <stp>FA_ACT_EST_DATA=E, EST_SOURCE=WFR</stp>
        <stp>ACT_EST_MAPPING=PRECISE</stp>
        <stp>FS=MRC</stp>
        <stp>CURRENCY=USD</stp>
        <stp>XLFILL=b</stp>
        <tr r="AZ60" s="2"/>
      </tp>
      <tp t="s">
        <v/>
        <stp/>
        <stp>##V3_BQLV12</stp>
        <stp>[MODL_CRM_US1.xlsx]Single Period!R89C54</stp>
        <stp>CRM US Equity</stp>
        <stp>PRETAX_INC/1M</stp>
        <stp>FPR=2022Y</stp>
        <stp>FPT=A</stp>
        <stp>FA_ACT_EST_DATA=E, EST_SOURCE=ARE</stp>
        <stp>ACT_EST_MAPPING=PRECISE</stp>
        <stp>FS=MRC</stp>
        <stp>CURRENCY=USD</stp>
        <stp>XLFILL=b</stp>
        <tr r="BB89" s="2"/>
      </tp>
      <tp t="s">
        <v/>
        <stp/>
        <stp>##V3_BQLV12</stp>
        <stp>[MODL_CRM_US1.xlsx]Single Period!R77C33</stp>
        <stp>CRM US Equity</stp>
        <stp>IS_COGS_TO_FE_AND_PP_AND_G/1M</stp>
        <stp>FPR=2022Y</stp>
        <stp>FPT=A</stp>
        <stp>FA_ACT_EST_DATA=E, EST_SOURCE=RHR</stp>
        <stp>ACT_EST_MAPPING=PRECISE</stp>
        <stp>FS=MRC</stp>
        <stp>CURRENCY=USD</stp>
        <stp>XLFILL=b</stp>
        <tr r="AG77" s="2"/>
      </tp>
      <tp t="s">
        <v/>
        <stp/>
        <stp>##V3_BQLV12</stp>
        <stp>[MODL_CRM_US1.xlsx]Single Period!R89C45</stp>
        <stp>CRM US Equity</stp>
        <stp>PRETAX_INC/1M</stp>
        <stp>FPR=2022Y</stp>
        <stp>FPT=A</stp>
        <stp>FA_ACT_EST_DATA=E, EST_SOURCE=ARG</stp>
        <stp>ACT_EST_MAPPING=PRECISE</stp>
        <stp>FS=MRC</stp>
        <stp>CURRENCY=USD</stp>
        <stp>XLFILL=b</stp>
        <tr r="AS89" s="2"/>
      </tp>
      <tp t="s">
        <v/>
        <stp/>
        <stp>##V3_BQLV12</stp>
        <stp>[MODL_CRM_US1.xlsx]Single Period!R79C10</stp>
        <stp>CRM US Equity</stp>
        <stp>CB_IS_GROSS_PROFIT/1M</stp>
        <stp>FPR=2022Y</stp>
        <stp>FPT=A</stp>
        <stp>FA_ACT_EST_DATA=E, EST_SOURCE=CMPY</stp>
        <stp>ACT_EST_MAPPING=PRECISE</stp>
        <stp>FS=MRC</stp>
        <stp>CURRENCY=USD</stp>
        <stp>XLFILL=b</stp>
        <tr r="J79" s="2"/>
      </tp>
      <tp t="s">
        <v/>
        <stp/>
        <stp>##V3_BQLV12</stp>
        <stp>[MODL_CRM_US1.xlsx]Single Period!R60C47</stp>
        <stp>CRM US Equity</stp>
        <stp>IS_COMPARABLE_EBIT/1M</stp>
        <stp>FPR=2022Y</stp>
        <stp>FPT=A</stp>
        <stp>FA_ACT_EST_DATA=E, EST_SOURCE=WFT</stp>
        <stp>ACT_EST_MAPPING=PRECISE</stp>
        <stp>FS=MRC</stp>
        <stp>CURRENCY=USD</stp>
        <stp>XLFILL=b</stp>
        <tr r="AU60" s="2"/>
      </tp>
      <tp>
        <v>19533.947328483842</v>
        <stp/>
        <stp>##V3_BQLV12</stp>
        <stp>[MODL_CRM_US1.xlsx]Single Period!R79C15</stp>
        <stp>CRM US Equity</stp>
        <stp>CB_IS_GROSS_PROFIT/1M</stp>
        <stp>FPR=2022Y</stp>
        <stp>FPT=A</stp>
        <stp>FA_ACT_EST_DATA=E, EST_SOURCE=MSV</stp>
        <stp>ACT_EST_MAPPING=PRECISE</stp>
        <stp>FS=MRC</stp>
        <stp>CURRENCY=USD</stp>
        <stp>XLFILL=b</stp>
        <tr r="O79" s="2"/>
      </tp>
      <tp t="s">
        <v/>
        <stp/>
        <stp>##V3_BQLV12</stp>
        <stp>[MODL_CRM_US1.xlsx]Single Period!R79C41</stp>
        <stp>CRM US Equity</stp>
        <stp>CB_IS_GROSS_PROFIT/1M</stp>
        <stp>FPR=2022Y</stp>
        <stp>FPT=A</stp>
        <stp>FA_ACT_EST_DATA=E, EST_SOURCE=GSR</stp>
        <stp>ACT_EST_MAPPING=PRECISE</stp>
        <stp>FS=MRC</stp>
        <stp>CURRENCY=USD</stp>
        <stp>XLFILL=b</stp>
        <tr r="AO79" s="2"/>
      </tp>
      <tp t="s">
        <v/>
        <stp/>
        <stp>##V3_BQLV12</stp>
        <stp>[MODL_CRM_US1.xlsx]Single Period!R79C38</stp>
        <stp>CRM US Equity</stp>
        <stp>CB_IS_GROSS_PROFIT/1M</stp>
        <stp>FPR=2022Y</stp>
        <stp>FPT=A</stp>
        <stp>FA_ACT_EST_DATA=E, EST_SOURCE=MSR</stp>
        <stp>ACT_EST_MAPPING=PRECISE</stp>
        <stp>FS=MRC</stp>
        <stp>CURRENCY=USD</stp>
        <stp>XLFILL=b</stp>
        <tr r="AL79" s="2"/>
      </tp>
      <tp t="s">
        <v/>
        <stp/>
        <stp>##V3_BQLV12</stp>
        <stp>[MODL_CRM_US1.xlsx]Single Period!R79C42</stp>
        <stp>CRM US Equity</stp>
        <stp>CB_IS_GROSS_PROFIT/1M</stp>
        <stp>FPR=2022Y</stp>
        <stp>FPT=A</stp>
        <stp>FA_ACT_EST_DATA=E, EST_SOURCE=PSG</stp>
        <stp>ACT_EST_MAPPING=PRECISE</stp>
        <stp>FS=MRC</stp>
        <stp>CURRENCY=USD</stp>
        <stp>XLFILL=b</stp>
        <tr r="AP79" s="2"/>
      </tp>
      <tp>
        <v>4.67</v>
        <stp/>
        <stp>##V3_BQLV12</stp>
        <stp>[MODL_CRM_US1.xlsx]Single Period!R6C41</stp>
        <stp>CRM US Equity</stp>
        <stp>IS_COMP_EPS_EXCL_STOCK_COMP</stp>
        <stp>FPR=2022Y</stp>
        <stp>FPT=A</stp>
        <stp>FA_ACT_EST_DATA=E, EST_SOURCE=GSR</stp>
        <stp>ACT_EST_MAPPING=PRECISE</stp>
        <stp>FS=MRC</stp>
        <stp>CURRENCY=USD</stp>
        <stp>XLFILL=b</stp>
        <tr r="AO6" s="2"/>
      </tp>
      <tp>
        <v>21.570349680047869</v>
        <stp/>
        <stp>##V3_BQLV12</stp>
        <stp>[MODL_CRM_US1.xlsx]Single Period!R184C5</stp>
        <stp>CRM US Equity</stp>
        <stp>CFO_TO_SALES</stp>
        <stp>FPR=2022Y</stp>
        <stp>FPT=A</stp>
        <stp>FA_ACT_EST_DATA=E</stp>
        <stp>ACT_EST_MAPPING=PRECISE</stp>
        <stp>FS=MRC</stp>
        <stp>CURRENCY=USD</stp>
        <stp>XLFILL=b</stp>
        <tr r="E184" s="2"/>
      </tp>
      <tp t="s">
        <v/>
        <stp/>
        <stp>##V3_BQLV12</stp>
        <stp>[MODL_CRM_US1.xlsx]Single Period!R6C54</stp>
        <stp>CRM US Equity</stp>
        <stp>IS_COMP_EPS_EXCL_STOCK_COMP</stp>
        <stp>FPR=2022Y</stp>
        <stp>FPT=A</stp>
        <stp>FA_ACT_EST_DATA=E, EST_SOURCE=ARE</stp>
        <stp>ACT_EST_MAPPING=PRECISE</stp>
        <stp>FS=MRC</stp>
        <stp>CURRENCY=USD</stp>
        <stp>XLFILL=b</stp>
        <tr r="BB6" s="2"/>
      </tp>
      <tp>
        <v>4.8899999999999997</v>
        <stp/>
        <stp>##V3_BQLV12</stp>
        <stp>[MODL_CRM_US1.xlsx]Single Period!R6C42</stp>
        <stp>CRM US Equity</stp>
        <stp>IS_COMP_EPS_EXCL_STOCK_COMP</stp>
        <stp>FPR=2022Y</stp>
        <stp>FPT=A</stp>
        <stp>FA_ACT_EST_DATA=E, EST_SOURCE=PSG</stp>
        <stp>ACT_EST_MAPPING=PRECISE</stp>
        <stp>FS=MRC</stp>
        <stp>CURRENCY=USD</stp>
        <stp>XLFILL=b</stp>
        <tr r="AP6" s="2"/>
      </tp>
      <tp>
        <v>4.78</v>
        <stp/>
        <stp>##V3_BQLV12</stp>
        <stp>[MODL_CRM_US1.xlsx]Single Period!R6C35</stp>
        <stp>CRM US Equity</stp>
        <stp>IS_COMP_EPS_EXCL_STOCK_COMP</stp>
        <stp>FPR=2022Y</stp>
        <stp>FPT=A</stp>
        <stp>FA_ACT_EST_DATA=E, EST_SOURCE=ATL</stp>
        <stp>ACT_EST_MAPPING=PRECISE</stp>
        <stp>FS=MRC</stp>
        <stp>CURRENCY=USD</stp>
        <stp>XLFILL=b</stp>
        <tr r="AI6" s="2"/>
      </tp>
      <tp>
        <v>21413.200000000001</v>
        <stp/>
        <stp>##V3_BQLV12</stp>
        <stp>[MODL_CRM_US1.xlsx]Single Period!R150C6</stp>
        <stp>CRM US Equity</stp>
        <stp>CONTRIBUTOR_STATS(CURRENT_FUTURE_REV_UNDER_CONTRACT, MIN)/1M</stp>
        <stp>FPR=2022Y</stp>
        <stp>FPT=A</stp>
        <stp>FA_ACT_EST_DATA=E</stp>
        <stp>ACT_EST_MAPPING=PRECISE</stp>
        <stp>FS=MRC</stp>
        <stp>CURRENCY=USD</stp>
        <stp>XLFILL=b</stp>
        <tr r="F150" s="2"/>
      </tp>
      <tp t="s">
        <v/>
        <stp/>
        <stp>##V3_BQLV12</stp>
        <stp>[MODL_CRM_US1.xlsx]Single Period!R44C50</stp>
        <stp>SEG0000269240 Segment</stp>
        <stp>IS_PERCENTAGE_OF_REVENUE</stp>
        <stp>FPR=2022Y</stp>
        <stp>FPT=A</stp>
        <stp>FA_ACT_EST_DATA=E, EST_SOURCE=MZS</stp>
        <stp>ACT_EST_MAPPING=PRECISE</stp>
        <stp>FS=MRC</stp>
        <stp>CURRENCY=USD</stp>
        <stp>XLFILL=b</stp>
        <tr r="AX44" s="2"/>
      </tp>
      <tp>
        <v>9.8030007942272929E-2</v>
        <stp/>
        <stp>##V3_BQLV12</stp>
        <stp>[MODL_CRM_US1.xlsx]Single Period!R146C8</stp>
        <stp>CRM US Equity</stp>
        <stp>CONTRIBUTOR_STATS(CUR_RATIO, STD)</stp>
        <stp>FPR=2022Y</stp>
        <stp>FPT=A</stp>
        <stp>FA_ACT_EST_DATA=E</stp>
        <stp>ACT_EST_MAPPING=PRECISE</stp>
        <stp>FS=MRC</stp>
        <stp>CURRENCY=USD</stp>
        <stp>XLFILL=b</stp>
        <tr r="H146" s="2"/>
      </tp>
      <tp t="s">
        <v/>
        <stp/>
        <stp>##V3_BQLV12</stp>
        <stp>[MODL_CRM_US1.xlsx]Single Period!R49C50</stp>
        <stp>SEG0000269229 Segment</stp>
        <stp>IS_PERCENTAGE_OF_REVENUE</stp>
        <stp>FPR=2022Y</stp>
        <stp>FPT=A</stp>
        <stp>FA_ACT_EST_DATA=E, EST_SOURCE=MZS</stp>
        <stp>ACT_EST_MAPPING=PRECISE</stp>
        <stp>FS=MRC</stp>
        <stp>CURRENCY=USD</stp>
        <stp>XLFILL=b</stp>
        <tr r="AX49" s="2"/>
      </tp>
      <tp t="s">
        <v/>
        <stp/>
        <stp>##V3_BQLV12</stp>
        <stp>[MODL_CRM_US1.xlsx]Single Period!R16C35</stp>
        <stp>CRM US Equity</stp>
        <stp>IS_ADJ_GROSS_PROFIT_AS_REPORTED/1M</stp>
        <stp>FPR=2022Y</stp>
        <stp>FPT=A</stp>
        <stp>FA_ACT_EST_DATA=E, EST_SOURCE=ATL</stp>
        <stp>ACT_EST_MAPPING=PRECISE</stp>
        <stp>FS=MRC</stp>
        <stp>CURRENCY=USD</stp>
        <stp>XLFILL=b</stp>
        <tr r="AI16" s="2"/>
      </tp>
      <tp t="s">
        <v/>
        <stp/>
        <stp>##V3_BQLV12</stp>
        <stp>[MODL_CRM_US1.xlsx]Single Period!R55C35</stp>
        <stp>CRM US Equity</stp>
        <stp>IS_ADJ_GROSS_PROFIT_AS_REPORTED/1M</stp>
        <stp>FPR=2022Y</stp>
        <stp>FPT=A</stp>
        <stp>FA_ACT_EST_DATA=E, EST_SOURCE=ATL</stp>
        <stp>ACT_EST_MAPPING=PRECISE</stp>
        <stp>FS=MRC</stp>
        <stp>CURRENCY=USD</stp>
        <stp>XLFILL=b</stp>
        <tr r="AI55" s="2"/>
      </tp>
      <tp t="s">
        <v/>
        <stp/>
        <stp>##V3_BQLV12</stp>
        <stp>[MODL_CRM_US1.xlsx]Single Period!R16C46</stp>
        <stp>CRM US Equity</stp>
        <stp>IS_ADJ_GROSS_PROFIT_AS_REPORTED/1M</stp>
        <stp>FPR=2022Y</stp>
        <stp>FPT=A</stp>
        <stp>FA_ACT_EST_DATA=E, EST_SOURCE=CTI</stp>
        <stp>ACT_EST_MAPPING=PRECISE</stp>
        <stp>FS=MRC</stp>
        <stp>CURRENCY=USD</stp>
        <stp>XLFILL=b</stp>
        <tr r="AT16" s="2"/>
      </tp>
      <tp t="s">
        <v/>
        <stp/>
        <stp>##V3_BQLV12</stp>
        <stp>[MODL_CRM_US1.xlsx]Single Period!R55C46</stp>
        <stp>CRM US Equity</stp>
        <stp>IS_ADJ_GROSS_PROFIT_AS_REPORTED/1M</stp>
        <stp>FPR=2022Y</stp>
        <stp>FPT=A</stp>
        <stp>FA_ACT_EST_DATA=E, EST_SOURCE=CTI</stp>
        <stp>ACT_EST_MAPPING=PRECISE</stp>
        <stp>FS=MRC</stp>
        <stp>CURRENCY=USD</stp>
        <stp>XLFILL=b</stp>
        <tr r="AT55" s="2"/>
      </tp>
      <tp t="s">
        <v/>
        <stp/>
        <stp>##V3_BQLV12</stp>
        <stp>[MODL_CRM_US1.xlsx]Single Period!R81C43</stp>
        <stp>CRM US Equity</stp>
        <stp>IS_TOT_OPER_EXP/1M</stp>
        <stp>FPR=2022Y</stp>
        <stp>FPT=A</stp>
        <stp>FA_ACT_EST_DATA=E, EST_SOURCE=DWI</stp>
        <stp>ACT_EST_MAPPING=PRECISE</stp>
        <stp>FS=MRC</stp>
        <stp>CURRENCY=USD</stp>
        <stp>XLFILL=b</stp>
        <tr r="AQ81" s="2"/>
      </tp>
      <tp t="s">
        <v/>
        <stp/>
        <stp>##V3_BQLV12</stp>
        <stp>[MODL_CRM_US1.xlsx]Single Period!R81C28</stp>
        <stp>CRM US Equity</stp>
        <stp>IS_TOT_OPER_EXP/1M</stp>
        <stp>FPR=2022Y</stp>
        <stp>FPT=A</stp>
        <stp>FA_ACT_EST_DATA=E, EST_SOURCE=CWN</stp>
        <stp>ACT_EST_MAPPING=PRECISE</stp>
        <stp>FS=MRC</stp>
        <stp>CURRENCY=USD</stp>
        <stp>XLFILL=b</stp>
        <tr r="AB81" s="2"/>
      </tp>
      <tp t="s">
        <v/>
        <stp/>
        <stp>##V3_BQLV12</stp>
        <stp>[MODL_CRM_US1.xlsx]Single Period!R14C10</stp>
        <stp>CRM US Equity</stp>
        <stp>NON_CURRENT_FUTURE_REV_UNDER_CONTRACT/1M</stp>
        <stp>FPR=2022Y</stp>
        <stp>FPT=A</stp>
        <stp>FA_ACT_EST_DATA=E, EST_SOURCE=CMPY</stp>
        <stp>ACT_EST_MAPPING=PRECISE</stp>
        <stp>FS=MRC</stp>
        <stp>CURRENCY=USD</stp>
        <stp>XLFILL=b</stp>
        <tr r="J14" s="2"/>
      </tp>
      <tp>
        <v>1.551546351735541</v>
        <stp/>
        <stp>##V3_BQLV12</stp>
        <stp>[MODL_CRM_US1.xlsx]Single Period!R88C23</stp>
        <stp>CRM US Equity</stp>
        <stp>OPER_INC_TO_NET_SALES</stp>
        <stp>FPR=2022Y</stp>
        <stp>FPT=A</stp>
        <stp>FA_ACT_EST_DATA=E, EST_SOURCE=JPM</stp>
        <stp>ACT_EST_MAPPING=PRECISE</stp>
        <stp>FS=MRC</stp>
        <stp>CURRENCY=USD</stp>
        <stp>XLFILL=b</stp>
        <tr r="W88" s="2"/>
      </tp>
      <tp>
        <v>1235</v>
        <stp/>
        <stp>##V3_BQLV12</stp>
        <stp>[MODL_CRM_US1.xlsx]Single Period!R91C11</stp>
        <stp>CRM US Equity</stp>
        <stp>IS_COMP_NET_INCOME_GAAP/1M</stp>
        <stp>FPR=2022Y</stp>
        <stp>FPT=A</stp>
        <stp>FA_ACT_EST_DATA=E, EST_SOURCE=WBL</stp>
        <stp>ACT_EST_MAPPING=PRECISE</stp>
        <stp>FS=MRC</stp>
        <stp>CURRENCY=USD</stp>
        <stp>XLFILL=b</stp>
        <tr r="K91" s="2"/>
      </tp>
      <tp t="s">
        <v/>
        <stp/>
        <stp>##V3_BQLV12</stp>
        <stp>[MODL_CRM_US1.xlsx]Single Period!R187C29</stp>
        <stp>CRM US Equity</stp>
        <stp>CF_NET_CHNG_CASH/1M</stp>
        <stp>FPR=2022Y</stp>
        <stp>FPT=A</stp>
        <stp>FA_ACT_EST_DATA=E, EST_SOURCE=BNS</stp>
        <stp>ACT_EST_MAPPING=PRECISE</stp>
        <stp>FS=MRC</stp>
        <stp>CURRENCY=USD</stp>
        <stp>XLFILL=b</stp>
        <tr r="AC187" s="2"/>
      </tp>
      <tp t="s">
        <v/>
        <stp/>
        <stp>##V3_BQLV12</stp>
        <stp>[MODL_CRM_US1.xlsx]Single Period!R99C50</stp>
        <stp>CRM US Equity</stp>
        <stp>IS_SBC_NON_GAAP/1M</stp>
        <stp>FPR=2022Y</stp>
        <stp>FPT=A</stp>
        <stp>FA_ACT_EST_DATA=E, EST_SOURCE=MZS</stp>
        <stp>ACT_EST_MAPPING=PRECISE</stp>
        <stp>FS=MRC</stp>
        <stp>CURRENCY=USD</stp>
        <stp>XLFILL=b</stp>
        <tr r="AX99" s="2"/>
      </tp>
      <tp t="s">
        <v/>
        <stp/>
        <stp>##V3_BQLV12</stp>
        <stp>[MODL_CRM_US1.xlsx]Single Period!R91C31</stp>
        <stp>CRM US Equity</stp>
        <stp>IS_COMP_NET_INCOME_GAAP/1M</stp>
        <stp>FPR=2022Y</stp>
        <stp>FPT=A</stp>
        <stp>FA_ACT_EST_DATA=E, EST_SOURCE=RBC</stp>
        <stp>ACT_EST_MAPPING=PRECISE</stp>
        <stp>FS=MRC</stp>
        <stp>CURRENCY=USD</stp>
        <stp>XLFILL=b</stp>
        <tr r="AE91" s="2"/>
      </tp>
      <tp t="s">
        <v/>
        <stp/>
        <stp>##V3_BQLV12</stp>
        <stp>[MODL_CRM_US1.xlsx]Single Period!R8C42</stp>
        <stp>CRM US Equity</stp>
        <stp>REVENUE_GROWTH_CC_1_YR</stp>
        <stp>FPR=2022Y</stp>
        <stp>FPT=A</stp>
        <stp>FA_ACT_EST_DATA=E, EST_SOURCE=PSG</stp>
        <stp>ACT_EST_MAPPING=PRECISE</stp>
        <stp>FS=MRC</stp>
        <stp>CURRENCY=USD</stp>
        <stp>XLFILL=b</stp>
        <tr r="AP8" s="2"/>
      </tp>
      <tp t="s">
        <v/>
        <stp/>
        <stp>##V3_BQLV12</stp>
        <stp>[MODL_CRM_US1.xlsx]Single Period!R81C44</stp>
        <stp>CRM US Equity</stp>
        <stp>IS_TOT_OPER_EXP/1M</stp>
        <stp>FPR=2022Y</stp>
        <stp>FPT=A</stp>
        <stp>FA_ACT_EST_DATA=E, EST_SOURCE=RWB</stp>
        <stp>ACT_EST_MAPPING=PRECISE</stp>
        <stp>FS=MRC</stp>
        <stp>CURRENCY=USD</stp>
        <stp>XLFILL=b</stp>
        <tr r="AR81" s="2"/>
      </tp>
      <tp>
        <v>810</v>
        <stp/>
        <stp>##V3_BQLV12</stp>
        <stp>[MODL_CRM_US1.xlsx]Single Period!R91C24</stp>
        <stp>CRM US Equity</stp>
        <stp>IS_COMP_NET_INCOME_GAAP/1M</stp>
        <stp>FPR=2022Y</stp>
        <stp>FPT=A</stp>
        <stp>FA_ACT_EST_DATA=E, EST_SOURCE=FBC</stp>
        <stp>ACT_EST_MAPPING=PRECISE</stp>
        <stp>FS=MRC</stp>
        <stp>CURRENCY=USD</stp>
        <stp>XLFILL=b</stp>
        <tr r="X91" s="2"/>
      </tp>
      <tp t="s">
        <v/>
        <stp/>
        <stp>##V3_BQLV12</stp>
        <stp>[MODL_CRM_US1.xlsx]Single Period!R187C56</stp>
        <stp>CRM US Equity</stp>
        <stp>CF_NET_CHNG_CASH/1M</stp>
        <stp>FPR=2022Y</stp>
        <stp>FPT=A</stp>
        <stp>FA_ACT_EST_DATA=E, EST_SOURCE=DIR</stp>
        <stp>ACT_EST_MAPPING=PRECISE</stp>
        <stp>FS=MRC</stp>
        <stp>CURRENCY=USD</stp>
        <stp>XLFILL=b</stp>
        <tr r="BD187" s="2"/>
      </tp>
      <tp t="s">
        <v/>
        <stp/>
        <stp>##V3_BQLV12</stp>
        <stp>[MODL_CRM_US1.xlsx]Single Period!R161C39</stp>
        <stp>CRM US Equity</stp>
        <stp>CF_ACCT_RCV_UNBILLED_REV/1M</stp>
        <stp>FPR=2022Y</stp>
        <stp>FPT=A</stp>
        <stp>FA_ACT_EST_DATA=E, EST_SOURCE=KGI</stp>
        <stp>ACT_EST_MAPPING=PRECISE</stp>
        <stp>FS=MRC</stp>
        <stp>CURRENCY=USD</stp>
        <stp>XLFILL=b</stp>
        <tr r="AM161" s="2"/>
      </tp>
      <tp>
        <v>1244</v>
        <stp/>
        <stp>##V3_BQLV12</stp>
        <stp>[MODL_CRM_US1.xlsx]Single Period!R91C16</stp>
        <stp>CRM US Equity</stp>
        <stp>IS_COMP_NET_INCOME_GAAP/1M</stp>
        <stp>FPR=2022Y</stp>
        <stp>FPT=A</stp>
        <stp>FA_ACT_EST_DATA=E, EST_SOURCE=DBG</stp>
        <stp>ACT_EST_MAPPING=PRECISE</stp>
        <stp>FS=MRC</stp>
        <stp>CURRENCY=USD</stp>
        <stp>XLFILL=b</stp>
        <tr r="P91" s="2"/>
      </tp>
      <tp t="s">
        <v/>
        <stp/>
        <stp>##V3_BQLV12</stp>
        <stp>[MODL_CRM_US1.xlsx]Single Period!R187C12</stp>
        <stp>CRM US Equity</stp>
        <stp>CF_NET_CHNG_CASH/1M</stp>
        <stp>FPR=2022Y</stp>
        <stp>FPT=A</stp>
        <stp>FA_ACT_EST_DATA=E, EST_SOURCE=BMO</stp>
        <stp>ACT_EST_MAPPING=PRECISE</stp>
        <stp>FS=MRC</stp>
        <stp>CURRENCY=USD</stp>
        <stp>XLFILL=b</stp>
        <tr r="L187" s="2"/>
      </tp>
      <tp t="s">
        <v/>
        <stp/>
        <stp>##V3_BQLV12</stp>
        <stp>[MODL_CRM_US1.xlsx]Single Period!R88C22</stp>
        <stp>CRM US Equity</stp>
        <stp>OPER_INC_TO_NET_SALES</stp>
        <stp>FPR=2022Y</stp>
        <stp>FPT=A</stp>
        <stp>FA_ACT_EST_DATA=E, EST_SOURCE=OPY</stp>
        <stp>ACT_EST_MAPPING=PRECISE</stp>
        <stp>FS=MRC</stp>
        <stp>CURRENCY=USD</stp>
        <stp>XLFILL=b</stp>
        <tr r="V88" s="2"/>
      </tp>
      <tp t="s">
        <v/>
        <stp/>
        <stp>##V3_BQLV12</stp>
        <stp>[MODL_CRM_US1.xlsx]Single Period!R187C53</stp>
        <stp>CRM US Equity</stp>
        <stp>CF_NET_CHNG_CASH/1M</stp>
        <stp>FPR=2022Y</stp>
        <stp>FPT=A</stp>
        <stp>FA_ACT_EST_DATA=E, EST_SOURCE=NIK</stp>
        <stp>ACT_EST_MAPPING=PRECISE</stp>
        <stp>FS=MRC</stp>
        <stp>CURRENCY=USD</stp>
        <stp>XLFILL=b</stp>
        <tr r="BA187" s="2"/>
      </tp>
      <tp>
        <v>1048</v>
        <stp/>
        <stp>##V3_BQLV12</stp>
        <stp>[MODL_CRM_US1.xlsx]Single Period!R91C32</stp>
        <stp>CRM US Equity</stp>
        <stp>IS_COMP_NET_INCOME_GAAP/1M</stp>
        <stp>FPR=2022Y</stp>
        <stp>FPT=A</stp>
        <stp>FA_ACT_EST_DATA=E, EST_SOURCE=UBS</stp>
        <stp>ACT_EST_MAPPING=PRECISE</stp>
        <stp>FS=MRC</stp>
        <stp>CURRENCY=USD</stp>
        <stp>XLFILL=b</stp>
        <tr r="AF91" s="2"/>
      </tp>
      <tp t="s">
        <v/>
        <stp/>
        <stp>##V3_BQLV12</stp>
        <stp>[MODL_CRM_US1.xlsx]Single Period!R8C38</stp>
        <stp>CRM US Equity</stp>
        <stp>REVENUE_GROWTH_CC_1_YR</stp>
        <stp>FPR=2022Y</stp>
        <stp>FPT=A</stp>
        <stp>FA_ACT_EST_DATA=E, EST_SOURCE=MSR</stp>
        <stp>ACT_EST_MAPPING=PRECISE</stp>
        <stp>FS=MRC</stp>
        <stp>CURRENCY=USD</stp>
        <stp>XLFILL=b</stp>
        <tr r="AL8" s="2"/>
      </tp>
      <tp t="s">
        <v/>
        <stp/>
        <stp>##V3_BQLV12</stp>
        <stp>[MODL_CRM_US1.xlsx]Single Period!R8C41</stp>
        <stp>CRM US Equity</stp>
        <stp>REVENUE_GROWTH_CC_1_YR</stp>
        <stp>FPR=2022Y</stp>
        <stp>FPT=A</stp>
        <stp>FA_ACT_EST_DATA=E, EST_SOURCE=GSR</stp>
        <stp>ACT_EST_MAPPING=PRECISE</stp>
        <stp>FS=MRC</stp>
        <stp>CURRENCY=USD</stp>
        <stp>XLFILL=b</stp>
        <tr r="AO8" s="2"/>
      </tp>
      <tp t="s">
        <v/>
        <stp/>
        <stp>##V3_BQLV12</stp>
        <stp>[MODL_CRM_US1.xlsx]Single Period!R120C21</stp>
        <stp>CRM US Equity</stp>
        <stp>BS_LONG_TERM_INVESTMENTS/1M</stp>
        <stp>FPR=2022Y</stp>
        <stp>FPT=A</stp>
        <stp>FA_ACT_EST_DATA=E, EST_SOURCE=RJA</stp>
        <stp>ACT_EST_MAPPING=PRECISE</stp>
        <stp>FS=MRC</stp>
        <stp>CURRENCY=USD</stp>
        <stp>XLFILL=b</stp>
        <tr r="U120" s="2"/>
      </tp>
      <tp t="s">
        <v/>
        <stp/>
        <stp>##V3_BQLV12</stp>
        <stp>[MODL_CRM_US1.xlsx]Single Period!R8C15</stp>
        <stp>CRM US Equity</stp>
        <stp>REVENUE_GROWTH_CC_1_YR</stp>
        <stp>FPR=2022Y</stp>
        <stp>FPT=A</stp>
        <stp>FA_ACT_EST_DATA=E, EST_SOURCE=MSV</stp>
        <stp>ACT_EST_MAPPING=PRECISE</stp>
        <stp>FS=MRC</stp>
        <stp>CURRENCY=USD</stp>
        <stp>XLFILL=b</stp>
        <tr r="O8" s="2"/>
      </tp>
      <tp t="s">
        <v/>
        <stp/>
        <stp>##V3_BQLV12</stp>
        <stp>[MODL_CRM_US1.xlsx]Single Period!R79C22</stp>
        <stp>CRM US Equity</stp>
        <stp>CB_IS_GROSS_PROFIT/1M</stp>
        <stp>FPR=2022Y</stp>
        <stp>FPT=A</stp>
        <stp>FA_ACT_EST_DATA=E, EST_SOURCE=OPY</stp>
        <stp>ACT_EST_MAPPING=PRECISE</stp>
        <stp>FS=MRC</stp>
        <stp>CURRENCY=USD</stp>
        <stp>XLFILL=b</stp>
        <tr r="V79" s="2"/>
      </tp>
      <tp>
        <v>4882</v>
        <stp/>
        <stp>##V3_BQLV12</stp>
        <stp>[MODL_CRM_US1.xlsx]Single Period!R60C26</stp>
        <stp>CRM US Equity</stp>
        <stp>IS_COMPARABLE_EBIT/1M</stp>
        <stp>FPR=2022Y</stp>
        <stp>FPT=A</stp>
        <stp>FA_ACT_EST_DATA=E, EST_SOURCE=KEY</stp>
        <stp>ACT_EST_MAPPING=PRECISE</stp>
        <stp>FS=MRC</stp>
        <stp>CURRENCY=USD</stp>
        <stp>XLFILL=b</stp>
        <tr r="Z60" s="2"/>
      </tp>
      <tp>
        <v>8048.0769230769238</v>
        <stp/>
        <stp>##V3_BQLV12</stp>
        <stp>[MODL_CRM_US1.xlsx]Single Period!R64C5</stp>
        <stp>CRM US Equity</stp>
        <stp>IS_COMPARABLE_EBITDA/1M</stp>
        <stp>FPR=2022Y</stp>
        <stp>FPT=A</stp>
        <stp>FA_ACT_EST_DATA=E</stp>
        <stp>ACT_EST_MAPPING=PRECISE</stp>
        <stp>FS=MRC</stp>
        <stp>CURRENCY=USD</stp>
        <stp>XLFILL=b</stp>
        <tr r="E64" s="2"/>
      </tp>
      <tp t="s">
        <v/>
        <stp/>
        <stp>##V3_BQLV12</stp>
        <stp>[MODL_CRM_US1.xlsx]Single Period!R79C23</stp>
        <stp>CRM US Equity</stp>
        <stp>CB_IS_GROSS_PROFIT/1M</stp>
        <stp>FPR=2022Y</stp>
        <stp>FPT=A</stp>
        <stp>FA_ACT_EST_DATA=E, EST_SOURCE=JPM</stp>
        <stp>ACT_EST_MAPPING=PRECISE</stp>
        <stp>FS=MRC</stp>
        <stp>CURRENCY=USD</stp>
        <stp>XLFILL=b</stp>
        <tr r="W79" s="2"/>
      </tp>
      <tp>
        <v>4898</v>
        <stp/>
        <stp>##V3_BQLV12</stp>
        <stp>[MODL_CRM_US1.xlsx]Single Period!R60C34</stp>
        <stp>CRM US Equity</stp>
        <stp>IS_COMPARABLE_EBIT/1M</stp>
        <stp>FPR=2022Y</stp>
        <stp>FPT=A</stp>
        <stp>FA_ACT_EST_DATA=E, EST_SOURCE=JEF</stp>
        <stp>ACT_EST_MAPPING=PRECISE</stp>
        <stp>FS=MRC</stp>
        <stp>CURRENCY=USD</stp>
        <stp>XLFILL=b</stp>
        <tr r="AH60" s="2"/>
      </tp>
      <tp t="s">
        <v/>
        <stp/>
        <stp>##V3_BQLV12</stp>
        <stp>[MODL_CRM_US1.xlsx]Single Period!R60C55</stp>
        <stp>CRM US Equity</stp>
        <stp>IS_COMPARABLE_EBIT/1M</stp>
        <stp>FPR=2022Y</stp>
        <stp>FPT=A</stp>
        <stp>FA_ACT_EST_DATA=E, EST_SOURCE=RED</stp>
        <stp>ACT_EST_MAPPING=PRECISE</stp>
        <stp>FS=MRC</stp>
        <stp>CURRENCY=USD</stp>
        <stp>XLFILL=b</stp>
        <tr r="BC60" s="2"/>
      </tp>
      <tp>
        <v>541.26162342755993</v>
        <stp/>
        <stp>##V3_BQLV12</stp>
        <stp>[MODL_CRM_US1.xlsx]Single Period!R112C8</stp>
        <stp>CRM US Equity</stp>
        <stp>CONTRIBUTOR_STATS(BS_CASH_NEAR_CASH_ITEM, STD)/1M</stp>
        <stp>FPR=2022Y</stp>
        <stp>FPT=A</stp>
        <stp>FA_ACT_EST_DATA=E</stp>
        <stp>ACT_EST_MAPPING=PRECISE</stp>
        <stp>FS=MRC</stp>
        <stp>CURRENCY=USD</stp>
        <stp>XLFILL=b</stp>
        <tr r="H112" s="2"/>
      </tp>
      <tp>
        <v>6180.5049031750023</v>
        <stp/>
        <stp>##V3_BQLV12</stp>
        <stp>[MODL_CRM_US1.xlsx]Single Period!R112C6</stp>
        <stp>CRM US Equity</stp>
        <stp>CONTRIBUTOR_STATS(BS_CASH_NEAR_CASH_ITEM, MIN)/1M</stp>
        <stp>FPR=2022Y</stp>
        <stp>FPT=A</stp>
        <stp>FA_ACT_EST_DATA=E</stp>
        <stp>ACT_EST_MAPPING=PRECISE</stp>
        <stp>FS=MRC</stp>
        <stp>CURRENCY=USD</stp>
        <stp>XLFILL=b</stp>
        <tr r="F112" s="2"/>
      </tp>
      <tp>
        <v>7844.6291499999998</v>
        <stp/>
        <stp>##V3_BQLV12</stp>
        <stp>[MODL_CRM_US1.xlsx]Single Period!R112C7</stp>
        <stp>CRM US Equity</stp>
        <stp>CONTRIBUTOR_STATS(BS_CASH_NEAR_CASH_ITEM, MAX)/1M</stp>
        <stp>FPR=2022Y</stp>
        <stp>FPT=A</stp>
        <stp>FA_ACT_EST_DATA=E</stp>
        <stp>ACT_EST_MAPPING=PRECISE</stp>
        <stp>FS=MRC</stp>
        <stp>CURRENCY=USD</stp>
        <stp>XLFILL=b</stp>
        <tr r="G112" s="2"/>
      </tp>
      <tp>
        <v>4931.5977750996881</v>
        <stp/>
        <stp>##V3_BQLV12</stp>
        <stp>[MODL_CRM_US1.xlsx]Single Period!R191C9</stp>
        <stp>CRM US Equity</stp>
        <stp>CONTRIBUTOR_STATS(CF_FREE_CASH_FLOW, MEDIAN)/1M</stp>
        <stp>FPR=2022Y</stp>
        <stp>FPT=A</stp>
        <stp>FA_ACT_EST_DATA=E</stp>
        <stp>ACT_EST_MAPPING=PRECISE</stp>
        <stp>FS=MRC</stp>
        <stp>CURRENCY=USD</stp>
        <stp>XLFILL=b</stp>
        <tr r="I191" s="2"/>
      </tp>
      <tp t="s">
        <v/>
        <stp/>
        <stp>##V3_BQLV12</stp>
        <stp>[MODL_CRM_US1.xlsx]Single Period!R44C38</stp>
        <stp>SEG0000269240 Segment</stp>
        <stp>IS_PERCENTAGE_OF_REVENUE</stp>
        <stp>FPR=2022Y</stp>
        <stp>FPT=A</stp>
        <stp>FA_ACT_EST_DATA=E, EST_SOURCE=MSR</stp>
        <stp>ACT_EST_MAPPING=PRECISE</stp>
        <stp>FS=MRC</stp>
        <stp>CURRENCY=USD</stp>
        <stp>XLFILL=b</stp>
        <tr r="AL44" s="2"/>
      </tp>
      <tp>
        <v>4382</v>
        <stp/>
        <stp>##V3_BQLV12</stp>
        <stp>[MODL_CRM_US1.xlsx]Single Period!R70C35</stp>
        <stp>CRM US Equity</stp>
        <stp>IS_COMP_NET_INC_EXCL_STOCK_COMP/1M</stp>
        <stp>FPR=2022Y</stp>
        <stp>FPT=A</stp>
        <stp>FA_ACT_EST_DATA=E, EST_SOURCE=ATL</stp>
        <stp>ACT_EST_MAPPING=PRECISE</stp>
        <stp>FS=MRC</stp>
        <stp>CURRENCY=USD</stp>
        <stp>XLFILL=b</stp>
        <tr r="AI70" s="2"/>
      </tp>
      <tp t="s">
        <v/>
        <stp/>
        <stp>##V3_BQLV12</stp>
        <stp>[MODL_CRM_US1.xlsx]Single Period!R70C46</stp>
        <stp>CRM US Equity</stp>
        <stp>IS_COMP_NET_INC_EXCL_STOCK_COMP/1M</stp>
        <stp>FPR=2022Y</stp>
        <stp>FPT=A</stp>
        <stp>FA_ACT_EST_DATA=E, EST_SOURCE=CTI</stp>
        <stp>ACT_EST_MAPPING=PRECISE</stp>
        <stp>FS=MRC</stp>
        <stp>CURRENCY=USD</stp>
        <stp>XLFILL=b</stp>
        <tr r="AT70" s="2"/>
      </tp>
      <tp t="s">
        <v/>
        <stp/>
        <stp>##V3_BQLV12</stp>
        <stp>[MODL_CRM_US1.xlsx]Single Period!R49C38</stp>
        <stp>SEG0000269229 Segment</stp>
        <stp>IS_PERCENTAGE_OF_REVENUE</stp>
        <stp>FPR=2022Y</stp>
        <stp>FPT=A</stp>
        <stp>FA_ACT_EST_DATA=E, EST_SOURCE=MSR</stp>
        <stp>ACT_EST_MAPPING=PRECISE</stp>
        <stp>FS=MRC</stp>
        <stp>CURRENCY=USD</stp>
        <stp>XLFILL=b</stp>
        <tr r="AL49" s="2"/>
      </tp>
      <tp>
        <v>380.88031073891625</v>
        <stp/>
        <stp>##V3_BQLV12</stp>
        <stp>[MODL_CRM_US1.xlsx]Single Period!R100C9</stp>
        <stp>CRM US Equity</stp>
        <stp>CONTRIBUTOR_STATS(IS_SBC_ATTRIB_TO_COGS_PRETX, MEDIAN)/1M</stp>
        <stp>FPR=2022Y</stp>
        <stp>FPT=A</stp>
        <stp>FA_ACT_EST_DATA=E</stp>
        <stp>ACT_EST_MAPPING=PRECISE</stp>
        <stp>FS=MRC</stp>
        <stp>CURRENCY=USD</stp>
        <stp>XLFILL=b</stp>
        <tr r="I100" s="2"/>
      </tp>
      <tp>
        <v>1140.400329860342</v>
        <stp/>
        <stp>##V3_BQLV12</stp>
        <stp>[MODL_CRM_US1.xlsx]Single Period!R102C5</stp>
        <stp>CRM US Equity</stp>
        <stp>IS_SBC_ATT_TO_S_AND_M_PRETX/1M</stp>
        <stp>FPR=2022Y</stp>
        <stp>FPT=A</stp>
        <stp>FA_ACT_EST_DATA=E</stp>
        <stp>ACT_EST_MAPPING=PRECISE</stp>
        <stp>FS=MRC</stp>
        <stp>CURRENCY=USD</stp>
        <stp>XLFILL=b</stp>
        <tr r="E102" s="2"/>
      </tp>
      <tp>
        <v>-1484.2850000000001</v>
        <stp/>
        <stp>##V3_BQLV12</stp>
        <stp>[MODL_CRM_US1.xlsx]Single Period!R161C17</stp>
        <stp>CRM US Equity</stp>
        <stp>CF_ACCT_RCV_UNBILLED_REV/1M</stp>
        <stp>FPR=2022Y</stp>
        <stp>FPT=A</stp>
        <stp>FA_ACT_EST_DATA=E, EST_SOURCE=NDH</stp>
        <stp>ACT_EST_MAPPING=PRECISE</stp>
        <stp>FS=MRC</stp>
        <stp>CURRENCY=USD</stp>
        <stp>XLFILL=b</stp>
        <tr r="Q161" s="2"/>
      </tp>
      <tp>
        <v>1246</v>
        <stp/>
        <stp>##V3_BQLV12</stp>
        <stp>[MODL_CRM_US1.xlsx]Single Period!R91C27</stp>
        <stp>CRM US Equity</stp>
        <stp>IS_COMP_NET_INCOME_GAAP/1M</stp>
        <stp>FPR=2022Y</stp>
        <stp>FPT=A</stp>
        <stp>FA_ACT_EST_DATA=E, EST_SOURCE=LCM</stp>
        <stp>ACT_EST_MAPPING=PRECISE</stp>
        <stp>FS=MRC</stp>
        <stp>CURRENCY=USD</stp>
        <stp>XLFILL=b</stp>
        <tr r="AA91" s="2"/>
      </tp>
      <tp>
        <v>1242</v>
        <stp/>
        <stp>##V3_BQLV12</stp>
        <stp>[MODL_CRM_US1.xlsx]Single Period!R91C13</stp>
        <stp>CRM US Equity</stp>
        <stp>IS_COMP_NET_INCOME_GAAP/1M</stp>
        <stp>FPR=2022Y</stp>
        <stp>FPT=A</stp>
        <stp>FA_ACT_EST_DATA=E, EST_SOURCE=BCA</stp>
        <stp>ACT_EST_MAPPING=PRECISE</stp>
        <stp>FS=MRC</stp>
        <stp>CURRENCY=USD</stp>
        <stp>XLFILL=b</stp>
        <tr r="M91" s="2"/>
      </tp>
      <tp>
        <v>30616.198705790281</v>
        <stp/>
        <stp>##V3_BQLV12</stp>
        <stp>[MODL_CRM_US1.xlsx]Single Period!R110C7</stp>
        <stp>CRM US Equity</stp>
        <stp>CONTRIBUTOR_STATS(BS_CUR_ASSET_REPORT, MAX)/1M</stp>
        <stp>FPR=2022Y</stp>
        <stp>FPT=A</stp>
        <stp>FA_ACT_EST_DATA=E</stp>
        <stp>ACT_EST_MAPPING=PRECISE</stp>
        <stp>FS=MRC</stp>
        <stp>CURRENCY=USD</stp>
        <stp>XLFILL=b</stp>
        <tr r="G110" s="2"/>
      </tp>
      <tp>
        <v>19862.929349366728</v>
        <stp/>
        <stp>##V3_BQLV12</stp>
        <stp>[MODL_CRM_US1.xlsx]Single Period!R110C6</stp>
        <stp>CRM US Equity</stp>
        <stp>CONTRIBUTOR_STATS(BS_CUR_ASSET_REPORT, MIN)/1M</stp>
        <stp>FPR=2022Y</stp>
        <stp>FPT=A</stp>
        <stp>FA_ACT_EST_DATA=E</stp>
        <stp>ACT_EST_MAPPING=PRECISE</stp>
        <stp>FS=MRC</stp>
        <stp>CURRENCY=USD</stp>
        <stp>XLFILL=b</stp>
        <tr r="F110" s="2"/>
      </tp>
      <tp t="s">
        <v/>
        <stp/>
        <stp>##V3_BQLV12</stp>
        <stp>[MODL_CRM_US1.xlsx]Single Period!R8C45</stp>
        <stp>CRM US Equity</stp>
        <stp>REVENUE_GROWTH_CC_1_YR</stp>
        <stp>FPR=2022Y</stp>
        <stp>FPT=A</stp>
        <stp>FA_ACT_EST_DATA=E, EST_SOURCE=ARG</stp>
        <stp>ACT_EST_MAPPING=PRECISE</stp>
        <stp>FS=MRC</stp>
        <stp>CURRENCY=USD</stp>
        <stp>XLFILL=b</stp>
        <tr r="AS8" s="2"/>
      </tp>
      <tp t="s">
        <v/>
        <stp/>
        <stp>##V3_BQLV12</stp>
        <stp>[MODL_CRM_US1.xlsx]Single Period!R8C54</stp>
        <stp>CRM US Equity</stp>
        <stp>REVENUE_GROWTH_CC_1_YR</stp>
        <stp>FPR=2022Y</stp>
        <stp>FPT=A</stp>
        <stp>FA_ACT_EST_DATA=E, EST_SOURCE=ARE</stp>
        <stp>ACT_EST_MAPPING=PRECISE</stp>
        <stp>FS=MRC</stp>
        <stp>CURRENCY=USD</stp>
        <stp>XLFILL=b</stp>
        <tr r="BB8" s="2"/>
      </tp>
      <tp>
        <v>1249</v>
        <stp/>
        <stp>##V3_BQLV12</stp>
        <stp>[MODL_CRM_US1.xlsx]Single Period!R91C19</stp>
        <stp>CRM US Equity</stp>
        <stp>IS_COMP_NET_INCOME_GAAP/1M</stp>
        <stp>FPR=2022Y</stp>
        <stp>FPT=A</stp>
        <stp>FA_ACT_EST_DATA=E, EST_SOURCE=SCB</stp>
        <stp>ACT_EST_MAPPING=PRECISE</stp>
        <stp>FS=MRC</stp>
        <stp>CURRENCY=USD</stp>
        <stp>XLFILL=b</stp>
        <tr r="S91" s="2"/>
      </tp>
      <tp>
        <v>1240</v>
        <stp/>
        <stp>##V3_BQLV12</stp>
        <stp>[MODL_CRM_US1.xlsx]Single Period!R91C40</stp>
        <stp>CRM US Equity</stp>
        <stp>IS_COMP_NET_INCOME_GAAP/1M</stp>
        <stp>FPR=2022Y</stp>
        <stp>FPT=A</stp>
        <stp>FA_ACT_EST_DATA=E, EST_SOURCE=ACC</stp>
        <stp>ACT_EST_MAPPING=PRECISE</stp>
        <stp>FS=MRC</stp>
        <stp>CURRENCY=USD</stp>
        <stp>XLFILL=b</stp>
        <tr r="AN91" s="2"/>
      </tp>
      <tp>
        <v>16.88056118388408</v>
        <stp/>
        <stp>##V3_BQLV12</stp>
        <stp>[MODL_CRM_US1.xlsx]Single Period!R100C8</stp>
        <stp>CRM US Equity</stp>
        <stp>CONTRIBUTOR_STATS(IS_SBC_ATTRIB_TO_COGS_PRETX, STD)/1M</stp>
        <stp>FPR=2022Y</stp>
        <stp>FPT=A</stp>
        <stp>FA_ACT_EST_DATA=E</stp>
        <stp>ACT_EST_MAPPING=PRECISE</stp>
        <stp>FS=MRC</stp>
        <stp>CURRENCY=USD</stp>
        <stp>XLFILL=b</stp>
        <tr r="H100" s="2"/>
      </tp>
      <tp>
        <v>415</v>
        <stp/>
        <stp>##V3_BQLV12</stp>
        <stp>[MODL_CRM_US1.xlsx]Single Period!R100C7</stp>
        <stp>CRM US Equity</stp>
        <stp>CONTRIBUTOR_STATS(IS_SBC_ATTRIB_TO_COGS_PRETX, MAX)/1M</stp>
        <stp>FPR=2022Y</stp>
        <stp>FPT=A</stp>
        <stp>FA_ACT_EST_DATA=E</stp>
        <stp>ACT_EST_MAPPING=PRECISE</stp>
        <stp>FS=MRC</stp>
        <stp>CURRENCY=USD</stp>
        <stp>XLFILL=b</stp>
        <tr r="G100" s="2"/>
      </tp>
      <tp>
        <v>355.15199999999999</v>
        <stp/>
        <stp>##V3_BQLV12</stp>
        <stp>[MODL_CRM_US1.xlsx]Single Period!R100C6</stp>
        <stp>CRM US Equity</stp>
        <stp>CONTRIBUTOR_STATS(IS_SBC_ATTRIB_TO_COGS_PRETX, MIN)/1M</stp>
        <stp>FPR=2022Y</stp>
        <stp>FPT=A</stp>
        <stp>FA_ACT_EST_DATA=E</stp>
        <stp>ACT_EST_MAPPING=PRECISE</stp>
        <stp>FS=MRC</stp>
        <stp>CURRENCY=USD</stp>
        <stp>XLFILL=b</stp>
        <tr r="F100" s="2"/>
      </tp>
      <tp>
        <v>2467.7017018614451</v>
        <stp/>
        <stp>##V3_BQLV12</stp>
        <stp>[MODL_CRM_US1.xlsx]Single Period!R110C8</stp>
        <stp>CRM US Equity</stp>
        <stp>CONTRIBUTOR_STATS(BS_CUR_ASSET_REPORT, STD)/1M</stp>
        <stp>FPR=2022Y</stp>
        <stp>FPT=A</stp>
        <stp>FA_ACT_EST_DATA=E</stp>
        <stp>ACT_EST_MAPPING=PRECISE</stp>
        <stp>FS=MRC</stp>
        <stp>CURRENCY=USD</stp>
        <stp>XLFILL=b</stp>
        <tr r="H110" s="2"/>
      </tp>
      <tp t="s">
        <v/>
        <stp/>
        <stp>##V3_BQLV12</stp>
        <stp>[MODL_CRM_US1.xlsx]Single Period!R91C51</stp>
        <stp>CRM US Equity</stp>
        <stp>IS_COMP_NET_INCOME_GAAP/1M</stp>
        <stp>FPR=2022Y</stp>
        <stp>FPT=A</stp>
        <stp>FA_ACT_EST_DATA=E, EST_SOURCE=RCP</stp>
        <stp>ACT_EST_MAPPING=PRECISE</stp>
        <stp>FS=MRC</stp>
        <stp>CURRENCY=USD</stp>
        <stp>XLFILL=b</stp>
        <tr r="AY91" s="2"/>
      </tp>
      <tp t="s">
        <v/>
        <stp/>
        <stp>##V3_BQLV12</stp>
        <stp>[MODL_CRM_US1.xlsx]Single Period!R81C37</stp>
        <stp>CRM US Equity</stp>
        <stp>IS_TOT_OPER_EXP/1M</stp>
        <stp>FPR=2022Y</stp>
        <stp>FPT=A</stp>
        <stp>FA_ACT_EST_DATA=E, EST_SOURCE=EVR</stp>
        <stp>ACT_EST_MAPPING=PRECISE</stp>
        <stp>FS=MRC</stp>
        <stp>CURRENCY=USD</stp>
        <stp>XLFILL=b</stp>
        <tr r="AK81" s="2"/>
      </tp>
      <tp>
        <v>4876</v>
        <stp/>
        <stp>##V3_BQLV12</stp>
        <stp>[MODL_CRM_US1.xlsx]Single Period!R19C25</stp>
        <stp>CRM US Equity</stp>
        <stp>IS_COMPARABLE_EBIT/1M</stp>
        <stp>FPR=2022Y</stp>
        <stp>FPT=A</stp>
        <stp>FA_ACT_EST_DATA=E, EST_SOURCE=WMS</stp>
        <stp>ACT_EST_MAPPING=PRECISE</stp>
        <stp>FS=MRC</stp>
        <stp>CURRENCY=USD</stp>
        <stp>XLFILL=b</stp>
        <tr r="Y19" s="2"/>
      </tp>
      <tp>
        <v>484</v>
        <stp/>
        <stp>##V3_BQLV12</stp>
        <stp>[MODL_CRM_US1.xlsx]Single Period!R19C20</stp>
        <stp>CRM US Equity</stp>
        <stp>IS_COMPARABLE_EBIT/1M</stp>
        <stp>FPR=2022Y</stp>
        <stp>FPT=A</stp>
        <stp>FA_ACT_EST_DATA=E, EST_SOURCE=JMP</stp>
        <stp>ACT_EST_MAPPING=PRECISE</stp>
        <stp>FS=MRC</stp>
        <stp>CURRENCY=USD</stp>
        <stp>XLFILL=b</stp>
        <tr r="T19" s="2"/>
      </tp>
      <tp>
        <v>1348.9890219316781</v>
        <stp/>
        <stp>##V3_BQLV12</stp>
        <stp>[MODL_CRM_US1.xlsx]Single Period!R89C23</stp>
        <stp>CRM US Equity</stp>
        <stp>PRETAX_INC/1M</stp>
        <stp>FPR=2022Y</stp>
        <stp>FPT=A</stp>
        <stp>FA_ACT_EST_DATA=E, EST_SOURCE=JPM</stp>
        <stp>ACT_EST_MAPPING=PRECISE</stp>
        <stp>FS=MRC</stp>
        <stp>CURRENCY=USD</stp>
        <stp>XLFILL=b</stp>
        <tr r="W89" s="2"/>
      </tp>
      <tp t="s">
        <v/>
        <stp/>
        <stp>##V3_BQLV12</stp>
        <stp>[MODL_CRM_US1.xlsx]Single Period!R77C48</stp>
        <stp>CRM US Equity</stp>
        <stp>IS_COGS_TO_FE_AND_PP_AND_G/1M</stp>
        <stp>FPR=2022Y</stp>
        <stp>FPT=A</stp>
        <stp>FA_ACT_EST_DATA=E, EST_SOURCE=PJE</stp>
        <stp>ACT_EST_MAPPING=PRECISE</stp>
        <stp>FS=MRC</stp>
        <stp>CURRENCY=USD</stp>
        <stp>XLFILL=b</stp>
        <tr r="AV77" s="2"/>
      </tp>
      <tp t="s">
        <v/>
        <stp/>
        <stp>##V3_BQLV12</stp>
        <stp>[MODL_CRM_US1.xlsx]Single Period!R77C21</stp>
        <stp>CRM US Equity</stp>
        <stp>IS_COGS_TO_FE_AND_PP_AND_G/1M</stp>
        <stp>FPR=2022Y</stp>
        <stp>FPT=A</stp>
        <stp>FA_ACT_EST_DATA=E, EST_SOURCE=RJA</stp>
        <stp>ACT_EST_MAPPING=PRECISE</stp>
        <stp>FS=MRC</stp>
        <stp>CURRENCY=USD</stp>
        <stp>XLFILL=b</stp>
        <tr r="U77" s="2"/>
      </tp>
      <tp t="s">
        <v/>
        <stp/>
        <stp>##V3_BQLV12</stp>
        <stp>[MODL_CRM_US1.xlsx]Single Period!R89C22</stp>
        <stp>CRM US Equity</stp>
        <stp>PRETAX_INC/1M</stp>
        <stp>FPR=2022Y</stp>
        <stp>FPT=A</stp>
        <stp>FA_ACT_EST_DATA=E, EST_SOURCE=OPY</stp>
        <stp>ACT_EST_MAPPING=PRECISE</stp>
        <stp>FS=MRC</stp>
        <stp>CURRENCY=USD</stp>
        <stp>XLFILL=b</stp>
        <tr r="V89" s="2"/>
      </tp>
      <tp>
        <v>4922</v>
        <stp/>
        <stp>##V3_BQLV12</stp>
        <stp>[MODL_CRM_US1.xlsx]Single Period!R60C17</stp>
        <stp>CRM US Equity</stp>
        <stp>IS_COMPARABLE_EBIT/1M</stp>
        <stp>FPR=2022Y</stp>
        <stp>FPT=A</stp>
        <stp>FA_ACT_EST_DATA=E, EST_SOURCE=NDH</stp>
        <stp>ACT_EST_MAPPING=PRECISE</stp>
        <stp>FS=MRC</stp>
        <stp>CURRENCY=USD</stp>
        <stp>XLFILL=b</stp>
        <tr r="Q60" s="2"/>
      </tp>
      <tp>
        <v>4904</v>
        <stp/>
        <stp>##V3_BQLV12</stp>
        <stp>[MODL_CRM_US1.xlsx]Single Period!R19C12</stp>
        <stp>CRM US Equity</stp>
        <stp>IS_COMPARABLE_EBIT/1M</stp>
        <stp>FPR=2022Y</stp>
        <stp>FPT=A</stp>
        <stp>FA_ACT_EST_DATA=E, EST_SOURCE=BMO</stp>
        <stp>ACT_EST_MAPPING=PRECISE</stp>
        <stp>FS=MRC</stp>
        <stp>CURRENCY=USD</stp>
        <stp>XLFILL=b</stp>
        <tr r="L19" s="2"/>
      </tp>
      <tp>
        <v>736.94036000000006</v>
        <stp/>
        <stp>##V3_BQLV12</stp>
        <stp>[MODL_CRM_US1.xlsx]Single Period!R106C7</stp>
        <stp>CRM US Equity</stp>
        <stp>CONTRIBUTOR_STATS(IS_AMORT_ACQD_INTANG_S_AND_M, MAX)/1M</stp>
        <stp>FPR=2022Y</stp>
        <stp>FPT=A</stp>
        <stp>FA_ACT_EST_DATA=E</stp>
        <stp>ACT_EST_MAPPING=PRECISE</stp>
        <stp>FS=MRC</stp>
        <stp>CURRENCY=USD</stp>
        <stp>XLFILL=b</stp>
        <tr r="G106" s="2"/>
      </tp>
      <tp>
        <v>704.78</v>
        <stp/>
        <stp>##V3_BQLV12</stp>
        <stp>[MODL_CRM_US1.xlsx]Single Period!R106C6</stp>
        <stp>CRM US Equity</stp>
        <stp>CONTRIBUTOR_STATS(IS_AMORT_ACQD_INTANG_S_AND_M, MIN)/1M</stp>
        <stp>FPR=2022Y</stp>
        <stp>FPT=A</stp>
        <stp>FA_ACT_EST_DATA=E</stp>
        <stp>ACT_EST_MAPPING=PRECISE</stp>
        <stp>FS=MRC</stp>
        <stp>CURRENCY=USD</stp>
        <stp>XLFILL=b</stp>
        <tr r="F106" s="2"/>
      </tp>
      <tp>
        <v>4.67</v>
        <stp/>
        <stp>##V3_BQLV12</stp>
        <stp>[MODL_CRM_US1.xlsx]Single Period!R6C37</stp>
        <stp>CRM US Equity</stp>
        <stp>IS_COMP_EPS_EXCL_STOCK_COMP</stp>
        <stp>FPR=2022Y</stp>
        <stp>FPT=A</stp>
        <stp>FA_ACT_EST_DATA=E, EST_SOURCE=EVR</stp>
        <stp>ACT_EST_MAPPING=PRECISE</stp>
        <stp>FS=MRC</stp>
        <stp>CURRENCY=USD</stp>
        <stp>XLFILL=b</stp>
        <tr r="AK6" s="2"/>
      </tp>
      <tp>
        <v>-13077</v>
        <stp/>
        <stp>##V3_BQLV12</stp>
        <stp>[MODL_CRM_US1.xlsx]Single Period!R173C7</stp>
        <stp>CRM US Equity</stp>
        <stp>CONTRIBUTOR_STATS(CB_CF_NET_CASH_INVESTING_ACT, MAX)/1M</stp>
        <stp>FPR=2022Y</stp>
        <stp>FPT=A</stp>
        <stp>FA_ACT_EST_DATA=E</stp>
        <stp>ACT_EST_MAPPING=PRECISE</stp>
        <stp>FS=MRC</stp>
        <stp>CURRENCY=USD</stp>
        <stp>XLFILL=b</stp>
        <tr r="G173" s="2"/>
      </tp>
      <tp>
        <v>-13326.075000000001</v>
        <stp/>
        <stp>##V3_BQLV12</stp>
        <stp>[MODL_CRM_US1.xlsx]Single Period!R173C6</stp>
        <stp>CRM US Equity</stp>
        <stp>CONTRIBUTOR_STATS(CB_CF_NET_CASH_INVESTING_ACT, MIN)/1M</stp>
        <stp>FPR=2022Y</stp>
        <stp>FPT=A</stp>
        <stp>FA_ACT_EST_DATA=E</stp>
        <stp>ACT_EST_MAPPING=PRECISE</stp>
        <stp>FS=MRC</stp>
        <stp>CURRENCY=USD</stp>
        <stp>XLFILL=b</stp>
        <tr r="F173" s="2"/>
      </tp>
      <tp>
        <v>10.975420668013872</v>
        <stp/>
        <stp>##V3_BQLV12</stp>
        <stp>[MODL_CRM_US1.xlsx]Single Period!R106C8</stp>
        <stp>CRM US Equity</stp>
        <stp>CONTRIBUTOR_STATS(IS_AMORT_ACQD_INTANG_S_AND_M, STD)/1M</stp>
        <stp>FPR=2022Y</stp>
        <stp>FPT=A</stp>
        <stp>FA_ACT_EST_DATA=E</stp>
        <stp>ACT_EST_MAPPING=PRECISE</stp>
        <stp>FS=MRC</stp>
        <stp>CURRENCY=USD</stp>
        <stp>XLFILL=b</stp>
        <tr r="H106" s="2"/>
      </tp>
      <tp>
        <v>4.68</v>
        <stp/>
        <stp>##V3_BQLV12</stp>
        <stp>[MODL_CRM_US1.xlsx]Single Period!R6C28</stp>
        <stp>CRM US Equity</stp>
        <stp>IS_COMP_EPS_EXCL_STOCK_COMP</stp>
        <stp>FPR=2022Y</stp>
        <stp>FPT=A</stp>
        <stp>FA_ACT_EST_DATA=E, EST_SOURCE=CWN</stp>
        <stp>ACT_EST_MAPPING=PRECISE</stp>
        <stp>FS=MRC</stp>
        <stp>CURRENCY=USD</stp>
        <stp>XLFILL=b</stp>
        <tr r="AB6" s="2"/>
      </tp>
      <tp>
        <v>63.663488494096562</v>
        <stp/>
        <stp>##V3_BQLV12</stp>
        <stp>[MODL_CRM_US1.xlsx]Single Period!R173C8</stp>
        <stp>CRM US Equity</stp>
        <stp>CONTRIBUTOR_STATS(CB_CF_NET_CASH_INVESTING_ACT, STD)/1M</stp>
        <stp>FPR=2022Y</stp>
        <stp>FPT=A</stp>
        <stp>FA_ACT_EST_DATA=E</stp>
        <stp>ACT_EST_MAPPING=PRECISE</stp>
        <stp>FS=MRC</stp>
        <stp>CURRENCY=USD</stp>
        <stp>XLFILL=b</stp>
        <tr r="H173" s="2"/>
      </tp>
      <tp t="s">
        <v/>
        <stp/>
        <stp>##V3_BQLV12</stp>
        <stp>[MODL_CRM_US1.xlsx]Single Period!R25C50</stp>
        <stp>SEG0000269238 Segment</stp>
        <stp>IS_PERCENTAGE_OF_REVENUE</stp>
        <stp>FPR=2022Y</stp>
        <stp>FPT=A</stp>
        <stp>FA_ACT_EST_DATA=E, EST_SOURCE=MZS</stp>
        <stp>ACT_EST_MAPPING=PRECISE</stp>
        <stp>FS=MRC</stp>
        <stp>CURRENCY=USD</stp>
        <stp>XLFILL=b</stp>
        <tr r="AX25" s="2"/>
      </tp>
      <tp>
        <v>5.0807069077798914</v>
        <stp/>
        <stp>##V3_BQLV12</stp>
        <stp>[MODL_CRM_US1.xlsx]Single Period!R193C7</stp>
        <stp>CRM US Equity</stp>
        <stp>CONTRIBUTOR_STATS(FCF_PER_DIL_SHR, MAX)</stp>
        <stp>FPR=2022Y</stp>
        <stp>FPT=A</stp>
        <stp>FA_ACT_EST_DATA=E</stp>
        <stp>ACT_EST_MAPPING=PRECISE</stp>
        <stp>FS=MRC</stp>
        <stp>CURRENCY=USD</stp>
        <stp>XLFILL=b</stp>
        <tr r="G193" s="2"/>
      </tp>
      <tp>
        <v>5100</v>
        <stp/>
        <stp>##V3_BQLV12</stp>
        <stp>[MODL_CRM_US1.xlsx]Single Period!R70C42</stp>
        <stp>CRM US Equity</stp>
        <stp>IS_COMP_NET_INC_EXCL_STOCK_COMP/1M</stp>
        <stp>FPR=2022Y</stp>
        <stp>FPT=A</stp>
        <stp>FA_ACT_EST_DATA=E, EST_SOURCE=PSG</stp>
        <stp>ACT_EST_MAPPING=PRECISE</stp>
        <stp>FS=MRC</stp>
        <stp>CURRENCY=USD</stp>
        <stp>XLFILL=b</stp>
        <tr r="AP70" s="2"/>
      </tp>
      <tp t="s">
        <v/>
        <stp/>
        <stp>##V3_BQLV12</stp>
        <stp>[MODL_CRM_US1.xlsx]Single Period!R33C38</stp>
        <stp>SEG0000269227 Segment</stp>
        <stp>IS_PERCENTAGE_OF_REVENUE</stp>
        <stp>FPR=2022Y</stp>
        <stp>FPT=A</stp>
        <stp>FA_ACT_EST_DATA=E, EST_SOURCE=MSR</stp>
        <stp>ACT_EST_MAPPING=PRECISE</stp>
        <stp>FS=MRC</stp>
        <stp>CURRENCY=USD</stp>
        <stp>XLFILL=b</stp>
        <tr r="AL33" s="2"/>
      </tp>
      <tp>
        <v>5.0158861712858611</v>
        <stp/>
        <stp>##V3_BQLV12</stp>
        <stp>[MODL_CRM_US1.xlsx]Single Period!R193C6</stp>
        <stp>CRM US Equity</stp>
        <stp>CONTRIBUTOR_STATS(FCF_PER_DIL_SHR, MIN)</stp>
        <stp>FPR=2022Y</stp>
        <stp>FPT=A</stp>
        <stp>FA_ACT_EST_DATA=E</stp>
        <stp>ACT_EST_MAPPING=PRECISE</stp>
        <stp>FS=MRC</stp>
        <stp>CURRENCY=USD</stp>
        <stp>XLFILL=b</stp>
        <tr r="F193" s="2"/>
      </tp>
      <tp t="s">
        <v/>
        <stp/>
        <stp>##V3_BQLV12</stp>
        <stp>[MODL_CRM_US1.xlsx]Single Period!R39C38</stp>
        <stp>SEG0000269228 Segment</stp>
        <stp>IS_PERCENTAGE_OF_REVENUE</stp>
        <stp>FPR=2022Y</stp>
        <stp>FPT=A</stp>
        <stp>FA_ACT_EST_DATA=E, EST_SOURCE=MSR</stp>
        <stp>ACT_EST_MAPPING=PRECISE</stp>
        <stp>FS=MRC</stp>
        <stp>CURRENCY=USD</stp>
        <stp>XLFILL=b</stp>
        <tr r="AL39" s="2"/>
      </tp>
      <tp>
        <v>4633</v>
        <stp/>
        <stp>##V3_BQLV12</stp>
        <stp>[MODL_CRM_US1.xlsx]Single Period!R70C15</stp>
        <stp>CRM US Equity</stp>
        <stp>IS_COMP_NET_INC_EXCL_STOCK_COMP/1M</stp>
        <stp>FPR=2022Y</stp>
        <stp>FPT=A</stp>
        <stp>FA_ACT_EST_DATA=E, EST_SOURCE=MSV</stp>
        <stp>ACT_EST_MAPPING=PRECISE</stp>
        <stp>FS=MRC</stp>
        <stp>CURRENCY=USD</stp>
        <stp>XLFILL=b</stp>
        <tr r="O70" s="2"/>
      </tp>
      <tp>
        <v>4560</v>
        <stp/>
        <stp>##V3_BQLV12</stp>
        <stp>[MODL_CRM_US1.xlsx]Single Period!R70C41</stp>
        <stp>CRM US Equity</stp>
        <stp>IS_COMP_NET_INC_EXCL_STOCK_COMP/1M</stp>
        <stp>FPR=2022Y</stp>
        <stp>FPT=A</stp>
        <stp>FA_ACT_EST_DATA=E, EST_SOURCE=GSR</stp>
        <stp>ACT_EST_MAPPING=PRECISE</stp>
        <stp>FS=MRC</stp>
        <stp>CURRENCY=USD</stp>
        <stp>XLFILL=b</stp>
        <tr r="AO70" s="2"/>
      </tp>
      <tp>
        <v>4565</v>
        <stp/>
        <stp>##V3_BQLV12</stp>
        <stp>[MODL_CRM_US1.xlsx]Single Period!R70C38</stp>
        <stp>CRM US Equity</stp>
        <stp>IS_COMP_NET_INC_EXCL_STOCK_COMP/1M</stp>
        <stp>FPR=2022Y</stp>
        <stp>FPT=A</stp>
        <stp>FA_ACT_EST_DATA=E, EST_SOURCE=MSR</stp>
        <stp>ACT_EST_MAPPING=PRECISE</stp>
        <stp>FS=MRC</stp>
        <stp>CURRENCY=USD</stp>
        <stp>XLFILL=b</stp>
        <tr r="AL70" s="2"/>
      </tp>
      <tp t="s">
        <v/>
        <stp/>
        <stp>##V3_BQLV12</stp>
        <stp>[MODL_CRM_US1.xlsx]Single Period!R16C45</stp>
        <stp>CRM US Equity</stp>
        <stp>IS_ADJ_GROSS_PROFIT_AS_REPORTED/1M</stp>
        <stp>FPR=2022Y</stp>
        <stp>FPT=A</stp>
        <stp>FA_ACT_EST_DATA=E, EST_SOURCE=ARG</stp>
        <stp>ACT_EST_MAPPING=PRECISE</stp>
        <stp>FS=MRC</stp>
        <stp>CURRENCY=USD</stp>
        <stp>XLFILL=b</stp>
        <tr r="AS16" s="2"/>
      </tp>
      <tp t="s">
        <v/>
        <stp/>
        <stp>##V3_BQLV12</stp>
        <stp>[MODL_CRM_US1.xlsx]Single Period!R55C45</stp>
        <stp>CRM US Equity</stp>
        <stp>IS_ADJ_GROSS_PROFIT_AS_REPORTED/1M</stp>
        <stp>FPR=2022Y</stp>
        <stp>FPT=A</stp>
        <stp>FA_ACT_EST_DATA=E, EST_SOURCE=ARG</stp>
        <stp>ACT_EST_MAPPING=PRECISE</stp>
        <stp>FS=MRC</stp>
        <stp>CURRENCY=USD</stp>
        <stp>XLFILL=b</stp>
        <tr r="AS55" s="2"/>
      </tp>
      <tp t="s">
        <v/>
        <stp/>
        <stp>##V3_BQLV12</stp>
        <stp>[MODL_CRM_US1.xlsx]Single Period!R16C54</stp>
        <stp>CRM US Equity</stp>
        <stp>IS_ADJ_GROSS_PROFIT_AS_REPORTED/1M</stp>
        <stp>FPR=2022Y</stp>
        <stp>FPT=A</stp>
        <stp>FA_ACT_EST_DATA=E, EST_SOURCE=ARE</stp>
        <stp>ACT_EST_MAPPING=PRECISE</stp>
        <stp>FS=MRC</stp>
        <stp>CURRENCY=USD</stp>
        <stp>XLFILL=b</stp>
        <tr r="BB16" s="2"/>
      </tp>
      <tp t="s">
        <v/>
        <stp/>
        <stp>##V3_BQLV12</stp>
        <stp>[MODL_CRM_US1.xlsx]Single Period!R55C54</stp>
        <stp>CRM US Equity</stp>
        <stp>IS_ADJ_GROSS_PROFIT_AS_REPORTED/1M</stp>
        <stp>FPR=2022Y</stp>
        <stp>FPT=A</stp>
        <stp>FA_ACT_EST_DATA=E, EST_SOURCE=ARE</stp>
        <stp>ACT_EST_MAPPING=PRECISE</stp>
        <stp>FS=MRC</stp>
        <stp>CURRENCY=USD</stp>
        <stp>XLFILL=b</stp>
        <tr r="BB55" s="2"/>
      </tp>
      <tp>
        <v>1229</v>
        <stp/>
        <stp>##V3_BQLV12</stp>
        <stp>[MODL_CRM_US1.xlsx]Single Period!R91C17</stp>
        <stp>CRM US Equity</stp>
        <stp>IS_COMP_NET_INCOME_GAAP/1M</stp>
        <stp>FPR=2022Y</stp>
        <stp>FPT=A</stp>
        <stp>FA_ACT_EST_DATA=E, EST_SOURCE=NDH</stp>
        <stp>ACT_EST_MAPPING=PRECISE</stp>
        <stp>FS=MRC</stp>
        <stp>CURRENCY=USD</stp>
        <stp>XLFILL=b</stp>
        <tr r="Q91" s="2"/>
      </tp>
      <tp t="s">
        <v/>
        <stp/>
        <stp>##V3_BQLV12</stp>
        <stp>[MODL_CRM_US1.xlsx]Single Period!R161C19</stp>
        <stp>CRM US Equity</stp>
        <stp>CF_ACCT_RCV_UNBILLED_REV/1M</stp>
        <stp>FPR=2022Y</stp>
        <stp>FPT=A</stp>
        <stp>FA_ACT_EST_DATA=E, EST_SOURCE=SCB</stp>
        <stp>ACT_EST_MAPPING=PRECISE</stp>
        <stp>FS=MRC</stp>
        <stp>CURRENCY=USD</stp>
        <stp>XLFILL=b</stp>
        <tr r="S161" s="2"/>
      </tp>
      <tp t="s">
        <v/>
        <stp/>
        <stp>##V3_BQLV12</stp>
        <stp>[MODL_CRM_US1.xlsx]Single Period!R161C30</stp>
        <stp>CRM US Equity</stp>
        <stp>CF_ACCT_RCV_UNBILLED_REV/1M</stp>
        <stp>FPR=2022Y</stp>
        <stp>FPT=A</stp>
        <stp>FA_ACT_EST_DATA=E, EST_SOURCE=BAM</stp>
        <stp>ACT_EST_MAPPING=PRECISE</stp>
        <stp>FS=MRC</stp>
        <stp>CURRENCY=USD</stp>
        <stp>XLFILL=b</stp>
        <tr r="AD161" s="2"/>
      </tp>
      <tp>
        <v>-688.91422224417704</v>
        <stp/>
        <stp>##V3_BQLV12</stp>
        <stp>[MODL_CRM_US1.xlsx]Single Period!R161C13</stp>
        <stp>CRM US Equity</stp>
        <stp>CF_ACCT_RCV_UNBILLED_REV/1M</stp>
        <stp>FPR=2022Y</stp>
        <stp>FPT=A</stp>
        <stp>FA_ACT_EST_DATA=E, EST_SOURCE=BCA</stp>
        <stp>ACT_EST_MAPPING=PRECISE</stp>
        <stp>FS=MRC</stp>
        <stp>CURRENCY=USD</stp>
        <stp>XLFILL=b</stp>
        <tr r="M161" s="2"/>
      </tp>
      <tp t="s">
        <v/>
        <stp/>
        <stp>##V3_BQLV12</stp>
        <stp>[MODL_CRM_US1.xlsx]Single Period!R161C36</stp>
        <stp>CRM US Equity</stp>
        <stp>CF_ACCT_RCV_UNBILLED_REV/1M</stp>
        <stp>FPR=2022Y</stp>
        <stp>FPT=A</stp>
        <stp>FA_ACT_EST_DATA=E, EST_SOURCE=MAC</stp>
        <stp>ACT_EST_MAPPING=PRECISE</stp>
        <stp>FS=MRC</stp>
        <stp>CURRENCY=USD</stp>
        <stp>XLFILL=b</stp>
        <tr r="AJ161" s="2"/>
      </tp>
      <tp t="s">
        <v/>
        <stp/>
        <stp>##V3_BQLV12</stp>
        <stp>[MODL_CRM_US1.xlsx]Single Period!R120C48</stp>
        <stp>CRM US Equity</stp>
        <stp>BS_LONG_TERM_INVESTMENTS/1M</stp>
        <stp>FPR=2022Y</stp>
        <stp>FPT=A</stp>
        <stp>FA_ACT_EST_DATA=E, EST_SOURCE=PJE</stp>
        <stp>ACT_EST_MAPPING=PRECISE</stp>
        <stp>FS=MRC</stp>
        <stp>CURRENCY=USD</stp>
        <stp>XLFILL=b</stp>
        <tr r="AV120" s="2"/>
      </tp>
      <tp t="s">
        <v/>
        <stp/>
        <stp>##V3_BQLV12</stp>
        <stp>[MODL_CRM_US1.xlsx]Single Period!R161C47</stp>
        <stp>CRM US Equity</stp>
        <stp>CF_ACCT_RCV_UNBILLED_REV/1M</stp>
        <stp>FPR=2022Y</stp>
        <stp>FPT=A</stp>
        <stp>FA_ACT_EST_DATA=E, EST_SOURCE=WFT</stp>
        <stp>ACT_EST_MAPPING=PRECISE</stp>
        <stp>FS=MRC</stp>
        <stp>CURRENCY=USD</stp>
        <stp>XLFILL=b</stp>
        <tr r="AU161" s="2"/>
      </tp>
      <tp t="s">
        <v/>
        <stp/>
        <stp>##V3_BQLV12</stp>
        <stp>[MODL_CRM_US1.xlsx]Single Period!R88C37</stp>
        <stp>CRM US Equity</stp>
        <stp>OPER_INC_TO_NET_SALES</stp>
        <stp>FPR=2022Y</stp>
        <stp>FPT=A</stp>
        <stp>FA_ACT_EST_DATA=E, EST_SOURCE=EVR</stp>
        <stp>ACT_EST_MAPPING=PRECISE</stp>
        <stp>FS=MRC</stp>
        <stp>CURRENCY=USD</stp>
        <stp>XLFILL=b</stp>
        <tr r="AK88" s="2"/>
      </tp>
      <tp t="s">
        <v/>
        <stp/>
        <stp>##V3_BQLV12</stp>
        <stp>[MODL_CRM_US1.xlsx]Single Period!R89C44</stp>
        <stp>CRM US Equity</stp>
        <stp>PRETAX_INC/1M</stp>
        <stp>FPR=2022Y</stp>
        <stp>FPT=A</stp>
        <stp>FA_ACT_EST_DATA=E, EST_SOURCE=RWB</stp>
        <stp>ACT_EST_MAPPING=PRECISE</stp>
        <stp>FS=MRC</stp>
        <stp>CURRENCY=USD</stp>
        <stp>XLFILL=b</stp>
        <tr r="AR89" s="2"/>
      </tp>
      <tp t="s">
        <v/>
        <stp/>
        <stp>##V3_BQLV12</stp>
        <stp>[MODL_CRM_US1.xlsx]Single Period!R60C51</stp>
        <stp>CRM US Equity</stp>
        <stp>IS_COMPARABLE_EBIT/1M</stp>
        <stp>FPR=2022Y</stp>
        <stp>FPT=A</stp>
        <stp>FA_ACT_EST_DATA=E, EST_SOURCE=RCP</stp>
        <stp>ACT_EST_MAPPING=PRECISE</stp>
        <stp>FS=MRC</stp>
        <stp>CURRENCY=USD</stp>
        <stp>XLFILL=b</stp>
        <tr r="AY60" s="2"/>
      </tp>
      <tp>
        <v>1555</v>
        <stp/>
        <stp>##V3_BQLV12</stp>
        <stp>[MODL_CRM_US1.xlsx]Single Period!R77C25</stp>
        <stp>CRM US Equity</stp>
        <stp>IS_COGS_TO_FE_AND_PP_AND_G/1M</stp>
        <stp>FPR=2022Y</stp>
        <stp>FPT=A</stp>
        <stp>FA_ACT_EST_DATA=E, EST_SOURCE=WMS</stp>
        <stp>ACT_EST_MAPPING=PRECISE</stp>
        <stp>FS=MRC</stp>
        <stp>CURRENCY=USD</stp>
        <stp>XLFILL=b</stp>
        <tr r="Y77" s="2"/>
      </tp>
      <tp t="s">
        <v/>
        <stp/>
        <stp>##V3_BQLV12</stp>
        <stp>[MODL_CRM_US1.xlsx]Single Period!R110C10</stp>
        <stp>CRM US Equity</stp>
        <stp>BS_CUR_ASSET_REPORT/1M</stp>
        <stp>FPR=2022Y</stp>
        <stp>FPT=A</stp>
        <stp>FA_ACT_EST_DATA=E, EST_SOURCE=CMPY</stp>
        <stp>ACT_EST_MAPPING=PRECISE</stp>
        <stp>FS=MRC</stp>
        <stp>CURRENCY=USD</stp>
        <stp>XLFILL=b</stp>
        <tr r="J110" s="2"/>
      </tp>
      <tp t="s">
        <v/>
        <stp/>
        <stp>##V3_BQLV12</stp>
        <stp>[MODL_CRM_US1.xlsx]Single Period!R77C20</stp>
        <stp>CRM US Equity</stp>
        <stp>IS_COGS_TO_FE_AND_PP_AND_G/1M</stp>
        <stp>FPR=2022Y</stp>
        <stp>FPT=A</stp>
        <stp>FA_ACT_EST_DATA=E, EST_SOURCE=JMP</stp>
        <stp>ACT_EST_MAPPING=PRECISE</stp>
        <stp>FS=MRC</stp>
        <stp>CURRENCY=USD</stp>
        <stp>XLFILL=b</stp>
        <tr r="T77" s="2"/>
      </tp>
      <tp t="s">
        <v/>
        <stp/>
        <stp>##V3_BQLV12</stp>
        <stp>[MODL_CRM_US1.xlsx]Single Period!R172C50</stp>
        <stp>CRM US Equity</stp>
        <stp>CAP_EXPEND_TO_SALES</stp>
        <stp>FPR=2022Y</stp>
        <stp>FPT=A</stp>
        <stp>FA_ACT_EST_DATA=E, EST_SOURCE=MZS</stp>
        <stp>ACT_EST_MAPPING=PRECISE</stp>
        <stp>FS=MRC</stp>
        <stp>CURRENCY=USD</stp>
        <stp>XLFILL=b</stp>
        <tr r="AX172" s="2"/>
      </tp>
      <tp t="s">
        <v/>
        <stp/>
        <stp>##V3_BQLV12</stp>
        <stp>[MODL_CRM_US1.xlsx]Single Period!R89C43</stp>
        <stp>CRM US Equity</stp>
        <stp>PRETAX_INC/1M</stp>
        <stp>FPR=2022Y</stp>
        <stp>FPT=A</stp>
        <stp>FA_ACT_EST_DATA=E, EST_SOURCE=DWI</stp>
        <stp>ACT_EST_MAPPING=PRECISE</stp>
        <stp>FS=MRC</stp>
        <stp>CURRENCY=USD</stp>
        <stp>XLFILL=b</stp>
        <tr r="AQ89" s="2"/>
      </tp>
      <tp t="s">
        <v/>
        <stp/>
        <stp>##V3_BQLV12</stp>
        <stp>[MODL_CRM_US1.xlsx]Single Period!R79C37</stp>
        <stp>CRM US Equity</stp>
        <stp>CB_IS_GROSS_PROFIT/1M</stp>
        <stp>FPR=2022Y</stp>
        <stp>FPT=A</stp>
        <stp>FA_ACT_EST_DATA=E, EST_SOURCE=EVR</stp>
        <stp>ACT_EST_MAPPING=PRECISE</stp>
        <stp>FS=MRC</stp>
        <stp>CURRENCY=USD</stp>
        <stp>XLFILL=b</stp>
        <tr r="AK79" s="2"/>
      </tp>
      <tp t="s">
        <v/>
        <stp/>
        <stp>##V3_BQLV12</stp>
        <stp>[MODL_CRM_US1.xlsx]Single Period!R89C28</stp>
        <stp>CRM US Equity</stp>
        <stp>PRETAX_INC/1M</stp>
        <stp>FPR=2022Y</stp>
        <stp>FPT=A</stp>
        <stp>FA_ACT_EST_DATA=E, EST_SOURCE=CWN</stp>
        <stp>ACT_EST_MAPPING=PRECISE</stp>
        <stp>FS=MRC</stp>
        <stp>CURRENCY=USD</stp>
        <stp>XLFILL=b</stp>
        <tr r="AB89" s="2"/>
      </tp>
      <tp>
        <v>483</v>
        <stp/>
        <stp>##V3_BQLV12</stp>
        <stp>[MODL_CRM_US1.xlsx]Single Period!R60C40</stp>
        <stp>CRM US Equity</stp>
        <stp>IS_COMPARABLE_EBIT/1M</stp>
        <stp>FPR=2022Y</stp>
        <stp>FPT=A</stp>
        <stp>FA_ACT_EST_DATA=E, EST_SOURCE=ACC</stp>
        <stp>ACT_EST_MAPPING=PRECISE</stp>
        <stp>FS=MRC</stp>
        <stp>CURRENCY=USD</stp>
        <stp>XLFILL=b</stp>
        <tr r="AN60" s="2"/>
      </tp>
      <tp>
        <v>5086</v>
        <stp/>
        <stp>##V3_BQLV12</stp>
        <stp>[MODL_CRM_US1.xlsx]Single Period!R60C19</stp>
        <stp>CRM US Equity</stp>
        <stp>IS_COMPARABLE_EBIT/1M</stp>
        <stp>FPR=2022Y</stp>
        <stp>FPT=A</stp>
        <stp>FA_ACT_EST_DATA=E, EST_SOURCE=SCB</stp>
        <stp>ACT_EST_MAPPING=PRECISE</stp>
        <stp>FS=MRC</stp>
        <stp>CURRENCY=USD</stp>
        <stp>XLFILL=b</stp>
        <tr r="S60" s="2"/>
      </tp>
      <tp>
        <v>4921</v>
        <stp/>
        <stp>##V3_BQLV12</stp>
        <stp>[MODL_CRM_US1.xlsx]Single Period!R60C13</stp>
        <stp>CRM US Equity</stp>
        <stp>IS_COMPARABLE_EBIT/1M</stp>
        <stp>FPR=2022Y</stp>
        <stp>FPT=A</stp>
        <stp>FA_ACT_EST_DATA=E, EST_SOURCE=BCA</stp>
        <stp>ACT_EST_MAPPING=PRECISE</stp>
        <stp>FS=MRC</stp>
        <stp>CURRENCY=USD</stp>
        <stp>XLFILL=b</stp>
        <tr r="M60" s="2"/>
      </tp>
      <tp>
        <v>4902</v>
        <stp/>
        <stp>##V3_BQLV12</stp>
        <stp>[MODL_CRM_US1.xlsx]Single Period!R19C21</stp>
        <stp>CRM US Equity</stp>
        <stp>IS_COMPARABLE_EBIT/1M</stp>
        <stp>FPR=2022Y</stp>
        <stp>FPT=A</stp>
        <stp>FA_ACT_EST_DATA=E, EST_SOURCE=RJA</stp>
        <stp>ACT_EST_MAPPING=PRECISE</stp>
        <stp>FS=MRC</stp>
        <stp>CURRENCY=USD</stp>
        <stp>XLFILL=b</stp>
        <tr r="U19" s="2"/>
      </tp>
      <tp t="s">
        <v/>
        <stp/>
        <stp>##V3_BQLV12</stp>
        <stp>[MODL_CRM_US1.xlsx]Single Period!R19C48</stp>
        <stp>CRM US Equity</stp>
        <stp>IS_COMPARABLE_EBIT/1M</stp>
        <stp>FPR=2022Y</stp>
        <stp>FPT=A</stp>
        <stp>FA_ACT_EST_DATA=E, EST_SOURCE=PJE</stp>
        <stp>ACT_EST_MAPPING=PRECISE</stp>
        <stp>FS=MRC</stp>
        <stp>CURRENCY=USD</stp>
        <stp>XLFILL=b</stp>
        <tr r="AV19" s="2"/>
      </tp>
      <tp t="s">
        <v/>
        <stp/>
        <stp>##V3_BQLV12</stp>
        <stp>[MODL_CRM_US1.xlsx]Single Period!R77C12</stp>
        <stp>CRM US Equity</stp>
        <stp>IS_COGS_TO_FE_AND_PP_AND_G/1M</stp>
        <stp>FPR=2022Y</stp>
        <stp>FPT=A</stp>
        <stp>FA_ACT_EST_DATA=E, EST_SOURCE=BMO</stp>
        <stp>ACT_EST_MAPPING=PRECISE</stp>
        <stp>FS=MRC</stp>
        <stp>CURRENCY=USD</stp>
        <stp>XLFILL=b</stp>
        <tr r="L77" s="2"/>
      </tp>
      <tp>
        <v>4921</v>
        <stp/>
        <stp>##V3_BQLV12</stp>
        <stp>[MODL_CRM_US1.xlsx]Single Period!R60C27</stp>
        <stp>CRM US Equity</stp>
        <stp>IS_COMPARABLE_EBIT/1M</stp>
        <stp>FPR=2022Y</stp>
        <stp>FPT=A</stp>
        <stp>FA_ACT_EST_DATA=E, EST_SOURCE=LCM</stp>
        <stp>ACT_EST_MAPPING=PRECISE</stp>
        <stp>FS=MRC</stp>
        <stp>CURRENCY=USD</stp>
        <stp>XLFILL=b</stp>
        <tr r="AA60" s="2"/>
      </tp>
      <tp>
        <v>2525</v>
        <stp/>
        <stp>##V3_BQLV12</stp>
        <stp>[MODL_CRM_US1.xlsx]Single Period!R124C6</stp>
        <stp>CRM US Equity</stp>
        <stp>CONTRIBUTOR_STATS(CAPITALIZED_SOFTWARE, MIN)/1M</stp>
        <stp>FPR=2022Y</stp>
        <stp>FPT=A</stp>
        <stp>FA_ACT_EST_DATA=E</stp>
        <stp>ACT_EST_MAPPING=PRECISE</stp>
        <stp>FS=MRC</stp>
        <stp>CURRENCY=USD</stp>
        <stp>XLFILL=b</stp>
        <tr r="F124" s="2"/>
      </tp>
      <tp>
        <v>4.75</v>
        <stp/>
        <stp>##V3_BQLV12</stp>
        <stp>[MODL_CRM_US1.xlsx]Single Period!R6C15</stp>
        <stp>CRM US Equity</stp>
        <stp>IS_COMP_EPS_EXCL_STOCK_COMP</stp>
        <stp>FPR=2022Y</stp>
        <stp>FPT=A</stp>
        <stp>FA_ACT_EST_DATA=E, EST_SOURCE=MSV</stp>
        <stp>ACT_EST_MAPPING=PRECISE</stp>
        <stp>FS=MRC</stp>
        <stp>CURRENCY=USD</stp>
        <stp>XLFILL=b</stp>
        <tr r="O6" s="2"/>
      </tp>
      <tp>
        <v>2600</v>
        <stp/>
        <stp>##V3_BQLV12</stp>
        <stp>[MODL_CRM_US1.xlsx]Single Period!R124C7</stp>
        <stp>CRM US Equity</stp>
        <stp>CONTRIBUTOR_STATS(CAPITALIZED_SOFTWARE, MAX)/1M</stp>
        <stp>FPR=2022Y</stp>
        <stp>FPT=A</stp>
        <stp>FA_ACT_EST_DATA=E</stp>
        <stp>ACT_EST_MAPPING=PRECISE</stp>
        <stp>FS=MRC</stp>
        <stp>CURRENCY=USD</stp>
        <stp>XLFILL=b</stp>
        <tr r="G124" s="2"/>
      </tp>
      <tp>
        <v>3444.6278646010842</v>
        <stp/>
        <stp>##V3_BQLV12</stp>
        <stp>[MODL_CRM_US1.xlsx]Single Period!R136C8</stp>
        <stp>CRM US Equity</stp>
        <stp>CONTRIBUTOR_STATS(BS_TOTAL_LIABILITIES, STD)/1M</stp>
        <stp>FPR=2022Y</stp>
        <stp>FPT=A</stp>
        <stp>FA_ACT_EST_DATA=E</stp>
        <stp>ACT_EST_MAPPING=PRECISE</stp>
        <stp>FS=MRC</stp>
        <stp>CURRENCY=USD</stp>
        <stp>XLFILL=b</stp>
        <tr r="H136" s="2"/>
      </tp>
      <tp>
        <v>4.6900000000000004</v>
        <stp/>
        <stp>##V3_BQLV12</stp>
        <stp>[MODL_CRM_US1.xlsx]Single Period!R6C22</stp>
        <stp>CRM US Equity</stp>
        <stp>IS_COMP_EPS_EXCL_STOCK_COMP</stp>
        <stp>FPR=2022Y</stp>
        <stp>FPT=A</stp>
        <stp>FA_ACT_EST_DATA=E, EST_SOURCE=OPY</stp>
        <stp>ACT_EST_MAPPING=PRECISE</stp>
        <stp>FS=MRC</stp>
        <stp>CURRENCY=USD</stp>
        <stp>XLFILL=b</stp>
        <tr r="V6" s="2"/>
      </tp>
      <tp>
        <v>201.1021070049261</v>
        <stp/>
        <stp>##V3_BQLV12</stp>
        <stp>[MODL_CRM_US1.xlsx]Single Period!R176C8</stp>
        <stp>CRM US Equity</stp>
        <stp>CONTRIBUTOR_STATS(CF_INCR_CAP_STOCK, STD)/1M</stp>
        <stp>FPR=2022Y</stp>
        <stp>FPT=A</stp>
        <stp>FA_ACT_EST_DATA=E</stp>
        <stp>ACT_EST_MAPPING=PRECISE</stp>
        <stp>FS=MRC</stp>
        <stp>CURRENCY=USD</stp>
        <stp>XLFILL=b</stp>
        <tr r="H176" s="2"/>
      </tp>
      <tp>
        <v>33.541019662496851</v>
        <stp/>
        <stp>##V3_BQLV12</stp>
        <stp>[MODL_CRM_US1.xlsx]Single Period!R124C8</stp>
        <stp>CRM US Equity</stp>
        <stp>CONTRIBUTOR_STATS(CAPITALIZED_SOFTWARE, STD)/1M</stp>
        <stp>FPR=2022Y</stp>
        <stp>FPT=A</stp>
        <stp>FA_ACT_EST_DATA=E</stp>
        <stp>ACT_EST_MAPPING=PRECISE</stp>
        <stp>FS=MRC</stp>
        <stp>CURRENCY=USD</stp>
        <stp>XLFILL=b</stp>
        <tr r="H124" s="2"/>
      </tp>
      <tp>
        <v>33255.827449838216</v>
        <stp/>
        <stp>##V3_BQLV12</stp>
        <stp>[MODL_CRM_US1.xlsx]Single Period!R136C6</stp>
        <stp>CRM US Equity</stp>
        <stp>CONTRIBUTOR_STATS(BS_TOTAL_LIABILITIES, MIN)/1M</stp>
        <stp>FPR=2022Y</stp>
        <stp>FPT=A</stp>
        <stp>FA_ACT_EST_DATA=E</stp>
        <stp>ACT_EST_MAPPING=PRECISE</stp>
        <stp>FS=MRC</stp>
        <stp>CURRENCY=USD</stp>
        <stp>XLFILL=b</stp>
        <tr r="F136" s="2"/>
      </tp>
      <tp>
        <v>47459.412858554155</v>
        <stp/>
        <stp>##V3_BQLV12</stp>
        <stp>[MODL_CRM_US1.xlsx]Single Period!R136C7</stp>
        <stp>CRM US Equity</stp>
        <stp>CONTRIBUTOR_STATS(BS_TOTAL_LIABILITIES, MAX)/1M</stp>
        <stp>FPR=2022Y</stp>
        <stp>FPT=A</stp>
        <stp>FA_ACT_EST_DATA=E</stp>
        <stp>ACT_EST_MAPPING=PRECISE</stp>
        <stp>FS=MRC</stp>
        <stp>CURRENCY=USD</stp>
        <stp>XLFILL=b</stp>
        <tr r="G136" s="2"/>
      </tp>
      <tp>
        <v>4.7</v>
        <stp/>
        <stp>##V3_BQLV12</stp>
        <stp>[MODL_CRM_US1.xlsx]Single Period!R6C23</stp>
        <stp>CRM US Equity</stp>
        <stp>IS_COMP_EPS_EXCL_STOCK_COMP</stp>
        <stp>FPR=2022Y</stp>
        <stp>FPT=A</stp>
        <stp>FA_ACT_EST_DATA=E, EST_SOURCE=JPM</stp>
        <stp>ACT_EST_MAPPING=PRECISE</stp>
        <stp>FS=MRC</stp>
        <stp>CURRENCY=USD</stp>
        <stp>XLFILL=b</stp>
        <tr r="W6" s="2"/>
      </tp>
      <tp t="s">
        <v/>
        <stp/>
        <stp>##V3_BQLV12</stp>
        <stp>[MODL_CRM_US1.xlsx]Single Period!R25C38</stp>
        <stp>SEG0000269238 Segment</stp>
        <stp>IS_PERCENTAGE_OF_REVENUE</stp>
        <stp>FPR=2022Y</stp>
        <stp>FPT=A</stp>
        <stp>FA_ACT_EST_DATA=E, EST_SOURCE=MSR</stp>
        <stp>ACT_EST_MAPPING=PRECISE</stp>
        <stp>FS=MRC</stp>
        <stp>CURRENCY=USD</stp>
        <stp>XLFILL=b</stp>
        <tr r="AL25" s="2"/>
      </tp>
      <tp t="s">
        <v/>
        <stp/>
        <stp>##V3_BQLV12</stp>
        <stp>[MODL_CRM_US1.xlsx]Single Period!R33C50</stp>
        <stp>SEG0000269227 Segment</stp>
        <stp>IS_PERCENTAGE_OF_REVENUE</stp>
        <stp>FPR=2022Y</stp>
        <stp>FPT=A</stp>
        <stp>FA_ACT_EST_DATA=E, EST_SOURCE=MZS</stp>
        <stp>ACT_EST_MAPPING=PRECISE</stp>
        <stp>FS=MRC</stp>
        <stp>CURRENCY=USD</stp>
        <stp>XLFILL=b</stp>
        <tr r="AX33" s="2"/>
      </tp>
      <tp t="s">
        <v/>
        <stp/>
        <stp>##V3_BQLV12</stp>
        <stp>[MODL_CRM_US1.xlsx]Single Period!R70C45</stp>
        <stp>CRM US Equity</stp>
        <stp>IS_COMP_NET_INC_EXCL_STOCK_COMP/1M</stp>
        <stp>FPR=2022Y</stp>
        <stp>FPT=A</stp>
        <stp>FA_ACT_EST_DATA=E, EST_SOURCE=ARG</stp>
        <stp>ACT_EST_MAPPING=PRECISE</stp>
        <stp>FS=MRC</stp>
        <stp>CURRENCY=USD</stp>
        <stp>XLFILL=b</stp>
        <tr r="AS70" s="2"/>
      </tp>
      <tp t="s">
        <v/>
        <stp/>
        <stp>##V3_BQLV12</stp>
        <stp>[MODL_CRM_US1.xlsx]Single Period!R70C54</stp>
        <stp>CRM US Equity</stp>
        <stp>IS_COMP_NET_INC_EXCL_STOCK_COMP/1M</stp>
        <stp>FPR=2022Y</stp>
        <stp>FPT=A</stp>
        <stp>FA_ACT_EST_DATA=E, EST_SOURCE=ARE</stp>
        <stp>ACT_EST_MAPPING=PRECISE</stp>
        <stp>FS=MRC</stp>
        <stp>CURRENCY=USD</stp>
        <stp>XLFILL=b</stp>
        <tr r="BB70" s="2"/>
      </tp>
      <tp t="s">
        <v/>
        <stp/>
        <stp>##V3_BQLV12</stp>
        <stp>[MODL_CRM_US1.xlsx]Single Period!R55C41</stp>
        <stp>CRM US Equity</stp>
        <stp>IS_ADJ_GROSS_PROFIT_AS_REPORTED/1M</stp>
        <stp>FPR=2022Y</stp>
        <stp>FPT=A</stp>
        <stp>FA_ACT_EST_DATA=E, EST_SOURCE=GSR</stp>
        <stp>ACT_EST_MAPPING=PRECISE</stp>
        <stp>FS=MRC</stp>
        <stp>CURRENCY=USD</stp>
        <stp>XLFILL=b</stp>
        <tr r="AO55" s="2"/>
      </tp>
      <tp t="s">
        <v/>
        <stp/>
        <stp>##V3_BQLV12</stp>
        <stp>[MODL_CRM_US1.xlsx]Single Period!R16C41</stp>
        <stp>CRM US Equity</stp>
        <stp>IS_ADJ_GROSS_PROFIT_AS_REPORTED/1M</stp>
        <stp>FPR=2022Y</stp>
        <stp>FPT=A</stp>
        <stp>FA_ACT_EST_DATA=E, EST_SOURCE=GSR</stp>
        <stp>ACT_EST_MAPPING=PRECISE</stp>
        <stp>FS=MRC</stp>
        <stp>CURRENCY=USD</stp>
        <stp>XLFILL=b</stp>
        <tr r="AO16" s="2"/>
      </tp>
      <tp>
        <v>20882.010759000001</v>
        <stp/>
        <stp>##V3_BQLV12</stp>
        <stp>[MODL_CRM_US1.xlsx]Single Period!R16C15</stp>
        <stp>CRM US Equity</stp>
        <stp>IS_ADJ_GROSS_PROFIT_AS_REPORTED/1M</stp>
        <stp>FPR=2022Y</stp>
        <stp>FPT=A</stp>
        <stp>FA_ACT_EST_DATA=E, EST_SOURCE=MSV</stp>
        <stp>ACT_EST_MAPPING=PRECISE</stp>
        <stp>FS=MRC</stp>
        <stp>CURRENCY=USD</stp>
        <stp>XLFILL=b</stp>
        <tr r="O16" s="2"/>
      </tp>
      <tp>
        <v>20882.010759000001</v>
        <stp/>
        <stp>##V3_BQLV12</stp>
        <stp>[MODL_CRM_US1.xlsx]Single Period!R55C15</stp>
        <stp>CRM US Equity</stp>
        <stp>IS_ADJ_GROSS_PROFIT_AS_REPORTED/1M</stp>
        <stp>FPR=2022Y</stp>
        <stp>FPT=A</stp>
        <stp>FA_ACT_EST_DATA=E, EST_SOURCE=MSV</stp>
        <stp>ACT_EST_MAPPING=PRECISE</stp>
        <stp>FS=MRC</stp>
        <stp>CURRENCY=USD</stp>
        <stp>XLFILL=b</stp>
        <tr r="O55" s="2"/>
      </tp>
      <tp t="s">
        <v/>
        <stp/>
        <stp>##V3_BQLV12</stp>
        <stp>[MODL_CRM_US1.xlsx]Single Period!R39C50</stp>
        <stp>SEG0000269228 Segment</stp>
        <stp>IS_PERCENTAGE_OF_REVENUE</stp>
        <stp>FPR=2022Y</stp>
        <stp>FPT=A</stp>
        <stp>FA_ACT_EST_DATA=E, EST_SOURCE=MZS</stp>
        <stp>ACT_EST_MAPPING=PRECISE</stp>
        <stp>FS=MRC</stp>
        <stp>CURRENCY=USD</stp>
        <stp>XLFILL=b</stp>
        <tr r="AX39" s="2"/>
      </tp>
      <tp t="s">
        <v/>
        <stp/>
        <stp>##V3_BQLV12</stp>
        <stp>[MODL_CRM_US1.xlsx]Single Period!R55C38</stp>
        <stp>CRM US Equity</stp>
        <stp>IS_ADJ_GROSS_PROFIT_AS_REPORTED/1M</stp>
        <stp>FPR=2022Y</stp>
        <stp>FPT=A</stp>
        <stp>FA_ACT_EST_DATA=E, EST_SOURCE=MSR</stp>
        <stp>ACT_EST_MAPPING=PRECISE</stp>
        <stp>FS=MRC</stp>
        <stp>CURRENCY=USD</stp>
        <stp>XLFILL=b</stp>
        <tr r="AL55" s="2"/>
      </tp>
      <tp t="s">
        <v/>
        <stp/>
        <stp>##V3_BQLV12</stp>
        <stp>[MODL_CRM_US1.xlsx]Single Period!R16C38</stp>
        <stp>CRM US Equity</stp>
        <stp>IS_ADJ_GROSS_PROFIT_AS_REPORTED/1M</stp>
        <stp>FPR=2022Y</stp>
        <stp>FPT=A</stp>
        <stp>FA_ACT_EST_DATA=E, EST_SOURCE=MSR</stp>
        <stp>ACT_EST_MAPPING=PRECISE</stp>
        <stp>FS=MRC</stp>
        <stp>CURRENCY=USD</stp>
        <stp>XLFILL=b</stp>
        <tr r="AL16" s="2"/>
      </tp>
      <tp>
        <v>23428.928556752911</v>
        <stp/>
        <stp>##V3_BQLV12</stp>
        <stp>[MODL_CRM_US1.xlsx]Single Period!R110C9</stp>
        <stp>CRM US Equity</stp>
        <stp>CONTRIBUTOR_STATS(BS_CUR_ASSET_REPORT, MEDIAN)/1M</stp>
        <stp>FPR=2022Y</stp>
        <stp>FPT=A</stp>
        <stp>FA_ACT_EST_DATA=E</stp>
        <stp>ACT_EST_MAPPING=PRECISE</stp>
        <stp>FS=MRC</stp>
        <stp>CURRENCY=USD</stp>
        <stp>XLFILL=b</stp>
        <tr r="I110" s="2"/>
      </tp>
      <tp t="s">
        <v/>
        <stp/>
        <stp>##V3_BQLV12</stp>
        <stp>[MODL_CRM_US1.xlsx]Single Period!R55C42</stp>
        <stp>CRM US Equity</stp>
        <stp>IS_ADJ_GROSS_PROFIT_AS_REPORTED/1M</stp>
        <stp>FPR=2022Y</stp>
        <stp>FPT=A</stp>
        <stp>FA_ACT_EST_DATA=E, EST_SOURCE=PSG</stp>
        <stp>ACT_EST_MAPPING=PRECISE</stp>
        <stp>FS=MRC</stp>
        <stp>CURRENCY=USD</stp>
        <stp>XLFILL=b</stp>
        <tr r="AP55" s="2"/>
      </tp>
      <tp t="s">
        <v/>
        <stp/>
        <stp>##V3_BQLV12</stp>
        <stp>[MODL_CRM_US1.xlsx]Single Period!R16C42</stp>
        <stp>CRM US Equity</stp>
        <stp>IS_ADJ_GROSS_PROFIT_AS_REPORTED/1M</stp>
        <stp>FPR=2022Y</stp>
        <stp>FPT=A</stp>
        <stp>FA_ACT_EST_DATA=E, EST_SOURCE=PSG</stp>
        <stp>ACT_EST_MAPPING=PRECISE</stp>
        <stp>FS=MRC</stp>
        <stp>CURRENCY=USD</stp>
        <stp>XLFILL=b</stp>
        <tr r="AP16" s="2"/>
      </tp>
      <tp t="s">
        <v/>
        <stp/>
        <stp>##V3_BQLV12</stp>
        <stp>[MODL_CRM_US1.xlsx]Single Period!R81C23</stp>
        <stp>CRM US Equity</stp>
        <stp>IS_TOT_OPER_EXP/1M</stp>
        <stp>FPR=2022Y</stp>
        <stp>FPT=A</stp>
        <stp>FA_ACT_EST_DATA=E, EST_SOURCE=JPM</stp>
        <stp>ACT_EST_MAPPING=PRECISE</stp>
        <stp>FS=MRC</stp>
        <stp>CURRENCY=USD</stp>
        <stp>XLFILL=b</stp>
        <tr r="W81" s="2"/>
      </tp>
      <tp t="s">
        <v/>
        <stp/>
        <stp>##V3_BQLV12</stp>
        <stp>[MODL_CRM_US1.xlsx]Single Period!R88C43</stp>
        <stp>CRM US Equity</stp>
        <stp>OPER_INC_TO_NET_SALES</stp>
        <stp>FPR=2022Y</stp>
        <stp>FPT=A</stp>
        <stp>FA_ACT_EST_DATA=E, EST_SOURCE=DWI</stp>
        <stp>ACT_EST_MAPPING=PRECISE</stp>
        <stp>FS=MRC</stp>
        <stp>CURRENCY=USD</stp>
        <stp>XLFILL=b</stp>
        <tr r="AQ88" s="2"/>
      </tp>
      <tp>
        <v>457.23941336302971</v>
        <stp/>
        <stp>##V3_BQLV12</stp>
        <stp>[MODL_CRM_US1.xlsx]Single Period!R162C8</stp>
        <stp>CRM US Equity</stp>
        <stp>CONTRIBUTOR_STATS(CF_CHANGE_IN_PREPAID_EXPNSS, STD)/1M</stp>
        <stp>FPR=2022Y</stp>
        <stp>FPT=A</stp>
        <stp>FA_ACT_EST_DATA=E</stp>
        <stp>ACT_EST_MAPPING=PRECISE</stp>
        <stp>FS=MRC</stp>
        <stp>CURRENCY=USD</stp>
        <stp>XLFILL=b</stp>
        <tr r="H162" s="2"/>
      </tp>
      <tp t="s">
        <v/>
        <stp/>
        <stp>##V3_BQLV12</stp>
        <stp>[MODL_CRM_US1.xlsx]Single Period!R8C35</stp>
        <stp>CRM US Equity</stp>
        <stp>REVENUE_GROWTH_CC_1_YR</stp>
        <stp>FPR=2022Y</stp>
        <stp>FPT=A</stp>
        <stp>FA_ACT_EST_DATA=E, EST_SOURCE=ATL</stp>
        <stp>ACT_EST_MAPPING=PRECISE</stp>
        <stp>FS=MRC</stp>
        <stp>CURRENCY=USD</stp>
        <stp>XLFILL=b</stp>
        <tr r="AI8" s="2"/>
      </tp>
      <tp t="s">
        <v/>
        <stp/>
        <stp>##V3_BQLV12</stp>
        <stp>[MODL_CRM_US1.xlsx]Single Period!R88C28</stp>
        <stp>CRM US Equity</stp>
        <stp>OPER_INC_TO_NET_SALES</stp>
        <stp>FPR=2022Y</stp>
        <stp>FPT=A</stp>
        <stp>FA_ACT_EST_DATA=E, EST_SOURCE=CWN</stp>
        <stp>ACT_EST_MAPPING=PRECISE</stp>
        <stp>FS=MRC</stp>
        <stp>CURRENCY=USD</stp>
        <stp>XLFILL=b</stp>
        <tr r="AB88" s="2"/>
      </tp>
      <tp t="s">
        <v/>
        <stp/>
        <stp>##V3_BQLV12</stp>
        <stp>[MODL_CRM_US1.xlsx]Single Period!R161C49</stp>
        <stp>CRM US Equity</stp>
        <stp>CF_ACCT_RCV_UNBILLED_REV/1M</stp>
        <stp>FPR=2022Y</stp>
        <stp>FPT=A</stp>
        <stp>FA_ACT_EST_DATA=E, EST_SOURCE=SGE</stp>
        <stp>ACT_EST_MAPPING=PRECISE</stp>
        <stp>FS=MRC</stp>
        <stp>CURRENCY=USD</stp>
        <stp>XLFILL=b</stp>
        <tr r="AW161" s="2"/>
      </tp>
      <tp t="s">
        <v/>
        <stp/>
        <stp>##V3_BQLV12</stp>
        <stp>[MODL_CRM_US1.xlsx]Single Period!R8C46</stp>
        <stp>CRM US Equity</stp>
        <stp>REVENUE_GROWTH_CC_1_YR</stp>
        <stp>FPR=2022Y</stp>
        <stp>FPT=A</stp>
        <stp>FA_ACT_EST_DATA=E, EST_SOURCE=CTI</stp>
        <stp>ACT_EST_MAPPING=PRECISE</stp>
        <stp>FS=MRC</stp>
        <stp>CURRENCY=USD</stp>
        <stp>XLFILL=b</stp>
        <tr r="AT8" s="2"/>
      </tp>
      <tp t="s">
        <v/>
        <stp/>
        <stp>##V3_BQLV12</stp>
        <stp>[MODL_CRM_US1.xlsx]Single Period!R161C11</stp>
        <stp>CRM US Equity</stp>
        <stp>CF_ACCT_RCV_UNBILLED_REV/1M</stp>
        <stp>FPR=2022Y</stp>
        <stp>FPT=A</stp>
        <stp>FA_ACT_EST_DATA=E, EST_SOURCE=WBL</stp>
        <stp>ACT_EST_MAPPING=PRECISE</stp>
        <stp>FS=MRC</stp>
        <stp>CURRENCY=USD</stp>
        <stp>XLFILL=b</stp>
        <tr r="K161" s="2"/>
      </tp>
      <tp t="s">
        <v/>
        <stp/>
        <stp>##V3_BQLV12</stp>
        <stp>[MODL_CRM_US1.xlsx]Single Period!R91C55</stp>
        <stp>CRM US Equity</stp>
        <stp>IS_COMP_NET_INCOME_GAAP/1M</stp>
        <stp>FPR=2022Y</stp>
        <stp>FPT=A</stp>
        <stp>FA_ACT_EST_DATA=E, EST_SOURCE=RED</stp>
        <stp>ACT_EST_MAPPING=PRECISE</stp>
        <stp>FS=MRC</stp>
        <stp>CURRENCY=USD</stp>
        <stp>XLFILL=b</stp>
        <tr r="BC91" s="2"/>
      </tp>
      <tp t="s">
        <v/>
        <stp/>
        <stp>##V3_BQLV12</stp>
        <stp>[MODL_CRM_US1.xlsx]Single Period!R88C44</stp>
        <stp>CRM US Equity</stp>
        <stp>OPER_INC_TO_NET_SALES</stp>
        <stp>FPR=2022Y</stp>
        <stp>FPT=A</stp>
        <stp>FA_ACT_EST_DATA=E, EST_SOURCE=RWB</stp>
        <stp>ACT_EST_MAPPING=PRECISE</stp>
        <stp>FS=MRC</stp>
        <stp>CURRENCY=USD</stp>
        <stp>XLFILL=b</stp>
        <tr r="AR88" s="2"/>
      </tp>
      <tp t="s">
        <v/>
        <stp/>
        <stp>##V3_BQLV12</stp>
        <stp>[MODL_CRM_US1.xlsx]Single Period!R120C25</stp>
        <stp>CRM US Equity</stp>
        <stp>BS_LONG_TERM_INVESTMENTS/1M</stp>
        <stp>FPR=2022Y</stp>
        <stp>FPT=A</stp>
        <stp>FA_ACT_EST_DATA=E, EST_SOURCE=WMS</stp>
        <stp>ACT_EST_MAPPING=PRECISE</stp>
        <stp>FS=MRC</stp>
        <stp>CURRENCY=USD</stp>
        <stp>XLFILL=b</stp>
        <tr r="Y120" s="2"/>
      </tp>
      <tp t="s">
        <v/>
        <stp/>
        <stp>##V3_BQLV12</stp>
        <stp>[MODL_CRM_US1.xlsx]Single Period!R120C14</stp>
        <stp>CRM US Equity</stp>
        <stp>BS_LONG_TERM_INVESTMENTS/1M</stp>
        <stp>FPR=2022Y</stp>
        <stp>FPT=A</stp>
        <stp>FA_ACT_EST_DATA=E, EST_SOURCE=SNR</stp>
        <stp>ACT_EST_MAPPING=PRECISE</stp>
        <stp>FS=MRC</stp>
        <stp>CURRENCY=USD</stp>
        <stp>XLFILL=b</stp>
        <tr r="N120" s="2"/>
      </tp>
      <tp>
        <v>688</v>
        <stp/>
        <stp>##V3_BQLV12</stp>
        <stp>[MODL_CRM_US1.xlsx]Single Period!R130C6</stp>
        <stp>CRM US Equity</stp>
        <stp>CONTRIBUTOR_STATS(BS_ST_OPERATING_LEASE_LIABS, MIN)/1M</stp>
        <stp>FPR=2022Y</stp>
        <stp>FPT=A</stp>
        <stp>FA_ACT_EST_DATA=E</stp>
        <stp>ACT_EST_MAPPING=PRECISE</stp>
        <stp>FS=MRC</stp>
        <stp>CURRENCY=USD</stp>
        <stp>XLFILL=b</stp>
        <tr r="F130" s="2"/>
      </tp>
      <tp>
        <v>688</v>
        <stp/>
        <stp>##V3_BQLV12</stp>
        <stp>[MODL_CRM_US1.xlsx]Single Period!R130C7</stp>
        <stp>CRM US Equity</stp>
        <stp>CONTRIBUTOR_STATS(BS_ST_OPERATING_LEASE_LIABS, MAX)/1M</stp>
        <stp>FPR=2022Y</stp>
        <stp>FPT=A</stp>
        <stp>FA_ACT_EST_DATA=E</stp>
        <stp>ACT_EST_MAPPING=PRECISE</stp>
        <stp>FS=MRC</stp>
        <stp>CURRENCY=USD</stp>
        <stp>XLFILL=b</stp>
        <tr r="G130" s="2"/>
      </tp>
      <tp>
        <v>-932.04092067452802</v>
        <stp/>
        <stp>##V3_BQLV12</stp>
        <stp>[MODL_CRM_US1.xlsx]Single Period!R161C16</stp>
        <stp>CRM US Equity</stp>
        <stp>CF_ACCT_RCV_UNBILLED_REV/1M</stp>
        <stp>FPR=2022Y</stp>
        <stp>FPT=A</stp>
        <stp>FA_ACT_EST_DATA=E, EST_SOURCE=DBG</stp>
        <stp>ACT_EST_MAPPING=PRECISE</stp>
        <stp>FS=MRC</stp>
        <stp>CURRENCY=USD</stp>
        <stp>XLFILL=b</stp>
        <tr r="P161" s="2"/>
      </tp>
      <tp t="s">
        <v/>
        <stp/>
        <stp>##V3_BQLV12</stp>
        <stp>[MODL_CRM_US1.xlsx]Single Period!R120C20</stp>
        <stp>CRM US Equity</stp>
        <stp>BS_LONG_TERM_INVESTMENTS/1M</stp>
        <stp>FPR=2022Y</stp>
        <stp>FPT=A</stp>
        <stp>FA_ACT_EST_DATA=E, EST_SOURCE=JMP</stp>
        <stp>ACT_EST_MAPPING=PRECISE</stp>
        <stp>FS=MRC</stp>
        <stp>CURRENCY=USD</stp>
        <stp>XLFILL=b</stp>
        <tr r="T120" s="2"/>
      </tp>
      <tp t="s">
        <v/>
        <stp/>
        <stp>##V3_BQLV12</stp>
        <stp>[MODL_CRM_US1.xlsx]Single Period!R187C33</stp>
        <stp>CRM US Equity</stp>
        <stp>CF_NET_CHNG_CASH/1M</stp>
        <stp>FPR=2022Y</stp>
        <stp>FPT=A</stp>
        <stp>FA_ACT_EST_DATA=E, EST_SOURCE=RHR</stp>
        <stp>ACT_EST_MAPPING=PRECISE</stp>
        <stp>FS=MRC</stp>
        <stp>CURRENCY=USD</stp>
        <stp>XLFILL=b</stp>
        <tr r="AG187" s="2"/>
      </tp>
      <tp>
        <v>366</v>
        <stp/>
        <stp>##V3_BQLV12</stp>
        <stp>[MODL_CRM_US1.xlsx]Single Period!R91C34</stp>
        <stp>CRM US Equity</stp>
        <stp>IS_COMP_NET_INCOME_GAAP/1M</stp>
        <stp>FPR=2022Y</stp>
        <stp>FPT=A</stp>
        <stp>FA_ACT_EST_DATA=E, EST_SOURCE=JEF</stp>
        <stp>ACT_EST_MAPPING=PRECISE</stp>
        <stp>FS=MRC</stp>
        <stp>CURRENCY=USD</stp>
        <stp>XLFILL=b</stp>
        <tr r="AH91" s="2"/>
      </tp>
      <tp>
        <v>821</v>
        <stp/>
        <stp>##V3_BQLV12</stp>
        <stp>[MODL_CRM_US1.xlsx]Single Period!R91C26</stp>
        <stp>CRM US Equity</stp>
        <stp>IS_COMP_NET_INCOME_GAAP/1M</stp>
        <stp>FPR=2022Y</stp>
        <stp>FPT=A</stp>
        <stp>FA_ACT_EST_DATA=E, EST_SOURCE=KEY</stp>
        <stp>ACT_EST_MAPPING=PRECISE</stp>
        <stp>FS=MRC</stp>
        <stp>CURRENCY=USD</stp>
        <stp>XLFILL=b</stp>
        <tr r="Z91" s="2"/>
      </tp>
      <tp t="s">
        <v/>
        <stp/>
        <stp>##V3_BQLV12</stp>
        <stp>[MODL_CRM_US1.xlsx]Single Period!R81C22</stp>
        <stp>CRM US Equity</stp>
        <stp>IS_TOT_OPER_EXP/1M</stp>
        <stp>FPR=2022Y</stp>
        <stp>FPT=A</stp>
        <stp>FA_ACT_EST_DATA=E, EST_SOURCE=OPY</stp>
        <stp>ACT_EST_MAPPING=PRECISE</stp>
        <stp>FS=MRC</stp>
        <stp>CURRENCY=USD</stp>
        <stp>XLFILL=b</stp>
        <tr r="V81" s="2"/>
      </tp>
      <tp>
        <v>0</v>
        <stp/>
        <stp>##V3_BQLV12</stp>
        <stp>[MODL_CRM_US1.xlsx]Single Period!R130C8</stp>
        <stp>CRM US Equity</stp>
        <stp>CONTRIBUTOR_STATS(BS_ST_OPERATING_LEASE_LIABS, STD)/1M</stp>
        <stp>FPR=2022Y</stp>
        <stp>FPT=A</stp>
        <stp>FA_ACT_EST_DATA=E</stp>
        <stp>ACT_EST_MAPPING=PRECISE</stp>
        <stp>FS=MRC</stp>
        <stp>CURRENCY=USD</stp>
        <stp>XLFILL=b</stp>
        <tr r="H130" s="2"/>
      </tp>
      <tp t="s">
        <v/>
        <stp/>
        <stp>##V3_BQLV12</stp>
        <stp>[MODL_CRM_US1.xlsx]Single Period!R161C52</stp>
        <stp>CRM US Equity</stp>
        <stp>CF_ACCT_RCV_UNBILLED_REV/1M</stp>
        <stp>FPR=2022Y</stp>
        <stp>FPT=A</stp>
        <stp>FA_ACT_EST_DATA=E, EST_SOURCE=WFR</stp>
        <stp>ACT_EST_MAPPING=PRECISE</stp>
        <stp>FS=MRC</stp>
        <stp>CURRENCY=USD</stp>
        <stp>XLFILL=b</stp>
        <tr r="AZ161" s="2"/>
      </tp>
      <tp>
        <v>-1487.4</v>
        <stp/>
        <stp>##V3_BQLV12</stp>
        <stp>[MODL_CRM_US1.xlsx]Single Period!R162C6</stp>
        <stp>CRM US Equity</stp>
        <stp>CONTRIBUTOR_STATS(CF_CHANGE_IN_PREPAID_EXPNSS, MIN)/1M</stp>
        <stp>FPR=2022Y</stp>
        <stp>FPT=A</stp>
        <stp>FA_ACT_EST_DATA=E</stp>
        <stp>ACT_EST_MAPPING=PRECISE</stp>
        <stp>FS=MRC</stp>
        <stp>CURRENCY=USD</stp>
        <stp>XLFILL=b</stp>
        <tr r="F162" s="2"/>
      </tp>
      <tp>
        <v>291.8769999999999</v>
        <stp/>
        <stp>##V3_BQLV12</stp>
        <stp>[MODL_CRM_US1.xlsx]Single Period!R162C7</stp>
        <stp>CRM US Equity</stp>
        <stp>CONTRIBUTOR_STATS(CF_CHANGE_IN_PREPAID_EXPNSS, MAX)/1M</stp>
        <stp>FPR=2022Y</stp>
        <stp>FPT=A</stp>
        <stp>FA_ACT_EST_DATA=E</stp>
        <stp>ACT_EST_MAPPING=PRECISE</stp>
        <stp>FS=MRC</stp>
        <stp>CURRENCY=USD</stp>
        <stp>XLFILL=b</stp>
        <tr r="G162" s="2"/>
      </tp>
      <tp>
        <v>4956</v>
        <stp/>
        <stp>##V3_BQLV12</stp>
        <stp>[MODL_CRM_US1.xlsx]Single Period!R60C32</stp>
        <stp>CRM US Equity</stp>
        <stp>IS_COMPARABLE_EBIT/1M</stp>
        <stp>FPR=2022Y</stp>
        <stp>FPT=A</stp>
        <stp>FA_ACT_EST_DATA=E, EST_SOURCE=UBS</stp>
        <stp>ACT_EST_MAPPING=PRECISE</stp>
        <stp>FS=MRC</stp>
        <stp>CURRENCY=USD</stp>
        <stp>XLFILL=b</stp>
        <tr r="AF60" s="2"/>
      </tp>
      <tp>
        <v>4904</v>
        <stp/>
        <stp>##V3_BQLV12</stp>
        <stp>[MODL_CRM_US1.xlsx]Single Period!R60C31</stp>
        <stp>CRM US Equity</stp>
        <stp>IS_COMPARABLE_EBIT/1M</stp>
        <stp>FPR=2022Y</stp>
        <stp>FPT=A</stp>
        <stp>FA_ACT_EST_DATA=E, EST_SOURCE=RBC</stp>
        <stp>ACT_EST_MAPPING=PRECISE</stp>
        <stp>FS=MRC</stp>
        <stp>CURRENCY=USD</stp>
        <stp>XLFILL=b</stp>
        <tr r="AE60" s="2"/>
      </tp>
      <tp>
        <v>4859</v>
        <stp/>
        <stp>##V3_BQLV12</stp>
        <stp>[MODL_CRM_US1.xlsx]Single Period!R60C24</stp>
        <stp>CRM US Equity</stp>
        <stp>IS_COMPARABLE_EBIT/1M</stp>
        <stp>FPR=2022Y</stp>
        <stp>FPT=A</stp>
        <stp>FA_ACT_EST_DATA=E, EST_SOURCE=FBC</stp>
        <stp>ACT_EST_MAPPING=PRECISE</stp>
        <stp>FS=MRC</stp>
        <stp>CURRENCY=USD</stp>
        <stp>XLFILL=b</stp>
        <tr r="X60" s="2"/>
      </tp>
      <tp t="s">
        <v/>
        <stp/>
        <stp>##V3_BQLV12</stp>
        <stp>[MODL_CRM_US1.xlsx]Single Period!R79C28</stp>
        <stp>CRM US Equity</stp>
        <stp>CB_IS_GROSS_PROFIT/1M</stp>
        <stp>FPR=2022Y</stp>
        <stp>FPT=A</stp>
        <stp>FA_ACT_EST_DATA=E, EST_SOURCE=CWN</stp>
        <stp>ACT_EST_MAPPING=PRECISE</stp>
        <stp>FS=MRC</stp>
        <stp>CURRENCY=USD</stp>
        <stp>XLFILL=b</stp>
        <tr r="AB79" s="2"/>
      </tp>
      <tp t="s">
        <v/>
        <stp/>
        <stp>##V3_BQLV12</stp>
        <stp>[MODL_CRM_US1.xlsx]Single Period!R89C37</stp>
        <stp>CRM US Equity</stp>
        <stp>PRETAX_INC/1M</stp>
        <stp>FPR=2022Y</stp>
        <stp>FPT=A</stp>
        <stp>FA_ACT_EST_DATA=E, EST_SOURCE=EVR</stp>
        <stp>ACT_EST_MAPPING=PRECISE</stp>
        <stp>FS=MRC</stp>
        <stp>CURRENCY=USD</stp>
        <stp>XLFILL=b</stp>
        <tr r="AK89" s="2"/>
      </tp>
      <tp>
        <v>4913</v>
        <stp/>
        <stp>##V3_BQLV12</stp>
        <stp>[MODL_CRM_US1.xlsx]Single Period!R60C16</stp>
        <stp>CRM US Equity</stp>
        <stp>IS_COMPARABLE_EBIT/1M</stp>
        <stp>FPR=2022Y</stp>
        <stp>FPT=A</stp>
        <stp>FA_ACT_EST_DATA=E, EST_SOURCE=DBG</stp>
        <stp>ACT_EST_MAPPING=PRECISE</stp>
        <stp>FS=MRC</stp>
        <stp>CURRENCY=USD</stp>
        <stp>XLFILL=b</stp>
        <tr r="P60" s="2"/>
      </tp>
      <tp t="s">
        <v/>
        <stp/>
        <stp>##V3_BQLV12</stp>
        <stp>[MODL_CRM_US1.xlsx]Single Period!R79C43</stp>
        <stp>CRM US Equity</stp>
        <stp>CB_IS_GROSS_PROFIT/1M</stp>
        <stp>FPR=2022Y</stp>
        <stp>FPT=A</stp>
        <stp>FA_ACT_EST_DATA=E, EST_SOURCE=DWI</stp>
        <stp>ACT_EST_MAPPING=PRECISE</stp>
        <stp>FS=MRC</stp>
        <stp>CURRENCY=USD</stp>
        <stp>XLFILL=b</stp>
        <tr r="AQ79" s="2"/>
      </tp>
      <tp t="s">
        <v/>
        <stp/>
        <stp>##V3_BQLV12</stp>
        <stp>[MODL_CRM_US1.xlsx]Single Period!R79C44</stp>
        <stp>CRM US Equity</stp>
        <stp>CB_IS_GROSS_PROFIT/1M</stp>
        <stp>FPR=2022Y</stp>
        <stp>FPT=A</stp>
        <stp>FA_ACT_EST_DATA=E, EST_SOURCE=RWB</stp>
        <stp>ACT_EST_MAPPING=PRECISE</stp>
        <stp>FS=MRC</stp>
        <stp>CURRENCY=USD</stp>
        <stp>XLFILL=b</stp>
        <tr r="AR79" s="2"/>
      </tp>
      <tp>
        <v>4918</v>
        <stp/>
        <stp>##V3_BQLV12</stp>
        <stp>[MODL_CRM_US1.xlsx]Single Period!R60C11</stp>
        <stp>CRM US Equity</stp>
        <stp>IS_COMPARABLE_EBIT/1M</stp>
        <stp>FPR=2022Y</stp>
        <stp>FPT=A</stp>
        <stp>FA_ACT_EST_DATA=E, EST_SOURCE=WBL</stp>
        <stp>ACT_EST_MAPPING=PRECISE</stp>
        <stp>FS=MRC</stp>
        <stp>CURRENCY=USD</stp>
        <stp>XLFILL=b</stp>
        <tr r="K60" s="2"/>
      </tp>
      <tp>
        <v>4.67</v>
        <stp/>
        <stp>##V3_BQLV12</stp>
        <stp>[MODL_CRM_US1.xlsx]Single Period!R6C44</stp>
        <stp>CRM US Equity</stp>
        <stp>IS_COMP_EPS_EXCL_STOCK_COMP</stp>
        <stp>FPR=2022Y</stp>
        <stp>FPT=A</stp>
        <stp>FA_ACT_EST_DATA=E, EST_SOURCE=RWB</stp>
        <stp>ACT_EST_MAPPING=PRECISE</stp>
        <stp>FS=MRC</stp>
        <stp>CURRENCY=USD</stp>
        <stp>XLFILL=b</stp>
        <tr r="AR6" s="2"/>
      </tp>
      <tp t="s">
        <v/>
        <stp/>
        <stp>##V3_BQLV12</stp>
        <stp>[MODL_CRM_US1.xlsx]Single Period!R172C10</stp>
        <stp>CRM US Equity</stp>
        <stp>CAP_EXPEND_TO_SALES</stp>
        <stp>FPR=2022Y</stp>
        <stp>FPT=A</stp>
        <stp>FA_ACT_EST_DATA=E, EST_SOURCE=CMPY</stp>
        <stp>ACT_EST_MAPPING=PRECISE</stp>
        <stp>FS=MRC</stp>
        <stp>CURRENCY=USD</stp>
        <stp>XLFILL=b</stp>
        <tr r="J172" s="2"/>
      </tp>
      <tp>
        <v>0.85</v>
        <stp/>
        <stp>##V3_BQLV12</stp>
        <stp>[MODL_CRM_US1.xlsx]Single Period!R6C43</stp>
        <stp>CRM US Equity</stp>
        <stp>IS_COMP_EPS_EXCL_STOCK_COMP</stp>
        <stp>FPR=2022Y</stp>
        <stp>FPT=A</stp>
        <stp>FA_ACT_EST_DATA=E, EST_SOURCE=DWI</stp>
        <stp>ACT_EST_MAPPING=PRECISE</stp>
        <stp>FS=MRC</stp>
        <stp>CURRENCY=USD</stp>
        <stp>XLFILL=b</stp>
        <tr r="AQ6" s="2"/>
      </tp>
      <tp t="s">
        <v/>
        <stp/>
        <stp>##V3_BQLV12</stp>
        <stp>[MODL_CRM_US1.xlsx]Single Period!R55C22</stp>
        <stp>CRM US Equity</stp>
        <stp>IS_ADJ_GROSS_PROFIT_AS_REPORTED/1M</stp>
        <stp>FPR=2022Y</stp>
        <stp>FPT=A</stp>
        <stp>FA_ACT_EST_DATA=E, EST_SOURCE=OPY</stp>
        <stp>ACT_EST_MAPPING=PRECISE</stp>
        <stp>FS=MRC</stp>
        <stp>CURRENCY=USD</stp>
        <stp>XLFILL=b</stp>
        <tr r="V55" s="2"/>
      </tp>
      <tp t="s">
        <v/>
        <stp/>
        <stp>##V3_BQLV12</stp>
        <stp>[MODL_CRM_US1.xlsx]Single Period!R16C22</stp>
        <stp>CRM US Equity</stp>
        <stp>IS_ADJ_GROSS_PROFIT_AS_REPORTED/1M</stp>
        <stp>FPR=2022Y</stp>
        <stp>FPT=A</stp>
        <stp>FA_ACT_EST_DATA=E, EST_SOURCE=OPY</stp>
        <stp>ACT_EST_MAPPING=PRECISE</stp>
        <stp>FS=MRC</stp>
        <stp>CURRENCY=USD</stp>
        <stp>XLFILL=b</stp>
        <tr r="V16" s="2"/>
      </tp>
      <tp>
        <v>20747.95491</v>
        <stp/>
        <stp>##V3_BQLV12</stp>
        <stp>[MODL_CRM_US1.xlsx]Single Period!R55C23</stp>
        <stp>CRM US Equity</stp>
        <stp>IS_ADJ_GROSS_PROFIT_AS_REPORTED/1M</stp>
        <stp>FPR=2022Y</stp>
        <stp>FPT=A</stp>
        <stp>FA_ACT_EST_DATA=E, EST_SOURCE=JPM</stp>
        <stp>ACT_EST_MAPPING=PRECISE</stp>
        <stp>FS=MRC</stp>
        <stp>CURRENCY=USD</stp>
        <stp>XLFILL=b</stp>
        <tr r="W55" s="2"/>
      </tp>
      <tp>
        <v>20747.95491</v>
        <stp/>
        <stp>##V3_BQLV12</stp>
        <stp>[MODL_CRM_US1.xlsx]Single Period!R16C23</stp>
        <stp>CRM US Equity</stp>
        <stp>IS_ADJ_GROSS_PROFIT_AS_REPORTED/1M</stp>
        <stp>FPR=2022Y</stp>
        <stp>FPT=A</stp>
        <stp>FA_ACT_EST_DATA=E, EST_SOURCE=JPM</stp>
        <stp>ACT_EST_MAPPING=PRECISE</stp>
        <stp>FS=MRC</stp>
        <stp>CURRENCY=USD</stp>
        <stp>XLFILL=b</stp>
        <tr r="W16" s="2"/>
      </tp>
      <tp>
        <v>-17.46153846153846</v>
        <stp/>
        <stp>##V3_BQLV12</stp>
        <stp>[MODL_CRM_US1.xlsx]Single Period!R185C5</stp>
        <stp>CRM US Equity</stp>
        <stp>CF_EFFECT_FOREIGN_EXCHANGES/1M</stp>
        <stp>FPR=2022Y</stp>
        <stp>FPT=A</stp>
        <stp>FA_ACT_EST_DATA=E</stp>
        <stp>ACT_EST_MAPPING=PRECISE</stp>
        <stp>FS=MRC</stp>
        <stp>CURRENCY=USD</stp>
        <stp>XLFILL=b</stp>
        <tr r="E185" s="2"/>
      </tp>
      <tp t="s">
        <v/>
        <stp/>
        <stp>##V3_BQLV12</stp>
        <stp>[MODL_CRM_US1.xlsx]Single Period!R88C46</stp>
        <stp>CRM US Equity</stp>
        <stp>OPER_INC_TO_NET_SALES</stp>
        <stp>FPR=2022Y</stp>
        <stp>FPT=A</stp>
        <stp>FA_ACT_EST_DATA=E, EST_SOURCE=CTI</stp>
        <stp>ACT_EST_MAPPING=PRECISE</stp>
        <stp>FS=MRC</stp>
        <stp>CURRENCY=USD</stp>
        <stp>XLFILL=b</stp>
        <tr r="AT88" s="2"/>
      </tp>
      <tp t="s">
        <v/>
        <stp/>
        <stp>##V3_BQLV12</stp>
        <stp>[MODL_CRM_US1.xlsx]Single Period!R88C35</stp>
        <stp>CRM US Equity</stp>
        <stp>OPER_INC_TO_NET_SALES</stp>
        <stp>FPR=2022Y</stp>
        <stp>FPT=A</stp>
        <stp>FA_ACT_EST_DATA=E, EST_SOURCE=ATL</stp>
        <stp>ACT_EST_MAPPING=PRECISE</stp>
        <stp>FS=MRC</stp>
        <stp>CURRENCY=USD</stp>
        <stp>XLFILL=b</stp>
        <tr r="AI88" s="2"/>
      </tp>
      <tp t="s">
        <v/>
        <stp/>
        <stp>##V3_BQLV12</stp>
        <stp>[MODL_CRM_US1.xlsx]Single Period!R8C28</stp>
        <stp>CRM US Equity</stp>
        <stp>REVENUE_GROWTH_CC_1_YR</stp>
        <stp>FPR=2022Y</stp>
        <stp>FPT=A</stp>
        <stp>FA_ACT_EST_DATA=E, EST_SOURCE=CWN</stp>
        <stp>ACT_EST_MAPPING=PRECISE</stp>
        <stp>FS=MRC</stp>
        <stp>CURRENCY=USD</stp>
        <stp>XLFILL=b</stp>
        <tr r="AB8" s="2"/>
      </tp>
      <tp t="s">
        <v/>
        <stp/>
        <stp>##V3_BQLV12</stp>
        <stp>[MODL_CRM_US1.xlsx]Single Period!R120C29</stp>
        <stp>CRM US Equity</stp>
        <stp>BS_LONG_TERM_INVESTMENTS/1M</stp>
        <stp>FPR=2022Y</stp>
        <stp>FPT=A</stp>
        <stp>FA_ACT_EST_DATA=E, EST_SOURCE=BNS</stp>
        <stp>ACT_EST_MAPPING=PRECISE</stp>
        <stp>FS=MRC</stp>
        <stp>CURRENCY=USD</stp>
        <stp>XLFILL=b</stp>
        <tr r="AC120" s="2"/>
      </tp>
      <tp t="s">
        <v/>
        <stp/>
        <stp>##V3_BQLV12</stp>
        <stp>[MODL_CRM_US1.xlsx]Single Period!R8C43</stp>
        <stp>CRM US Equity</stp>
        <stp>REVENUE_GROWTH_CC_1_YR</stp>
        <stp>FPR=2022Y</stp>
        <stp>FPT=A</stp>
        <stp>FA_ACT_EST_DATA=E, EST_SOURCE=DWI</stp>
        <stp>ACT_EST_MAPPING=PRECISE</stp>
        <stp>FS=MRC</stp>
        <stp>CURRENCY=USD</stp>
        <stp>XLFILL=b</stp>
        <tr r="AQ8" s="2"/>
      </tp>
      <tp t="s">
        <v/>
        <stp/>
        <stp>##V3_BQLV12</stp>
        <stp>[MODL_CRM_US1.xlsx]Single Period!R120C56</stp>
        <stp>CRM US Equity</stp>
        <stp>BS_LONG_TERM_INVESTMENTS/1M</stp>
        <stp>FPR=2022Y</stp>
        <stp>FPT=A</stp>
        <stp>FA_ACT_EST_DATA=E, EST_SOURCE=DIR</stp>
        <stp>ACT_EST_MAPPING=PRECISE</stp>
        <stp>FS=MRC</stp>
        <stp>CURRENCY=USD</stp>
        <stp>XLFILL=b</stp>
        <tr r="BD120" s="2"/>
      </tp>
      <tp t="s">
        <v/>
        <stp/>
        <stp>##V3_BQLV12</stp>
        <stp>[MODL_CRM_US1.xlsx]Single Period!R161C55</stp>
        <stp>CRM US Equity</stp>
        <stp>CF_ACCT_RCV_UNBILLED_REV/1M</stp>
        <stp>FPR=2022Y</stp>
        <stp>FPT=A</stp>
        <stp>FA_ACT_EST_DATA=E, EST_SOURCE=RED</stp>
        <stp>ACT_EST_MAPPING=PRECISE</stp>
        <stp>FS=MRC</stp>
        <stp>CURRENCY=USD</stp>
        <stp>XLFILL=b</stp>
        <tr r="BC161" s="2"/>
      </tp>
      <tp t="s">
        <v/>
        <stp/>
        <stp>##V3_BQLV12</stp>
        <stp>[MODL_CRM_US1.xlsx]Single Period!R8C44</stp>
        <stp>CRM US Equity</stp>
        <stp>REVENUE_GROWTH_CC_1_YR</stp>
        <stp>FPR=2022Y</stp>
        <stp>FPT=A</stp>
        <stp>FA_ACT_EST_DATA=E, EST_SOURCE=RWB</stp>
        <stp>ACT_EST_MAPPING=PRECISE</stp>
        <stp>FS=MRC</stp>
        <stp>CURRENCY=USD</stp>
        <stp>XLFILL=b</stp>
        <tr r="AR8" s="2"/>
      </tp>
      <tp t="s">
        <v/>
        <stp/>
        <stp>##V3_BQLV12</stp>
        <stp>[MODL_CRM_US1.xlsx]Single Period!R81C42</stp>
        <stp>CRM US Equity</stp>
        <stp>IS_TOT_OPER_EXP/1M</stp>
        <stp>FPR=2022Y</stp>
        <stp>FPT=A</stp>
        <stp>FA_ACT_EST_DATA=E, EST_SOURCE=PSG</stp>
        <stp>ACT_EST_MAPPING=PRECISE</stp>
        <stp>FS=MRC</stp>
        <stp>CURRENCY=USD</stp>
        <stp>XLFILL=b</stp>
        <tr r="AP81" s="2"/>
      </tp>
      <tp t="s">
        <v/>
        <stp/>
        <stp>##V3_BQLV12</stp>
        <stp>[MODL_CRM_US1.xlsx]Single Period!R161C18</stp>
        <stp>CRM US Equity</stp>
        <stp>CF_ACCT_RCV_UNBILLED_REV/1M</stp>
        <stp>FPR=2022Y</stp>
        <stp>FPT=A</stp>
        <stp>FA_ACT_EST_DATA=E, EST_SOURCE=CAN</stp>
        <stp>ACT_EST_MAPPING=PRECISE</stp>
        <stp>FS=MRC</stp>
        <stp>CURRENCY=USD</stp>
        <stp>XLFILL=b</stp>
        <tr r="R161" s="2"/>
      </tp>
      <tp>
        <v>-127.3315302717447</v>
        <stp/>
        <stp>##V3_BQLV12</stp>
        <stp>[MODL_CRM_US1.xlsx]Single Period!R161C24</stp>
        <stp>CRM US Equity</stp>
        <stp>CF_ACCT_RCV_UNBILLED_REV/1M</stp>
        <stp>FPR=2022Y</stp>
        <stp>FPT=A</stp>
        <stp>FA_ACT_EST_DATA=E, EST_SOURCE=FBC</stp>
        <stp>ACT_EST_MAPPING=PRECISE</stp>
        <stp>FS=MRC</stp>
        <stp>CURRENCY=USD</stp>
        <stp>XLFILL=b</stp>
        <tr r="X161" s="2"/>
      </tp>
      <tp t="s">
        <v/>
        <stp/>
        <stp>##V3_BQLV12</stp>
        <stp>[MODL_CRM_US1.xlsx]Single Period!R120C12</stp>
        <stp>CRM US Equity</stp>
        <stp>BS_LONG_TERM_INVESTMENTS/1M</stp>
        <stp>FPR=2022Y</stp>
        <stp>FPT=A</stp>
        <stp>FA_ACT_EST_DATA=E, EST_SOURCE=BMO</stp>
        <stp>ACT_EST_MAPPING=PRECISE</stp>
        <stp>FS=MRC</stp>
        <stp>CURRENCY=USD</stp>
        <stp>XLFILL=b</stp>
        <tr r="L120" s="2"/>
      </tp>
      <tp t="s">
        <v/>
        <stp/>
        <stp>##V3_BQLV12</stp>
        <stp>[MODL_CRM_US1.xlsx]Single Period!R120C53</stp>
        <stp>CRM US Equity</stp>
        <stp>BS_LONG_TERM_INVESTMENTS/1M</stp>
        <stp>FPR=2022Y</stp>
        <stp>FPT=A</stp>
        <stp>FA_ACT_EST_DATA=E, EST_SOURCE=NIK</stp>
        <stp>ACT_EST_MAPPING=PRECISE</stp>
        <stp>FS=MRC</stp>
        <stp>CURRENCY=USD</stp>
        <stp>XLFILL=b</stp>
        <tr r="BA120" s="2"/>
      </tp>
      <tp>
        <v>19123.616581999999</v>
        <stp/>
        <stp>##V3_BQLV12</stp>
        <stp>[MODL_CRM_US1.xlsx]Single Period!R81C15</stp>
        <stp>CRM US Equity</stp>
        <stp>IS_TOT_OPER_EXP/1M</stp>
        <stp>FPR=2022Y</stp>
        <stp>FPT=A</stp>
        <stp>FA_ACT_EST_DATA=E, EST_SOURCE=MSV</stp>
        <stp>ACT_EST_MAPPING=PRECISE</stp>
        <stp>FS=MRC</stp>
        <stp>CURRENCY=USD</stp>
        <stp>XLFILL=b</stp>
        <tr r="O81" s="2"/>
      </tp>
      <tp t="s">
        <v/>
        <stp/>
        <stp>##V3_BQLV12</stp>
        <stp>[MODL_CRM_US1.xlsx]Single Period!R91C47</stp>
        <stp>CRM US Equity</stp>
        <stp>IS_COMP_NET_INCOME_GAAP/1M</stp>
        <stp>FPR=2022Y</stp>
        <stp>FPT=A</stp>
        <stp>FA_ACT_EST_DATA=E, EST_SOURCE=WFT</stp>
        <stp>ACT_EST_MAPPING=PRECISE</stp>
        <stp>FS=MRC</stp>
        <stp>CURRENCY=USD</stp>
        <stp>XLFILL=b</stp>
        <tr r="AU91" s="2"/>
      </tp>
      <tp t="s">
        <v/>
        <stp/>
        <stp>##V3_BQLV12</stp>
        <stp>[MODL_CRM_US1.xlsx]Single Period!R81C41</stp>
        <stp>CRM US Equity</stp>
        <stp>IS_TOT_OPER_EXP/1M</stp>
        <stp>FPR=2022Y</stp>
        <stp>FPT=A</stp>
        <stp>FA_ACT_EST_DATA=E, EST_SOURCE=GSR</stp>
        <stp>ACT_EST_MAPPING=PRECISE</stp>
        <stp>FS=MRC</stp>
        <stp>CURRENCY=USD</stp>
        <stp>XLFILL=b</stp>
        <tr r="AO81" s="2"/>
      </tp>
      <tp>
        <v>-9.5271812708303329</v>
        <stp/>
        <stp>##V3_BQLV12</stp>
        <stp>[MODL_CRM_US1.xlsx]Single Period!R187C21</stp>
        <stp>CRM US Equity</stp>
        <stp>CF_NET_CHNG_CASH/1M</stp>
        <stp>FPR=2022Y</stp>
        <stp>FPT=A</stp>
        <stp>FA_ACT_EST_DATA=E, EST_SOURCE=RJA</stp>
        <stp>ACT_EST_MAPPING=PRECISE</stp>
        <stp>FS=MRC</stp>
        <stp>CURRENCY=USD</stp>
        <stp>XLFILL=b</stp>
        <tr r="U187" s="2"/>
      </tp>
      <tp t="s">
        <v/>
        <stp/>
        <stp>##V3_BQLV12</stp>
        <stp>[MODL_CRM_US1.xlsx]Single Period!R81C38</stp>
        <stp>CRM US Equity</stp>
        <stp>IS_TOT_OPER_EXP/1M</stp>
        <stp>FPR=2022Y</stp>
        <stp>FPT=A</stp>
        <stp>FA_ACT_EST_DATA=E, EST_SOURCE=MSR</stp>
        <stp>ACT_EST_MAPPING=PRECISE</stp>
        <stp>FS=MRC</stp>
        <stp>CURRENCY=USD</stp>
        <stp>XLFILL=b</stp>
        <tr r="AL81" s="2"/>
      </tp>
      <tp t="s">
        <v/>
        <stp/>
        <stp>##V3_BQLV12</stp>
        <stp>[MODL_CRM_US1.xlsx]Single Period!R91C52</stp>
        <stp>CRM US Equity</stp>
        <stp>IS_COMP_NET_INCOME_GAAP/1M</stp>
        <stp>FPR=2022Y</stp>
        <stp>FPT=A</stp>
        <stp>FA_ACT_EST_DATA=E, EST_SOURCE=WFR</stp>
        <stp>ACT_EST_MAPPING=PRECISE</stp>
        <stp>FS=MRC</stp>
        <stp>CURRENCY=USD</stp>
        <stp>XLFILL=b</stp>
        <tr r="AZ91" s="2"/>
      </tp>
      <tp>
        <v>4913</v>
        <stp/>
        <stp>##V3_BQLV12</stp>
        <stp>[MODL_CRM_US1.xlsx]Single Period!R19C33</stp>
        <stp>CRM US Equity</stp>
        <stp>IS_COMPARABLE_EBIT/1M</stp>
        <stp>FPR=2022Y</stp>
        <stp>FPT=A</stp>
        <stp>FA_ACT_EST_DATA=E, EST_SOURCE=RHR</stp>
        <stp>ACT_EST_MAPPING=PRECISE</stp>
        <stp>FS=MRC</stp>
        <stp>CURRENCY=USD</stp>
        <stp>XLFILL=b</stp>
        <tr r="AG19" s="2"/>
      </tp>
      <tp>
        <v>4906</v>
        <stp/>
        <stp>##V3_BQLV12</stp>
        <stp>[MODL_CRM_US1.xlsx]Single Period!R60C36</stp>
        <stp>CRM US Equity</stp>
        <stp>IS_COMPARABLE_EBIT/1M</stp>
        <stp>FPR=2022Y</stp>
        <stp>FPT=A</stp>
        <stp>FA_ACT_EST_DATA=E, EST_SOURCE=MAC</stp>
        <stp>ACT_EST_MAPPING=PRECISE</stp>
        <stp>FS=MRC</stp>
        <stp>CURRENCY=USD</stp>
        <stp>XLFILL=b</stp>
        <tr r="AJ60" s="2"/>
      </tp>
      <tp t="s">
        <v/>
        <stp/>
        <stp>##V3_BQLV12</stp>
        <stp>[MODL_CRM_US1.xlsx]Single Period!R79C35</stp>
        <stp>CRM US Equity</stp>
        <stp>CB_IS_GROSS_PROFIT/1M</stp>
        <stp>FPR=2022Y</stp>
        <stp>FPT=A</stp>
        <stp>FA_ACT_EST_DATA=E, EST_SOURCE=ATL</stp>
        <stp>ACT_EST_MAPPING=PRECISE</stp>
        <stp>FS=MRC</stp>
        <stp>CURRENCY=USD</stp>
        <stp>XLFILL=b</stp>
        <tr r="AI79" s="2"/>
      </tp>
      <tp t="s">
        <v/>
        <stp/>
        <stp>##V3_BQLV12</stp>
        <stp>[MODL_CRM_US1.xlsx]Single Period!R79C46</stp>
        <stp>CRM US Equity</stp>
        <stp>CB_IS_GROSS_PROFIT/1M</stp>
        <stp>FPR=2022Y</stp>
        <stp>FPT=A</stp>
        <stp>FA_ACT_EST_DATA=E, EST_SOURCE=CTI</stp>
        <stp>ACT_EST_MAPPING=PRECISE</stp>
        <stp>FS=MRC</stp>
        <stp>CURRENCY=USD</stp>
        <stp>XLFILL=b</stp>
        <tr r="AT79" s="2"/>
      </tp>
      <tp>
        <v>4895</v>
        <stp/>
        <stp>##V3_BQLV12</stp>
        <stp>[MODL_CRM_US1.xlsx]Single Period!R60C18</stp>
        <stp>CRM US Equity</stp>
        <stp>IS_COMPARABLE_EBIT/1M</stp>
        <stp>FPR=2022Y</stp>
        <stp>FPT=A</stp>
        <stp>FA_ACT_EST_DATA=E, EST_SOURCE=CAN</stp>
        <stp>ACT_EST_MAPPING=PRECISE</stp>
        <stp>FS=MRC</stp>
        <stp>CURRENCY=USD</stp>
        <stp>XLFILL=b</stp>
        <tr r="R60" s="2"/>
      </tp>
      <tp>
        <v>4911</v>
        <stp/>
        <stp>##V3_BQLV12</stp>
        <stp>[MODL_CRM_US1.xlsx]Single Period!R60C30</stp>
        <stp>CRM US Equity</stp>
        <stp>IS_COMPARABLE_EBIT/1M</stp>
        <stp>FPR=2022Y</stp>
        <stp>FPT=A</stp>
        <stp>FA_ACT_EST_DATA=E, EST_SOURCE=BAM</stp>
        <stp>ACT_EST_MAPPING=PRECISE</stp>
        <stp>FS=MRC</stp>
        <stp>CURRENCY=USD</stp>
        <stp>XLFILL=b</stp>
        <tr r="AD60" s="2"/>
      </tp>
      <tp>
        <v>4.68</v>
        <stp/>
        <stp>##V3_BQLV12</stp>
        <stp>[MODL_CRM_US1.xlsx]Single Period!R6C38</stp>
        <stp>CRM US Equity</stp>
        <stp>IS_COMP_EPS_EXCL_STOCK_COMP</stp>
        <stp>FPR=2022Y</stp>
        <stp>FPT=A</stp>
        <stp>FA_ACT_EST_DATA=E, EST_SOURCE=MSR</stp>
        <stp>ACT_EST_MAPPING=PRECISE</stp>
        <stp>FS=MRC</stp>
        <stp>CURRENCY=USD</stp>
        <stp>XLFILL=b</stp>
        <tr r="AL6" s="2"/>
      </tp>
      <tp>
        <v>4.67</v>
        <stp/>
        <stp>##V3_BQLV12</stp>
        <stp>[MODL_CRM_US1.xlsx]Single Period!R6C46</stp>
        <stp>CRM US Equity</stp>
        <stp>IS_COMP_EPS_EXCL_STOCK_COMP</stp>
        <stp>FPR=2022Y</stp>
        <stp>FPT=A</stp>
        <stp>FA_ACT_EST_DATA=E, EST_SOURCE=CTI</stp>
        <stp>ACT_EST_MAPPING=PRECISE</stp>
        <stp>FS=MRC</stp>
        <stp>CURRENCY=USD</stp>
        <stp>XLFILL=b</stp>
        <tr r="AT6" s="2"/>
      </tp>
      <tp>
        <v>4586</v>
        <stp/>
        <stp>##V3_BQLV12</stp>
        <stp>[MODL_CRM_US1.xlsx]Single Period!R70C23</stp>
        <stp>CRM US Equity</stp>
        <stp>IS_COMP_NET_INC_EXCL_STOCK_COMP/1M</stp>
        <stp>FPR=2022Y</stp>
        <stp>FPT=A</stp>
        <stp>FA_ACT_EST_DATA=E, EST_SOURCE=JPM</stp>
        <stp>ACT_EST_MAPPING=PRECISE</stp>
        <stp>FS=MRC</stp>
        <stp>CURRENCY=USD</stp>
        <stp>XLFILL=b</stp>
        <tr r="W70" s="2"/>
      </tp>
      <tp t="s">
        <v/>
        <stp/>
        <stp>##V3_BQLV12</stp>
        <stp>[MODL_CRM_US1.xlsx]Single Period!R49C28</stp>
        <stp>SEG0000269229 Segment</stp>
        <stp>IS_PERCENTAGE_OF_REVENUE</stp>
        <stp>FPR=2022Y</stp>
        <stp>FPT=A</stp>
        <stp>FA_ACT_EST_DATA=E, EST_SOURCE=CWN</stp>
        <stp>ACT_EST_MAPPING=PRECISE</stp>
        <stp>FS=MRC</stp>
        <stp>CURRENCY=USD</stp>
        <stp>XLFILL=b</stp>
        <tr r="AB49" s="2"/>
      </tp>
      <tp t="s">
        <v/>
        <stp/>
        <stp>##V3_BQLV12</stp>
        <stp>[MODL_CRM_US1.xlsx]Single Period!R44C28</stp>
        <stp>SEG0000269240 Segment</stp>
        <stp>IS_PERCENTAGE_OF_REVENUE</stp>
        <stp>FPR=2022Y</stp>
        <stp>FPT=A</stp>
        <stp>FA_ACT_EST_DATA=E, EST_SOURCE=CWN</stp>
        <stp>ACT_EST_MAPPING=PRECISE</stp>
        <stp>FS=MRC</stp>
        <stp>CURRENCY=USD</stp>
        <stp>XLFILL=b</stp>
        <tr r="AB44" s="2"/>
      </tp>
      <tp>
        <v>4552</v>
        <stp/>
        <stp>##V3_BQLV12</stp>
        <stp>[MODL_CRM_US1.xlsx]Single Period!R70C22</stp>
        <stp>CRM US Equity</stp>
        <stp>IS_COMP_NET_INC_EXCL_STOCK_COMP/1M</stp>
        <stp>FPR=2022Y</stp>
        <stp>FPT=A</stp>
        <stp>FA_ACT_EST_DATA=E, EST_SOURCE=OPY</stp>
        <stp>ACT_EST_MAPPING=PRECISE</stp>
        <stp>FS=MRC</stp>
        <stp>CURRENCY=USD</stp>
        <stp>XLFILL=b</stp>
        <tr r="V70" s="2"/>
      </tp>
      <tp t="s">
        <v/>
        <stp/>
        <stp>##V3_BQLV12</stp>
        <stp>[MODL_CRM_US1.xlsx]Single Period!R161C27</stp>
        <stp>CRM US Equity</stp>
        <stp>CF_ACCT_RCV_UNBILLED_REV/1M</stp>
        <stp>FPR=2022Y</stp>
        <stp>FPT=A</stp>
        <stp>FA_ACT_EST_DATA=E, EST_SOURCE=LCM</stp>
        <stp>ACT_EST_MAPPING=PRECISE</stp>
        <stp>FS=MRC</stp>
        <stp>CURRENCY=USD</stp>
        <stp>XLFILL=b</stp>
        <tr r="AA161" s="2"/>
      </tp>
      <tp t="s">
        <v/>
        <stp/>
        <stp>##V3_BQLV12</stp>
        <stp>[MODL_CRM_US1.xlsx]Single Period!R91C39</stp>
        <stp>CRM US Equity</stp>
        <stp>IS_COMP_NET_INCOME_GAAP/1M</stp>
        <stp>FPR=2022Y</stp>
        <stp>FPT=A</stp>
        <stp>FA_ACT_EST_DATA=E, EST_SOURCE=KGI</stp>
        <stp>ACT_EST_MAPPING=PRECISE</stp>
        <stp>FS=MRC</stp>
        <stp>CURRENCY=USD</stp>
        <stp>XLFILL=b</stp>
        <tr r="AM91" s="2"/>
      </tp>
      <tp t="s">
        <v/>
        <stp/>
        <stp>##V3_BQLV12</stp>
        <stp>[MODL_CRM_US1.xlsx]Single Period!R161C31</stp>
        <stp>CRM US Equity</stp>
        <stp>CF_ACCT_RCV_UNBILLED_REV/1M</stp>
        <stp>FPR=2022Y</stp>
        <stp>FPT=A</stp>
        <stp>FA_ACT_EST_DATA=E, EST_SOURCE=RBC</stp>
        <stp>ACT_EST_MAPPING=PRECISE</stp>
        <stp>FS=MRC</stp>
        <stp>CURRENCY=USD</stp>
        <stp>XLFILL=b</stp>
        <tr r="AE161" s="2"/>
      </tp>
      <tp t="s">
        <v/>
        <stp/>
        <stp>##V3_BQLV12</stp>
        <stp>[MODL_CRM_US1.xlsx]Single Period!R91C49</stp>
        <stp>CRM US Equity</stp>
        <stp>IS_COMP_NET_INCOME_GAAP/1M</stp>
        <stp>FPR=2022Y</stp>
        <stp>FPT=A</stp>
        <stp>FA_ACT_EST_DATA=E, EST_SOURCE=SGE</stp>
        <stp>ACT_EST_MAPPING=PRECISE</stp>
        <stp>FS=MRC</stp>
        <stp>CURRENCY=USD</stp>
        <stp>XLFILL=b</stp>
        <tr r="AW91" s="2"/>
      </tp>
      <tp t="s">
        <v/>
        <stp/>
        <stp>##V3_BQLV12</stp>
        <stp>[MODL_CRM_US1.xlsx]Single Period!R81C45</stp>
        <stp>CRM US Equity</stp>
        <stp>IS_TOT_OPER_EXP/1M</stp>
        <stp>FPR=2022Y</stp>
        <stp>FPT=A</stp>
        <stp>FA_ACT_EST_DATA=E, EST_SOURCE=ARG</stp>
        <stp>ACT_EST_MAPPING=PRECISE</stp>
        <stp>FS=MRC</stp>
        <stp>CURRENCY=USD</stp>
        <stp>XLFILL=b</stp>
        <tr r="AS81" s="2"/>
      </tp>
      <tp t="s">
        <v/>
        <stp/>
        <stp>##V3_BQLV12</stp>
        <stp>[MODL_CRM_US1.xlsx]Single Period!R81C54</stp>
        <stp>CRM US Equity</stp>
        <stp>IS_TOT_OPER_EXP/1M</stp>
        <stp>FPR=2022Y</stp>
        <stp>FPT=A</stp>
        <stp>FA_ACT_EST_DATA=E, EST_SOURCE=ARE</stp>
        <stp>ACT_EST_MAPPING=PRECISE</stp>
        <stp>FS=MRC</stp>
        <stp>CURRENCY=USD</stp>
        <stp>XLFILL=b</stp>
        <tr r="BB81" s="2"/>
      </tp>
      <tp>
        <v>0.20191419144489239</v>
        <stp/>
        <stp>##V3_BQLV12</stp>
        <stp>[MODL_CRM_US1.xlsx]Single Period!R71C8</stp>
        <stp>CRM US Equity</stp>
        <stp>CONTRIBUTOR_STATS(ADJ_PROFIT_MARGIN, STD)</stp>
        <stp>FPR=2022Y</stp>
        <stp>FPT=A</stp>
        <stp>FA_ACT_EST_DATA=E</stp>
        <stp>ACT_EST_MAPPING=PRECISE</stp>
        <stp>FS=MRC</stp>
        <stp>CURRENCY=USD</stp>
        <stp>XLFILL=b</stp>
        <tr r="H71" s="2"/>
      </tp>
      <tp t="s">
        <v/>
        <stp/>
        <stp>##V3_BQLV12</stp>
        <stp>[MODL_CRM_US1.xlsx]Single Period!R8C37</stp>
        <stp>CRM US Equity</stp>
        <stp>REVENUE_GROWTH_CC_1_YR</stp>
        <stp>FPR=2022Y</stp>
        <stp>FPT=A</stp>
        <stp>FA_ACT_EST_DATA=E, EST_SOURCE=EVR</stp>
        <stp>ACT_EST_MAPPING=PRECISE</stp>
        <stp>FS=MRC</stp>
        <stp>CURRENCY=USD</stp>
        <stp>XLFILL=b</stp>
        <tr r="AK8" s="2"/>
      </tp>
      <tp t="s">
        <v/>
        <stp/>
        <stp>##V3_BQLV12</stp>
        <stp>[MODL_CRM_US1.xlsx]Single Period!R161C32</stp>
        <stp>CRM US Equity</stp>
        <stp>CF_ACCT_RCV_UNBILLED_REV/1M</stp>
        <stp>FPR=2022Y</stp>
        <stp>FPT=A</stp>
        <stp>FA_ACT_EST_DATA=E, EST_SOURCE=UBS</stp>
        <stp>ACT_EST_MAPPING=PRECISE</stp>
        <stp>FS=MRC</stp>
        <stp>CURRENCY=USD</stp>
        <stp>XLFILL=b</stp>
        <tr r="AF161" s="2"/>
      </tp>
      <tp t="s">
        <v/>
        <stp/>
        <stp>##V3_BQLV12</stp>
        <stp>[MODL_CRM_US1.xlsx]Single Period!R134C10</stp>
        <stp>CRM US Equity</stp>
        <stp>BS_LT_OPERATING_LEASE_LIABS/1M</stp>
        <stp>FPR=2022Y</stp>
        <stp>FPT=A</stp>
        <stp>FA_ACT_EST_DATA=E, EST_SOURCE=CMPY</stp>
        <stp>ACT_EST_MAPPING=PRECISE</stp>
        <stp>FS=MRC</stp>
        <stp>CURRENCY=USD</stp>
        <stp>XLFILL=b</stp>
        <tr r="J134" s="2"/>
      </tp>
      <tp t="s">
        <v/>
        <stp/>
        <stp>##V3_BQLV12</stp>
        <stp>[MODL_CRM_US1.xlsx]Single Period!R19C56</stp>
        <stp>CRM US Equity</stp>
        <stp>IS_COMPARABLE_EBIT/1M</stp>
        <stp>FPR=2022Y</stp>
        <stp>FPT=A</stp>
        <stp>FA_ACT_EST_DATA=E, EST_SOURCE=DIR</stp>
        <stp>ACT_EST_MAPPING=PRECISE</stp>
        <stp>FS=MRC</stp>
        <stp>CURRENCY=USD</stp>
        <stp>XLFILL=b</stp>
        <tr r="BD19" s="2"/>
      </tp>
      <tp t="s">
        <v/>
        <stp/>
        <stp>##V3_BQLV12</stp>
        <stp>[MODL_CRM_US1.xlsx]Single Period!R77C29</stp>
        <stp>CRM US Equity</stp>
        <stp>IS_COGS_TO_FE_AND_PP_AND_G/1M</stp>
        <stp>FPR=2022Y</stp>
        <stp>FPT=A</stp>
        <stp>FA_ACT_EST_DATA=E, EST_SOURCE=BNS</stp>
        <stp>ACT_EST_MAPPING=PRECISE</stp>
        <stp>FS=MRC</stp>
        <stp>CURRENCY=USD</stp>
        <stp>XLFILL=b</stp>
        <tr r="AC77" s="2"/>
      </tp>
      <tp t="s">
        <v/>
        <stp/>
        <stp>##V3_BQLV12</stp>
        <stp>[MODL_CRM_US1.xlsx]Single Period!R77C14</stp>
        <stp>CRM US Equity</stp>
        <stp>IS_COGS_TO_FE_AND_PP_AND_G/1M</stp>
        <stp>FPR=2022Y</stp>
        <stp>FPT=A</stp>
        <stp>FA_ACT_EST_DATA=E, EST_SOURCE=SNR</stp>
        <stp>ACT_EST_MAPPING=PRECISE</stp>
        <stp>FS=MRC</stp>
        <stp>CURRENCY=USD</stp>
        <stp>XLFILL=b</stp>
        <tr r="N77" s="2"/>
      </tp>
      <tp t="s">
        <v/>
        <stp/>
        <stp>##V3_BQLV12</stp>
        <stp>[MODL_CRM_US1.xlsx]Single Period!R89C46</stp>
        <stp>CRM US Equity</stp>
        <stp>PRETAX_INC/1M</stp>
        <stp>FPR=2022Y</stp>
        <stp>FPT=A</stp>
        <stp>FA_ACT_EST_DATA=E, EST_SOURCE=CTI</stp>
        <stp>ACT_EST_MAPPING=PRECISE</stp>
        <stp>FS=MRC</stp>
        <stp>CURRENCY=USD</stp>
        <stp>XLFILL=b</stp>
        <tr r="AT89" s="2"/>
      </tp>
      <tp t="s">
        <v/>
        <stp/>
        <stp>##V3_BQLV12</stp>
        <stp>[MODL_CRM_US1.xlsx]Single Period!R89C35</stp>
        <stp>CRM US Equity</stp>
        <stp>PRETAX_INC/1M</stp>
        <stp>FPR=2022Y</stp>
        <stp>FPT=A</stp>
        <stp>FA_ACT_EST_DATA=E, EST_SOURCE=ATL</stp>
        <stp>ACT_EST_MAPPING=PRECISE</stp>
        <stp>FS=MRC</stp>
        <stp>CURRENCY=USD</stp>
        <stp>XLFILL=b</stp>
        <tr r="AI89" s="2"/>
      </tp>
      <tp t="s">
        <v/>
        <stp/>
        <stp>##V3_BQLV12</stp>
        <stp>[MODL_CRM_US1.xlsx]Single Period!R19C53</stp>
        <stp>CRM US Equity</stp>
        <stp>IS_COMPARABLE_EBIT/1M</stp>
        <stp>FPR=2022Y</stp>
        <stp>FPT=A</stp>
        <stp>FA_ACT_EST_DATA=E, EST_SOURCE=NIK</stp>
        <stp>ACT_EST_MAPPING=PRECISE</stp>
        <stp>FS=MRC</stp>
        <stp>CURRENCY=USD</stp>
        <stp>XLFILL=b</stp>
        <tr r="BA19" s="2"/>
      </tp>
      <tp>
        <v>-774.99999999999932</v>
        <stp/>
        <stp>##V3_BQLV12</stp>
        <stp>[MODL_CRM_US1.xlsx]Single Period!R171C9</stp>
        <stp>CRM US Equity</stp>
        <stp>CONTRIBUTOR_STATS(CF_PURCHASE_OF_FIXED_PROD_ASSETS, MEDIAN)/1M</stp>
        <stp>FPR=2022Y</stp>
        <stp>FPT=A</stp>
        <stp>FA_ACT_EST_DATA=E</stp>
        <stp>ACT_EST_MAPPING=PRECISE</stp>
        <stp>FS=MRC</stp>
        <stp>CURRENCY=USD</stp>
        <stp>XLFILL=b</stp>
        <tr r="I171" s="2"/>
      </tp>
      <tp>
        <v>1242</v>
        <stp/>
        <stp>##V3_BQLV12</stp>
        <stp>[MODL_CRM_US1.xlsx]Single Period!R104C6</stp>
        <stp>CRM US Equity</stp>
        <stp>CONTRIBUTOR_STATS(IS_AMORT_OF_TOT_INTANG_PRETX, MIN)/1M</stp>
        <stp>FPR=2022Y</stp>
        <stp>FPT=A</stp>
        <stp>FA_ACT_EST_DATA=E</stp>
        <stp>ACT_EST_MAPPING=PRECISE</stp>
        <stp>FS=MRC</stp>
        <stp>CURRENCY=USD</stp>
        <stp>XLFILL=b</stp>
        <tr r="F104" s="2"/>
      </tp>
      <tp>
        <v>1665</v>
        <stp/>
        <stp>##V3_BQLV12</stp>
        <stp>[MODL_CRM_US1.xlsx]Single Period!R104C7</stp>
        <stp>CRM US Equity</stp>
        <stp>CONTRIBUTOR_STATS(IS_AMORT_OF_TOT_INTANG_PRETX, MAX)/1M</stp>
        <stp>FPR=2022Y</stp>
        <stp>FPT=A</stp>
        <stp>FA_ACT_EST_DATA=E</stp>
        <stp>ACT_EST_MAPPING=PRECISE</stp>
        <stp>FS=MRC</stp>
        <stp>CURRENCY=USD</stp>
        <stp>XLFILL=b</stp>
        <tr r="G104" s="2"/>
      </tp>
      <tp>
        <v>2157.2855967866089</v>
        <stp/>
        <stp>##V3_BQLV12</stp>
        <stp>[MODL_CRM_US1.xlsx]Single Period!R135C7</stp>
        <stp>CRM US Equity</stp>
        <stp>CONTRIBUTOR_STATS(CB_BS_OTHER_NONCURRENT_LIABS, MAX)/1M</stp>
        <stp>FPR=2022Y</stp>
        <stp>FPT=A</stp>
        <stp>FA_ACT_EST_DATA=E</stp>
        <stp>ACT_EST_MAPPING=PRECISE</stp>
        <stp>FS=MRC</stp>
        <stp>CURRENCY=USD</stp>
        <stp>XLFILL=b</stp>
        <tr r="G135" s="2"/>
      </tp>
      <tp>
        <v>2034</v>
        <stp/>
        <stp>##V3_BQLV12</stp>
        <stp>[MODL_CRM_US1.xlsx]Single Period!R135C6</stp>
        <stp>CRM US Equity</stp>
        <stp>CONTRIBUTOR_STATS(CB_BS_OTHER_NONCURRENT_LIABS, MIN)/1M</stp>
        <stp>FPR=2022Y</stp>
        <stp>FPT=A</stp>
        <stp>FA_ACT_EST_DATA=E</stp>
        <stp>ACT_EST_MAPPING=PRECISE</stp>
        <stp>FS=MRC</stp>
        <stp>CURRENCY=USD</stp>
        <stp>XLFILL=b</stp>
        <tr r="F135" s="2"/>
      </tp>
      <tp>
        <v>100.9029003837034</v>
        <stp/>
        <stp>##V3_BQLV12</stp>
        <stp>[MODL_CRM_US1.xlsx]Single Period!R104C8</stp>
        <stp>CRM US Equity</stp>
        <stp>CONTRIBUTOR_STATS(IS_AMORT_OF_TOT_INTANG_PRETX, STD)/1M</stp>
        <stp>FPR=2022Y</stp>
        <stp>FPT=A</stp>
        <stp>FA_ACT_EST_DATA=E</stp>
        <stp>ACT_EST_MAPPING=PRECISE</stp>
        <stp>FS=MRC</stp>
        <stp>CURRENCY=USD</stp>
        <stp>XLFILL=b</stp>
        <tr r="H104" s="2"/>
      </tp>
      <tp>
        <v>54.526106746530942</v>
        <stp/>
        <stp>##V3_BQLV12</stp>
        <stp>[MODL_CRM_US1.xlsx]Single Period!R135C8</stp>
        <stp>CRM US Equity</stp>
        <stp>CONTRIBUTOR_STATS(CB_BS_OTHER_NONCURRENT_LIABS, STD)/1M</stp>
        <stp>FPR=2022Y</stp>
        <stp>FPT=A</stp>
        <stp>FA_ACT_EST_DATA=E</stp>
        <stp>ACT_EST_MAPPING=PRECISE</stp>
        <stp>FS=MRC</stp>
        <stp>CURRENCY=USD</stp>
        <stp>XLFILL=b</stp>
        <tr r="H135" s="2"/>
      </tp>
      <tp>
        <v>93.336409718109422</v>
        <stp/>
        <stp>##V3_BQLV12</stp>
        <stp>[MODL_CRM_US1.xlsx]Single Period!R25C15</stp>
        <stp>SEG0000269238 Segment</stp>
        <stp>IS_PERCENTAGE_OF_REVENUE</stp>
        <stp>FPR=2022Y</stp>
        <stp>FPT=A</stp>
        <stp>FA_ACT_EST_DATA=E, EST_SOURCE=MSV</stp>
        <stp>ACT_EST_MAPPING=PRECISE</stp>
        <stp>FS=MRC</stp>
        <stp>CURRENCY=USD</stp>
        <stp>XLFILL=b</stp>
        <tr r="O25" s="2"/>
      </tp>
      <tp>
        <v>21.651589402294931</v>
        <stp/>
        <stp>##V3_BQLV12</stp>
        <stp>[MODL_CRM_US1.xlsx]Single Period!R184C7</stp>
        <stp>CRM US Equity</stp>
        <stp>CONTRIBUTOR_STATS(CFO_TO_SALES, MAX)</stp>
        <stp>FPR=2022Y</stp>
        <stp>FPT=A</stp>
        <stp>FA_ACT_EST_DATA=E</stp>
        <stp>ACT_EST_MAPPING=PRECISE</stp>
        <stp>FS=MRC</stp>
        <stp>CURRENCY=USD</stp>
        <stp>XLFILL=b</stp>
        <tr r="G184" s="2"/>
      </tp>
      <tp t="s">
        <v/>
        <stp/>
        <stp>##V3_BQLV12</stp>
        <stp>[MODL_CRM_US1.xlsx]Single Period!R33C45</stp>
        <stp>SEG0000269227 Segment</stp>
        <stp>IS_PERCENTAGE_OF_REVENUE</stp>
        <stp>FPR=2022Y</stp>
        <stp>FPT=A</stp>
        <stp>FA_ACT_EST_DATA=E, EST_SOURCE=ARG</stp>
        <stp>ACT_EST_MAPPING=PRECISE</stp>
        <stp>FS=MRC</stp>
        <stp>CURRENCY=USD</stp>
        <stp>XLFILL=b</stp>
        <tr r="AS33" s="2"/>
      </tp>
      <tp t="s">
        <v/>
        <stp/>
        <stp>##V3_BQLV12</stp>
        <stp>[MODL_CRM_US1.xlsx]Single Period!R25C54</stp>
        <stp>SEG0000269238 Segment</stp>
        <stp>IS_PERCENTAGE_OF_REVENUE</stp>
        <stp>FPR=2022Y</stp>
        <stp>FPT=A</stp>
        <stp>FA_ACT_EST_DATA=E, EST_SOURCE=ARE</stp>
        <stp>ACT_EST_MAPPING=PRECISE</stp>
        <stp>FS=MRC</stp>
        <stp>CURRENCY=USD</stp>
        <stp>XLFILL=b</stp>
        <tr r="BB25" s="2"/>
      </tp>
      <tp t="s">
        <v/>
        <stp/>
        <stp>##V3_BQLV12</stp>
        <stp>[MODL_CRM_US1.xlsx]Single Period!R39C45</stp>
        <stp>SEG0000269228 Segment</stp>
        <stp>IS_PERCENTAGE_OF_REVENUE</stp>
        <stp>FPR=2022Y</stp>
        <stp>FPT=A</stp>
        <stp>FA_ACT_EST_DATA=E, EST_SOURCE=ARG</stp>
        <stp>ACT_EST_MAPPING=PRECISE</stp>
        <stp>FS=MRC</stp>
        <stp>CURRENCY=USD</stp>
        <stp>XLFILL=b</stp>
        <tr r="AS39" s="2"/>
      </tp>
      <tp t="s">
        <v/>
        <stp/>
        <stp>##V3_BQLV12</stp>
        <stp>[MODL_CRM_US1.xlsx]Single Period!R161C48</stp>
        <stp>CRM US Equity</stp>
        <stp>CF_ACCT_RCV_UNBILLED_REV/1M</stp>
        <stp>FPR=2022Y</stp>
        <stp>FPT=A</stp>
        <stp>FA_ACT_EST_DATA=E, EST_SOURCE=PJE</stp>
        <stp>ACT_EST_MAPPING=PRECISE</stp>
        <stp>FS=MRC</stp>
        <stp>CURRENCY=USD</stp>
        <stp>XLFILL=b</stp>
        <tr r="AV161" s="2"/>
      </tp>
      <tp t="s">
        <v/>
        <stp/>
        <stp>##V3_BQLV12</stp>
        <stp>[MODL_CRM_US1.xlsx]Single Period!R99C22</stp>
        <stp>CRM US Equity</stp>
        <stp>IS_SBC_NON_GAAP/1M</stp>
        <stp>FPR=2022Y</stp>
        <stp>FPT=A</stp>
        <stp>FA_ACT_EST_DATA=E, EST_SOURCE=OPY</stp>
        <stp>ACT_EST_MAPPING=PRECISE</stp>
        <stp>FS=MRC</stp>
        <stp>CURRENCY=USD</stp>
        <stp>XLFILL=b</stp>
        <tr r="V99" s="2"/>
      </tp>
      <tp t="s">
        <v/>
        <stp/>
        <stp>##V3_BQLV12</stp>
        <stp>[MODL_CRM_US1.xlsx]Single Period!R187C51</stp>
        <stp>CRM US Equity</stp>
        <stp>CF_NET_CHNG_CASH/1M</stp>
        <stp>FPR=2022Y</stp>
        <stp>FPT=A</stp>
        <stp>FA_ACT_EST_DATA=E, EST_SOURCE=RCP</stp>
        <stp>ACT_EST_MAPPING=PRECISE</stp>
        <stp>FS=MRC</stp>
        <stp>CURRENCY=USD</stp>
        <stp>XLFILL=b</stp>
        <tr r="AY187" s="2"/>
      </tp>
      <tp t="s">
        <v/>
        <stp/>
        <stp>##V3_BQLV12</stp>
        <stp>[MODL_CRM_US1.xlsx]Single Period!R120C47</stp>
        <stp>CRM US Equity</stp>
        <stp>BS_LONG_TERM_INVESTMENTS/1M</stp>
        <stp>FPR=2022Y</stp>
        <stp>FPT=A</stp>
        <stp>FA_ACT_EST_DATA=E, EST_SOURCE=WFT</stp>
        <stp>ACT_EST_MAPPING=PRECISE</stp>
        <stp>FS=MRC</stp>
        <stp>CURRENCY=USD</stp>
        <stp>XLFILL=b</stp>
        <tr r="AU120" s="2"/>
      </tp>
      <tp t="s">
        <v/>
        <stp/>
        <stp>##V3_BQLV12</stp>
        <stp>[MODL_CRM_US1.xlsx]Single Period!R120C30</stp>
        <stp>CRM US Equity</stp>
        <stp>BS_LONG_TERM_INVESTMENTS/1M</stp>
        <stp>FPR=2022Y</stp>
        <stp>FPT=A</stp>
        <stp>FA_ACT_EST_DATA=E, EST_SOURCE=BAM</stp>
        <stp>ACT_EST_MAPPING=PRECISE</stp>
        <stp>FS=MRC</stp>
        <stp>CURRENCY=USD</stp>
        <stp>XLFILL=b</stp>
        <tr r="AD120" s="2"/>
      </tp>
      <tp t="s">
        <v/>
        <stp/>
        <stp>##V3_BQLV12</stp>
        <stp>[MODL_CRM_US1.xlsx]Single Period!R120C19</stp>
        <stp>CRM US Equity</stp>
        <stp>BS_LONG_TERM_INVESTMENTS/1M</stp>
        <stp>FPR=2022Y</stp>
        <stp>FPT=A</stp>
        <stp>FA_ACT_EST_DATA=E, EST_SOURCE=SCB</stp>
        <stp>ACT_EST_MAPPING=PRECISE</stp>
        <stp>FS=MRC</stp>
        <stp>CURRENCY=USD</stp>
        <stp>XLFILL=b</stp>
        <tr r="S120" s="2"/>
      </tp>
      <tp t="s">
        <v/>
        <stp/>
        <stp>##V3_BQLV12</stp>
        <stp>[MODL_CRM_US1.xlsx]Single Period!R120C36</stp>
        <stp>CRM US Equity</stp>
        <stp>BS_LONG_TERM_INVESTMENTS/1M</stp>
        <stp>FPR=2022Y</stp>
        <stp>FPT=A</stp>
        <stp>FA_ACT_EST_DATA=E, EST_SOURCE=MAC</stp>
        <stp>ACT_EST_MAPPING=PRECISE</stp>
        <stp>FS=MRC</stp>
        <stp>CURRENCY=USD</stp>
        <stp>XLFILL=b</stp>
        <tr r="AJ120" s="2"/>
      </tp>
      <tp>
        <v>609</v>
        <stp/>
        <stp>##V3_BQLV12</stp>
        <stp>[MODL_CRM_US1.xlsx]Single Period!R91C33</stp>
        <stp>CRM US Equity</stp>
        <stp>IS_COMP_NET_INCOME_GAAP/1M</stp>
        <stp>FPR=2022Y</stp>
        <stp>FPT=A</stp>
        <stp>FA_ACT_EST_DATA=E, EST_SOURCE=RHR</stp>
        <stp>ACT_EST_MAPPING=PRECISE</stp>
        <stp>FS=MRC</stp>
        <stp>CURRENCY=USD</stp>
        <stp>XLFILL=b</stp>
        <tr r="AG91" s="2"/>
      </tp>
      <tp t="s">
        <v/>
        <stp/>
        <stp>##V3_BQLV12</stp>
        <stp>[MODL_CRM_US1.xlsx]Single Period!R88C50</stp>
        <stp>CRM US Equity</stp>
        <stp>OPER_INC_TO_NET_SALES</stp>
        <stp>FPR=2022Y</stp>
        <stp>FPT=A</stp>
        <stp>FA_ACT_EST_DATA=E, EST_SOURCE=MZS</stp>
        <stp>ACT_EST_MAPPING=PRECISE</stp>
        <stp>FS=MRC</stp>
        <stp>CURRENCY=USD</stp>
        <stp>XLFILL=b</stp>
        <tr r="AX88" s="2"/>
      </tp>
      <tp t="s">
        <v/>
        <stp/>
        <stp>##V3_BQLV12</stp>
        <stp>[MODL_CRM_US1.xlsx]Single Period!R120C13</stp>
        <stp>CRM US Equity</stp>
        <stp>BS_LONG_TERM_INVESTMENTS/1M</stp>
        <stp>FPR=2022Y</stp>
        <stp>FPT=A</stp>
        <stp>FA_ACT_EST_DATA=E, EST_SOURCE=BCA</stp>
        <stp>ACT_EST_MAPPING=PRECISE</stp>
        <stp>FS=MRC</stp>
        <stp>CURRENCY=USD</stp>
        <stp>XLFILL=b</stp>
        <tr r="M120" s="2"/>
      </tp>
      <tp>
        <v>2876.2698210783328</v>
        <stp/>
        <stp>##V3_BQLV12</stp>
        <stp>[MODL_CRM_US1.xlsx]Single Period!R99C23</stp>
        <stp>CRM US Equity</stp>
        <stp>IS_SBC_NON_GAAP/1M</stp>
        <stp>FPR=2022Y</stp>
        <stp>FPT=A</stp>
        <stp>FA_ACT_EST_DATA=E, EST_SOURCE=JPM</stp>
        <stp>ACT_EST_MAPPING=PRECISE</stp>
        <stp>FS=MRC</stp>
        <stp>CURRENCY=USD</stp>
        <stp>XLFILL=b</stp>
        <tr r="W99" s="2"/>
      </tp>
      <tp t="s">
        <v/>
        <stp/>
        <stp>##V3_BQLV12</stp>
        <stp>[MODL_CRM_US1.xlsx]Single Period!R187C34</stp>
        <stp>CRM US Equity</stp>
        <stp>CF_NET_CHNG_CASH/1M</stp>
        <stp>FPR=2022Y</stp>
        <stp>FPT=A</stp>
        <stp>FA_ACT_EST_DATA=E, EST_SOURCE=JEF</stp>
        <stp>ACT_EST_MAPPING=PRECISE</stp>
        <stp>FS=MRC</stp>
        <stp>CURRENCY=USD</stp>
        <stp>XLFILL=b</stp>
        <tr r="AH187" s="2"/>
      </tp>
      <tp t="s">
        <v/>
        <stp/>
        <stp>##V3_BQLV12</stp>
        <stp>[MODL_CRM_US1.xlsx]Single Period!R19C52</stp>
        <stp>CRM US Equity</stp>
        <stp>IS_COMPARABLE_EBIT/1M</stp>
        <stp>FPR=2022Y</stp>
        <stp>FPT=A</stp>
        <stp>FA_ACT_EST_DATA=E, EST_SOURCE=WFR</stp>
        <stp>ACT_EST_MAPPING=PRECISE</stp>
        <stp>FS=MRC</stp>
        <stp>CURRENCY=USD</stp>
        <stp>XLFILL=b</stp>
        <tr r="AZ19" s="2"/>
      </tp>
      <tp t="s">
        <v/>
        <stp/>
        <stp>##V3_BQLV12</stp>
        <stp>[MODL_CRM_US1.xlsx]Single Period!R19C47</stp>
        <stp>CRM US Equity</stp>
        <stp>IS_COMPARABLE_EBIT/1M</stp>
        <stp>FPR=2022Y</stp>
        <stp>FPT=A</stp>
        <stp>FA_ACT_EST_DATA=E, EST_SOURCE=WFT</stp>
        <stp>ACT_EST_MAPPING=PRECISE</stp>
        <stp>FS=MRC</stp>
        <stp>CURRENCY=USD</stp>
        <stp>XLFILL=b</stp>
        <tr r="AU19" s="2"/>
      </tp>
      <tp t="s">
        <v/>
        <stp/>
        <stp>##V3_BQLV12</stp>
        <stp>[MODL_CRM_US1.xlsx]Single Period!R79C50</stp>
        <stp>CRM US Equity</stp>
        <stp>CB_IS_GROSS_PROFIT/1M</stp>
        <stp>FPR=2022Y</stp>
        <stp>FPT=A</stp>
        <stp>FA_ACT_EST_DATA=E, EST_SOURCE=MZS</stp>
        <stp>ACT_EST_MAPPING=PRECISE</stp>
        <stp>FS=MRC</stp>
        <stp>CURRENCY=USD</stp>
        <stp>XLFILL=b</stp>
        <tr r="AX79" s="2"/>
      </tp>
      <tp t="s">
        <v/>
        <stp/>
        <stp>##V3_BQLV12</stp>
        <stp>[MODL_CRM_US1.xlsx]Single Period!R172C43</stp>
        <stp>CRM US Equity</stp>
        <stp>CAP_EXPEND_TO_SALES</stp>
        <stp>FPR=2022Y</stp>
        <stp>FPT=A</stp>
        <stp>FA_ACT_EST_DATA=E, EST_SOURCE=DWI</stp>
        <stp>ACT_EST_MAPPING=PRECISE</stp>
        <stp>FS=MRC</stp>
        <stp>CURRENCY=USD</stp>
        <stp>XLFILL=b</stp>
        <tr r="AQ172" s="2"/>
      </tp>
      <tp t="s">
        <v/>
        <stp/>
        <stp>##V3_BQLV12</stp>
        <stp>[MODL_CRM_US1.xlsx]Single Period!R77C36</stp>
        <stp>CRM US Equity</stp>
        <stp>IS_COGS_TO_FE_AND_PP_AND_G/1M</stp>
        <stp>FPR=2022Y</stp>
        <stp>FPT=A</stp>
        <stp>FA_ACT_EST_DATA=E, EST_SOURCE=MAC</stp>
        <stp>ACT_EST_MAPPING=PRECISE</stp>
        <stp>FS=MRC</stp>
        <stp>CURRENCY=USD</stp>
        <stp>XLFILL=b</stp>
        <tr r="AJ77" s="2"/>
      </tp>
      <tp t="s">
        <v/>
        <stp/>
        <stp>##V3_BQLV12</stp>
        <stp>[MODL_CRM_US1.xlsx]Single Period!R77C18</stp>
        <stp>CRM US Equity</stp>
        <stp>IS_COGS_TO_FE_AND_PP_AND_G/1M</stp>
        <stp>FPR=2022Y</stp>
        <stp>FPT=A</stp>
        <stp>FA_ACT_EST_DATA=E, EST_SOURCE=CAN</stp>
        <stp>ACT_EST_MAPPING=PRECISE</stp>
        <stp>FS=MRC</stp>
        <stp>CURRENCY=USD</stp>
        <stp>XLFILL=b</stp>
        <tr r="R77" s="2"/>
      </tp>
      <tp t="s">
        <v/>
        <stp/>
        <stp>##V3_BQLV12</stp>
        <stp>[MODL_CRM_US1.xlsx]Single Period!R114C10</stp>
        <stp>CRM US Equity</stp>
        <stp>BS_ACCTS_REC_EXCL_NOTES_REC/1M</stp>
        <stp>FPR=2022Y</stp>
        <stp>FPT=A</stp>
        <stp>FA_ACT_EST_DATA=E, EST_SOURCE=CMPY</stp>
        <stp>ACT_EST_MAPPING=PRECISE</stp>
        <stp>FS=MRC</stp>
        <stp>CURRENCY=USD</stp>
        <stp>XLFILL=b</stp>
        <tr r="J114" s="2"/>
      </tp>
      <tp t="s">
        <v/>
        <stp/>
        <stp>##V3_BQLV12</stp>
        <stp>[MODL_CRM_US1.xlsx]Single Period!R77C30</stp>
        <stp>CRM US Equity</stp>
        <stp>IS_COGS_TO_FE_AND_PP_AND_G/1M</stp>
        <stp>FPR=2022Y</stp>
        <stp>FPT=A</stp>
        <stp>FA_ACT_EST_DATA=E, EST_SOURCE=BAM</stp>
        <stp>ACT_EST_MAPPING=PRECISE</stp>
        <stp>FS=MRC</stp>
        <stp>CURRENCY=USD</stp>
        <stp>XLFILL=b</stp>
        <tr r="AD77" s="2"/>
      </tp>
      <tp t="s">
        <v/>
        <stp/>
        <stp>##V3_BQLV12</stp>
        <stp>[MODL_CRM_US1.xlsx]Single Period!R172C44</stp>
        <stp>CRM US Equity</stp>
        <stp>CAP_EXPEND_TO_SALES</stp>
        <stp>FPR=2022Y</stp>
        <stp>FPT=A</stp>
        <stp>FA_ACT_EST_DATA=E, EST_SOURCE=RWB</stp>
        <stp>ACT_EST_MAPPING=PRECISE</stp>
        <stp>FS=MRC</stp>
        <stp>CURRENCY=USD</stp>
        <stp>XLFILL=b</stp>
        <tr r="AR172" s="2"/>
      </tp>
      <tp>
        <v>6.6635902818905732</v>
        <stp/>
        <stp>##V3_BQLV12</stp>
        <stp>[MODL_CRM_US1.xlsx]Single Period!R33C15</stp>
        <stp>SEG0000269227 Segment</stp>
        <stp>IS_PERCENTAGE_OF_REVENUE</stp>
        <stp>FPR=2022Y</stp>
        <stp>FPT=A</stp>
        <stp>FA_ACT_EST_DATA=E, EST_SOURCE=MSV</stp>
        <stp>ACT_EST_MAPPING=PRECISE</stp>
        <stp>FS=MRC</stp>
        <stp>CURRENCY=USD</stp>
        <stp>XLFILL=b</stp>
        <tr r="O33" s="2"/>
      </tp>
      <tp>
        <v>21.48336391633373</v>
        <stp/>
        <stp>##V3_BQLV12</stp>
        <stp>[MODL_CRM_US1.xlsx]Single Period!R184C6</stp>
        <stp>CRM US Equity</stp>
        <stp>CONTRIBUTOR_STATS(CFO_TO_SALES, MIN)</stp>
        <stp>FPR=2022Y</stp>
        <stp>FPT=A</stp>
        <stp>FA_ACT_EST_DATA=E</stp>
        <stp>ACT_EST_MAPPING=PRECISE</stp>
        <stp>FS=MRC</stp>
        <stp>CURRENCY=USD</stp>
        <stp>XLFILL=b</stp>
        <tr r="F184" s="2"/>
      </tp>
      <tp t="s">
        <v/>
        <stp/>
        <stp>##V3_BQLV12</stp>
        <stp>[MODL_CRM_US1.xlsx]Single Period!R44C37</stp>
        <stp>SEG0000269240 Segment</stp>
        <stp>IS_PERCENTAGE_OF_REVENUE</stp>
        <stp>FPR=2022Y</stp>
        <stp>FPT=A</stp>
        <stp>FA_ACT_EST_DATA=E, EST_SOURCE=EVR</stp>
        <stp>ACT_EST_MAPPING=PRECISE</stp>
        <stp>FS=MRC</stp>
        <stp>CURRENCY=USD</stp>
        <stp>XLFILL=b</stp>
        <tr r="AK44" s="2"/>
      </tp>
      <tp>
        <v>68.058019409370758</v>
        <stp/>
        <stp>##V3_BQLV12</stp>
        <stp>[MODL_CRM_US1.xlsx]Single Period!R39C15</stp>
        <stp>SEG0000269228 Segment</stp>
        <stp>IS_PERCENTAGE_OF_REVENUE</stp>
        <stp>FPR=2022Y</stp>
        <stp>FPT=A</stp>
        <stp>FA_ACT_EST_DATA=E, EST_SOURCE=MSV</stp>
        <stp>ACT_EST_MAPPING=PRECISE</stp>
        <stp>FS=MRC</stp>
        <stp>CURRENCY=USD</stp>
        <stp>XLFILL=b</stp>
        <tr r="O39" s="2"/>
      </tp>
      <tp t="s">
        <v/>
        <stp/>
        <stp>##V3_BQLV12</stp>
        <stp>[MODL_CRM_US1.xlsx]Single Period!R49C37</stp>
        <stp>SEG0000269229 Segment</stp>
        <stp>IS_PERCENTAGE_OF_REVENUE</stp>
        <stp>FPR=2022Y</stp>
        <stp>FPT=A</stp>
        <stp>FA_ACT_EST_DATA=E, EST_SOURCE=EVR</stp>
        <stp>ACT_EST_MAPPING=PRECISE</stp>
        <stp>FS=MRC</stp>
        <stp>CURRENCY=USD</stp>
        <stp>XLFILL=b</stp>
        <tr r="AK49" s="2"/>
      </tp>
      <tp t="s">
        <v/>
        <stp/>
        <stp>##V3_BQLV12</stp>
        <stp>[MODL_CRM_US1.xlsx]Single Period!R49C35</stp>
        <stp>SEG0000269229 Segment</stp>
        <stp>IS_PERCENTAGE_OF_REVENUE</stp>
        <stp>FPR=2022Y</stp>
        <stp>FPT=A</stp>
        <stp>FA_ACT_EST_DATA=E, EST_SOURCE=ATL</stp>
        <stp>ACT_EST_MAPPING=PRECISE</stp>
        <stp>FS=MRC</stp>
        <stp>CURRENCY=USD</stp>
        <stp>XLFILL=b</stp>
        <tr r="AI49" s="2"/>
      </tp>
      <tp t="s">
        <v/>
        <stp/>
        <stp>##V3_BQLV12</stp>
        <stp>[MODL_CRM_US1.xlsx]Single Period!R44C42</stp>
        <stp>SEG0000269240 Segment</stp>
        <stp>IS_PERCENTAGE_OF_REVENUE</stp>
        <stp>FPR=2022Y</stp>
        <stp>FPT=A</stp>
        <stp>FA_ACT_EST_DATA=E, EST_SOURCE=PSG</stp>
        <stp>ACT_EST_MAPPING=PRECISE</stp>
        <stp>FS=MRC</stp>
        <stp>CURRENCY=USD</stp>
        <stp>XLFILL=b</stp>
        <tr r="AP44" s="2"/>
      </tp>
      <tp t="s">
        <v/>
        <stp/>
        <stp>##V3_BQLV12</stp>
        <stp>[MODL_CRM_US1.xlsx]Single Period!R33C54</stp>
        <stp>SEG0000269227 Segment</stp>
        <stp>IS_PERCENTAGE_OF_REVENUE</stp>
        <stp>FPR=2022Y</stp>
        <stp>FPT=A</stp>
        <stp>FA_ACT_EST_DATA=E, EST_SOURCE=ARE</stp>
        <stp>ACT_EST_MAPPING=PRECISE</stp>
        <stp>FS=MRC</stp>
        <stp>CURRENCY=USD</stp>
        <stp>XLFILL=b</stp>
        <tr r="BB33" s="2"/>
      </tp>
      <tp t="s">
        <v/>
        <stp/>
        <stp>##V3_BQLV12</stp>
        <stp>[MODL_CRM_US1.xlsx]Single Period!R25C45</stp>
        <stp>SEG0000269238 Segment</stp>
        <stp>IS_PERCENTAGE_OF_REVENUE</stp>
        <stp>FPR=2022Y</stp>
        <stp>FPT=A</stp>
        <stp>FA_ACT_EST_DATA=E, EST_SOURCE=ARG</stp>
        <stp>ACT_EST_MAPPING=PRECISE</stp>
        <stp>FS=MRC</stp>
        <stp>CURRENCY=USD</stp>
        <stp>XLFILL=b</stp>
        <tr r="AS25" s="2"/>
      </tp>
      <tp t="s">
        <v/>
        <stp/>
        <stp>##V3_BQLV12</stp>
        <stp>[MODL_CRM_US1.xlsx]Single Period!R39C54</stp>
        <stp>SEG0000269228 Segment</stp>
        <stp>IS_PERCENTAGE_OF_REVENUE</stp>
        <stp>FPR=2022Y</stp>
        <stp>FPT=A</stp>
        <stp>FA_ACT_EST_DATA=E, EST_SOURCE=ARE</stp>
        <stp>ACT_EST_MAPPING=PRECISE</stp>
        <stp>FS=MRC</stp>
        <stp>CURRENCY=USD</stp>
        <stp>XLFILL=b</stp>
        <tr r="BB39" s="2"/>
      </tp>
      <tp t="s">
        <v/>
        <stp/>
        <stp>##V3_BQLV12</stp>
        <stp>[MODL_CRM_US1.xlsx]Single Period!R49C42</stp>
        <stp>SEG0000269229 Segment</stp>
        <stp>IS_PERCENTAGE_OF_REVENUE</stp>
        <stp>FPR=2022Y</stp>
        <stp>FPT=A</stp>
        <stp>FA_ACT_EST_DATA=E, EST_SOURCE=PSG</stp>
        <stp>ACT_EST_MAPPING=PRECISE</stp>
        <stp>FS=MRC</stp>
        <stp>CURRENCY=USD</stp>
        <stp>XLFILL=b</stp>
        <tr r="AP49" s="2"/>
      </tp>
      <tp t="s">
        <v/>
        <stp/>
        <stp>##V3_BQLV12</stp>
        <stp>[MODL_CRM_US1.xlsx]Single Period!R44C35</stp>
        <stp>SEG0000269240 Segment</stp>
        <stp>IS_PERCENTAGE_OF_REVENUE</stp>
        <stp>FPR=2022Y</stp>
        <stp>FPT=A</stp>
        <stp>FA_ACT_EST_DATA=E, EST_SOURCE=ATL</stp>
        <stp>ACT_EST_MAPPING=PRECISE</stp>
        <stp>FS=MRC</stp>
        <stp>CURRENCY=USD</stp>
        <stp>XLFILL=b</stp>
        <tr r="AI44" s="2"/>
      </tp>
      <tp>
        <v>688</v>
        <stp/>
        <stp>##V3_BQLV12</stp>
        <stp>[MODL_CRM_US1.xlsx]Single Period!R130C5</stp>
        <stp>CRM US Equity</stp>
        <stp>BS_ST_OPERATING_LEASE_LIABS/1M</stp>
        <stp>FPR=2022Y</stp>
        <stp>FPT=A</stp>
        <stp>FA_ACT_EST_DATA=E</stp>
        <stp>ACT_EST_MAPPING=PRECISE</stp>
        <stp>FS=MRC</stp>
        <stp>CURRENCY=USD</stp>
        <stp>XLFILL=b</stp>
        <tr r="E130" s="2"/>
      </tp>
      <tp t="s">
        <v/>
        <stp/>
        <stp>##V3_BQLV12</stp>
        <stp>[MODL_CRM_US1.xlsx]Single Period!R187C26</stp>
        <stp>CRM US Equity</stp>
        <stp>CF_NET_CHNG_CASH/1M</stp>
        <stp>FPR=2022Y</stp>
        <stp>FPT=A</stp>
        <stp>FA_ACT_EST_DATA=E, EST_SOURCE=KEY</stp>
        <stp>ACT_EST_MAPPING=PRECISE</stp>
        <stp>FS=MRC</stp>
        <stp>CURRENCY=USD</stp>
        <stp>XLFILL=b</stp>
        <tr r="Z187" s="2"/>
      </tp>
      <tp t="s">
        <v/>
        <stp/>
        <stp>##V3_BQLV12</stp>
        <stp>[MODL_CRM_US1.xlsx]Single Period!R91C53</stp>
        <stp>CRM US Equity</stp>
        <stp>IS_COMP_NET_INCOME_GAAP/1M</stp>
        <stp>FPR=2022Y</stp>
        <stp>FPT=A</stp>
        <stp>FA_ACT_EST_DATA=E, EST_SOURCE=NIK</stp>
        <stp>ACT_EST_MAPPING=PRECISE</stp>
        <stp>FS=MRC</stp>
        <stp>CURRENCY=USD</stp>
        <stp>XLFILL=b</stp>
        <tr r="BA91" s="2"/>
      </tp>
      <tp t="s">
        <v/>
        <stp/>
        <stp>##V3_BQLV12</stp>
        <stp>[MODL_CRM_US1.xlsx]Single Period!R120C52</stp>
        <stp>CRM US Equity</stp>
        <stp>BS_LONG_TERM_INVESTMENTS/1M</stp>
        <stp>FPR=2022Y</stp>
        <stp>FPT=A</stp>
        <stp>FA_ACT_EST_DATA=E, EST_SOURCE=WFR</stp>
        <stp>ACT_EST_MAPPING=PRECISE</stp>
        <stp>FS=MRC</stp>
        <stp>CURRENCY=USD</stp>
        <stp>XLFILL=b</stp>
        <tr r="AZ120" s="2"/>
      </tp>
      <tp t="s">
        <v/>
        <stp/>
        <stp>##V3_BQLV12</stp>
        <stp>[MODL_CRM_US1.xlsx]Single Period!R120C49</stp>
        <stp>CRM US Equity</stp>
        <stp>BS_LONG_TERM_INVESTMENTS/1M</stp>
        <stp>FPR=2022Y</stp>
        <stp>FPT=A</stp>
        <stp>FA_ACT_EST_DATA=E, EST_SOURCE=SGE</stp>
        <stp>ACT_EST_MAPPING=PRECISE</stp>
        <stp>FS=MRC</stp>
        <stp>CURRENCY=USD</stp>
        <stp>XLFILL=b</stp>
        <tr r="AW120" s="2"/>
      </tp>
      <tp t="s">
        <v/>
        <stp/>
        <stp>##V3_BQLV12</stp>
        <stp>[MODL_CRM_US1.xlsx]Single Period!R120C11</stp>
        <stp>CRM US Equity</stp>
        <stp>BS_LONG_TERM_INVESTMENTS/1M</stp>
        <stp>FPR=2022Y</stp>
        <stp>FPT=A</stp>
        <stp>FA_ACT_EST_DATA=E, EST_SOURCE=WBL</stp>
        <stp>ACT_EST_MAPPING=PRECISE</stp>
        <stp>FS=MRC</stp>
        <stp>CURRENCY=USD</stp>
        <stp>XLFILL=b</stp>
        <tr r="K120" s="2"/>
      </tp>
      <tp t="s">
        <v/>
        <stp/>
        <stp>##V3_BQLV12</stp>
        <stp>[MODL_CRM_US1.xlsx]Single Period!R161C20</stp>
        <stp>CRM US Equity</stp>
        <stp>CF_ACCT_RCV_UNBILLED_REV/1M</stp>
        <stp>FPR=2022Y</stp>
        <stp>FPT=A</stp>
        <stp>FA_ACT_EST_DATA=E, EST_SOURCE=JMP</stp>
        <stp>ACT_EST_MAPPING=PRECISE</stp>
        <stp>FS=MRC</stp>
        <stp>CURRENCY=USD</stp>
        <stp>XLFILL=b</stp>
        <tr r="T161" s="2"/>
      </tp>
      <tp>
        <v>-1075.8817087269581</v>
        <stp/>
        <stp>##V3_BQLV12</stp>
        <stp>[MODL_CRM_US1.xlsx]Single Period!R161C25</stp>
        <stp>CRM US Equity</stp>
        <stp>CF_ACCT_RCV_UNBILLED_REV/1M</stp>
        <stp>FPR=2022Y</stp>
        <stp>FPT=A</stp>
        <stp>FA_ACT_EST_DATA=E, EST_SOURCE=WMS</stp>
        <stp>ACT_EST_MAPPING=PRECISE</stp>
        <stp>FS=MRC</stp>
        <stp>CURRENCY=USD</stp>
        <stp>XLFILL=b</stp>
        <tr r="Y161" s="2"/>
      </tp>
      <tp t="s">
        <v/>
        <stp/>
        <stp>##V3_BQLV12</stp>
        <stp>[MODL_CRM_US1.xlsx]Single Period!R161C14</stp>
        <stp>CRM US Equity</stp>
        <stp>CF_ACCT_RCV_UNBILLED_REV/1M</stp>
        <stp>FPR=2022Y</stp>
        <stp>FPT=A</stp>
        <stp>FA_ACT_EST_DATA=E, EST_SOURCE=SNR</stp>
        <stp>ACT_EST_MAPPING=PRECISE</stp>
        <stp>FS=MRC</stp>
        <stp>CURRENCY=USD</stp>
        <stp>XLFILL=b</stp>
        <tr r="N161" s="2"/>
      </tp>
      <tp>
        <v>4004</v>
        <stp/>
        <stp>##V3_BQLV12</stp>
        <stp>[MODL_CRM_US1.xlsx]Single Period!R120C16</stp>
        <stp>CRM US Equity</stp>
        <stp>BS_LONG_TERM_INVESTMENTS/1M</stp>
        <stp>FPR=2022Y</stp>
        <stp>FPT=A</stp>
        <stp>FA_ACT_EST_DATA=E, EST_SOURCE=DBG</stp>
        <stp>ACT_EST_MAPPING=PRECISE</stp>
        <stp>FS=MRC</stp>
        <stp>CURRENCY=USD</stp>
        <stp>XLFILL=b</stp>
        <tr r="P120" s="2"/>
      </tp>
      <tp t="s">
        <v/>
        <stp/>
        <stp>##V3_BQLV12</stp>
        <stp>[MODL_CRM_US1.xlsx]Single Period!R187C40</stp>
        <stp>CRM US Equity</stp>
        <stp>CF_NET_CHNG_CASH/1M</stp>
        <stp>FPR=2022Y</stp>
        <stp>FPT=A</stp>
        <stp>FA_ACT_EST_DATA=E, EST_SOURCE=ACC</stp>
        <stp>ACT_EST_MAPPING=PRECISE</stp>
        <stp>FS=MRC</stp>
        <stp>CURRENCY=USD</stp>
        <stp>XLFILL=b</stp>
        <tr r="AN187" s="2"/>
      </tp>
      <tp t="s">
        <v/>
        <stp/>
        <stp>##V3_BQLV12</stp>
        <stp>[MODL_CRM_US1.xlsx]Single Period!R91C56</stp>
        <stp>CRM US Equity</stp>
        <stp>IS_COMP_NET_INCOME_GAAP/1M</stp>
        <stp>FPR=2022Y</stp>
        <stp>FPT=A</stp>
        <stp>FA_ACT_EST_DATA=E, EST_SOURCE=DIR</stp>
        <stp>ACT_EST_MAPPING=PRECISE</stp>
        <stp>FS=MRC</stp>
        <stp>CURRENCY=USD</stp>
        <stp>XLFILL=b</stp>
        <tr r="BD91" s="2"/>
      </tp>
      <tp t="s">
        <v/>
        <stp/>
        <stp>##V3_BQLV12</stp>
        <stp>[MODL_CRM_US1.xlsx]Single Period!R172C22</stp>
        <stp>CRM US Equity</stp>
        <stp>CAP_EXPEND_TO_SALES</stp>
        <stp>FPR=2022Y</stp>
        <stp>FPT=A</stp>
        <stp>FA_ACT_EST_DATA=E, EST_SOURCE=OPY</stp>
        <stp>ACT_EST_MAPPING=PRECISE</stp>
        <stp>FS=MRC</stp>
        <stp>CURRENCY=USD</stp>
        <stp>XLFILL=b</stp>
        <tr r="V172" s="2"/>
      </tp>
      <tp>
        <v>4896</v>
        <stp/>
        <stp>##V3_BQLV12</stp>
        <stp>[MODL_CRM_US1.xlsx]Single Period!R60C29</stp>
        <stp>CRM US Equity</stp>
        <stp>IS_COMPARABLE_EBIT/1M</stp>
        <stp>FPR=2022Y</stp>
        <stp>FPT=A</stp>
        <stp>FA_ACT_EST_DATA=E, EST_SOURCE=BNS</stp>
        <stp>ACT_EST_MAPPING=PRECISE</stp>
        <stp>FS=MRC</stp>
        <stp>CURRENCY=USD</stp>
        <stp>XLFILL=b</stp>
        <tr r="AC60" s="2"/>
      </tp>
      <tp>
        <v>4900</v>
        <stp/>
        <stp>##V3_BQLV12</stp>
        <stp>[MODL_CRM_US1.xlsx]Single Period!R60C14</stp>
        <stp>CRM US Equity</stp>
        <stp>IS_COMPARABLE_EBIT/1M</stp>
        <stp>FPR=2022Y</stp>
        <stp>FPT=A</stp>
        <stp>FA_ACT_EST_DATA=E, EST_SOURCE=SNR</stp>
        <stp>ACT_EST_MAPPING=PRECISE</stp>
        <stp>FS=MRC</stp>
        <stp>CURRENCY=USD</stp>
        <stp>XLFILL=b</stp>
        <tr r="N60" s="2"/>
      </tp>
      <tp>
        <v>3</v>
        <stp/>
        <stp>##V3_BQLV12</stp>
        <stp>[MODL_CRM_US1.xlsx]Single Period!R172C15</stp>
        <stp>CRM US Equity</stp>
        <stp>CAP_EXPEND_TO_SALES</stp>
        <stp>FPR=2022Y</stp>
        <stp>FPT=A</stp>
        <stp>FA_ACT_EST_DATA=E, EST_SOURCE=MSV</stp>
        <stp>ACT_EST_MAPPING=PRECISE</stp>
        <stp>FS=MRC</stp>
        <stp>CURRENCY=USD</stp>
        <stp>XLFILL=b</stp>
        <tr r="O172" s="2"/>
      </tp>
      <tp t="s">
        <v/>
        <stp/>
        <stp>##V3_BQLV12</stp>
        <stp>[MODL_CRM_US1.xlsx]Single Period!R77C10</stp>
        <stp>CRM US Equity</stp>
        <stp>IS_COGS_TO_FE_AND_PP_AND_G/1M</stp>
        <stp>FPR=2022Y</stp>
        <stp>FPT=A</stp>
        <stp>FA_ACT_EST_DATA=E, EST_SOURCE=CMPY</stp>
        <stp>ACT_EST_MAPPING=PRECISE</stp>
        <stp>FS=MRC</stp>
        <stp>CURRENCY=USD</stp>
        <stp>XLFILL=b</stp>
        <tr r="J77" s="2"/>
      </tp>
      <tp t="s">
        <v/>
        <stp/>
        <stp>##V3_BQLV12</stp>
        <stp>[MODL_CRM_US1.xlsx]Single Period!R89C50</stp>
        <stp>CRM US Equity</stp>
        <stp>PRETAX_INC/1M</stp>
        <stp>FPR=2022Y</stp>
        <stp>FPT=A</stp>
        <stp>FA_ACT_EST_DATA=E, EST_SOURCE=MZS</stp>
        <stp>ACT_EST_MAPPING=PRECISE</stp>
        <stp>FS=MRC</stp>
        <stp>CURRENCY=USD</stp>
        <stp>XLFILL=b</stp>
        <tr r="AX89" s="2"/>
      </tp>
      <tp t="s">
        <v/>
        <stp/>
        <stp>##V3_BQLV12</stp>
        <stp>[MODL_CRM_US1.xlsx]Single Period!R117C10</stp>
        <stp>CRM US Equity</stp>
        <stp>BS_TOTAL_NON_CURRENT_ASSETS/1M</stp>
        <stp>FPR=2022Y</stp>
        <stp>FPT=A</stp>
        <stp>FA_ACT_EST_DATA=E, EST_SOURCE=CMPY</stp>
        <stp>ACT_EST_MAPPING=PRECISE</stp>
        <stp>FS=MRC</stp>
        <stp>CURRENCY=USD</stp>
        <stp>XLFILL=b</stp>
        <tr r="J117" s="2"/>
      </tp>
      <tp t="s">
        <v/>
        <stp/>
        <stp>##V3_BQLV12</stp>
        <stp>[MODL_CRM_US1.xlsx]Single Period!R172C23</stp>
        <stp>CRM US Equity</stp>
        <stp>CAP_EXPEND_TO_SALES</stp>
        <stp>FPR=2022Y</stp>
        <stp>FPT=A</stp>
        <stp>FA_ACT_EST_DATA=E, EST_SOURCE=JPM</stp>
        <stp>ACT_EST_MAPPING=PRECISE</stp>
        <stp>FS=MRC</stp>
        <stp>CURRENCY=USD</stp>
        <stp>XLFILL=b</stp>
        <tr r="W172" s="2"/>
      </tp>
      <tp t="s">
        <v/>
        <stp/>
        <stp>##V3_BQLV12</stp>
        <stp>[MODL_CRM_US1.xlsx]Single Period!R19C49</stp>
        <stp>CRM US Equity</stp>
        <stp>IS_COMPARABLE_EBIT/1M</stp>
        <stp>FPR=2022Y</stp>
        <stp>FPT=A</stp>
        <stp>FA_ACT_EST_DATA=E, EST_SOURCE=SGE</stp>
        <stp>ACT_EST_MAPPING=PRECISE</stp>
        <stp>FS=MRC</stp>
        <stp>CURRENCY=USD</stp>
        <stp>XLFILL=b</stp>
        <tr r="AW19" s="2"/>
      </tp>
      <tp>
        <v>5267</v>
        <stp/>
        <stp>##V3_BQLV12</stp>
        <stp>[MODL_CRM_US1.xlsx]Single Period!R19C39</stp>
        <stp>CRM US Equity</stp>
        <stp>IS_COMPARABLE_EBIT/1M</stp>
        <stp>FPR=2022Y</stp>
        <stp>FPT=A</stp>
        <stp>FA_ACT_EST_DATA=E, EST_SOURCE=KGI</stp>
        <stp>ACT_EST_MAPPING=PRECISE</stp>
        <stp>FS=MRC</stp>
        <stp>CURRENCY=USD</stp>
        <stp>XLFILL=b</stp>
        <tr r="AM19" s="2"/>
      </tp>
      <tp t="s">
        <v/>
        <stp/>
        <stp>##V3_BQLV12</stp>
        <stp>[MODL_CRM_US1.xlsx]Single Period!R6C50</stp>
        <stp>CRM US Equity</stp>
        <stp>IS_COMP_EPS_EXCL_STOCK_COMP</stp>
        <stp>FPR=2022Y</stp>
        <stp>FPT=A</stp>
        <stp>FA_ACT_EST_DATA=E, EST_SOURCE=MZS</stp>
        <stp>ACT_EST_MAPPING=PRECISE</stp>
        <stp>FS=MRC</stp>
        <stp>CURRENCY=USD</stp>
        <stp>XLFILL=b</stp>
        <tr r="AX6" s="2"/>
      </tp>
      <tp t="s">
        <v/>
        <stp/>
        <stp>##V3_BQLV12</stp>
        <stp>[MODL_CRM_US1.xlsx]Single Period!R49C22</stp>
        <stp>SEG0000269229 Segment</stp>
        <stp>IS_PERCENTAGE_OF_REVENUE</stp>
        <stp>FPR=2022Y</stp>
        <stp>FPT=A</stp>
        <stp>FA_ACT_EST_DATA=E, EST_SOURCE=OPY</stp>
        <stp>ACT_EST_MAPPING=PRECISE</stp>
        <stp>FS=MRC</stp>
        <stp>CURRENCY=USD</stp>
        <stp>XLFILL=b</stp>
        <tr r="V49" s="2"/>
      </tp>
      <tp t="s">
        <v/>
        <stp/>
        <stp>##V3_BQLV12</stp>
        <stp>[MODL_CRM_US1.xlsx]Single Period!R44C41</stp>
        <stp>SEG0000269240 Segment</stp>
        <stp>IS_PERCENTAGE_OF_REVENUE</stp>
        <stp>FPR=2022Y</stp>
        <stp>FPT=A</stp>
        <stp>FA_ACT_EST_DATA=E, EST_SOURCE=GSR</stp>
        <stp>ACT_EST_MAPPING=PRECISE</stp>
        <stp>FS=MRC</stp>
        <stp>CURRENCY=USD</stp>
        <stp>XLFILL=b</stp>
        <tr r="AO44" s="2"/>
      </tp>
      <tp t="s">
        <v/>
        <stp/>
        <stp>##V3_BQLV12</stp>
        <stp>[MODL_CRM_US1.xlsx]Single Period!R49C41</stp>
        <stp>SEG0000269229 Segment</stp>
        <stp>IS_PERCENTAGE_OF_REVENUE</stp>
        <stp>FPR=2022Y</stp>
        <stp>FPT=A</stp>
        <stp>FA_ACT_EST_DATA=E, EST_SOURCE=GSR</stp>
        <stp>ACT_EST_MAPPING=PRECISE</stp>
        <stp>FS=MRC</stp>
        <stp>CURRENCY=USD</stp>
        <stp>XLFILL=b</stp>
        <tr r="AO49" s="2"/>
      </tp>
      <tp t="s">
        <v/>
        <stp/>
        <stp>##V3_BQLV12</stp>
        <stp>[MODL_CRM_US1.xlsx]Single Period!R44C22</stp>
        <stp>SEG0000269240 Segment</stp>
        <stp>IS_PERCENTAGE_OF_REVENUE</stp>
        <stp>FPR=2022Y</stp>
        <stp>FPT=A</stp>
        <stp>FA_ACT_EST_DATA=E, EST_SOURCE=OPY</stp>
        <stp>ACT_EST_MAPPING=PRECISE</stp>
        <stp>FS=MRC</stp>
        <stp>CURRENCY=USD</stp>
        <stp>XLFILL=b</stp>
        <tr r="V44" s="2"/>
      </tp>
      <tp t="s">
        <v/>
        <stp/>
        <stp>##V3_BQLV12</stp>
        <stp>[MODL_CRM_US1.xlsx]Single Period!R49C46</stp>
        <stp>SEG0000269229 Segment</stp>
        <stp>IS_PERCENTAGE_OF_REVENUE</stp>
        <stp>FPR=2022Y</stp>
        <stp>FPT=A</stp>
        <stp>FA_ACT_EST_DATA=E, EST_SOURCE=CTI</stp>
        <stp>ACT_EST_MAPPING=PRECISE</stp>
        <stp>FS=MRC</stp>
        <stp>CURRENCY=USD</stp>
        <stp>XLFILL=b</stp>
        <tr r="AT49" s="2"/>
      </tp>
      <tp t="s">
        <v/>
        <stp/>
        <stp>##V3_BQLV12</stp>
        <stp>[MODL_CRM_US1.xlsx]Single Period!R25C43</stp>
        <stp>SEG0000269238 Segment</stp>
        <stp>IS_PERCENTAGE_OF_REVENUE</stp>
        <stp>FPR=2022Y</stp>
        <stp>FPT=A</stp>
        <stp>FA_ACT_EST_DATA=E, EST_SOURCE=DWI</stp>
        <stp>ACT_EST_MAPPING=PRECISE</stp>
        <stp>FS=MRC</stp>
        <stp>CURRENCY=USD</stp>
        <stp>XLFILL=b</stp>
        <tr r="AQ25" s="2"/>
      </tp>
      <tp t="s">
        <v/>
        <stp/>
        <stp>##V3_BQLV12</stp>
        <stp>[MODL_CRM_US1.xlsx]Single Period!R44C46</stp>
        <stp>SEG0000269240 Segment</stp>
        <stp>IS_PERCENTAGE_OF_REVENUE</stp>
        <stp>FPR=2022Y</stp>
        <stp>FPT=A</stp>
        <stp>FA_ACT_EST_DATA=E, EST_SOURCE=CTI</stp>
        <stp>ACT_EST_MAPPING=PRECISE</stp>
        <stp>FS=MRC</stp>
        <stp>CURRENCY=USD</stp>
        <stp>XLFILL=b</stp>
        <tr r="AT44" s="2"/>
      </tp>
      <tp t="s">
        <v/>
        <stp/>
        <stp>##V3_BQLV12</stp>
        <stp>[MODL_CRM_US1.xlsx]Single Period!R161C53</stp>
        <stp>CRM US Equity</stp>
        <stp>CF_ACCT_RCV_UNBILLED_REV/1M</stp>
        <stp>FPR=2022Y</stp>
        <stp>FPT=A</stp>
        <stp>FA_ACT_EST_DATA=E, EST_SOURCE=NIK</stp>
        <stp>ACT_EST_MAPPING=PRECISE</stp>
        <stp>FS=MRC</stp>
        <stp>CURRENCY=USD</stp>
        <stp>XLFILL=b</stp>
        <tr r="BA161" s="2"/>
      </tp>
      <tp t="s">
        <v/>
        <stp/>
        <stp>##V3_BQLV12</stp>
        <stp>[MODL_CRM_US1.xlsx]Single Period!R161C12</stp>
        <stp>CRM US Equity</stp>
        <stp>CF_ACCT_RCV_UNBILLED_REV/1M</stp>
        <stp>FPR=2022Y</stp>
        <stp>FPT=A</stp>
        <stp>FA_ACT_EST_DATA=E, EST_SOURCE=BMO</stp>
        <stp>ACT_EST_MAPPING=PRECISE</stp>
        <stp>FS=MRC</stp>
        <stp>CURRENCY=USD</stp>
        <stp>XLFILL=b</stp>
        <tr r="L161" s="2"/>
      </tp>
      <tp t="s">
        <v/>
        <stp/>
        <stp>##V3_BQLV12</stp>
        <stp>[MODL_CRM_US1.xlsx]Single Period!R91C48</stp>
        <stp>CRM US Equity</stp>
        <stp>IS_COMP_NET_INCOME_GAAP/1M</stp>
        <stp>FPR=2022Y</stp>
        <stp>FPT=A</stp>
        <stp>FA_ACT_EST_DATA=E, EST_SOURCE=PJE</stp>
        <stp>ACT_EST_MAPPING=PRECISE</stp>
        <stp>FS=MRC</stp>
        <stp>CURRENCY=USD</stp>
        <stp>XLFILL=b</stp>
        <tr r="AV91" s="2"/>
      </tp>
      <tp>
        <v>1237</v>
        <stp/>
        <stp>##V3_BQLV12</stp>
        <stp>[MODL_CRM_US1.xlsx]Single Period!R91C21</stp>
        <stp>CRM US Equity</stp>
        <stp>IS_COMP_NET_INCOME_GAAP/1M</stp>
        <stp>FPR=2022Y</stp>
        <stp>FPT=A</stp>
        <stp>FA_ACT_EST_DATA=E, EST_SOURCE=RJA</stp>
        <stp>ACT_EST_MAPPING=PRECISE</stp>
        <stp>FS=MRC</stp>
        <stp>CURRENCY=USD</stp>
        <stp>XLFILL=b</stp>
        <tr r="U91" s="2"/>
      </tp>
      <tp t="s">
        <v/>
        <stp/>
        <stp>##V3_BQLV12</stp>
        <stp>[MODL_CRM_US1.xlsx]Single Period!R161C29</stp>
        <stp>CRM US Equity</stp>
        <stp>CF_ACCT_RCV_UNBILLED_REV/1M</stp>
        <stp>FPR=2022Y</stp>
        <stp>FPT=A</stp>
        <stp>FA_ACT_EST_DATA=E, EST_SOURCE=BNS</stp>
        <stp>ACT_EST_MAPPING=PRECISE</stp>
        <stp>FS=MRC</stp>
        <stp>CURRENCY=USD</stp>
        <stp>XLFILL=b</stp>
        <tr r="AC161" s="2"/>
      </tp>
      <tp t="s">
        <v/>
        <stp/>
        <stp>##V3_BQLV12</stp>
        <stp>[MODL_CRM_US1.xlsx]Single Period!R99C54</stp>
        <stp>CRM US Equity</stp>
        <stp>IS_SBC_NON_GAAP/1M</stp>
        <stp>FPR=2022Y</stp>
        <stp>FPT=A</stp>
        <stp>FA_ACT_EST_DATA=E, EST_SOURCE=ARE</stp>
        <stp>ACT_EST_MAPPING=PRECISE</stp>
        <stp>FS=MRC</stp>
        <stp>CURRENCY=USD</stp>
        <stp>XLFILL=b</stp>
        <tr r="BB99" s="2"/>
      </tp>
      <tp t="s">
        <v/>
        <stp/>
        <stp>##V3_BQLV12</stp>
        <stp>[MODL_CRM_US1.xlsx]Single Period!R99C45</stp>
        <stp>CRM US Equity</stp>
        <stp>IS_SBC_NON_GAAP/1M</stp>
        <stp>FPR=2022Y</stp>
        <stp>FPT=A</stp>
        <stp>FA_ACT_EST_DATA=E, EST_SOURCE=ARG</stp>
        <stp>ACT_EST_MAPPING=PRECISE</stp>
        <stp>FS=MRC</stp>
        <stp>CURRENCY=USD</stp>
        <stp>XLFILL=b</stp>
        <tr r="AS99" s="2"/>
      </tp>
      <tp>
        <v>72.107340645845511</v>
        <stp/>
        <stp>##V3_BQLV12</stp>
        <stp>[MODL_CRM_US1.xlsx]Single Period!R82C9</stp>
        <stp>CRM US Equity</stp>
        <stp>CONTRIBUTOR_STATS(OPERATING_EXPENSES_TO_NET_SALES, MEDIAN)</stp>
        <stp>FPR=2022Y</stp>
        <stp>FPT=A</stp>
        <stp>FA_ACT_EST_DATA=E</stp>
        <stp>ACT_EST_MAPPING=PRECISE</stp>
        <stp>FS=MRC</stp>
        <stp>CURRENCY=USD</stp>
        <stp>XLFILL=b</stp>
        <tr r="I82" s="2"/>
      </tp>
      <tp t="s">
        <v/>
        <stp/>
        <stp>##V3_BQLV12</stp>
        <stp>[MODL_CRM_US1.xlsx]Single Period!R120C18</stp>
        <stp>CRM US Equity</stp>
        <stp>BS_LONG_TERM_INVESTMENTS/1M</stp>
        <stp>FPR=2022Y</stp>
        <stp>FPT=A</stp>
        <stp>FA_ACT_EST_DATA=E, EST_SOURCE=CAN</stp>
        <stp>ACT_EST_MAPPING=PRECISE</stp>
        <stp>FS=MRC</stp>
        <stp>CURRENCY=USD</stp>
        <stp>XLFILL=b</stp>
        <tr r="R120" s="2"/>
      </tp>
      <tp>
        <v>4105</v>
        <stp/>
        <stp>##V3_BQLV12</stp>
        <stp>[MODL_CRM_US1.xlsx]Single Period!R120C24</stp>
        <stp>CRM US Equity</stp>
        <stp>BS_LONG_TERM_INVESTMENTS/1M</stp>
        <stp>FPR=2022Y</stp>
        <stp>FPT=A</stp>
        <stp>FA_ACT_EST_DATA=E, EST_SOURCE=FBC</stp>
        <stp>ACT_EST_MAPPING=PRECISE</stp>
        <stp>FS=MRC</stp>
        <stp>CURRENCY=USD</stp>
        <stp>XLFILL=b</stp>
        <tr r="X120" s="2"/>
      </tp>
      <tp t="s">
        <v/>
        <stp/>
        <stp>##V3_BQLV12</stp>
        <stp>[MODL_CRM_US1.xlsx]Single Period!R120C55</stp>
        <stp>CRM US Equity</stp>
        <stp>BS_LONG_TERM_INVESTMENTS/1M</stp>
        <stp>FPR=2022Y</stp>
        <stp>FPT=A</stp>
        <stp>FA_ACT_EST_DATA=E, EST_SOURCE=RED</stp>
        <stp>ACT_EST_MAPPING=PRECISE</stp>
        <stp>FS=MRC</stp>
        <stp>CURRENCY=USD</stp>
        <stp>XLFILL=b</stp>
        <tr r="BC120" s="2"/>
      </tp>
      <tp t="s">
        <v/>
        <stp/>
        <stp>##V3_BQLV12</stp>
        <stp>[MODL_CRM_US1.xlsx]Single Period!R187C39</stp>
        <stp>CRM US Equity</stp>
        <stp>CF_NET_CHNG_CASH/1M</stp>
        <stp>FPR=2022Y</stp>
        <stp>FPT=A</stp>
        <stp>FA_ACT_EST_DATA=E, EST_SOURCE=KGI</stp>
        <stp>ACT_EST_MAPPING=PRECISE</stp>
        <stp>FS=MRC</stp>
        <stp>CURRENCY=USD</stp>
        <stp>XLFILL=b</stp>
        <tr r="AM187" s="2"/>
      </tp>
      <tp t="s">
        <v/>
        <stp/>
        <stp>##V3_BQLV12</stp>
        <stp>[MODL_CRM_US1.xlsx]Single Period!R161C56</stp>
        <stp>CRM US Equity</stp>
        <stp>CF_ACCT_RCV_UNBILLED_REV/1M</stp>
        <stp>FPR=2022Y</stp>
        <stp>FPT=A</stp>
        <stp>FA_ACT_EST_DATA=E, EST_SOURCE=DIR</stp>
        <stp>ACT_EST_MAPPING=PRECISE</stp>
        <stp>FS=MRC</stp>
        <stp>CURRENCY=USD</stp>
        <stp>XLFILL=b</stp>
        <tr r="BD161" s="2"/>
      </tp>
      <tp>
        <v>4876</v>
        <stp/>
        <stp>##V3_BQLV12</stp>
        <stp>[MODL_CRM_US1.xlsx]Single Period!R60C25</stp>
        <stp>CRM US Equity</stp>
        <stp>IS_COMPARABLE_EBIT/1M</stp>
        <stp>FPR=2022Y</stp>
        <stp>FPT=A</stp>
        <stp>FA_ACT_EST_DATA=E, EST_SOURCE=WMS</stp>
        <stp>ACT_EST_MAPPING=PRECISE</stp>
        <stp>FS=MRC</stp>
        <stp>CURRENCY=USD</stp>
        <stp>XLFILL=b</stp>
        <tr r="Y60" s="2"/>
      </tp>
      <tp>
        <v>484</v>
        <stp/>
        <stp>##V3_BQLV12</stp>
        <stp>[MODL_CRM_US1.xlsx]Single Period!R60C20</stp>
        <stp>CRM US Equity</stp>
        <stp>IS_COMPARABLE_EBIT/1M</stp>
        <stp>FPR=2022Y</stp>
        <stp>FPT=A</stp>
        <stp>FA_ACT_EST_DATA=E, EST_SOURCE=JMP</stp>
        <stp>ACT_EST_MAPPING=PRECISE</stp>
        <stp>FS=MRC</stp>
        <stp>CURRENCY=USD</stp>
        <stp>XLFILL=b</stp>
        <tr r="T60" s="2"/>
      </tp>
      <tp t="s">
        <v/>
        <stp/>
        <stp>##V3_BQLV12</stp>
        <stp>[MODL_CRM_US1.xlsx]Single Period!R77C51</stp>
        <stp>CRM US Equity</stp>
        <stp>IS_COGS_TO_FE_AND_PP_AND_G/1M</stp>
        <stp>FPR=2022Y</stp>
        <stp>FPT=A</stp>
        <stp>FA_ACT_EST_DATA=E, EST_SOURCE=RCP</stp>
        <stp>ACT_EST_MAPPING=PRECISE</stp>
        <stp>FS=MRC</stp>
        <stp>CURRENCY=USD</stp>
        <stp>XLFILL=b</stp>
        <tr r="AY77" s="2"/>
      </tp>
      <tp>
        <v>-1484.2850000000001</v>
        <stp/>
        <stp>##V3_BQLV12</stp>
        <stp>[MODL_CRM_US1.xlsx]Single Period!R161C9</stp>
        <stp>CRM US Equity</stp>
        <stp>CONTRIBUTOR_STATS(CF_ACCT_RCV_UNBILLED_REV, MEDIAN)/1M</stp>
        <stp>FPR=2022Y</stp>
        <stp>FPT=A</stp>
        <stp>FA_ACT_EST_DATA=E</stp>
        <stp>ACT_EST_MAPPING=PRECISE</stp>
        <stp>FS=MRC</stp>
        <stp>CURRENCY=USD</stp>
        <stp>XLFILL=b</stp>
        <tr r="I161" s="2"/>
      </tp>
      <tp t="s">
        <v/>
        <stp/>
        <stp>##V3_BQLV12</stp>
        <stp>[MODL_CRM_US1.xlsx]Single Period!R92C10</stp>
        <stp>CRM US Equity</stp>
        <stp>PROF_MARGIN</stp>
        <stp>FPR=2022Y</stp>
        <stp>FPT=A</stp>
        <stp>FA_ACT_EST_DATA=E, EST_SOURCE=CMPY</stp>
        <stp>ACT_EST_MAPPING=PRECISE</stp>
        <stp>FS=MRC</stp>
        <stp>CURRENCY=USD</stp>
        <stp>XLFILL=b</stp>
        <tr r="J92" s="2"/>
      </tp>
      <tp t="s">
        <v/>
        <stp/>
        <stp>##V3_BQLV12</stp>
        <stp>[MODL_CRM_US1.xlsx]Single Period!R77C40</stp>
        <stp>CRM US Equity</stp>
        <stp>IS_COGS_TO_FE_AND_PP_AND_G/1M</stp>
        <stp>FPR=2022Y</stp>
        <stp>FPT=A</stp>
        <stp>FA_ACT_EST_DATA=E, EST_SOURCE=ACC</stp>
        <stp>ACT_EST_MAPPING=PRECISE</stp>
        <stp>FS=MRC</stp>
        <stp>CURRENCY=USD</stp>
        <stp>XLFILL=b</stp>
        <tr r="AN77" s="2"/>
      </tp>
      <tp t="s">
        <v/>
        <stp/>
        <stp>##V3_BQLV12</stp>
        <stp>[MODL_CRM_US1.xlsx]Single Period!R77C19</stp>
        <stp>CRM US Equity</stp>
        <stp>IS_COGS_TO_FE_AND_PP_AND_G/1M</stp>
        <stp>FPR=2022Y</stp>
        <stp>FPT=A</stp>
        <stp>FA_ACT_EST_DATA=E, EST_SOURCE=SCB</stp>
        <stp>ACT_EST_MAPPING=PRECISE</stp>
        <stp>FS=MRC</stp>
        <stp>CURRENCY=USD</stp>
        <stp>XLFILL=b</stp>
        <tr r="S77" s="2"/>
      </tp>
      <tp t="s">
        <v/>
        <stp/>
        <stp>##V3_BQLV12</stp>
        <stp>[MODL_CRM_US1.xlsx]Single Period!R122C10</stp>
        <stp>CRM US Equity</stp>
        <stp>BS_GOODWILL/1M</stp>
        <stp>FPR=2022Y</stp>
        <stp>FPT=A</stp>
        <stp>FA_ACT_EST_DATA=E, EST_SOURCE=CMPY</stp>
        <stp>ACT_EST_MAPPING=PRECISE</stp>
        <stp>FS=MRC</stp>
        <stp>CURRENCY=USD</stp>
        <stp>XLFILL=b</stp>
        <tr r="J122" s="2"/>
      </tp>
      <tp>
        <v>6884.4634776341891</v>
        <stp/>
        <stp>##V3_BQLV12</stp>
        <stp>[MODL_CRM_US1.xlsx]Single Period!R77C13</stp>
        <stp>CRM US Equity</stp>
        <stp>IS_COGS_TO_FE_AND_PP_AND_G/1M</stp>
        <stp>FPR=2022Y</stp>
        <stp>FPT=A</stp>
        <stp>FA_ACT_EST_DATA=E, EST_SOURCE=BCA</stp>
        <stp>ACT_EST_MAPPING=PRECISE</stp>
        <stp>FS=MRC</stp>
        <stp>CURRENCY=USD</stp>
        <stp>XLFILL=b</stp>
        <tr r="M77" s="2"/>
      </tp>
      <tp t="s">
        <v/>
        <stp/>
        <stp>##V3_BQLV12</stp>
        <stp>[MODL_CRM_US1.xlsx]Single Period!R77C27</stp>
        <stp>CRM US Equity</stp>
        <stp>IS_COGS_TO_FE_AND_PP_AND_G/1M</stp>
        <stp>FPR=2022Y</stp>
        <stp>FPT=A</stp>
        <stp>FA_ACT_EST_DATA=E, EST_SOURCE=LCM</stp>
        <stp>ACT_EST_MAPPING=PRECISE</stp>
        <stp>FS=MRC</stp>
        <stp>CURRENCY=USD</stp>
        <stp>XLFILL=b</stp>
        <tr r="AA77" s="2"/>
      </tp>
      <tp>
        <v>4922</v>
        <stp/>
        <stp>##V3_BQLV12</stp>
        <stp>[MODL_CRM_US1.xlsx]Single Period!R19C17</stp>
        <stp>CRM US Equity</stp>
        <stp>IS_COMPARABLE_EBIT/1M</stp>
        <stp>FPR=2022Y</stp>
        <stp>FPT=A</stp>
        <stp>FA_ACT_EST_DATA=E, EST_SOURCE=NDH</stp>
        <stp>ACT_EST_MAPPING=PRECISE</stp>
        <stp>FS=MRC</stp>
        <stp>CURRENCY=USD</stp>
        <stp>XLFILL=b</stp>
        <tr r="Q19" s="2"/>
      </tp>
      <tp>
        <v>4904</v>
        <stp/>
        <stp>##V3_BQLV12</stp>
        <stp>[MODL_CRM_US1.xlsx]Single Period!R60C12</stp>
        <stp>CRM US Equity</stp>
        <stp>IS_COMPARABLE_EBIT/1M</stp>
        <stp>FPR=2022Y</stp>
        <stp>FPT=A</stp>
        <stp>FA_ACT_EST_DATA=E, EST_SOURCE=BMO</stp>
        <stp>ACT_EST_MAPPING=PRECISE</stp>
        <stp>FS=MRC</stp>
        <stp>CURRENCY=USD</stp>
        <stp>XLFILL=b</stp>
        <tr r="L60" s="2"/>
      </tp>
      <tp>
        <v>1030</v>
        <stp/>
        <stp>##V3_BQLV12</stp>
        <stp>[MODL_CRM_US1.xlsx]Single Period!R176C6</stp>
        <stp>CRM US Equity</stp>
        <stp>CONTRIBUTOR_STATS(CF_INCR_CAP_STOCK, MIN)/1M</stp>
        <stp>FPR=2022Y</stp>
        <stp>FPT=A</stp>
        <stp>FA_ACT_EST_DATA=E</stp>
        <stp>ACT_EST_MAPPING=PRECISE</stp>
        <stp>FS=MRC</stp>
        <stp>CURRENCY=USD</stp>
        <stp>XLFILL=b</stp>
        <tr r="F176" s="2"/>
      </tp>
      <tp t="s">
        <v/>
        <stp/>
        <stp>##V3_BQLV12</stp>
        <stp>[MODL_CRM_US1.xlsx]Single Period!R49C23</stp>
        <stp>SEG0000269229 Segment</stp>
        <stp>IS_PERCENTAGE_OF_REVENUE</stp>
        <stp>FPR=2022Y</stp>
        <stp>FPT=A</stp>
        <stp>FA_ACT_EST_DATA=E, EST_SOURCE=JPM</stp>
        <stp>ACT_EST_MAPPING=PRECISE</stp>
        <stp>FS=MRC</stp>
        <stp>CURRENCY=USD</stp>
        <stp>XLFILL=b</stp>
        <tr r="W49" s="2"/>
      </tp>
      <tp>
        <v>21437.319495975862</v>
        <stp/>
        <stp>##V3_BQLV12</stp>
        <stp>[MODL_CRM_US1.xlsx]Single Period!R128C5</stp>
        <stp>CRM US Equity</stp>
        <stp>BS_CUR_LIAB/1M</stp>
        <stp>FPR=2022Y</stp>
        <stp>FPT=A</stp>
        <stp>FA_ACT_EST_DATA=E</stp>
        <stp>ACT_EST_MAPPING=PRECISE</stp>
        <stp>FS=MRC</stp>
        <stp>CURRENCY=USD</stp>
        <stp>XLFILL=b</stp>
        <tr r="E128" s="2"/>
      </tp>
      <tp t="s">
        <v/>
        <stp/>
        <stp>##V3_BQLV12</stp>
        <stp>[MODL_CRM_US1.xlsx]Single Period!R39C43</stp>
        <stp>SEG0000269228 Segment</stp>
        <stp>IS_PERCENTAGE_OF_REVENUE</stp>
        <stp>FPR=2022Y</stp>
        <stp>FPT=A</stp>
        <stp>FA_ACT_EST_DATA=E, EST_SOURCE=DWI</stp>
        <stp>ACT_EST_MAPPING=PRECISE</stp>
        <stp>FS=MRC</stp>
        <stp>CURRENCY=USD</stp>
        <stp>XLFILL=b</stp>
        <tr r="AQ39" s="2"/>
      </tp>
      <tp t="s">
        <v/>
        <stp/>
        <stp>##V3_BQLV12</stp>
        <stp>[MODL_CRM_US1.xlsx]Single Period!R44C44</stp>
        <stp>SEG0000269240 Segment</stp>
        <stp>IS_PERCENTAGE_OF_REVENUE</stp>
        <stp>FPR=2022Y</stp>
        <stp>FPT=A</stp>
        <stp>FA_ACT_EST_DATA=E, EST_SOURCE=RWB</stp>
        <stp>ACT_EST_MAPPING=PRECISE</stp>
        <stp>FS=MRC</stp>
        <stp>CURRENCY=USD</stp>
        <stp>XLFILL=b</stp>
        <tr r="AR44" s="2"/>
      </tp>
      <tp>
        <v>-106.79824097100391</v>
        <stp/>
        <stp>##V3_BQLV12</stp>
        <stp>[MODL_CRM_US1.xlsx]Single Period!R162C5</stp>
        <stp>CRM US Equity</stp>
        <stp>CF_CHANGE_IN_PREPAID_EXPNSS/1M</stp>
        <stp>FPR=2022Y</stp>
        <stp>FPT=A</stp>
        <stp>FA_ACT_EST_DATA=E</stp>
        <stp>ACT_EST_MAPPING=PRECISE</stp>
        <stp>FS=MRC</stp>
        <stp>CURRENCY=USD</stp>
        <stp>XLFILL=b</stp>
        <tr r="E162" s="2"/>
      </tp>
      <tp t="s">
        <v/>
        <stp/>
        <stp>##V3_BQLV12</stp>
        <stp>[MODL_CRM_US1.xlsx]Single Period!R44C23</stp>
        <stp>SEG0000269240 Segment</stp>
        <stp>IS_PERCENTAGE_OF_REVENUE</stp>
        <stp>FPR=2022Y</stp>
        <stp>FPT=A</stp>
        <stp>FA_ACT_EST_DATA=E, EST_SOURCE=JPM</stp>
        <stp>ACT_EST_MAPPING=PRECISE</stp>
        <stp>FS=MRC</stp>
        <stp>CURRENCY=USD</stp>
        <stp>XLFILL=b</stp>
        <tr r="W44" s="2"/>
      </tp>
      <tp t="s">
        <v/>
        <stp/>
        <stp>##V3_BQLV12</stp>
        <stp>[MODL_CRM_US1.xlsx]Single Period!R33C43</stp>
        <stp>SEG0000269227 Segment</stp>
        <stp>IS_PERCENTAGE_OF_REVENUE</stp>
        <stp>FPR=2022Y</stp>
        <stp>FPT=A</stp>
        <stp>FA_ACT_EST_DATA=E, EST_SOURCE=DWI</stp>
        <stp>ACT_EST_MAPPING=PRECISE</stp>
        <stp>FS=MRC</stp>
        <stp>CURRENCY=USD</stp>
        <stp>XLFILL=b</stp>
        <tr r="AQ33" s="2"/>
      </tp>
      <tp t="s">
        <v/>
        <stp/>
        <stp>##V3_BQLV12</stp>
        <stp>[MODL_CRM_US1.xlsx]Single Period!R49C44</stp>
        <stp>SEG0000269229 Segment</stp>
        <stp>IS_PERCENTAGE_OF_REVENUE</stp>
        <stp>FPR=2022Y</stp>
        <stp>FPT=A</stp>
        <stp>FA_ACT_EST_DATA=E, EST_SOURCE=RWB</stp>
        <stp>ACT_EST_MAPPING=PRECISE</stp>
        <stp>FS=MRC</stp>
        <stp>CURRENCY=USD</stp>
        <stp>XLFILL=b</stp>
        <tr r="AR49" s="2"/>
      </tp>
      <tp t="s">
        <v/>
        <stp/>
        <stp>##V3_BQLV12</stp>
        <stp>[MODL_CRM_US1.xlsx]Single Period!R99C38</stp>
        <stp>CRM US Equity</stp>
        <stp>IS_SBC_NON_GAAP/1M</stp>
        <stp>FPR=2022Y</stp>
        <stp>FPT=A</stp>
        <stp>FA_ACT_EST_DATA=E, EST_SOURCE=MSR</stp>
        <stp>ACT_EST_MAPPING=PRECISE</stp>
        <stp>FS=MRC</stp>
        <stp>CURRENCY=USD</stp>
        <stp>XLFILL=b</stp>
        <tr r="AL99" s="2"/>
      </tp>
      <tp>
        <v>2836</v>
        <stp/>
        <stp>##V3_BQLV12</stp>
        <stp>[MODL_CRM_US1.xlsx]Single Period!R99C15</stp>
        <stp>CRM US Equity</stp>
        <stp>IS_SBC_NON_GAAP/1M</stp>
        <stp>FPR=2022Y</stp>
        <stp>FPT=A</stp>
        <stp>FA_ACT_EST_DATA=E, EST_SOURCE=MSV</stp>
        <stp>ACT_EST_MAPPING=PRECISE</stp>
        <stp>FS=MRC</stp>
        <stp>CURRENCY=USD</stp>
        <stp>XLFILL=b</stp>
        <tr r="O99" s="2"/>
      </tp>
      <tp t="s">
        <v/>
        <stp/>
        <stp>##V3_BQLV12</stp>
        <stp>[MODL_CRM_US1.xlsx]Single Period!R99C41</stp>
        <stp>CRM US Equity</stp>
        <stp>IS_SBC_NON_GAAP/1M</stp>
        <stp>FPR=2022Y</stp>
        <stp>FPT=A</stp>
        <stp>FA_ACT_EST_DATA=E, EST_SOURCE=GSR</stp>
        <stp>ACT_EST_MAPPING=PRECISE</stp>
        <stp>FS=MRC</stp>
        <stp>CURRENCY=USD</stp>
        <stp>XLFILL=b</stp>
        <tr r="AO99" s="2"/>
      </tp>
      <tp t="s">
        <v/>
        <stp/>
        <stp>##V3_BQLV12</stp>
        <stp>[MODL_CRM_US1.xlsx]Single Period!R120C32</stp>
        <stp>CRM US Equity</stp>
        <stp>BS_LONG_TERM_INVESTMENTS/1M</stp>
        <stp>FPR=2022Y</stp>
        <stp>FPT=A</stp>
        <stp>FA_ACT_EST_DATA=E, EST_SOURCE=UBS</stp>
        <stp>ACT_EST_MAPPING=PRECISE</stp>
        <stp>FS=MRC</stp>
        <stp>CURRENCY=USD</stp>
        <stp>XLFILL=b</stp>
        <tr r="AF120" s="2"/>
      </tp>
      <tp t="s">
        <v/>
        <stp/>
        <stp>##V3_BQLV12</stp>
        <stp>[MODL_CRM_US1.xlsx]Single Period!R187C17</stp>
        <stp>CRM US Equity</stp>
        <stp>CF_NET_CHNG_CASH/1M</stp>
        <stp>FPR=2022Y</stp>
        <stp>FPT=A</stp>
        <stp>FA_ACT_EST_DATA=E, EST_SOURCE=NDH</stp>
        <stp>ACT_EST_MAPPING=PRECISE</stp>
        <stp>FS=MRC</stp>
        <stp>CURRENCY=USD</stp>
        <stp>XLFILL=b</stp>
        <tr r="Q187" s="2"/>
      </tp>
      <tp t="s">
        <v/>
        <stp/>
        <stp>##V3_BQLV12</stp>
        <stp>[MODL_CRM_US1.xlsx]Single Period!R99C42</stp>
        <stp>CRM US Equity</stp>
        <stp>IS_SBC_NON_GAAP/1M</stp>
        <stp>FPR=2022Y</stp>
        <stp>FPT=A</stp>
        <stp>FA_ACT_EST_DATA=E, EST_SOURCE=PSG</stp>
        <stp>ACT_EST_MAPPING=PRECISE</stp>
        <stp>FS=MRC</stp>
        <stp>CURRENCY=USD</stp>
        <stp>XLFILL=b</stp>
        <tr r="AP99" s="2"/>
      </tp>
      <tp t="s">
        <v/>
        <stp/>
        <stp>##V3_BQLV12</stp>
        <stp>[MODL_CRM_US1.xlsx]Single Period!R120C27</stp>
        <stp>CRM US Equity</stp>
        <stp>BS_LONG_TERM_INVESTMENTS/1M</stp>
        <stp>FPR=2022Y</stp>
        <stp>FPT=A</stp>
        <stp>FA_ACT_EST_DATA=E, EST_SOURCE=LCM</stp>
        <stp>ACT_EST_MAPPING=PRECISE</stp>
        <stp>FS=MRC</stp>
        <stp>CURRENCY=USD</stp>
        <stp>XLFILL=b</stp>
        <tr r="AA120" s="2"/>
      </tp>
      <tp t="s">
        <v/>
        <stp/>
        <stp>##V3_BQLV12</stp>
        <stp>[MODL_CRM_US1.xlsx]Single Period!R8C50</stp>
        <stp>CRM US Equity</stp>
        <stp>REVENUE_GROWTH_CC_1_YR</stp>
        <stp>FPR=2022Y</stp>
        <stp>FPT=A</stp>
        <stp>FA_ACT_EST_DATA=E, EST_SOURCE=MZS</stp>
        <stp>ACT_EST_MAPPING=PRECISE</stp>
        <stp>FS=MRC</stp>
        <stp>CURRENCY=USD</stp>
        <stp>XLFILL=b</stp>
        <tr r="AX8" s="2"/>
      </tp>
      <tp t="s">
        <v/>
        <stp/>
        <stp>##V3_BQLV12</stp>
        <stp>[MODL_CRM_US1.xlsx]Single Period!R120C31</stp>
        <stp>CRM US Equity</stp>
        <stp>BS_LONG_TERM_INVESTMENTS/1M</stp>
        <stp>FPR=2022Y</stp>
        <stp>FPT=A</stp>
        <stp>FA_ACT_EST_DATA=E, EST_SOURCE=RBC</stp>
        <stp>ACT_EST_MAPPING=PRECISE</stp>
        <stp>FS=MRC</stp>
        <stp>CURRENCY=USD</stp>
        <stp>XLFILL=b</stp>
        <tr r="AE120" s="2"/>
      </tp>
      <tp t="s">
        <v/>
        <stp/>
        <stp>##V3_BQLV12</stp>
        <stp>[MODL_CRM_US1.xlsx]Single Period!R172C38</stp>
        <stp>CRM US Equity</stp>
        <stp>CAP_EXPEND_TO_SALES</stp>
        <stp>FPR=2022Y</stp>
        <stp>FPT=A</stp>
        <stp>FA_ACT_EST_DATA=E, EST_SOURCE=MSR</stp>
        <stp>ACT_EST_MAPPING=PRECISE</stp>
        <stp>FS=MRC</stp>
        <stp>CURRENCY=USD</stp>
        <stp>XLFILL=b</stp>
        <tr r="AL172" s="2"/>
      </tp>
      <tp t="s">
        <v/>
        <stp/>
        <stp>##V3_BQLV12</stp>
        <stp>[MODL_CRM_US1.xlsx]Single Period!R100C10</stp>
        <stp>CRM US Equity</stp>
        <stp>IS_SBC_ATTRIB_TO_COGS_PRETX/1M</stp>
        <stp>FPR=2022Y</stp>
        <stp>FPT=A</stp>
        <stp>FA_ACT_EST_DATA=E, EST_SOURCE=CMPY</stp>
        <stp>ACT_EST_MAPPING=PRECISE</stp>
        <stp>FS=MRC</stp>
        <stp>CURRENCY=USD</stp>
        <stp>XLFILL=b</stp>
        <tr r="J100" s="2"/>
      </tp>
      <tp t="s">
        <v/>
        <stp/>
        <stp>##V3_BQLV12</stp>
        <stp>[MODL_CRM_US1.xlsx]Single Period!R77C32</stp>
        <stp>CRM US Equity</stp>
        <stp>IS_COGS_TO_FE_AND_PP_AND_G/1M</stp>
        <stp>FPR=2022Y</stp>
        <stp>FPT=A</stp>
        <stp>FA_ACT_EST_DATA=E, EST_SOURCE=UBS</stp>
        <stp>ACT_EST_MAPPING=PRECISE</stp>
        <stp>FS=MRC</stp>
        <stp>CURRENCY=USD</stp>
        <stp>XLFILL=b</stp>
        <tr r="AF77" s="2"/>
      </tp>
      <tp>
        <v>4882</v>
        <stp/>
        <stp>##V3_BQLV12</stp>
        <stp>[MODL_CRM_US1.xlsx]Single Period!R19C26</stp>
        <stp>CRM US Equity</stp>
        <stp>IS_COMPARABLE_EBIT/1M</stp>
        <stp>FPR=2022Y</stp>
        <stp>FPT=A</stp>
        <stp>FA_ACT_EST_DATA=E, EST_SOURCE=KEY</stp>
        <stp>ACT_EST_MAPPING=PRECISE</stp>
        <stp>FS=MRC</stp>
        <stp>CURRENCY=USD</stp>
        <stp>XLFILL=b</stp>
        <tr r="Z19" s="2"/>
      </tp>
      <tp>
        <v>6954.9412874737091</v>
        <stp/>
        <stp>##V3_BQLV12</stp>
        <stp>[MODL_CRM_US1.xlsx]Single Period!R77C16</stp>
        <stp>CRM US Equity</stp>
        <stp>IS_COGS_TO_FE_AND_PP_AND_G/1M</stp>
        <stp>FPR=2022Y</stp>
        <stp>FPT=A</stp>
        <stp>FA_ACT_EST_DATA=E, EST_SOURCE=DBG</stp>
        <stp>ACT_EST_MAPPING=PRECISE</stp>
        <stp>FS=MRC</stp>
        <stp>CURRENCY=USD</stp>
        <stp>XLFILL=b</stp>
        <tr r="P77" s="2"/>
      </tp>
      <tp t="s">
        <v/>
        <stp/>
        <stp>##V3_BQLV12</stp>
        <stp>[MODL_CRM_US1.xlsx]Single Period!R172C46</stp>
        <stp>CRM US Equity</stp>
        <stp>CAP_EXPEND_TO_SALES</stp>
        <stp>FPR=2022Y</stp>
        <stp>FPT=A</stp>
        <stp>FA_ACT_EST_DATA=E, EST_SOURCE=CTI</stp>
        <stp>ACT_EST_MAPPING=PRECISE</stp>
        <stp>FS=MRC</stp>
        <stp>CURRENCY=USD</stp>
        <stp>XLFILL=b</stp>
        <tr r="AT172" s="2"/>
      </tp>
      <tp t="s">
        <v/>
        <stp/>
        <stp>##V3_BQLV12</stp>
        <stp>[MODL_CRM_US1.xlsx]Single Period!R77C31</stp>
        <stp>CRM US Equity</stp>
        <stp>IS_COGS_TO_FE_AND_PP_AND_G/1M</stp>
        <stp>FPR=2022Y</stp>
        <stp>FPT=A</stp>
        <stp>FA_ACT_EST_DATA=E, EST_SOURCE=RBC</stp>
        <stp>ACT_EST_MAPPING=PRECISE</stp>
        <stp>FS=MRC</stp>
        <stp>CURRENCY=USD</stp>
        <stp>XLFILL=b</stp>
        <tr r="AE77" s="2"/>
      </tp>
      <tp>
        <v>6895.932368729812</v>
        <stp/>
        <stp>##V3_BQLV12</stp>
        <stp>[MODL_CRM_US1.xlsx]Single Period!R77C24</stp>
        <stp>CRM US Equity</stp>
        <stp>IS_COGS_TO_FE_AND_PP_AND_G/1M</stp>
        <stp>FPR=2022Y</stp>
        <stp>FPT=A</stp>
        <stp>FA_ACT_EST_DATA=E, EST_SOURCE=FBC</stp>
        <stp>ACT_EST_MAPPING=PRECISE</stp>
        <stp>FS=MRC</stp>
        <stp>CURRENCY=USD</stp>
        <stp>XLFILL=b</stp>
        <tr r="X77" s="2"/>
      </tp>
      <tp>
        <v>4898</v>
        <stp/>
        <stp>##V3_BQLV12</stp>
        <stp>[MODL_CRM_US1.xlsx]Single Period!R19C34</stp>
        <stp>CRM US Equity</stp>
        <stp>IS_COMPARABLE_EBIT/1M</stp>
        <stp>FPR=2022Y</stp>
        <stp>FPT=A</stp>
        <stp>FA_ACT_EST_DATA=E, EST_SOURCE=JEF</stp>
        <stp>ACT_EST_MAPPING=PRECISE</stp>
        <stp>FS=MRC</stp>
        <stp>CURRENCY=USD</stp>
        <stp>XLFILL=b</stp>
        <tr r="AH19" s="2"/>
      </tp>
      <tp t="s">
        <v/>
        <stp/>
        <stp>##V3_BQLV12</stp>
        <stp>[MODL_CRM_US1.xlsx]Single Period!R19C55</stp>
        <stp>CRM US Equity</stp>
        <stp>IS_COMPARABLE_EBIT/1M</stp>
        <stp>FPR=2022Y</stp>
        <stp>FPT=A</stp>
        <stp>FA_ACT_EST_DATA=E, EST_SOURCE=RED</stp>
        <stp>ACT_EST_MAPPING=PRECISE</stp>
        <stp>FS=MRC</stp>
        <stp>CURRENCY=USD</stp>
        <stp>XLFILL=b</stp>
        <tr r="BC19" s="2"/>
      </tp>
      <tp t="s">
        <v/>
        <stp/>
        <stp>##V3_BQLV12</stp>
        <stp>[MODL_CRM_US1.xlsx]Single Period!R77C11</stp>
        <stp>CRM US Equity</stp>
        <stp>IS_COGS_TO_FE_AND_PP_AND_G/1M</stp>
        <stp>FPR=2022Y</stp>
        <stp>FPT=A</stp>
        <stp>FA_ACT_EST_DATA=E, EST_SOURCE=WBL</stp>
        <stp>ACT_EST_MAPPING=PRECISE</stp>
        <stp>FS=MRC</stp>
        <stp>CURRENCY=USD</stp>
        <stp>XLFILL=b</stp>
        <tr r="K77" s="2"/>
      </tp>
      <tp>
        <v>541.26162342755993</v>
        <stp/>
        <stp>##V3_BQLV12</stp>
        <stp>[MODL_CRM_US1.xlsx]Single Period!R188C8</stp>
        <stp>CRM US Equity</stp>
        <stp>CONTRIBUTOR_STATS(BS_CASH_NEAR_CASH_ITEM, STD)/1M</stp>
        <stp>FPR=2022Y</stp>
        <stp>FPT=A</stp>
        <stp>FA_ACT_EST_DATA=E</stp>
        <stp>ACT_EST_MAPPING=PRECISE</stp>
        <stp>FS=MRC</stp>
        <stp>CURRENCY=USD</stp>
        <stp>XLFILL=b</stp>
        <tr r="H188" s="2"/>
      </tp>
      <tp>
        <v>9.5879384082664554E-2</v>
        <stp/>
        <stp>##V3_BQLV12</stp>
        <stp>[MODL_CRM_US1.xlsx]Single Period!R44C8</stp>
        <stp>SEG0000269240 Segment</stp>
        <stp>CONTRIBUTOR_STATS(IS_PERCENTAGE_OF_REVENUE, STD)</stp>
        <stp>FPR=2022Y</stp>
        <stp>FPT=A</stp>
        <stp>FA_ACT_EST_DATA=E</stp>
        <stp>ACT_EST_MAPPING=PRECISE</stp>
        <stp>FS=MRC</stp>
        <stp>CURRENCY=USD</stp>
        <stp>XLFILL=b</stp>
        <tr r="H44" s="2"/>
      </tp>
      <tp>
        <v>0.117558379151636</v>
        <stp/>
        <stp>##V3_BQLV12</stp>
        <stp>[MODL_CRM_US1.xlsx]Single Period!R33C8</stp>
        <stp>SEG0000269227 Segment</stp>
        <stp>CONTRIBUTOR_STATS(IS_PERCENTAGE_OF_REVENUE, STD)</stp>
        <stp>FPR=2022Y</stp>
        <stp>FPT=A</stp>
        <stp>FA_ACT_EST_DATA=E</stp>
        <stp>ACT_EST_MAPPING=PRECISE</stp>
        <stp>FS=MRC</stp>
        <stp>CURRENCY=USD</stp>
        <stp>XLFILL=b</stp>
        <tr r="H33" s="2"/>
      </tp>
      <tp>
        <v>0.34853322275186832</v>
        <stp/>
        <stp>##V3_BQLV12</stp>
        <stp>[MODL_CRM_US1.xlsx]Single Period!R39C8</stp>
        <stp>SEG0000269228 Segment</stp>
        <stp>CONTRIBUTOR_STATS(IS_PERCENTAGE_OF_REVENUE, STD)</stp>
        <stp>FPR=2022Y</stp>
        <stp>FPT=A</stp>
        <stp>FA_ACT_EST_DATA=E</stp>
        <stp>ACT_EST_MAPPING=PRECISE</stp>
        <stp>FS=MRC</stp>
        <stp>CURRENCY=USD</stp>
        <stp>XLFILL=b</stp>
        <tr r="H39" s="2"/>
      </tp>
      <tp>
        <v>0.1212692874587543</v>
        <stp/>
        <stp>##V3_BQLV12</stp>
        <stp>[MODL_CRM_US1.xlsx]Single Period!R25C8</stp>
        <stp>SEG0000269238 Segment</stp>
        <stp>CONTRIBUTOR_STATS(IS_PERCENTAGE_OF_REVENUE, STD)</stp>
        <stp>FPR=2022Y</stp>
        <stp>FPT=A</stp>
        <stp>FA_ACT_EST_DATA=E</stp>
        <stp>ACT_EST_MAPPING=PRECISE</stp>
        <stp>FS=MRC</stp>
        <stp>CURRENCY=USD</stp>
        <stp>XLFILL=b</stp>
        <tr r="H25" s="2"/>
      </tp>
      <tp>
        <v>1612.3120578457451</v>
        <stp/>
        <stp>##V3_BQLV12</stp>
        <stp>[MODL_CRM_US1.xlsx]Single Period!R176C7</stp>
        <stp>CRM US Equity</stp>
        <stp>CONTRIBUTOR_STATS(CF_INCR_CAP_STOCK, MAX)/1M</stp>
        <stp>FPR=2022Y</stp>
        <stp>FPT=A</stp>
        <stp>FA_ACT_EST_DATA=E</stp>
        <stp>ACT_EST_MAPPING=PRECISE</stp>
        <stp>FS=MRC</stp>
        <stp>CURRENCY=USD</stp>
        <stp>XLFILL=b</stp>
        <tr r="G176" s="2"/>
      </tp>
      <tp>
        <v>2.024157604616492E-2</v>
        <stp/>
        <stp>##V3_BQLV12</stp>
        <stp>[MODL_CRM_US1.xlsx]Single Period!R49C8</stp>
        <stp>SEG0000269229 Segment</stp>
        <stp>CONTRIBUTOR_STATS(IS_PERCENTAGE_OF_REVENUE, STD)</stp>
        <stp>FPR=2022Y</stp>
        <stp>FPT=A</stp>
        <stp>FA_ACT_EST_DATA=E</stp>
        <stp>ACT_EST_MAPPING=PRECISE</stp>
        <stp>FS=MRC</stp>
        <stp>CURRENCY=USD</stp>
        <stp>XLFILL=b</stp>
        <tr r="H49" s="2"/>
      </tp>
      <tp>
        <v>6180.5049031750023</v>
        <stp/>
        <stp>##V3_BQLV12</stp>
        <stp>[MODL_CRM_US1.xlsx]Single Period!R188C6</stp>
        <stp>CRM US Equity</stp>
        <stp>CONTRIBUTOR_STATS(BS_CASH_NEAR_CASH_ITEM, MIN)/1M</stp>
        <stp>FPR=2022Y</stp>
        <stp>FPT=A</stp>
        <stp>FA_ACT_EST_DATA=E</stp>
        <stp>ACT_EST_MAPPING=PRECISE</stp>
        <stp>FS=MRC</stp>
        <stp>CURRENCY=USD</stp>
        <stp>XLFILL=b</stp>
        <tr r="F188" s="2"/>
      </tp>
      <tp>
        <v>7844.6291499999998</v>
        <stp/>
        <stp>##V3_BQLV12</stp>
        <stp>[MODL_CRM_US1.xlsx]Single Period!R188C7</stp>
        <stp>CRM US Equity</stp>
        <stp>CONTRIBUTOR_STATS(BS_CASH_NEAR_CASH_ITEM, MAX)/1M</stp>
        <stp>FPR=2022Y</stp>
        <stp>FPT=A</stp>
        <stp>FA_ACT_EST_DATA=E</stp>
        <stp>ACT_EST_MAPPING=PRECISE</stp>
        <stp>FS=MRC</stp>
        <stp>CURRENCY=USD</stp>
        <stp>XLFILL=b</stp>
        <tr r="G188" s="2"/>
      </tp>
      <tp t="s">
        <v/>
        <stp/>
        <stp>##V3_BQLV12</stp>
        <stp>[MODL_CRM_US1.xlsx]Single Period!R25C41</stp>
        <stp>SEG0000269238 Segment</stp>
        <stp>IS_PERCENTAGE_OF_REVENUE</stp>
        <stp>FPR=2022Y</stp>
        <stp>FPT=A</stp>
        <stp>FA_ACT_EST_DATA=E, EST_SOURCE=GSR</stp>
        <stp>ACT_EST_MAPPING=PRECISE</stp>
        <stp>FS=MRC</stp>
        <stp>CURRENCY=USD</stp>
        <stp>XLFILL=b</stp>
        <tr r="AO25" s="2"/>
      </tp>
      <tp t="s">
        <v/>
        <stp/>
        <stp>##V3_BQLV12</stp>
        <stp>[MODL_CRM_US1.xlsx]Single Period!R55C50</stp>
        <stp>CRM US Equity</stp>
        <stp>IS_ADJ_GROSS_PROFIT_AS_REPORTED/1M</stp>
        <stp>FPR=2022Y</stp>
        <stp>FPT=A</stp>
        <stp>FA_ACT_EST_DATA=E, EST_SOURCE=MZS</stp>
        <stp>ACT_EST_MAPPING=PRECISE</stp>
        <stp>FS=MRC</stp>
        <stp>CURRENCY=USD</stp>
        <stp>XLFILL=b</stp>
        <tr r="AX55" s="2"/>
      </tp>
      <tp t="s">
        <v/>
        <stp/>
        <stp>##V3_BQLV12</stp>
        <stp>[MODL_CRM_US1.xlsx]Single Period!R16C50</stp>
        <stp>CRM US Equity</stp>
        <stp>IS_ADJ_GROSS_PROFIT_AS_REPORTED/1M</stp>
        <stp>FPR=2022Y</stp>
        <stp>FPT=A</stp>
        <stp>FA_ACT_EST_DATA=E, EST_SOURCE=MZS</stp>
        <stp>ACT_EST_MAPPING=PRECISE</stp>
        <stp>FS=MRC</stp>
        <stp>CURRENCY=USD</stp>
        <stp>XLFILL=b</stp>
        <tr r="AX16" s="2"/>
      </tp>
      <tp t="s">
        <v/>
        <stp/>
        <stp>##V3_BQLV12</stp>
        <stp>[MODL_CRM_US1.xlsx]Single Period!R25C22</stp>
        <stp>SEG0000269238 Segment</stp>
        <stp>IS_PERCENTAGE_OF_REVENUE</stp>
        <stp>FPR=2022Y</stp>
        <stp>FPT=A</stp>
        <stp>FA_ACT_EST_DATA=E, EST_SOURCE=OPY</stp>
        <stp>ACT_EST_MAPPING=PRECISE</stp>
        <stp>FS=MRC</stp>
        <stp>CURRENCY=USD</stp>
        <stp>XLFILL=b</stp>
        <tr r="V25" s="2"/>
      </tp>
      <tp>
        <v>71181.558918190261</v>
        <stp/>
        <stp>##V3_BQLV12</stp>
        <stp>[MODL_CRM_US1.xlsx]Single Period!R117C5</stp>
        <stp>CRM US Equity</stp>
        <stp>BS_TOTAL_NON_CURRENT_ASSETS/1M</stp>
        <stp>FPR=2022Y</stp>
        <stp>FPT=A</stp>
        <stp>FA_ACT_EST_DATA=E</stp>
        <stp>ACT_EST_MAPPING=PRECISE</stp>
        <stp>FS=MRC</stp>
        <stp>CURRENCY=USD</stp>
        <stp>XLFILL=b</stp>
        <tr r="E117" s="2"/>
      </tp>
      <tp t="s">
        <v/>
        <stp/>
        <stp>##V3_BQLV12</stp>
        <stp>[MODL_CRM_US1.xlsx]Single Period!R39C23</stp>
        <stp>SEG0000269228 Segment</stp>
        <stp>IS_PERCENTAGE_OF_REVENUE</stp>
        <stp>FPR=2022Y</stp>
        <stp>FPT=A</stp>
        <stp>FA_ACT_EST_DATA=E, EST_SOURCE=JPM</stp>
        <stp>ACT_EST_MAPPING=PRECISE</stp>
        <stp>FS=MRC</stp>
        <stp>CURRENCY=USD</stp>
        <stp>XLFILL=b</stp>
        <tr r="W39" s="2"/>
      </tp>
      <tp>
        <v>2722</v>
        <stp/>
        <stp>##V3_BQLV12</stp>
        <stp>[MODL_CRM_US1.xlsx]Single Period!R134C9</stp>
        <stp>CRM US Equity</stp>
        <stp>CONTRIBUTOR_STATS(BS_LT_OPERATING_LEASE_LIABS, MEDIAN)/1M</stp>
        <stp>FPR=2022Y</stp>
        <stp>FPT=A</stp>
        <stp>FA_ACT_EST_DATA=E</stp>
        <stp>ACT_EST_MAPPING=PRECISE</stp>
        <stp>FS=MRC</stp>
        <stp>CURRENCY=USD</stp>
        <stp>XLFILL=b</stp>
        <tr r="I134" s="2"/>
      </tp>
      <tp t="s">
        <v/>
        <stp/>
        <stp>##V3_BQLV12</stp>
        <stp>[MODL_CRM_US1.xlsx]Single Period!R49C43</stp>
        <stp>SEG0000269229 Segment</stp>
        <stp>IS_PERCENTAGE_OF_REVENUE</stp>
        <stp>FPR=2022Y</stp>
        <stp>FPT=A</stp>
        <stp>FA_ACT_EST_DATA=E, EST_SOURCE=DWI</stp>
        <stp>ACT_EST_MAPPING=PRECISE</stp>
        <stp>FS=MRC</stp>
        <stp>CURRENCY=USD</stp>
        <stp>XLFILL=b</stp>
        <tr r="AQ49" s="2"/>
      </tp>
      <tp t="s">
        <v/>
        <stp/>
        <stp>##V3_BQLV12</stp>
        <stp>[MODL_CRM_US1.xlsx]Single Period!R33C44</stp>
        <stp>SEG0000269227 Segment</stp>
        <stp>IS_PERCENTAGE_OF_REVENUE</stp>
        <stp>FPR=2022Y</stp>
        <stp>FPT=A</stp>
        <stp>FA_ACT_EST_DATA=E, EST_SOURCE=RWB</stp>
        <stp>ACT_EST_MAPPING=PRECISE</stp>
        <stp>FS=MRC</stp>
        <stp>CURRENCY=USD</stp>
        <stp>XLFILL=b</stp>
        <tr r="AR33" s="2"/>
      </tp>
      <tp t="s">
        <v/>
        <stp/>
        <stp>##V3_BQLV12</stp>
        <stp>[MODL_CRM_US1.xlsx]Single Period!R25C46</stp>
        <stp>SEG0000269238 Segment</stp>
        <stp>IS_PERCENTAGE_OF_REVENUE</stp>
        <stp>FPR=2022Y</stp>
        <stp>FPT=A</stp>
        <stp>FA_ACT_EST_DATA=E, EST_SOURCE=CTI</stp>
        <stp>ACT_EST_MAPPING=PRECISE</stp>
        <stp>FS=MRC</stp>
        <stp>CURRENCY=USD</stp>
        <stp>XLFILL=b</stp>
        <tr r="AT25" s="2"/>
      </tp>
      <tp>
        <v>6.938380273019364</v>
        <stp/>
        <stp>##V3_BQLV12</stp>
        <stp>[MODL_CRM_US1.xlsx]Single Period!R33C23</stp>
        <stp>SEG0000269227 Segment</stp>
        <stp>IS_PERCENTAGE_OF_REVENUE</stp>
        <stp>FPR=2022Y</stp>
        <stp>FPT=A</stp>
        <stp>FA_ACT_EST_DATA=E, EST_SOURCE=JPM</stp>
        <stp>ACT_EST_MAPPING=PRECISE</stp>
        <stp>FS=MRC</stp>
        <stp>CURRENCY=USD</stp>
        <stp>XLFILL=b</stp>
        <tr r="W33" s="2"/>
      </tp>
      <tp t="s">
        <v/>
        <stp/>
        <stp>##V3_BQLV12</stp>
        <stp>[MODL_CRM_US1.xlsx]Single Period!R39C44</stp>
        <stp>SEG0000269228 Segment</stp>
        <stp>IS_PERCENTAGE_OF_REVENUE</stp>
        <stp>FPR=2022Y</stp>
        <stp>FPT=A</stp>
        <stp>FA_ACT_EST_DATA=E, EST_SOURCE=RWB</stp>
        <stp>ACT_EST_MAPPING=PRECISE</stp>
        <stp>FS=MRC</stp>
        <stp>CURRENCY=USD</stp>
        <stp>XLFILL=b</stp>
        <tr r="AR39" s="2"/>
      </tp>
      <tp t="s">
        <v/>
        <stp/>
        <stp>##V3_BQLV12</stp>
        <stp>[MODL_CRM_US1.xlsx]Single Period!R44C43</stp>
        <stp>SEG0000269240 Segment</stp>
        <stp>IS_PERCENTAGE_OF_REVENUE</stp>
        <stp>FPR=2022Y</stp>
        <stp>FPT=A</stp>
        <stp>FA_ACT_EST_DATA=E, EST_SOURCE=DWI</stp>
        <stp>ACT_EST_MAPPING=PRECISE</stp>
        <stp>FS=MRC</stp>
        <stp>CURRENCY=USD</stp>
        <stp>XLFILL=b</stp>
        <tr r="AQ44" s="2"/>
      </tp>
      <tp>
        <v>34.890030187521042</v>
        <stp/>
        <stp>##V3_BQLV12</stp>
        <stp>[MODL_CRM_US1.xlsx]Single Period!R102C8</stp>
        <stp>CRM US Equity</stp>
        <stp>CONTRIBUTOR_STATS(IS_SBC_ATT_TO_S_AND_M_PRETX, STD)/1M</stp>
        <stp>FPR=2022Y</stp>
        <stp>FPT=A</stp>
        <stp>FA_ACT_EST_DATA=E</stp>
        <stp>ACT_EST_MAPPING=PRECISE</stp>
        <stp>FS=MRC</stp>
        <stp>CURRENCY=USD</stp>
        <stp>XLFILL=b</stp>
        <tr r="H102" s="2"/>
      </tp>
      <tp t="s">
        <v/>
        <stp/>
        <stp>##V3_BQLV12</stp>
        <stp>[MODL_CRM_US1.xlsx]Single Period!R120C51</stp>
        <stp>CRM US Equity</stp>
        <stp>BS_LONG_TERM_INVESTMENTS/1M</stp>
        <stp>FPR=2022Y</stp>
        <stp>FPT=A</stp>
        <stp>FA_ACT_EST_DATA=E, EST_SOURCE=RCP</stp>
        <stp>ACT_EST_MAPPING=PRECISE</stp>
        <stp>FS=MRC</stp>
        <stp>CURRENCY=USD</stp>
        <stp>XLFILL=b</stp>
        <tr r="AY120" s="2"/>
      </tp>
      <tp t="s">
        <v/>
        <stp/>
        <stp>##V3_BQLV12</stp>
        <stp>[MODL_CRM_US1.xlsx]Single Period!R187C47</stp>
        <stp>CRM US Equity</stp>
        <stp>CF_NET_CHNG_CASH/1M</stp>
        <stp>FPR=2022Y</stp>
        <stp>FPT=A</stp>
        <stp>FA_ACT_EST_DATA=E, EST_SOURCE=WFT</stp>
        <stp>ACT_EST_MAPPING=PRECISE</stp>
        <stp>FS=MRC</stp>
        <stp>CURRENCY=USD</stp>
        <stp>XLFILL=b</stp>
        <tr r="AU187" s="2"/>
      </tp>
      <tp t="s">
        <v/>
        <stp/>
        <stp>##V3_BQLV12</stp>
        <stp>[MODL_CRM_US1.xlsx]Single Period!R187C30</stp>
        <stp>CRM US Equity</stp>
        <stp>CF_NET_CHNG_CASH/1M</stp>
        <stp>FPR=2022Y</stp>
        <stp>FPT=A</stp>
        <stp>FA_ACT_EST_DATA=E, EST_SOURCE=BAM</stp>
        <stp>ACT_EST_MAPPING=PRECISE</stp>
        <stp>FS=MRC</stp>
        <stp>CURRENCY=USD</stp>
        <stp>XLFILL=b</stp>
        <tr r="AD187" s="2"/>
      </tp>
      <tp t="s">
        <v/>
        <stp/>
        <stp>##V3_BQLV12</stp>
        <stp>[MODL_CRM_US1.xlsx]Single Period!R187C19</stp>
        <stp>CRM US Equity</stp>
        <stp>CF_NET_CHNG_CASH/1M</stp>
        <stp>FPR=2022Y</stp>
        <stp>FPT=A</stp>
        <stp>FA_ACT_EST_DATA=E, EST_SOURCE=SCB</stp>
        <stp>ACT_EST_MAPPING=PRECISE</stp>
        <stp>FS=MRC</stp>
        <stp>CURRENCY=USD</stp>
        <stp>XLFILL=b</stp>
        <tr r="S187" s="2"/>
      </tp>
      <tp t="s">
        <v/>
        <stp/>
        <stp>##V3_BQLV12</stp>
        <stp>[MODL_CRM_US1.xlsx]Single Period!R187C36</stp>
        <stp>CRM US Equity</stp>
        <stp>CF_NET_CHNG_CASH/1M</stp>
        <stp>FPR=2022Y</stp>
        <stp>FPT=A</stp>
        <stp>FA_ACT_EST_DATA=E, EST_SOURCE=MAC</stp>
        <stp>ACT_EST_MAPPING=PRECISE</stp>
        <stp>FS=MRC</stp>
        <stp>CURRENCY=USD</stp>
        <stp>XLFILL=b</stp>
        <tr r="AJ187" s="2"/>
      </tp>
      <tp>
        <v>0.27059386363754162</v>
        <stp/>
        <stp>##V3_BQLV12</stp>
        <stp>[MODL_CRM_US1.xlsx]Single Period!R78C8</stp>
        <stp>CRM US Equity</stp>
        <stp>CONTRIBUTOR_STATS(COGS_TO_NET_SALES, STD)</stp>
        <stp>FPR=2022Y</stp>
        <stp>FPT=A</stp>
        <stp>FA_ACT_EST_DATA=E</stp>
        <stp>ACT_EST_MAPPING=PRECISE</stp>
        <stp>FS=MRC</stp>
        <stp>CURRENCY=USD</stp>
        <stp>XLFILL=b</stp>
        <tr r="H78" s="2"/>
      </tp>
      <tp t="s">
        <v/>
        <stp/>
        <stp>##V3_BQLV12</stp>
        <stp>[MODL_CRM_US1.xlsx]Single Period!R99C46</stp>
        <stp>CRM US Equity</stp>
        <stp>IS_SBC_NON_GAAP/1M</stp>
        <stp>FPR=2022Y</stp>
        <stp>FPT=A</stp>
        <stp>FA_ACT_EST_DATA=E, EST_SOURCE=CTI</stp>
        <stp>ACT_EST_MAPPING=PRECISE</stp>
        <stp>FS=MRC</stp>
        <stp>CURRENCY=USD</stp>
        <stp>XLFILL=b</stp>
        <tr r="AT99" s="2"/>
      </tp>
      <tp>
        <v>1213.9026175773201</v>
        <stp/>
        <stp>##V3_BQLV12</stp>
        <stp>[MODL_CRM_US1.xlsx]Single Period!R102C7</stp>
        <stp>CRM US Equity</stp>
        <stp>CONTRIBUTOR_STATS(IS_SBC_ATT_TO_S_AND_M_PRETX, MAX)/1M</stp>
        <stp>FPR=2022Y</stp>
        <stp>FPT=A</stp>
        <stp>FA_ACT_EST_DATA=E</stp>
        <stp>ACT_EST_MAPPING=PRECISE</stp>
        <stp>FS=MRC</stp>
        <stp>CURRENCY=USD</stp>
        <stp>XLFILL=b</stp>
        <tr r="G102" s="2"/>
      </tp>
      <tp>
        <v>1112</v>
        <stp/>
        <stp>##V3_BQLV12</stp>
        <stp>[MODL_CRM_US1.xlsx]Single Period!R102C6</stp>
        <stp>CRM US Equity</stp>
        <stp>CONTRIBUTOR_STATS(IS_SBC_ATT_TO_S_AND_M_PRETX, MIN)/1M</stp>
        <stp>FPR=2022Y</stp>
        <stp>FPT=A</stp>
        <stp>FA_ACT_EST_DATA=E</stp>
        <stp>ACT_EST_MAPPING=PRECISE</stp>
        <stp>FS=MRC</stp>
        <stp>CURRENCY=USD</stp>
        <stp>XLFILL=b</stp>
        <tr r="F102" s="2"/>
      </tp>
      <tp t="s">
        <v/>
        <stp/>
        <stp>##V3_BQLV12</stp>
        <stp>[MODL_CRM_US1.xlsx]Single Period!R120C34</stp>
        <stp>CRM US Equity</stp>
        <stp>BS_LONG_TERM_INVESTMENTS/1M</stp>
        <stp>FPR=2022Y</stp>
        <stp>FPT=A</stp>
        <stp>FA_ACT_EST_DATA=E, EST_SOURCE=JEF</stp>
        <stp>ACT_EST_MAPPING=PRECISE</stp>
        <stp>FS=MRC</stp>
        <stp>CURRENCY=USD</stp>
        <stp>XLFILL=b</stp>
        <tr r="AH120" s="2"/>
      </tp>
      <tp t="s">
        <v/>
        <stp/>
        <stp>##V3_BQLV12</stp>
        <stp>[MODL_CRM_US1.xlsx]Single Period!R99C35</stp>
        <stp>CRM US Equity</stp>
        <stp>IS_SBC_NON_GAAP/1M</stp>
        <stp>FPR=2022Y</stp>
        <stp>FPT=A</stp>
        <stp>FA_ACT_EST_DATA=E, EST_SOURCE=ATL</stp>
        <stp>ACT_EST_MAPPING=PRECISE</stp>
        <stp>FS=MRC</stp>
        <stp>CURRENCY=USD</stp>
        <stp>XLFILL=b</stp>
        <tr r="AI99" s="2"/>
      </tp>
      <tp>
        <v>-3.3197899859833342</v>
        <stp/>
        <stp>##V3_BQLV12</stp>
        <stp>[MODL_CRM_US1.xlsx]Single Period!R187C13</stp>
        <stp>CRM US Equity</stp>
        <stp>CF_NET_CHNG_CASH/1M</stp>
        <stp>FPR=2022Y</stp>
        <stp>FPT=A</stp>
        <stp>FA_ACT_EST_DATA=E, EST_SOURCE=BCA</stp>
        <stp>ACT_EST_MAPPING=PRECISE</stp>
        <stp>FS=MRC</stp>
        <stp>CURRENCY=USD</stp>
        <stp>XLFILL=b</stp>
        <tr r="M187" s="2"/>
      </tp>
      <tp>
        <v>4956</v>
        <stp/>
        <stp>##V3_BQLV12</stp>
        <stp>[MODL_CRM_US1.xlsx]Single Period!R19C32</stp>
        <stp>CRM US Equity</stp>
        <stp>IS_COMPARABLE_EBIT/1M</stp>
        <stp>FPR=2022Y</stp>
        <stp>FPT=A</stp>
        <stp>FA_ACT_EST_DATA=E, EST_SOURCE=UBS</stp>
        <stp>ACT_EST_MAPPING=PRECISE</stp>
        <stp>FS=MRC</stp>
        <stp>CURRENCY=USD</stp>
        <stp>XLFILL=b</stp>
        <tr r="AF19" s="2"/>
      </tp>
      <tp t="s">
        <v/>
        <stp/>
        <stp>##V3_BQLV12</stp>
        <stp>[MODL_CRM_US1.xlsx]Single Period!R172C41</stp>
        <stp>CRM US Equity</stp>
        <stp>CAP_EXPEND_TO_SALES</stp>
        <stp>FPR=2022Y</stp>
        <stp>FPT=A</stp>
        <stp>FA_ACT_EST_DATA=E, EST_SOURCE=GSR</stp>
        <stp>ACT_EST_MAPPING=PRECISE</stp>
        <stp>FS=MRC</stp>
        <stp>CURRENCY=USD</stp>
        <stp>XLFILL=b</stp>
        <tr r="AO172" s="2"/>
      </tp>
      <tp>
        <v>6926.5145366751167</v>
        <stp/>
        <stp>##V3_BQLV12</stp>
        <stp>[MODL_CRM_US1.xlsx]Single Period!R77C26</stp>
        <stp>CRM US Equity</stp>
        <stp>IS_COGS_TO_FE_AND_PP_AND_G/1M</stp>
        <stp>FPR=2022Y</stp>
        <stp>FPT=A</stp>
        <stp>FA_ACT_EST_DATA=E, EST_SOURCE=KEY</stp>
        <stp>ACT_EST_MAPPING=PRECISE</stp>
        <stp>FS=MRC</stp>
        <stp>CURRENCY=USD</stp>
        <stp>XLFILL=b</stp>
        <tr r="Z77" s="2"/>
      </tp>
      <tp>
        <v>4904</v>
        <stp/>
        <stp>##V3_BQLV12</stp>
        <stp>[MODL_CRM_US1.xlsx]Single Period!R19C31</stp>
        <stp>CRM US Equity</stp>
        <stp>IS_COMPARABLE_EBIT/1M</stp>
        <stp>FPR=2022Y</stp>
        <stp>FPT=A</stp>
        <stp>FA_ACT_EST_DATA=E, EST_SOURCE=RBC</stp>
        <stp>ACT_EST_MAPPING=PRECISE</stp>
        <stp>FS=MRC</stp>
        <stp>CURRENCY=USD</stp>
        <stp>XLFILL=b</stp>
        <tr r="AE19" s="2"/>
      </tp>
      <tp>
        <v>4859</v>
        <stp/>
        <stp>##V3_BQLV12</stp>
        <stp>[MODL_CRM_US1.xlsx]Single Period!R19C24</stp>
        <stp>CRM US Equity</stp>
        <stp>IS_COMPARABLE_EBIT/1M</stp>
        <stp>FPR=2022Y</stp>
        <stp>FPT=A</stp>
        <stp>FA_ACT_EST_DATA=E, EST_SOURCE=FBC</stp>
        <stp>ACT_EST_MAPPING=PRECISE</stp>
        <stp>FS=MRC</stp>
        <stp>CURRENCY=USD</stp>
        <stp>XLFILL=b</stp>
        <tr r="X19" s="2"/>
      </tp>
      <tp t="s">
        <v/>
        <stp/>
        <stp>##V3_BQLV12</stp>
        <stp>[MODL_CRM_US1.xlsx]Single Period!R77C34</stp>
        <stp>CRM US Equity</stp>
        <stp>IS_COGS_TO_FE_AND_PP_AND_G/1M</stp>
        <stp>FPR=2022Y</stp>
        <stp>FPT=A</stp>
        <stp>FA_ACT_EST_DATA=E, EST_SOURCE=JEF</stp>
        <stp>ACT_EST_MAPPING=PRECISE</stp>
        <stp>FS=MRC</stp>
        <stp>CURRENCY=USD</stp>
        <stp>XLFILL=b</stp>
        <tr r="AH77" s="2"/>
      </tp>
      <tp t="s">
        <v/>
        <stp/>
        <stp>##V3_BQLV12</stp>
        <stp>[MODL_CRM_US1.xlsx]Single Period!R172C35</stp>
        <stp>CRM US Equity</stp>
        <stp>CAP_EXPEND_TO_SALES</stp>
        <stp>FPR=2022Y</stp>
        <stp>FPT=A</stp>
        <stp>FA_ACT_EST_DATA=E, EST_SOURCE=ATL</stp>
        <stp>ACT_EST_MAPPING=PRECISE</stp>
        <stp>FS=MRC</stp>
        <stp>CURRENCY=USD</stp>
        <stp>XLFILL=b</stp>
        <tr r="AI172" s="2"/>
      </tp>
      <tp t="s">
        <v/>
        <stp/>
        <stp>##V3_BQLV12</stp>
        <stp>[MODL_CRM_US1.xlsx]Single Period!R77C55</stp>
        <stp>CRM US Equity</stp>
        <stp>IS_COGS_TO_FE_AND_PP_AND_G/1M</stp>
        <stp>FPR=2022Y</stp>
        <stp>FPT=A</stp>
        <stp>FA_ACT_EST_DATA=E, EST_SOURCE=RED</stp>
        <stp>ACT_EST_MAPPING=PRECISE</stp>
        <stp>FS=MRC</stp>
        <stp>CURRENCY=USD</stp>
        <stp>XLFILL=b</stp>
        <tr r="BC77" s="2"/>
      </tp>
      <tp>
        <v>4913</v>
        <stp/>
        <stp>##V3_BQLV12</stp>
        <stp>[MODL_CRM_US1.xlsx]Single Period!R19C16</stp>
        <stp>CRM US Equity</stp>
        <stp>IS_COMPARABLE_EBIT/1M</stp>
        <stp>FPR=2022Y</stp>
        <stp>FPT=A</stp>
        <stp>FA_ACT_EST_DATA=E, EST_SOURCE=DBG</stp>
        <stp>ACT_EST_MAPPING=PRECISE</stp>
        <stp>FS=MRC</stp>
        <stp>CURRENCY=USD</stp>
        <stp>XLFILL=b</stp>
        <tr r="P19" s="2"/>
      </tp>
      <tp t="s">
        <v/>
        <stp/>
        <stp>##V3_BQLV12</stp>
        <stp>[MODL_CRM_US1.xlsx]Single Period!R172C54</stp>
        <stp>CRM US Equity</stp>
        <stp>CAP_EXPEND_TO_SALES</stp>
        <stp>FPR=2022Y</stp>
        <stp>FPT=A</stp>
        <stp>FA_ACT_EST_DATA=E, EST_SOURCE=ARE</stp>
        <stp>ACT_EST_MAPPING=PRECISE</stp>
        <stp>FS=MRC</stp>
        <stp>CURRENCY=USD</stp>
        <stp>XLFILL=b</stp>
        <tr r="BB172" s="2"/>
      </tp>
      <tp t="s">
        <v/>
        <stp/>
        <stp>##V3_BQLV12</stp>
        <stp>[MODL_CRM_US1.xlsx]Single Period!R172C42</stp>
        <stp>CRM US Equity</stp>
        <stp>CAP_EXPEND_TO_SALES</stp>
        <stp>FPR=2022Y</stp>
        <stp>FPT=A</stp>
        <stp>FA_ACT_EST_DATA=E, EST_SOURCE=PSG</stp>
        <stp>ACT_EST_MAPPING=PRECISE</stp>
        <stp>FS=MRC</stp>
        <stp>CURRENCY=USD</stp>
        <stp>XLFILL=b</stp>
        <tr r="AP172" s="2"/>
      </tp>
      <tp>
        <v>4918</v>
        <stp/>
        <stp>##V3_BQLV12</stp>
        <stp>[MODL_CRM_US1.xlsx]Single Period!R19C11</stp>
        <stp>CRM US Equity</stp>
        <stp>IS_COMPARABLE_EBIT/1M</stp>
        <stp>FPR=2022Y</stp>
        <stp>FPT=A</stp>
        <stp>FA_ACT_EST_DATA=E, EST_SOURCE=WBL</stp>
        <stp>ACT_EST_MAPPING=PRECISE</stp>
        <stp>FS=MRC</stp>
        <stp>CURRENCY=USD</stp>
        <stp>XLFILL=b</stp>
        <tr r="K19" s="2"/>
      </tp>
    </main>
    <main first="bloomberg.rtd">
      <tp>
        <v>2697</v>
        <stp/>
        <stp>##V3_BQLV12</stp>
        <stp>[MODL_CRM_US1.xlsx]Single Period!R134C5</stp>
        <stp>CRM US Equity</stp>
        <stp>BS_LT_OPERATING_LEASE_LIABS/1M</stp>
        <stp>FPR=2022Y</stp>
        <stp>FPT=A</stp>
        <stp>FA_ACT_EST_DATA=E</stp>
        <stp>ACT_EST_MAPPING=PRECISE</stp>
        <stp>FS=MRC</stp>
        <stp>CURRENCY=USD</stp>
        <stp>XLFILL=b</stp>
        <tr r="E134" s="2"/>
      </tp>
      <tp t="s">
        <v/>
        <stp/>
        <stp>##V3_BQLV12</stp>
        <stp>[MODL_CRM_US1.xlsx]Single Period!R39C22</stp>
        <stp>SEG0000269228 Segment</stp>
        <stp>IS_PERCENTAGE_OF_REVENUE</stp>
        <stp>FPR=2022Y</stp>
        <stp>FPT=A</stp>
        <stp>FA_ACT_EST_DATA=E, EST_SOURCE=OPY</stp>
        <stp>ACT_EST_MAPPING=PRECISE</stp>
        <stp>FS=MRC</stp>
        <stp>CURRENCY=USD</stp>
        <stp>XLFILL=b</stp>
        <tr r="V39" s="2"/>
      </tp>
      <tp t="s">
        <v/>
        <stp/>
        <stp>##V3_BQLV12</stp>
        <stp>[MODL_CRM_US1.xlsx]Single Period!R33C41</stp>
        <stp>SEG0000269227 Segment</stp>
        <stp>IS_PERCENTAGE_OF_REVENUE</stp>
        <stp>FPR=2022Y</stp>
        <stp>FPT=A</stp>
        <stp>FA_ACT_EST_DATA=E, EST_SOURCE=GSR</stp>
        <stp>ACT_EST_MAPPING=PRECISE</stp>
        <stp>FS=MRC</stp>
        <stp>CURRENCY=USD</stp>
        <stp>XLFILL=b</stp>
        <tr r="AO33" s="2"/>
      </tp>
      <tp>
        <v>15632.872291711241</v>
        <stp/>
        <stp>##V3_BQLV12</stp>
        <stp>[MODL_CRM_US1.xlsx]Single Period!R131C5</stp>
        <stp>CRM US Equity</stp>
        <stp>ST_DEFERRED_REVENUE/1M</stp>
        <stp>FPR=2022Y</stp>
        <stp>FPT=A</stp>
        <stp>FA_ACT_EST_DATA=E</stp>
        <stp>ACT_EST_MAPPING=PRECISE</stp>
        <stp>FS=MRC</stp>
        <stp>CURRENCY=USD</stp>
        <stp>XLFILL=b</stp>
        <tr r="E131" s="2"/>
      </tp>
      <tp>
        <v>5286.4257071214588</v>
        <stp/>
        <stp>##V3_BQLV12</stp>
        <stp>[MODL_CRM_US1.xlsx]Single Period!R191C5</stp>
        <stp>CRM US Equity</stp>
        <stp>CF_FREE_CASH_FLOW/1M</stp>
        <stp>FPR=2022Y</stp>
        <stp>FPT=A</stp>
        <stp>FA_ACT_EST_DATA=E</stp>
        <stp>ACT_EST_MAPPING=PRECISE</stp>
        <stp>FS=MRC</stp>
        <stp>CURRENCY=USD</stp>
        <stp>XLFILL=b</stp>
        <tr r="E191" s="2"/>
      </tp>
      <tp t="s">
        <v/>
        <stp/>
        <stp>##V3_BQLV12</stp>
        <stp>[MODL_CRM_US1.xlsx]Single Period!R33C22</stp>
        <stp>SEG0000269227 Segment</stp>
        <stp>IS_PERCENTAGE_OF_REVENUE</stp>
        <stp>FPR=2022Y</stp>
        <stp>FPT=A</stp>
        <stp>FA_ACT_EST_DATA=E, EST_SOURCE=OPY</stp>
        <stp>ACT_EST_MAPPING=PRECISE</stp>
        <stp>FS=MRC</stp>
        <stp>CURRENCY=USD</stp>
        <stp>XLFILL=b</stp>
        <tr r="V33" s="2"/>
      </tp>
      <tp t="s">
        <v/>
        <stp/>
        <stp>##V3_BQLV12</stp>
        <stp>[MODL_CRM_US1.xlsx]Single Period!R39C41</stp>
        <stp>SEG0000269228 Segment</stp>
        <stp>IS_PERCENTAGE_OF_REVENUE</stp>
        <stp>FPR=2022Y</stp>
        <stp>FPT=A</stp>
        <stp>FA_ACT_EST_DATA=E, EST_SOURCE=GSR</stp>
        <stp>ACT_EST_MAPPING=PRECISE</stp>
        <stp>FS=MRC</stp>
        <stp>CURRENCY=USD</stp>
        <stp>XLFILL=b</stp>
        <tr r="AO39" s="2"/>
      </tp>
      <tp>
        <v>9534.7543327863787</v>
        <stp/>
        <stp>##V3_BQLV12</stp>
        <stp>[MODL_CRM_US1.xlsx]Single Period!R114C5</stp>
        <stp>CRM US Equity</stp>
        <stp>BS_ACCTS_REC_EXCL_NOTES_REC/1M</stp>
        <stp>FPR=2022Y</stp>
        <stp>FPT=A</stp>
        <stp>FA_ACT_EST_DATA=E</stp>
        <stp>ACT_EST_MAPPING=PRECISE</stp>
        <stp>FS=MRC</stp>
        <stp>CURRENCY=USD</stp>
        <stp>XLFILL=b</stp>
        <tr r="E114" s="2"/>
      </tp>
      <tp t="s">
        <v/>
        <stp/>
        <stp>##V3_BQLV12</stp>
        <stp>[MODL_CRM_US1.xlsx]Single Period!R70C50</stp>
        <stp>CRM US Equity</stp>
        <stp>IS_COMP_NET_INC_EXCL_STOCK_COMP/1M</stp>
        <stp>FPR=2022Y</stp>
        <stp>FPT=A</stp>
        <stp>FA_ACT_EST_DATA=E, EST_SOURCE=MZS</stp>
        <stp>ACT_EST_MAPPING=PRECISE</stp>
        <stp>FS=MRC</stp>
        <stp>CURRENCY=USD</stp>
        <stp>XLFILL=b</stp>
        <tr r="AX70" s="2"/>
      </tp>
      <tp t="s">
        <v/>
        <stp/>
        <stp>##V3_BQLV12</stp>
        <stp>[MODL_CRM_US1.xlsx]Single Period!R25C44</stp>
        <stp>SEG0000269238 Segment</stp>
        <stp>IS_PERCENTAGE_OF_REVENUE</stp>
        <stp>FPR=2022Y</stp>
        <stp>FPT=A</stp>
        <stp>FA_ACT_EST_DATA=E, EST_SOURCE=RWB</stp>
        <stp>ACT_EST_MAPPING=PRECISE</stp>
        <stp>FS=MRC</stp>
        <stp>CURRENCY=USD</stp>
        <stp>XLFILL=b</stp>
        <tr r="AR25" s="2"/>
      </tp>
      <tp t="s">
        <v/>
        <stp/>
        <stp>##V3_BQLV12</stp>
        <stp>[MODL_CRM_US1.xlsx]Single Period!R39C46</stp>
        <stp>SEG0000269228 Segment</stp>
        <stp>IS_PERCENTAGE_OF_REVENUE</stp>
        <stp>FPR=2022Y</stp>
        <stp>FPT=A</stp>
        <stp>FA_ACT_EST_DATA=E, EST_SOURCE=CTI</stp>
        <stp>ACT_EST_MAPPING=PRECISE</stp>
        <stp>FS=MRC</stp>
        <stp>CURRENCY=USD</stp>
        <stp>XLFILL=b</stp>
        <tr r="AT39" s="2"/>
      </tp>
      <tp>
        <v>93.061619726980638</v>
        <stp/>
        <stp>##V3_BQLV12</stp>
        <stp>[MODL_CRM_US1.xlsx]Single Period!R25C23</stp>
        <stp>SEG0000269238 Segment</stp>
        <stp>IS_PERCENTAGE_OF_REVENUE</stp>
        <stp>FPR=2022Y</stp>
        <stp>FPT=A</stp>
        <stp>FA_ACT_EST_DATA=E, EST_SOURCE=JPM</stp>
        <stp>ACT_EST_MAPPING=PRECISE</stp>
        <stp>FS=MRC</stp>
        <stp>CURRENCY=USD</stp>
        <stp>XLFILL=b</stp>
        <tr r="W25" s="2"/>
      </tp>
      <tp>
        <v>15388.09519892887</v>
        <stp/>
        <stp>##V3_BQLV12</stp>
        <stp>[MODL_CRM_US1.xlsx]Single Period!R132C5</stp>
        <stp>CRM US Equity</stp>
        <stp>BS_ADJ_TOTAL_LT_LIABILITIES/1M</stp>
        <stp>FPR=2022Y</stp>
        <stp>FPT=A</stp>
        <stp>FA_ACT_EST_DATA=E</stp>
        <stp>ACT_EST_MAPPING=PRECISE</stp>
        <stp>FS=MRC</stp>
        <stp>CURRENCY=USD</stp>
        <stp>XLFILL=b</stp>
        <tr r="E132" s="2"/>
      </tp>
      <tp t="s">
        <v/>
        <stp/>
        <stp>##V3_BQLV12</stp>
        <stp>[MODL_CRM_US1.xlsx]Single Period!R33C46</stp>
        <stp>SEG0000269227 Segment</stp>
        <stp>IS_PERCENTAGE_OF_REVENUE</stp>
        <stp>FPR=2022Y</stp>
        <stp>FPT=A</stp>
        <stp>FA_ACT_EST_DATA=E, EST_SOURCE=CTI</stp>
        <stp>ACT_EST_MAPPING=PRECISE</stp>
        <stp>FS=MRC</stp>
        <stp>CURRENCY=USD</stp>
        <stp>XLFILL=b</stp>
        <tr r="AT33" s="2"/>
      </tp>
      <tp>
        <v>15456.0725915887</v>
        <stp/>
        <stp>##V3_BQLV12</stp>
        <stp>[MODL_CRM_US1.xlsx]Single Period!R131C9</stp>
        <stp>CRM US Equity</stp>
        <stp>CONTRIBUTOR_STATS(ST_DEFERRED_REVENUE, MEDIAN)/1M</stp>
        <stp>FPR=2022Y</stp>
        <stp>FPT=A</stp>
        <stp>FA_ACT_EST_DATA=E</stp>
        <stp>ACT_EST_MAPPING=PRECISE</stp>
        <stp>FS=MRC</stp>
        <stp>CURRENCY=USD</stp>
        <stp>XLFILL=b</stp>
        <tr r="I131" s="2"/>
      </tp>
      <tp>
        <v>4105</v>
        <stp/>
        <stp>##V3_BQLV12</stp>
        <stp>[MODL_CRM_US1.xlsx]Single Period!R120C26</stp>
        <stp>CRM US Equity</stp>
        <stp>BS_LONG_TERM_INVESTMENTS/1M</stp>
        <stp>FPR=2022Y</stp>
        <stp>FPT=A</stp>
        <stp>FA_ACT_EST_DATA=E, EST_SOURCE=KEY</stp>
        <stp>ACT_EST_MAPPING=PRECISE</stp>
        <stp>FS=MRC</stp>
        <stp>CURRENCY=USD</stp>
        <stp>XLFILL=b</stp>
        <tr r="Z120" s="2"/>
      </tp>
      <tp>
        <v>1226</v>
        <stp/>
        <stp>##V3_BQLV12</stp>
        <stp>[MODL_CRM_US1.xlsx]Single Period!R91C12</stp>
        <stp>CRM US Equity</stp>
        <stp>IS_COMP_NET_INCOME_GAAP/1M</stp>
        <stp>FPR=2022Y</stp>
        <stp>FPT=A</stp>
        <stp>FA_ACT_EST_DATA=E, EST_SOURCE=BMO</stp>
        <stp>ACT_EST_MAPPING=PRECISE</stp>
        <stp>FS=MRC</stp>
        <stp>CURRENCY=USD</stp>
        <stp>XLFILL=b</stp>
        <tr r="L91" s="2"/>
      </tp>
      <tp t="s">
        <v/>
        <stp/>
        <stp>##V3_BQLV12</stp>
        <stp>[MODL_CRM_US1.xlsx]Single Period!R187C52</stp>
        <stp>CRM US Equity</stp>
        <stp>CF_NET_CHNG_CASH/1M</stp>
        <stp>FPR=2022Y</stp>
        <stp>FPT=A</stp>
        <stp>FA_ACT_EST_DATA=E, EST_SOURCE=WFR</stp>
        <stp>ACT_EST_MAPPING=PRECISE</stp>
        <stp>FS=MRC</stp>
        <stp>CURRENCY=USD</stp>
        <stp>XLFILL=b</stp>
        <tr r="AZ187" s="2"/>
      </tp>
      <tp t="s">
        <v/>
        <stp/>
        <stp>##V3_BQLV12</stp>
        <stp>[MODL_CRM_US1.xlsx]Single Period!R85C10</stp>
        <stp>CRM US Equity</stp>
        <stp>CB_IS_S_AND_M_EXPENSE/1M</stp>
        <stp>FPR=2022Y</stp>
        <stp>FPT=A</stp>
        <stp>FA_ACT_EST_DATA=E, EST_SOURCE=CMPY</stp>
        <stp>ACT_EST_MAPPING=PRECISE</stp>
        <stp>FS=MRC</stp>
        <stp>CURRENCY=USD</stp>
        <stp>XLFILL=b</stp>
        <tr r="J85" s="2"/>
      </tp>
      <tp t="s">
        <v/>
        <stp/>
        <stp>##V3_BQLV12</stp>
        <stp>[MODL_CRM_US1.xlsx]Single Period!R187C11</stp>
        <stp>CRM US Equity</stp>
        <stp>CF_NET_CHNG_CASH/1M</stp>
        <stp>FPR=2022Y</stp>
        <stp>FPT=A</stp>
        <stp>FA_ACT_EST_DATA=E, EST_SOURCE=WBL</stp>
        <stp>ACT_EST_MAPPING=PRECISE</stp>
        <stp>FS=MRC</stp>
        <stp>CURRENCY=USD</stp>
        <stp>XLFILL=b</stp>
        <tr r="K187" s="2"/>
      </tp>
      <tp t="s">
        <v/>
        <stp/>
        <stp>##V3_BQLV12</stp>
        <stp>[MODL_CRM_US1.xlsx]Single Period!R187C49</stp>
        <stp>CRM US Equity</stp>
        <stp>CF_NET_CHNG_CASH/1M</stp>
        <stp>FPR=2022Y</stp>
        <stp>FPT=A</stp>
        <stp>FA_ACT_EST_DATA=E, EST_SOURCE=SGE</stp>
        <stp>ACT_EST_MAPPING=PRECISE</stp>
        <stp>FS=MRC</stp>
        <stp>CURRENCY=USD</stp>
        <stp>XLFILL=b</stp>
        <tr r="AW187" s="2"/>
      </tp>
      <tp>
        <v>1343</v>
        <stp/>
        <stp>##V3_BQLV12</stp>
        <stp>[MODL_CRM_US1.xlsx]Single Period!R91C25</stp>
        <stp>CRM US Equity</stp>
        <stp>IS_COMP_NET_INCOME_GAAP/1M</stp>
        <stp>FPR=2022Y</stp>
        <stp>FPT=A</stp>
        <stp>FA_ACT_EST_DATA=E, EST_SOURCE=WMS</stp>
        <stp>ACT_EST_MAPPING=PRECISE</stp>
        <stp>FS=MRC</stp>
        <stp>CURRENCY=USD</stp>
        <stp>XLFILL=b</stp>
        <tr r="Y91" s="2"/>
      </tp>
      <tp>
        <v>1248</v>
        <stp/>
        <stp>##V3_BQLV12</stp>
        <stp>[MODL_CRM_US1.xlsx]Single Period!R91C20</stp>
        <stp>CRM US Equity</stp>
        <stp>IS_COMP_NET_INCOME_GAAP/1M</stp>
        <stp>FPR=2022Y</stp>
        <stp>FPT=A</stp>
        <stp>FA_ACT_EST_DATA=E, EST_SOURCE=JMP</stp>
        <stp>ACT_EST_MAPPING=PRECISE</stp>
        <stp>FS=MRC</stp>
        <stp>CURRENCY=USD</stp>
        <stp>XLFILL=b</stp>
        <tr r="T91" s="2"/>
      </tp>
      <tp t="s">
        <v/>
        <stp/>
        <stp>##V3_BQLV12</stp>
        <stp>[MODL_CRM_US1.xlsx]Single Period!R161C33</stp>
        <stp>CRM US Equity</stp>
        <stp>CF_ACCT_RCV_UNBILLED_REV/1M</stp>
        <stp>FPR=2022Y</stp>
        <stp>FPT=A</stp>
        <stp>FA_ACT_EST_DATA=E, EST_SOURCE=RHR</stp>
        <stp>ACT_EST_MAPPING=PRECISE</stp>
        <stp>FS=MRC</stp>
        <stp>CURRENCY=USD</stp>
        <stp>XLFILL=b</stp>
        <tr r="AG161" s="2"/>
      </tp>
      <tp>
        <v>1421.379393289144</v>
        <stp/>
        <stp>##V3_BQLV12</stp>
        <stp>[MODL_CRM_US1.xlsx]Single Period!R187C16</stp>
        <stp>CRM US Equity</stp>
        <stp>CF_NET_CHNG_CASH/1M</stp>
        <stp>FPR=2022Y</stp>
        <stp>FPT=A</stp>
        <stp>FA_ACT_EST_DATA=E, EST_SOURCE=DBG</stp>
        <stp>ACT_EST_MAPPING=PRECISE</stp>
        <stp>FS=MRC</stp>
        <stp>CURRENCY=USD</stp>
        <stp>XLFILL=b</stp>
        <tr r="P187" s="2"/>
      </tp>
      <tp t="s">
        <v/>
        <stp/>
        <stp>##V3_BQLV12</stp>
        <stp>[MODL_CRM_US1.xlsx]Single Period!R120C40</stp>
        <stp>CRM US Equity</stp>
        <stp>BS_LONG_TERM_INVESTMENTS/1M</stp>
        <stp>FPR=2022Y</stp>
        <stp>FPT=A</stp>
        <stp>FA_ACT_EST_DATA=E, EST_SOURCE=ACC</stp>
        <stp>ACT_EST_MAPPING=PRECISE</stp>
        <stp>FS=MRC</stp>
        <stp>CURRENCY=USD</stp>
        <stp>XLFILL=b</stp>
        <tr r="AN120" s="2"/>
      </tp>
      <tp>
        <v>10862.47231274658</v>
        <stp/>
        <stp>##V3_BQLV12</stp>
        <stp>[MODL_CRM_US1.xlsx]Single Period!R111C9</stp>
        <stp>CRM US Equity</stp>
        <stp>CONTRIBUTOR_STATS(BS_CASH_CASH_EQUIVALENTS_AND_STI, MEDIAN)/1M</stp>
        <stp>FPR=2022Y</stp>
        <stp>FPT=A</stp>
        <stp>FA_ACT_EST_DATA=E</stp>
        <stp>ACT_EST_MAPPING=PRECISE</stp>
        <stp>FS=MRC</stp>
        <stp>CURRENCY=USD</stp>
        <stp>XLFILL=b</stp>
        <tr r="I111" s="2"/>
      </tp>
      <tp t="s">
        <v/>
        <stp/>
        <stp>##V3_BQLV12</stp>
        <stp>[MODL_CRM_US1.xlsx]Single Period!R19C51</stp>
        <stp>CRM US Equity</stp>
        <stp>IS_COMPARABLE_EBIT/1M</stp>
        <stp>FPR=2022Y</stp>
        <stp>FPT=A</stp>
        <stp>FA_ACT_EST_DATA=E, EST_SOURCE=RCP</stp>
        <stp>ACT_EST_MAPPING=PRECISE</stp>
        <stp>FS=MRC</stp>
        <stp>CURRENCY=USD</stp>
        <stp>XLFILL=b</stp>
        <tr r="AY19" s="2"/>
      </tp>
      <tp t="s">
        <v/>
        <stp/>
        <stp>##V3_BQLV12</stp>
        <stp>[MODL_CRM_US1.xlsx]Single Period!R60C10</stp>
        <stp>CRM US Equity</stp>
        <stp>IS_COMPARABLE_EBIT/1M</stp>
        <stp>FPR=2022Y</stp>
        <stp>FPT=A</stp>
        <stp>FA_ACT_EST_DATA=E, EST_SOURCE=CMPY</stp>
        <stp>ACT_EST_MAPPING=PRECISE</stp>
        <stp>FS=MRC</stp>
        <stp>CURRENCY=USD</stp>
        <stp>XLFILL=b</stp>
        <tr r="J60" s="2"/>
      </tp>
      <tp t="s">
        <v/>
        <stp/>
        <stp>##V3_BQLV12</stp>
        <stp>[MODL_CRM_US1.xlsx]Single Period!R19C10</stp>
        <stp>CRM US Equity</stp>
        <stp>IS_COMPARABLE_EBIT/1M</stp>
        <stp>FPR=2022Y</stp>
        <stp>FPT=A</stp>
        <stp>FA_ACT_EST_DATA=E, EST_SOURCE=CMPY</stp>
        <stp>ACT_EST_MAPPING=PRECISE</stp>
        <stp>FS=MRC</stp>
        <stp>CURRENCY=USD</stp>
        <stp>XLFILL=b</stp>
        <tr r="J19" s="2"/>
      </tp>
      <tp>
        <v>483</v>
        <stp/>
        <stp>##V3_BQLV12</stp>
        <stp>[MODL_CRM_US1.xlsx]Single Period!R19C40</stp>
        <stp>CRM US Equity</stp>
        <stp>IS_COMPARABLE_EBIT/1M</stp>
        <stp>FPR=2022Y</stp>
        <stp>FPT=A</stp>
        <stp>FA_ACT_EST_DATA=E, EST_SOURCE=ACC</stp>
        <stp>ACT_EST_MAPPING=PRECISE</stp>
        <stp>FS=MRC</stp>
        <stp>CURRENCY=USD</stp>
        <stp>XLFILL=b</stp>
        <tr r="AN19" s="2"/>
      </tp>
      <tp>
        <v>5086</v>
        <stp/>
        <stp>##V3_BQLV12</stp>
        <stp>[MODL_CRM_US1.xlsx]Single Period!R19C19</stp>
        <stp>CRM US Equity</stp>
        <stp>IS_COMPARABLE_EBIT/1M</stp>
        <stp>FPR=2022Y</stp>
        <stp>FPT=A</stp>
        <stp>FA_ACT_EST_DATA=E, EST_SOURCE=SCB</stp>
        <stp>ACT_EST_MAPPING=PRECISE</stp>
        <stp>FS=MRC</stp>
        <stp>CURRENCY=USD</stp>
        <stp>XLFILL=b</stp>
        <tr r="S19" s="2"/>
      </tp>
      <tp>
        <v>4921</v>
        <stp/>
        <stp>##V3_BQLV12</stp>
        <stp>[MODL_CRM_US1.xlsx]Single Period!R19C13</stp>
        <stp>CRM US Equity</stp>
        <stp>IS_COMPARABLE_EBIT/1M</stp>
        <stp>FPR=2022Y</stp>
        <stp>FPT=A</stp>
        <stp>FA_ACT_EST_DATA=E, EST_SOURCE=BCA</stp>
        <stp>ACT_EST_MAPPING=PRECISE</stp>
        <stp>FS=MRC</stp>
        <stp>CURRENCY=USD</stp>
        <stp>XLFILL=b</stp>
        <tr r="M19" s="2"/>
      </tp>
      <tp>
        <v>4902</v>
        <stp/>
        <stp>##V3_BQLV12</stp>
        <stp>[MODL_CRM_US1.xlsx]Single Period!R60C21</stp>
        <stp>CRM US Equity</stp>
        <stp>IS_COMPARABLE_EBIT/1M</stp>
        <stp>FPR=2022Y</stp>
        <stp>FPT=A</stp>
        <stp>FA_ACT_EST_DATA=E, EST_SOURCE=RJA</stp>
        <stp>ACT_EST_MAPPING=PRECISE</stp>
        <stp>FS=MRC</stp>
        <stp>CURRENCY=USD</stp>
        <stp>XLFILL=b</stp>
        <tr r="U60" s="2"/>
      </tp>
      <tp t="s">
        <v/>
        <stp/>
        <stp>##V3_BQLV12</stp>
        <stp>[MODL_CRM_US1.xlsx]Single Period!R60C48</stp>
        <stp>CRM US Equity</stp>
        <stp>IS_COMPARABLE_EBIT/1M</stp>
        <stp>FPR=2022Y</stp>
        <stp>FPT=A</stp>
        <stp>FA_ACT_EST_DATA=E, EST_SOURCE=PJE</stp>
        <stp>ACT_EST_MAPPING=PRECISE</stp>
        <stp>FS=MRC</stp>
        <stp>CURRENCY=USD</stp>
        <stp>XLFILL=b</stp>
        <tr r="AV60" s="2"/>
      </tp>
      <tp t="s">
        <v/>
        <stp/>
        <stp>##V3_BQLV12</stp>
        <stp>[MODL_CRM_US1.xlsx]Single Period!R172C45</stp>
        <stp>CRM US Equity</stp>
        <stp>CAP_EXPEND_TO_SALES</stp>
        <stp>FPR=2022Y</stp>
        <stp>FPT=A</stp>
        <stp>FA_ACT_EST_DATA=E, EST_SOURCE=ARG</stp>
        <stp>ACT_EST_MAPPING=PRECISE</stp>
        <stp>FS=MRC</stp>
        <stp>CURRENCY=USD</stp>
        <stp>XLFILL=b</stp>
        <tr r="AS172" s="2"/>
      </tp>
      <tp>
        <v>4921</v>
        <stp/>
        <stp>##V3_BQLV12</stp>
        <stp>[MODL_CRM_US1.xlsx]Single Period!R19C27</stp>
        <stp>CRM US Equity</stp>
        <stp>IS_COMPARABLE_EBIT/1M</stp>
        <stp>FPR=2022Y</stp>
        <stp>FPT=A</stp>
        <stp>FA_ACT_EST_DATA=E, EST_SOURCE=LCM</stp>
        <stp>ACT_EST_MAPPING=PRECISE</stp>
        <stp>FS=MRC</stp>
        <stp>CURRENCY=USD</stp>
        <stp>XLFILL=b</stp>
        <tr r="AA19" s="2"/>
      </tp>
      <tp t="s">
        <v/>
        <stp/>
        <stp>##V3_BQLV12</stp>
        <stp>[MODL_CRM_US1.xlsx]Single Period!R77C17</stp>
        <stp>CRM US Equity</stp>
        <stp>IS_COGS_TO_FE_AND_PP_AND_G/1M</stp>
        <stp>FPR=2022Y</stp>
        <stp>FPT=A</stp>
        <stp>FA_ACT_EST_DATA=E, EST_SOURCE=NDH</stp>
        <stp>ACT_EST_MAPPING=PRECISE</stp>
        <stp>FS=MRC</stp>
        <stp>CURRENCY=USD</stp>
        <stp>XLFILL=b</stp>
        <tr r="Q77" s="2"/>
      </tp>
      <tp>
        <v>34.980219949501695</v>
        <stp/>
        <stp>##V3_BQLV12</stp>
        <stp>[MODL_CRM_US1.xlsx]Single Period!R101C8</stp>
        <stp>CRM US Equity</stp>
        <stp>CONTRIBUTOR_STATS(IS_SBC_ATTRIBUTABLE_TO_R_AND_D_PRETX, STD)/1M</stp>
        <stp>FPR=2022Y</stp>
        <stp>FPT=A</stp>
        <stp>FA_ACT_EST_DATA=E</stp>
        <stp>ACT_EST_MAPPING=PRECISE</stp>
        <stp>FS=MRC</stp>
        <stp>CURRENCY=USD</stp>
        <stp>XLFILL=b</stp>
        <tr r="H101" s="2"/>
      </tp>
      <tp>
        <v>30.130027501280757</v>
        <stp/>
        <stp>##V3_BQLV12</stp>
        <stp>[MODL_CRM_US1.xlsx]Single Period!R105C8</stp>
        <stp>CRM US Equity</stp>
        <stp>CONTRIBUTOR_STATS(IS_AMORT_ACQD_INTANGIBLES_COGS, STD)/1M</stp>
        <stp>FPR=2022Y</stp>
        <stp>FPT=A</stp>
        <stp>FA_ACT_EST_DATA=E</stp>
        <stp>ACT_EST_MAPPING=PRECISE</stp>
        <stp>FS=MRC</stp>
        <stp>CURRENCY=USD</stp>
        <stp>XLFILL=b</stp>
        <tr r="H105" s="2"/>
      </tp>
      <tp>
        <v>841.00620000000004</v>
        <stp/>
        <stp>##V3_BQLV12</stp>
        <stp>[MODL_CRM_US1.xlsx]Single Period!R105C6</stp>
        <stp>CRM US Equity</stp>
        <stp>CONTRIBUTOR_STATS(IS_AMORT_ACQD_INTANGIBLES_COGS, MIN)/1M</stp>
        <stp>FPR=2022Y</stp>
        <stp>FPT=A</stp>
        <stp>FA_ACT_EST_DATA=E</stp>
        <stp>ACT_EST_MAPPING=PRECISE</stp>
        <stp>FS=MRC</stp>
        <stp>CURRENCY=USD</stp>
        <stp>XLFILL=b</stp>
        <tr r="F105" s="2"/>
      </tp>
      <tp>
        <v>945.4373333333333</v>
        <stp/>
        <stp>##V3_BQLV12</stp>
        <stp>[MODL_CRM_US1.xlsx]Single Period!R105C7</stp>
        <stp>CRM US Equity</stp>
        <stp>CONTRIBUTOR_STATS(IS_AMORT_ACQD_INTANGIBLES_COGS, MAX)/1M</stp>
        <stp>FPR=2022Y</stp>
        <stp>FPT=A</stp>
        <stp>FA_ACT_EST_DATA=E</stp>
        <stp>ACT_EST_MAPPING=PRECISE</stp>
        <stp>FS=MRC</stp>
        <stp>CURRENCY=USD</stp>
        <stp>XLFILL=b</stp>
        <tr r="G105" s="2"/>
      </tp>
      <tp>
        <v>936</v>
        <stp/>
        <stp>##V3_BQLV12</stp>
        <stp>[MODL_CRM_US1.xlsx]Single Period!R101C7</stp>
        <stp>CRM US Equity</stp>
        <stp>CONTRIBUTOR_STATS(IS_SBC_ATTRIBUTABLE_TO_R_AND_D_PRETX, MAX)/1M</stp>
        <stp>FPR=2022Y</stp>
        <stp>FPT=A</stp>
        <stp>FA_ACT_EST_DATA=E</stp>
        <stp>ACT_EST_MAPPING=PRECISE</stp>
        <stp>FS=MRC</stp>
        <stp>CURRENCY=USD</stp>
        <stp>XLFILL=b</stp>
        <tr r="G101" s="2"/>
      </tp>
      <tp>
        <v>841.45958051546393</v>
        <stp/>
        <stp>##V3_BQLV12</stp>
        <stp>[MODL_CRM_US1.xlsx]Single Period!R101C6</stp>
        <stp>CRM US Equity</stp>
        <stp>CONTRIBUTOR_STATS(IS_SBC_ATTRIBUTABLE_TO_R_AND_D_PRETX, MIN)/1M</stp>
        <stp>FPR=2022Y</stp>
        <stp>FPT=A</stp>
        <stp>FA_ACT_EST_DATA=E</stp>
        <stp>ACT_EST_MAPPING=PRECISE</stp>
        <stp>FS=MRC</stp>
        <stp>CURRENCY=USD</stp>
        <stp>XLFILL=b</stp>
        <tr r="F101" s="2"/>
      </tp>
      <tp>
        <v>22.43034540331838</v>
        <stp/>
        <stp>##V3_BQLV12</stp>
        <stp>[MODL_CRM_US1.xlsx]Single Period!R44C15</stp>
        <stp>SEG0000269240 Segment</stp>
        <stp>IS_PERCENTAGE_OF_REVENUE</stp>
        <stp>FPR=2022Y</stp>
        <stp>FPT=A</stp>
        <stp>FA_ACT_EST_DATA=E, EST_SOURCE=MSV</stp>
        <stp>ACT_EST_MAPPING=PRECISE</stp>
        <stp>FS=MRC</stp>
        <stp>CURRENCY=USD</stp>
        <stp>XLFILL=b</stp>
        <tr r="O44" s="2"/>
      </tp>
      <tp t="s">
        <v/>
        <stp/>
        <stp>##V3_BQLV12</stp>
        <stp>[MODL_CRM_US1.xlsx]Single Period!R33C37</stp>
        <stp>SEG0000269227 Segment</stp>
        <stp>IS_PERCENTAGE_OF_REVENUE</stp>
        <stp>FPR=2022Y</stp>
        <stp>FPT=A</stp>
        <stp>FA_ACT_EST_DATA=E, EST_SOURCE=EVR</stp>
        <stp>ACT_EST_MAPPING=PRECISE</stp>
        <stp>FS=MRC</stp>
        <stp>CURRENCY=USD</stp>
        <stp>XLFILL=b</stp>
        <tr r="AK33" s="2"/>
      </tp>
      <tp>
        <v>9.511635187310862</v>
        <stp/>
        <stp>##V3_BQLV12</stp>
        <stp>[MODL_CRM_US1.xlsx]Single Period!R49C15</stp>
        <stp>SEG0000269229 Segment</stp>
        <stp>IS_PERCENTAGE_OF_REVENUE</stp>
        <stp>FPR=2022Y</stp>
        <stp>FPT=A</stp>
        <stp>FA_ACT_EST_DATA=E, EST_SOURCE=MSV</stp>
        <stp>ACT_EST_MAPPING=PRECISE</stp>
        <stp>FS=MRC</stp>
        <stp>CURRENCY=USD</stp>
        <stp>XLFILL=b</stp>
        <tr r="O49" s="2"/>
      </tp>
      <tp>
        <v>6195</v>
        <stp/>
        <stp>##V3_BQLV12</stp>
        <stp>[MODL_CRM_US1.xlsx]Single Period!R189C9</stp>
        <stp>CRM US Equity</stp>
        <stp>CONTRIBUTOR_STATS(CF_CASH_AND_CASH_EQUIV_BEG_BAL, MEDIAN)/1M</stp>
        <stp>FPR=2022Y</stp>
        <stp>FPT=A</stp>
        <stp>FA_ACT_EST_DATA=E</stp>
        <stp>ACT_EST_MAPPING=PRECISE</stp>
        <stp>FS=MRC</stp>
        <stp>CURRENCY=USD</stp>
        <stp>XLFILL=b</stp>
        <tr r="I189" s="2"/>
      </tp>
      <tp t="s">
        <v/>
        <stp/>
        <stp>##V3_BQLV12</stp>
        <stp>[MODL_CRM_US1.xlsx]Single Period!R39C37</stp>
        <stp>SEG0000269228 Segment</stp>
        <stp>IS_PERCENTAGE_OF_REVENUE</stp>
        <stp>FPR=2022Y</stp>
        <stp>FPT=A</stp>
        <stp>FA_ACT_EST_DATA=E, EST_SOURCE=EVR</stp>
        <stp>ACT_EST_MAPPING=PRECISE</stp>
        <stp>FS=MRC</stp>
        <stp>CURRENCY=USD</stp>
        <stp>XLFILL=b</stp>
        <tr r="AK39" s="2"/>
      </tp>
      <tp t="s">
        <v/>
        <stp/>
        <stp>##V3_BQLV12</stp>
        <stp>[MODL_CRM_US1.xlsx]Single Period!R33C42</stp>
        <stp>SEG0000269227 Segment</stp>
        <stp>IS_PERCENTAGE_OF_REVENUE</stp>
        <stp>FPR=2022Y</stp>
        <stp>FPT=A</stp>
        <stp>FA_ACT_EST_DATA=E, EST_SOURCE=PSG</stp>
        <stp>ACT_EST_MAPPING=PRECISE</stp>
        <stp>FS=MRC</stp>
        <stp>CURRENCY=USD</stp>
        <stp>XLFILL=b</stp>
        <tr r="AP33" s="2"/>
      </tp>
      <tp t="s">
        <v/>
        <stp/>
        <stp>##V3_BQLV12</stp>
        <stp>[MODL_CRM_US1.xlsx]Single Period!R39C35</stp>
        <stp>SEG0000269228 Segment</stp>
        <stp>IS_PERCENTAGE_OF_REVENUE</stp>
        <stp>FPR=2022Y</stp>
        <stp>FPT=A</stp>
        <stp>FA_ACT_EST_DATA=E, EST_SOURCE=ATL</stp>
        <stp>ACT_EST_MAPPING=PRECISE</stp>
        <stp>FS=MRC</stp>
        <stp>CURRENCY=USD</stp>
        <stp>XLFILL=b</stp>
        <tr r="AI39" s="2"/>
      </tp>
      <tp t="s">
        <v/>
        <stp/>
        <stp>##V3_BQLV12</stp>
        <stp>[MODL_CRM_US1.xlsx]Single Period!R44C54</stp>
        <stp>SEG0000269240 Segment</stp>
        <stp>IS_PERCENTAGE_OF_REVENUE</stp>
        <stp>FPR=2022Y</stp>
        <stp>FPT=A</stp>
        <stp>FA_ACT_EST_DATA=E, EST_SOURCE=ARE</stp>
        <stp>ACT_EST_MAPPING=PRECISE</stp>
        <stp>FS=MRC</stp>
        <stp>CURRENCY=USD</stp>
        <stp>XLFILL=b</stp>
        <tr r="BB44" s="2"/>
      </tp>
      <tp t="s">
        <v/>
        <stp/>
        <stp>##V3_BQLV12</stp>
        <stp>[MODL_CRM_US1.xlsx]Single Period!R49C54</stp>
        <stp>SEG0000269229 Segment</stp>
        <stp>IS_PERCENTAGE_OF_REVENUE</stp>
        <stp>FPR=2022Y</stp>
        <stp>FPT=A</stp>
        <stp>FA_ACT_EST_DATA=E, EST_SOURCE=ARE</stp>
        <stp>ACT_EST_MAPPING=PRECISE</stp>
        <stp>FS=MRC</stp>
        <stp>CURRENCY=USD</stp>
        <stp>XLFILL=b</stp>
        <tr r="BB49" s="2"/>
      </tp>
      <tp t="s">
        <v/>
        <stp/>
        <stp>##V3_BQLV12</stp>
        <stp>[MODL_CRM_US1.xlsx]Single Period!R39C42</stp>
        <stp>SEG0000269228 Segment</stp>
        <stp>IS_PERCENTAGE_OF_REVENUE</stp>
        <stp>FPR=2022Y</stp>
        <stp>FPT=A</stp>
        <stp>FA_ACT_EST_DATA=E, EST_SOURCE=PSG</stp>
        <stp>ACT_EST_MAPPING=PRECISE</stp>
        <stp>FS=MRC</stp>
        <stp>CURRENCY=USD</stp>
        <stp>XLFILL=b</stp>
        <tr r="AP39" s="2"/>
      </tp>
      <tp t="s">
        <v/>
        <stp/>
        <stp>##V3_BQLV12</stp>
        <stp>[MODL_CRM_US1.xlsx]Single Period!R33C35</stp>
        <stp>SEG0000269227 Segment</stp>
        <stp>IS_PERCENTAGE_OF_REVENUE</stp>
        <stp>FPR=2022Y</stp>
        <stp>FPT=A</stp>
        <stp>FA_ACT_EST_DATA=E, EST_SOURCE=ATL</stp>
        <stp>ACT_EST_MAPPING=PRECISE</stp>
        <stp>FS=MRC</stp>
        <stp>CURRENCY=USD</stp>
        <stp>XLFILL=b</stp>
        <tr r="AI33" s="2"/>
      </tp>
      <tp t="s">
        <v/>
        <stp/>
        <stp>##V3_BQLV12</stp>
        <stp>[MODL_CRM_US1.xlsx]Single Period!R99C37</stp>
        <stp>CRM US Equity</stp>
        <stp>IS_SBC_NON_GAAP/1M</stp>
        <stp>FPR=2022Y</stp>
        <stp>FPT=A</stp>
        <stp>FA_ACT_EST_DATA=E, EST_SOURCE=EVR</stp>
        <stp>ACT_EST_MAPPING=PRECISE</stp>
        <stp>FS=MRC</stp>
        <stp>CURRENCY=USD</stp>
        <stp>XLFILL=b</stp>
        <tr r="AK99" s="2"/>
      </tp>
      <tp>
        <v>449.31998946263468</v>
        <stp/>
        <stp>##V3_BQLV12</stp>
        <stp>[MODL_CRM_US1.xlsx]Single Period!R131C8</stp>
        <stp>CRM US Equity</stp>
        <stp>CONTRIBUTOR_STATS(ST_DEFERRED_REVENUE, STD)/1M</stp>
        <stp>FPR=2022Y</stp>
        <stp>FPT=A</stp>
        <stp>FA_ACT_EST_DATA=E</stp>
        <stp>ACT_EST_MAPPING=PRECISE</stp>
        <stp>FS=MRC</stp>
        <stp>CURRENCY=USD</stp>
        <stp>XLFILL=b</stp>
        <tr r="H131" s="2"/>
      </tp>
      <tp t="s">
        <v/>
        <stp/>
        <stp>##V3_BQLV12</stp>
        <stp>[MODL_CRM_US1.xlsx]Single Period!R161C21</stp>
        <stp>CRM US Equity</stp>
        <stp>CF_ACCT_RCV_UNBILLED_REV/1M</stp>
        <stp>FPR=2022Y</stp>
        <stp>FPT=A</stp>
        <stp>FA_ACT_EST_DATA=E, EST_SOURCE=RJA</stp>
        <stp>ACT_EST_MAPPING=PRECISE</stp>
        <stp>FS=MRC</stp>
        <stp>CURRENCY=USD</stp>
        <stp>XLFILL=b</stp>
        <tr r="U161" s="2"/>
      </tp>
      <tp>
        <v>1221</v>
        <stp/>
        <stp>##V3_BQLV12</stp>
        <stp>[MODL_CRM_US1.xlsx]Single Period!R91C29</stp>
        <stp>CRM US Equity</stp>
        <stp>IS_COMP_NET_INCOME_GAAP/1M</stp>
        <stp>FPR=2022Y</stp>
        <stp>FPT=A</stp>
        <stp>FA_ACT_EST_DATA=E, EST_SOURCE=BNS</stp>
        <stp>ACT_EST_MAPPING=PRECISE</stp>
        <stp>FS=MRC</stp>
        <stp>CURRENCY=USD</stp>
        <stp>XLFILL=b</stp>
        <tr r="AC91" s="2"/>
      </tp>
      <tp>
        <v>-505.71279516390399</v>
        <stp/>
        <stp>##V3_BQLV12</stp>
        <stp>[MODL_CRM_US1.xlsx]Single Period!R187C24</stp>
        <stp>CRM US Equity</stp>
        <stp>CF_NET_CHNG_CASH/1M</stp>
        <stp>FPR=2022Y</stp>
        <stp>FPT=A</stp>
        <stp>FA_ACT_EST_DATA=E, EST_SOURCE=FBC</stp>
        <stp>ACT_EST_MAPPING=PRECISE</stp>
        <stp>FS=MRC</stp>
        <stp>CURRENCY=USD</stp>
        <stp>XLFILL=b</stp>
        <tr r="X187" s="2"/>
      </tp>
      <tp>
        <v>1242</v>
        <stp/>
        <stp>##V3_BQLV12</stp>
        <stp>[MODL_CRM_US1.xlsx]Single Period!R91C14</stp>
        <stp>CRM US Equity</stp>
        <stp>IS_COMP_NET_INCOME_GAAP/1M</stp>
        <stp>FPR=2022Y</stp>
        <stp>FPT=A</stp>
        <stp>FA_ACT_EST_DATA=E, EST_SOURCE=SNR</stp>
        <stp>ACT_EST_MAPPING=PRECISE</stp>
        <stp>FS=MRC</stp>
        <stp>CURRENCY=USD</stp>
        <stp>XLFILL=b</stp>
        <tr r="N91" s="2"/>
      </tp>
      <tp t="s">
        <v/>
        <stp/>
        <stp>##V3_BQLV12</stp>
        <stp>[MODL_CRM_US1.xlsx]Single Period!R187C18</stp>
        <stp>CRM US Equity</stp>
        <stp>CF_NET_CHNG_CASH/1M</stp>
        <stp>FPR=2022Y</stp>
        <stp>FPT=A</stp>
        <stp>FA_ACT_EST_DATA=E, EST_SOURCE=CAN</stp>
        <stp>ACT_EST_MAPPING=PRECISE</stp>
        <stp>FS=MRC</stp>
        <stp>CURRENCY=USD</stp>
        <stp>XLFILL=b</stp>
        <tr r="R187" s="2"/>
      </tp>
      <tp t="s">
        <v/>
        <stp/>
        <stp>##V3_BQLV12</stp>
        <stp>[MODL_CRM_US1.xlsx]Single Period!R120C39</stp>
        <stp>CRM US Equity</stp>
        <stp>BS_LONG_TERM_INVESTMENTS/1M</stp>
        <stp>FPR=2022Y</stp>
        <stp>FPT=A</stp>
        <stp>FA_ACT_EST_DATA=E, EST_SOURCE=KGI</stp>
        <stp>ACT_EST_MAPPING=PRECISE</stp>
        <stp>FS=MRC</stp>
        <stp>CURRENCY=USD</stp>
        <stp>XLFILL=b</stp>
        <tr r="AM120" s="2"/>
      </tp>
      <tp t="s">
        <v/>
        <stp/>
        <stp>##V3_BQLV12</stp>
        <stp>[MODL_CRM_US1.xlsx]Single Period!R187C55</stp>
        <stp>CRM US Equity</stp>
        <stp>CF_NET_CHNG_CASH/1M</stp>
        <stp>FPR=2022Y</stp>
        <stp>FPT=A</stp>
        <stp>FA_ACT_EST_DATA=E, EST_SOURCE=RED</stp>
        <stp>ACT_EST_MAPPING=PRECISE</stp>
        <stp>FS=MRC</stp>
        <stp>CURRENCY=USD</stp>
        <stp>XLFILL=b</stp>
        <tr r="BC187" s="2"/>
      </tp>
      <tp>
        <v>15255.09744</v>
        <stp/>
        <stp>##V3_BQLV12</stp>
        <stp>[MODL_CRM_US1.xlsx]Single Period!R131C6</stp>
        <stp>CRM US Equity</stp>
        <stp>CONTRIBUTOR_STATS(ST_DEFERRED_REVENUE, MIN)/1M</stp>
        <stp>FPR=2022Y</stp>
        <stp>FPT=A</stp>
        <stp>FA_ACT_EST_DATA=E</stp>
        <stp>ACT_EST_MAPPING=PRECISE</stp>
        <stp>FS=MRC</stp>
        <stp>CURRENCY=USD</stp>
        <stp>XLFILL=b</stp>
        <tr r="F131" s="2"/>
      </tp>
      <tp>
        <v>16916.913</v>
        <stp/>
        <stp>##V3_BQLV12</stp>
        <stp>[MODL_CRM_US1.xlsx]Single Period!R131C7</stp>
        <stp>CRM US Equity</stp>
        <stp>CONTRIBUTOR_STATS(ST_DEFERRED_REVENUE, MAX)/1M</stp>
        <stp>FPR=2022Y</stp>
        <stp>FPT=A</stp>
        <stp>FA_ACT_EST_DATA=E</stp>
        <stp>ACT_EST_MAPPING=PRECISE</stp>
        <stp>FS=MRC</stp>
        <stp>CURRENCY=USD</stp>
        <stp>XLFILL=b</stp>
        <tr r="G131" s="2"/>
      </tp>
      <tp t="s">
        <v/>
        <stp/>
        <stp>##V3_BQLV12</stp>
        <stp>[MODL_CRM_US1.xlsx]Single Period!R60C56</stp>
        <stp>CRM US Equity</stp>
        <stp>IS_COMPARABLE_EBIT/1M</stp>
        <stp>FPR=2022Y</stp>
        <stp>FPT=A</stp>
        <stp>FA_ACT_EST_DATA=E, EST_SOURCE=DIR</stp>
        <stp>ACT_EST_MAPPING=PRECISE</stp>
        <stp>FS=MRC</stp>
        <stp>CURRENCY=USD</stp>
        <stp>XLFILL=b</stp>
        <tr r="BD60" s="2"/>
      </tp>
      <tp t="s">
        <v/>
        <stp/>
        <stp>##V3_BQLV12</stp>
        <stp>[MODL_CRM_US1.xlsx]Single Period!R131C10</stp>
        <stp>CRM US Equity</stp>
        <stp>ST_DEFERRED_REVENUE/1M</stp>
        <stp>FPR=2022Y</stp>
        <stp>FPT=A</stp>
        <stp>FA_ACT_EST_DATA=E, EST_SOURCE=CMPY</stp>
        <stp>ACT_EST_MAPPING=PRECISE</stp>
        <stp>FS=MRC</stp>
        <stp>CURRENCY=USD</stp>
        <stp>XLFILL=b</stp>
        <tr r="J131" s="2"/>
      </tp>
      <tp t="s">
        <v/>
        <stp/>
        <stp>##V3_BQLV12</stp>
        <stp>[MODL_CRM_US1.xlsx]Single Period!R172C37</stp>
        <stp>CRM US Equity</stp>
        <stp>CAP_EXPEND_TO_SALES</stp>
        <stp>FPR=2022Y</stp>
        <stp>FPT=A</stp>
        <stp>FA_ACT_EST_DATA=E, EST_SOURCE=EVR</stp>
        <stp>ACT_EST_MAPPING=PRECISE</stp>
        <stp>FS=MRC</stp>
        <stp>CURRENCY=USD</stp>
        <stp>XLFILL=b</stp>
        <tr r="AK172" s="2"/>
      </tp>
      <tp t="s">
        <v/>
        <stp/>
        <stp>##V3_BQLV12</stp>
        <stp>[MODL_CRM_US1.xlsx]Single Period!R77C49</stp>
        <stp>CRM US Equity</stp>
        <stp>IS_COGS_TO_FE_AND_PP_AND_G/1M</stp>
        <stp>FPR=2022Y</stp>
        <stp>FPT=A</stp>
        <stp>FA_ACT_EST_DATA=E, EST_SOURCE=SGE</stp>
        <stp>ACT_EST_MAPPING=PRECISE</stp>
        <stp>FS=MRC</stp>
        <stp>CURRENCY=USD</stp>
        <stp>XLFILL=b</stp>
        <tr r="AW77" s="2"/>
      </tp>
      <tp t="s">
        <v/>
        <stp/>
        <stp>##V3_BQLV12</stp>
        <stp>[MODL_CRM_US1.xlsx]Single Period!R60C53</stp>
        <stp>CRM US Equity</stp>
        <stp>IS_COMPARABLE_EBIT/1M</stp>
        <stp>FPR=2022Y</stp>
        <stp>FPT=A</stp>
        <stp>FA_ACT_EST_DATA=E, EST_SOURCE=NIK</stp>
        <stp>ACT_EST_MAPPING=PRECISE</stp>
        <stp>FS=MRC</stp>
        <stp>CURRENCY=USD</stp>
        <stp>XLFILL=b</stp>
        <tr r="BA60" s="2"/>
      </tp>
      <tp t="s">
        <v/>
        <stp/>
        <stp>##V3_BQLV12</stp>
        <stp>[MODL_CRM_US1.xlsx]Single Period!R172C28</stp>
        <stp>CRM US Equity</stp>
        <stp>CAP_EXPEND_TO_SALES</stp>
        <stp>FPR=2022Y</stp>
        <stp>FPT=A</stp>
        <stp>FA_ACT_EST_DATA=E, EST_SOURCE=CWN</stp>
        <stp>ACT_EST_MAPPING=PRECISE</stp>
        <stp>FS=MRC</stp>
        <stp>CURRENCY=USD</stp>
        <stp>XLFILL=b</stp>
        <tr r="AB172" s="2"/>
      </tp>
      <tp t="s">
        <v/>
        <stp/>
        <stp>##V3_BQLV12</stp>
        <stp>[MODL_CRM_US1.xlsx]Single Period!R77C39</stp>
        <stp>CRM US Equity</stp>
        <stp>IS_COGS_TO_FE_AND_PP_AND_G/1M</stp>
        <stp>FPR=2022Y</stp>
        <stp>FPT=A</stp>
        <stp>FA_ACT_EST_DATA=E, EST_SOURCE=KGI</stp>
        <stp>ACT_EST_MAPPING=PRECISE</stp>
        <stp>FS=MRC</stp>
        <stp>CURRENCY=USD</stp>
        <stp>XLFILL=b</stp>
        <tr r="AM77" s="2"/>
      </tp>
      <tp t="s">
        <v/>
        <stp/>
        <stp>##V3_BQLV12</stp>
        <stp>[MODL_CRM_US1.xlsx]Single Period!R25C37</stp>
        <stp>SEG0000269238 Segment</stp>
        <stp>IS_PERCENTAGE_OF_REVENUE</stp>
        <stp>FPR=2022Y</stp>
        <stp>FPT=A</stp>
        <stp>FA_ACT_EST_DATA=E, EST_SOURCE=EVR</stp>
        <stp>ACT_EST_MAPPING=PRECISE</stp>
        <stp>FS=MRC</stp>
        <stp>CURRENCY=USD</stp>
        <stp>XLFILL=b</stp>
        <tr r="AK25" s="2"/>
      </tp>
      <tp>
        <v>22.513379379431409</v>
        <stp/>
        <stp>##V3_BQLV12</stp>
        <stp>[MODL_CRM_US1.xlsx]Single Period!R44C5</stp>
        <stp>SEG0000269240 Segment</stp>
        <stp>IS_PERCENTAGE_OF_REVENUE</stp>
        <stp>FPR=2022Y</stp>
        <stp>FPT=A</stp>
        <stp>FA_ACT_EST_DATA=E</stp>
        <stp>ACT_EST_MAPPING=PRECISE</stp>
        <stp>FS=MRC</stp>
        <stp>CURRENCY=USD</stp>
        <stp>XLFILL=b</stp>
        <tr r="E44" s="2"/>
      </tp>
      <tp>
        <v>93.188230682790632</v>
        <stp/>
        <stp>##V3_BQLV12</stp>
        <stp>[MODL_CRM_US1.xlsx]Single Period!R25C5</stp>
        <stp>SEG0000269238 Segment</stp>
        <stp>IS_PERCENTAGE_OF_REVENUE</stp>
        <stp>FPR=2022Y</stp>
        <stp>FPT=A</stp>
        <stp>FA_ACT_EST_DATA=E</stp>
        <stp>ACT_EST_MAPPING=PRECISE</stp>
        <stp>FS=MRC</stp>
        <stp>CURRENCY=USD</stp>
        <stp>XLFILL=b</stp>
        <tr r="E25" s="2"/>
      </tp>
      <tp>
        <v>6.8251316670188036</v>
        <stp/>
        <stp>##V3_BQLV12</stp>
        <stp>[MODL_CRM_US1.xlsx]Single Period!R33C5</stp>
        <stp>SEG0000269227 Segment</stp>
        <stp>IS_PERCENTAGE_OF_REVENUE</stp>
        <stp>FPR=2022Y</stp>
        <stp>FPT=A</stp>
        <stp>FA_ACT_EST_DATA=E</stp>
        <stp>ACT_EST_MAPPING=PRECISE</stp>
        <stp>FS=MRC</stp>
        <stp>CURRENCY=USD</stp>
        <stp>XLFILL=b</stp>
        <tr r="E33" s="2"/>
      </tp>
      <tp>
        <v>68.142189403151974</v>
        <stp/>
        <stp>##V3_BQLV12</stp>
        <stp>[MODL_CRM_US1.xlsx]Single Period!R39C5</stp>
        <stp>SEG0000269228 Segment</stp>
        <stp>IS_PERCENTAGE_OF_REVENUE</stp>
        <stp>FPR=2022Y</stp>
        <stp>FPT=A</stp>
        <stp>FA_ACT_EST_DATA=E</stp>
        <stp>ACT_EST_MAPPING=PRECISE</stp>
        <stp>FS=MRC</stp>
        <stp>CURRENCY=USD</stp>
        <stp>XLFILL=b</stp>
        <tr r="E39" s="2"/>
      </tp>
      <tp>
        <v>9.4941054695515348</v>
        <stp/>
        <stp>##V3_BQLV12</stp>
        <stp>[MODL_CRM_US1.xlsx]Single Period!R49C5</stp>
        <stp>SEG0000269229 Segment</stp>
        <stp>IS_PERCENTAGE_OF_REVENUE</stp>
        <stp>FPR=2022Y</stp>
        <stp>FPT=A</stp>
        <stp>FA_ACT_EST_DATA=E</stp>
        <stp>ACT_EST_MAPPING=PRECISE</stp>
        <stp>FS=MRC</stp>
        <stp>CURRENCY=USD</stp>
        <stp>XLFILL=b</stp>
        <tr r="E49" s="2"/>
      </tp>
      <tp t="s">
        <v/>
        <stp/>
        <stp>##V3_BQLV12</stp>
        <stp>[MODL_CRM_US1.xlsx]Single Period!R44C45</stp>
        <stp>SEG0000269240 Segment</stp>
        <stp>IS_PERCENTAGE_OF_REVENUE</stp>
        <stp>FPR=2022Y</stp>
        <stp>FPT=A</stp>
        <stp>FA_ACT_EST_DATA=E, EST_SOURCE=ARG</stp>
        <stp>ACT_EST_MAPPING=PRECISE</stp>
        <stp>FS=MRC</stp>
        <stp>CURRENCY=USD</stp>
        <stp>XLFILL=b</stp>
        <tr r="AS44" s="2"/>
      </tp>
      <tp>
        <v>21302.209761777081</v>
        <stp/>
        <stp>##V3_BQLV12</stp>
        <stp>[MODL_CRM_US1.xlsx]Single Period!R128C9</stp>
        <stp>CRM US Equity</stp>
        <stp>CONTRIBUTOR_STATS(BS_CUR_LIAB, MEDIAN)/1M</stp>
        <stp>FPR=2022Y</stp>
        <stp>FPT=A</stp>
        <stp>FA_ACT_EST_DATA=E</stp>
        <stp>ACT_EST_MAPPING=PRECISE</stp>
        <stp>FS=MRC</stp>
        <stp>CURRENCY=USD</stp>
        <stp>XLFILL=b</stp>
        <tr r="I128" s="2"/>
      </tp>
      <tp t="s">
        <v/>
        <stp/>
        <stp>##V3_BQLV12</stp>
        <stp>[MODL_CRM_US1.xlsx]Single Period!R25C42</stp>
        <stp>SEG0000269238 Segment</stp>
        <stp>IS_PERCENTAGE_OF_REVENUE</stp>
        <stp>FPR=2022Y</stp>
        <stp>FPT=A</stp>
        <stp>FA_ACT_EST_DATA=E, EST_SOURCE=PSG</stp>
        <stp>ACT_EST_MAPPING=PRECISE</stp>
        <stp>FS=MRC</stp>
        <stp>CURRENCY=USD</stp>
        <stp>XLFILL=b</stp>
        <tr r="AP25" s="2"/>
      </tp>
      <tp t="s">
        <v/>
        <stp/>
        <stp>##V3_BQLV12</stp>
        <stp>[MODL_CRM_US1.xlsx]Single Period!R49C45</stp>
        <stp>SEG0000269229 Segment</stp>
        <stp>IS_PERCENTAGE_OF_REVENUE</stp>
        <stp>FPR=2022Y</stp>
        <stp>FPT=A</stp>
        <stp>FA_ACT_EST_DATA=E, EST_SOURCE=ARG</stp>
        <stp>ACT_EST_MAPPING=PRECISE</stp>
        <stp>FS=MRC</stp>
        <stp>CURRENCY=USD</stp>
        <stp>XLFILL=b</stp>
        <tr r="AS49" s="2"/>
      </tp>
      <tp t="s">
        <v/>
        <stp/>
        <stp>##V3_BQLV12</stp>
        <stp>[MODL_CRM_US1.xlsx]Single Period!R25C35</stp>
        <stp>SEG0000269238 Segment</stp>
        <stp>IS_PERCENTAGE_OF_REVENUE</stp>
        <stp>FPR=2022Y</stp>
        <stp>FPT=A</stp>
        <stp>FA_ACT_EST_DATA=E, EST_SOURCE=ATL</stp>
        <stp>ACT_EST_MAPPING=PRECISE</stp>
        <stp>FS=MRC</stp>
        <stp>CURRENCY=USD</stp>
        <stp>XLFILL=b</stp>
        <tr r="AI25" s="2"/>
      </tp>
      <tp>
        <v>15347</v>
        <stp/>
        <stp>##V3_BQLV12</stp>
        <stp>[MODL_CRM_US1.xlsx]Single Period!R132C6</stp>
        <stp>CRM US Equity</stp>
        <stp>CONTRIBUTOR_STATS(BS_ADJ_TOTAL_LT_LIABILITIES, MIN)/1M</stp>
        <stp>FPR=2022Y</stp>
        <stp>FPT=A</stp>
        <stp>FA_ACT_EST_DATA=E</stp>
        <stp>ACT_EST_MAPPING=PRECISE</stp>
        <stp>FS=MRC</stp>
        <stp>CURRENCY=USD</stp>
        <stp>XLFILL=b</stp>
        <tr r="F132" s="2"/>
      </tp>
      <tp>
        <v>15470.285596786609</v>
        <stp/>
        <stp>##V3_BQLV12</stp>
        <stp>[MODL_CRM_US1.xlsx]Single Period!R132C7</stp>
        <stp>CRM US Equity</stp>
        <stp>CONTRIBUTOR_STATS(BS_ADJ_TOTAL_LT_LIABILITIES, MAX)/1M</stp>
        <stp>FPR=2022Y</stp>
        <stp>FPT=A</stp>
        <stp>FA_ACT_EST_DATA=E</stp>
        <stp>ACT_EST_MAPPING=PRECISE</stp>
        <stp>FS=MRC</stp>
        <stp>CURRENCY=USD</stp>
        <stp>XLFILL=b</stp>
        <tr r="G132" s="2"/>
      </tp>
      <tp t="s">
        <v/>
        <stp/>
        <stp>##V3_BQLV12</stp>
        <stp>[MODL_CRM_US1.xlsx]Single Period!R187C32</stp>
        <stp>CRM US Equity</stp>
        <stp>CF_NET_CHNG_CASH/1M</stp>
        <stp>FPR=2022Y</stp>
        <stp>FPT=A</stp>
        <stp>FA_ACT_EST_DATA=E, EST_SOURCE=UBS</stp>
        <stp>ACT_EST_MAPPING=PRECISE</stp>
        <stp>FS=MRC</stp>
        <stp>CURRENCY=USD</stp>
        <stp>XLFILL=b</stp>
        <tr r="AF187" s="2"/>
      </tp>
      <tp>
        <v>4004</v>
        <stp/>
        <stp>##V3_BQLV12</stp>
        <stp>[MODL_CRM_US1.xlsx]Single Period!R120C17</stp>
        <stp>CRM US Equity</stp>
        <stp>BS_LONG_TERM_INVESTMENTS/1M</stp>
        <stp>FPR=2022Y</stp>
        <stp>FPT=A</stp>
        <stp>FA_ACT_EST_DATA=E, EST_SOURCE=NDH</stp>
        <stp>ACT_EST_MAPPING=PRECISE</stp>
        <stp>FS=MRC</stp>
        <stp>CURRENCY=USD</stp>
        <stp>XLFILL=b</stp>
        <tr r="Q120" s="2"/>
      </tp>
      <tp t="s">
        <v/>
        <stp/>
        <stp>##V3_BQLV12</stp>
        <stp>[MODL_CRM_US1.xlsx]Single Period!R187C27</stp>
        <stp>CRM US Equity</stp>
        <stp>CF_NET_CHNG_CASH/1M</stp>
        <stp>FPR=2022Y</stp>
        <stp>FPT=A</stp>
        <stp>FA_ACT_EST_DATA=E, EST_SOURCE=LCM</stp>
        <stp>ACT_EST_MAPPING=PRECISE</stp>
        <stp>FS=MRC</stp>
        <stp>CURRENCY=USD</stp>
        <stp>XLFILL=b</stp>
        <tr r="AA187" s="2"/>
      </tp>
      <tp t="s">
        <v/>
        <stp/>
        <stp>##V3_BQLV12</stp>
        <stp>[MODL_CRM_US1.xlsx]Single Period!R99C44</stp>
        <stp>CRM US Equity</stp>
        <stp>IS_SBC_NON_GAAP/1M</stp>
        <stp>FPR=2022Y</stp>
        <stp>FPT=A</stp>
        <stp>FA_ACT_EST_DATA=E, EST_SOURCE=RWB</stp>
        <stp>ACT_EST_MAPPING=PRECISE</stp>
        <stp>FS=MRC</stp>
        <stp>CURRENCY=USD</stp>
        <stp>XLFILL=b</stp>
        <tr r="AR99" s="2"/>
      </tp>
      <tp t="s">
        <v/>
        <stp/>
        <stp>##V3_BQLV12</stp>
        <stp>[MODL_CRM_US1.xlsx]Single Period!R81C50</stp>
        <stp>CRM US Equity</stp>
        <stp>IS_TOT_OPER_EXP/1M</stp>
        <stp>FPR=2022Y</stp>
        <stp>FPT=A</stp>
        <stp>FA_ACT_EST_DATA=E, EST_SOURCE=MZS</stp>
        <stp>ACT_EST_MAPPING=PRECISE</stp>
        <stp>FS=MRC</stp>
        <stp>CURRENCY=USD</stp>
        <stp>XLFILL=b</stp>
        <tr r="AX81" s="2"/>
      </tp>
      <tp t="s">
        <v/>
        <stp/>
        <stp>##V3_BQLV12</stp>
        <stp>[MODL_CRM_US1.xlsx]Single Period!R99C43</stp>
        <stp>CRM US Equity</stp>
        <stp>IS_SBC_NON_GAAP/1M</stp>
        <stp>FPR=2022Y</stp>
        <stp>FPT=A</stp>
        <stp>FA_ACT_EST_DATA=E, EST_SOURCE=DWI</stp>
        <stp>ACT_EST_MAPPING=PRECISE</stp>
        <stp>FS=MRC</stp>
        <stp>CURRENCY=USD</stp>
        <stp>XLFILL=b</stp>
        <tr r="AQ99" s="2"/>
      </tp>
      <tp t="s">
        <v/>
        <stp/>
        <stp>##V3_BQLV12</stp>
        <stp>[MODL_CRM_US1.xlsx]Single Period!R99C28</stp>
        <stp>CRM US Equity</stp>
        <stp>IS_SBC_NON_GAAP/1M</stp>
        <stp>FPR=2022Y</stp>
        <stp>FPT=A</stp>
        <stp>FA_ACT_EST_DATA=E, EST_SOURCE=CWN</stp>
        <stp>ACT_EST_MAPPING=PRECISE</stp>
        <stp>FS=MRC</stp>
        <stp>CURRENCY=USD</stp>
        <stp>XLFILL=b</stp>
        <tr r="AB99" s="2"/>
      </tp>
      <tp>
        <v>71.178972491952749</v>
        <stp/>
        <stp>##V3_BQLV12</stp>
        <stp>[MODL_CRM_US1.xlsx]Single Period!R132C8</stp>
        <stp>CRM US Equity</stp>
        <stp>CONTRIBUTOR_STATS(BS_ADJ_TOTAL_LT_LIABILITIES, STD)/1M</stp>
        <stp>FPR=2022Y</stp>
        <stp>FPT=A</stp>
        <stp>FA_ACT_EST_DATA=E</stp>
        <stp>ACT_EST_MAPPING=PRECISE</stp>
        <stp>FS=MRC</stp>
        <stp>CURRENCY=USD</stp>
        <stp>XLFILL=b</stp>
        <tr r="H132" s="2"/>
      </tp>
      <tp t="s">
        <v/>
        <stp/>
        <stp>##V3_BQLV12</stp>
        <stp>[MODL_CRM_US1.xlsx]Single Period!R187C31</stp>
        <stp>CRM US Equity</stp>
        <stp>CF_NET_CHNG_CASH/1M</stp>
        <stp>FPR=2022Y</stp>
        <stp>FPT=A</stp>
        <stp>FA_ACT_EST_DATA=E, EST_SOURCE=RBC</stp>
        <stp>ACT_EST_MAPPING=PRECISE</stp>
        <stp>FS=MRC</stp>
        <stp>CURRENCY=USD</stp>
        <stp>XLFILL=b</stp>
        <tr r="AE187" s="2"/>
      </tp>
      <tp>
        <v>4913</v>
        <stp/>
        <stp>##V3_BQLV12</stp>
        <stp>[MODL_CRM_US1.xlsx]Single Period!R60C33</stp>
        <stp>CRM US Equity</stp>
        <stp>IS_COMPARABLE_EBIT/1M</stp>
        <stp>FPR=2022Y</stp>
        <stp>FPT=A</stp>
        <stp>FA_ACT_EST_DATA=E, EST_SOURCE=RHR</stp>
        <stp>ACT_EST_MAPPING=PRECISE</stp>
        <stp>FS=MRC</stp>
        <stp>CURRENCY=USD</stp>
        <stp>XLFILL=b</stp>
        <tr r="AG60" s="2"/>
      </tp>
      <tp t="s">
        <v/>
        <stp/>
        <stp>##V3_BQLV12</stp>
        <stp>[MODL_CRM_US1.xlsx]Single Period!R77C47</stp>
        <stp>CRM US Equity</stp>
        <stp>IS_COGS_TO_FE_AND_PP_AND_G/1M</stp>
        <stp>FPR=2022Y</stp>
        <stp>FPT=A</stp>
        <stp>FA_ACT_EST_DATA=E, EST_SOURCE=WFT</stp>
        <stp>ACT_EST_MAPPING=PRECISE</stp>
        <stp>FS=MRC</stp>
        <stp>CURRENCY=USD</stp>
        <stp>XLFILL=b</stp>
        <tr r="AU77" s="2"/>
      </tp>
      <tp t="s">
        <v/>
        <stp/>
        <stp>##V3_BQLV12</stp>
        <stp>[MODL_CRM_US1.xlsx]Single Period!R77C52</stp>
        <stp>CRM US Equity</stp>
        <stp>IS_COGS_TO_FE_AND_PP_AND_G/1M</stp>
        <stp>FPR=2022Y</stp>
        <stp>FPT=A</stp>
        <stp>FA_ACT_EST_DATA=E, EST_SOURCE=WFR</stp>
        <stp>ACT_EST_MAPPING=PRECISE</stp>
        <stp>FS=MRC</stp>
        <stp>CURRENCY=USD</stp>
        <stp>XLFILL=b</stp>
        <tr r="AZ77" s="2"/>
      </tp>
      <tp>
        <v>4906</v>
        <stp/>
        <stp>##V3_BQLV12</stp>
        <stp>[MODL_CRM_US1.xlsx]Single Period!R19C36</stp>
        <stp>CRM US Equity</stp>
        <stp>IS_COMPARABLE_EBIT/1M</stp>
        <stp>FPR=2022Y</stp>
        <stp>FPT=A</stp>
        <stp>FA_ACT_EST_DATA=E, EST_SOURCE=MAC</stp>
        <stp>ACT_EST_MAPPING=PRECISE</stp>
        <stp>FS=MRC</stp>
        <stp>CURRENCY=USD</stp>
        <stp>XLFILL=b</stp>
        <tr r="AJ19" s="2"/>
      </tp>
      <tp>
        <v>4895</v>
        <stp/>
        <stp>##V3_BQLV12</stp>
        <stp>[MODL_CRM_US1.xlsx]Single Period!R19C18</stp>
        <stp>CRM US Equity</stp>
        <stp>IS_COMPARABLE_EBIT/1M</stp>
        <stp>FPR=2022Y</stp>
        <stp>FPT=A</stp>
        <stp>FA_ACT_EST_DATA=E, EST_SOURCE=CAN</stp>
        <stp>ACT_EST_MAPPING=PRECISE</stp>
        <stp>FS=MRC</stp>
        <stp>CURRENCY=USD</stp>
        <stp>XLFILL=b</stp>
        <tr r="R19" s="2"/>
      </tp>
      <tp>
        <v>4911</v>
        <stp/>
        <stp>##V3_BQLV12</stp>
        <stp>[MODL_CRM_US1.xlsx]Single Period!R19C30</stp>
        <stp>CRM US Equity</stp>
        <stp>IS_COMPARABLE_EBIT/1M</stp>
        <stp>FPR=2022Y</stp>
        <stp>FPT=A</stp>
        <stp>FA_ACT_EST_DATA=E, EST_SOURCE=BAM</stp>
        <stp>ACT_EST_MAPPING=PRECISE</stp>
        <stp>FS=MRC</stp>
        <stp>CURRENCY=USD</stp>
        <stp>XLFILL=b</stp>
        <tr r="AD19" s="2"/>
      </tp>
      <tp>
        <v>31.022243018594931</v>
        <stp/>
        <stp>##V3_BQLV12</stp>
        <stp>[MODL_CRM_US1.xlsx]Single Period!R150C8</stp>
        <stp>CRM US Equity</stp>
        <stp>CONTRIBUTOR_STATS(CURRENT_FUTURE_REV_UNDER_CONTRACT, STD)/1M</stp>
        <stp>FPR=2022Y</stp>
        <stp>FPT=A</stp>
        <stp>FA_ACT_EST_DATA=E</stp>
        <stp>ACT_EST_MAPPING=PRECISE</stp>
        <stp>FS=MRC</stp>
        <stp>CURRENCY=USD</stp>
        <stp>XLFILL=b</stp>
        <tr r="H150" s="2"/>
      </tp>
      <tp t="s">
        <v/>
        <stp/>
        <stp>##V3_BQLV12</stp>
        <stp>[MODL_CRM_US1.xlsx]Single Period!R158C42</stp>
        <stp>CRM US Equity</stp>
        <stp>IS_SBC_NON_GAAP/1M</stp>
        <stp>FPR=2022Y</stp>
        <stp>FPT=A</stp>
        <stp>FA_ACT_EST_DATA=E, EST_SOURCE=PSG</stp>
        <stp>ACT_EST_MAPPING=PRECISE</stp>
        <stp>FS=MRC</stp>
        <stp>CURRENCY=USD</stp>
        <stp>XLFILL=b</stp>
        <tr r="AP158" s="2"/>
      </tp>
      <tp t="s">
        <v/>
        <stp/>
        <stp>##V3_BQLV12</stp>
        <stp>[MODL_CRM_US1.xlsx]Single Period!R13C47</stp>
        <stp>CRM US Equity</stp>
        <stp>CURRENT_FUTURE_REV_UNDER_CONTRACT/1M</stp>
        <stp>FPR=2022Y</stp>
        <stp>FPT=A</stp>
        <stp>FA_ACT_EST_DATA=E, EST_SOURCE=WFT</stp>
        <stp>ACT_EST_MAPPING=PRECISE</stp>
        <stp>FS=MRC</stp>
        <stp>CURRENCY=USD</stp>
        <stp>XLFILL=b</stp>
        <tr r="AU13" s="2"/>
      </tp>
      <tp>
        <v>2628.827803965421</v>
        <stp/>
        <stp>##V3_BQLV12</stp>
        <stp>[MODL_CRM_US1.xlsx]Single Period!R86C24</stp>
        <stp>CRM US Equity</stp>
        <stp>IS_GENERAL_AND_ADMIN_GAAP/1M</stp>
        <stp>FPR=2022Y</stp>
        <stp>FPT=A</stp>
        <stp>FA_ACT_EST_DATA=E, EST_SOURCE=FBC</stp>
        <stp>ACT_EST_MAPPING=PRECISE</stp>
        <stp>FS=MRC</stp>
        <stp>CURRENCY=USD</stp>
        <stp>XLFILL=b</stp>
        <tr r="X86" s="2"/>
      </tp>
      <tp t="s">
        <v/>
        <stp/>
        <stp>##V3_BQLV12</stp>
        <stp>[MODL_CRM_US1.xlsx]Single Period!R178C44</stp>
        <stp>CRM US Equity</stp>
        <stp>CB_CF_REPAYMENT_LT_DEBT/1M</stp>
        <stp>FPR=2022Y</stp>
        <stp>FPT=A</stp>
        <stp>FA_ACT_EST_DATA=E, EST_SOURCE=RWB</stp>
        <stp>ACT_EST_MAPPING=PRECISE</stp>
        <stp>FS=MRC</stp>
        <stp>CURRENCY=USD</stp>
        <stp>XLFILL=b</stp>
        <tr r="AR178" s="2"/>
      </tp>
      <tp t="s">
        <v/>
        <stp/>
        <stp>##V3_BQLV12</stp>
        <stp>[MODL_CRM_US1.xlsx]Single Period!R178C43</stp>
        <stp>CRM US Equity</stp>
        <stp>CB_CF_REPAYMENT_LT_DEBT/1M</stp>
        <stp>FPR=2022Y</stp>
        <stp>FPT=A</stp>
        <stp>FA_ACT_EST_DATA=E, EST_SOURCE=DWI</stp>
        <stp>ACT_EST_MAPPING=PRECISE</stp>
        <stp>FS=MRC</stp>
        <stp>CURRENCY=USD</stp>
        <stp>XLFILL=b</stp>
        <tr r="AQ178" s="2"/>
      </tp>
      <tp t="s">
        <v/>
        <stp/>
        <stp>##V3_BQLV12</stp>
        <stp>[MODL_CRM_US1.xlsx]Single Period!R163C21</stp>
        <stp>CRM US Equity</stp>
        <stp>CB_CF_OTHR_NONCSH_ITEMS/1M</stp>
        <stp>FPR=2022Y</stp>
        <stp>FPT=A</stp>
        <stp>FA_ACT_EST_DATA=E, EST_SOURCE=RJA</stp>
        <stp>ACT_EST_MAPPING=PRECISE</stp>
        <stp>FS=MRC</stp>
        <stp>CURRENCY=USD</stp>
        <stp>XLFILL=b</stp>
        <tr r="U163" s="2"/>
      </tp>
      <tp t="s">
        <v/>
        <stp/>
        <stp>##V3_BQLV12</stp>
        <stp>[MODL_CRM_US1.xlsx]Single Period!R178C28</stp>
        <stp>CRM US Equity</stp>
        <stp>CB_CF_REPAYMENT_LT_DEBT/1M</stp>
        <stp>FPR=2022Y</stp>
        <stp>FPT=A</stp>
        <stp>FA_ACT_EST_DATA=E, EST_SOURCE=CWN</stp>
        <stp>ACT_EST_MAPPING=PRECISE</stp>
        <stp>FS=MRC</stp>
        <stp>CURRENCY=USD</stp>
        <stp>XLFILL=b</stp>
        <tr r="AB178" s="2"/>
      </tp>
      <tp t="s">
        <v/>
        <stp/>
        <stp>##V3_BQLV12</stp>
        <stp>[MODL_CRM_US1.xlsx]Single Period!R163C48</stp>
        <stp>CRM US Equity</stp>
        <stp>CB_CF_OTHR_NONCSH_ITEMS/1M</stp>
        <stp>FPR=2022Y</stp>
        <stp>FPT=A</stp>
        <stp>FA_ACT_EST_DATA=E, EST_SOURCE=PJE</stp>
        <stp>ACT_EST_MAPPING=PRECISE</stp>
        <stp>FS=MRC</stp>
        <stp>CURRENCY=USD</stp>
        <stp>XLFILL=b</stp>
        <tr r="AV163" s="2"/>
      </tp>
      <tp t="s">
        <v/>
        <stp/>
        <stp>##V3_BQLV12</stp>
        <stp>[MODL_CRM_US1.xlsx]Single Period!R138C37</stp>
        <stp>CRM US Equity</stp>
        <stp>BS_COMMON_STOCK/1M</stp>
        <stp>FPR=2022Y</stp>
        <stp>FPT=A</stp>
        <stp>FA_ACT_EST_DATA=E, EST_SOURCE=EVR</stp>
        <stp>ACT_EST_MAPPING=PRECISE</stp>
        <stp>FS=MRC</stp>
        <stp>CURRENCY=USD</stp>
        <stp>XLFILL=b</stp>
        <tr r="AK138" s="2"/>
      </tp>
      <tp t="s">
        <v/>
        <stp/>
        <stp>##V3_BQLV12</stp>
        <stp>[MODL_CRM_US1.xlsx]Single Period!R159C52</stp>
        <stp>CRM US Equity</stp>
        <stp>SBC_NON_GAAP_TO_SALES</stp>
        <stp>FPR=2022Y</stp>
        <stp>FPT=A</stp>
        <stp>FA_ACT_EST_DATA=E, EST_SOURCE=WFR</stp>
        <stp>ACT_EST_MAPPING=PRECISE</stp>
        <stp>FS=MRC</stp>
        <stp>CURRENCY=USD</stp>
        <stp>XLFILL=b</stp>
        <tr r="AZ159" s="2"/>
      </tp>
      <tp t="s">
        <v/>
        <stp/>
        <stp>##V3_BQLV12</stp>
        <stp>[MODL_CRM_US1.xlsx]Single Period!R158C38</stp>
        <stp>CRM US Equity</stp>
        <stp>IS_SBC_NON_GAAP/1M</stp>
        <stp>FPR=2022Y</stp>
        <stp>FPT=A</stp>
        <stp>FA_ACT_EST_DATA=E, EST_SOURCE=MSR</stp>
        <stp>ACT_EST_MAPPING=PRECISE</stp>
        <stp>FS=MRC</stp>
        <stp>CURRENCY=USD</stp>
        <stp>XLFILL=b</stp>
        <tr r="AL158" s="2"/>
      </tp>
      <tp t="s">
        <v/>
        <stp/>
        <stp>##V3_BQLV12</stp>
        <stp>[MODL_CRM_US1.xlsx]Single Period!R13C34</stp>
        <stp>CRM US Equity</stp>
        <stp>CURRENT_FUTURE_REV_UNDER_CONTRACT/1M</stp>
        <stp>FPR=2022Y</stp>
        <stp>FPT=A</stp>
        <stp>FA_ACT_EST_DATA=E, EST_SOURCE=JEF</stp>
        <stp>ACT_EST_MAPPING=PRECISE</stp>
        <stp>FS=MRC</stp>
        <stp>CURRENCY=USD</stp>
        <stp>XLFILL=b</stp>
        <tr r="AH13" s="2"/>
      </tp>
      <tp t="s">
        <v/>
        <stp/>
        <stp>##V3_BQLV12</stp>
        <stp>[MODL_CRM_US1.xlsx]Single Period!R159C47</stp>
        <stp>CRM US Equity</stp>
        <stp>SBC_NON_GAAP_TO_SALES</stp>
        <stp>FPR=2022Y</stp>
        <stp>FPT=A</stp>
        <stp>FA_ACT_EST_DATA=E, EST_SOURCE=WFT</stp>
        <stp>ACT_EST_MAPPING=PRECISE</stp>
        <stp>FS=MRC</stp>
        <stp>CURRENCY=USD</stp>
        <stp>XLFILL=b</stp>
        <tr r="AU159" s="2"/>
      </tp>
      <tp>
        <v>2836</v>
        <stp/>
        <stp>##V3_BQLV12</stp>
        <stp>[MODL_CRM_US1.xlsx]Single Period!R158C15</stp>
        <stp>CRM US Equity</stp>
        <stp>IS_SBC_NON_GAAP/1M</stp>
        <stp>FPR=2022Y</stp>
        <stp>FPT=A</stp>
        <stp>FA_ACT_EST_DATA=E, EST_SOURCE=MSV</stp>
        <stp>ACT_EST_MAPPING=PRECISE</stp>
        <stp>FS=MRC</stp>
        <stp>CURRENCY=USD</stp>
        <stp>XLFILL=b</stp>
        <tr r="O158" s="2"/>
      </tp>
      <tp t="s">
        <v/>
        <stp/>
        <stp>##V3_BQLV12</stp>
        <stp>[MODL_CRM_US1.xlsx]Single Period!R158C41</stp>
        <stp>CRM US Equity</stp>
        <stp>IS_SBC_NON_GAAP/1M</stp>
        <stp>FPR=2022Y</stp>
        <stp>FPT=A</stp>
        <stp>FA_ACT_EST_DATA=E, EST_SOURCE=GSR</stp>
        <stp>ACT_EST_MAPPING=PRECISE</stp>
        <stp>FS=MRC</stp>
        <stp>CURRENCY=USD</stp>
        <stp>XLFILL=b</stp>
        <tr r="AO158" s="2"/>
      </tp>
    </main>
    <main first="bloomberg.rtd">
      <tp t="s">
        <v/>
        <stp/>
        <stp>##V3_BQLV12</stp>
        <stp>[MODL_CRM_US1.xlsx]Single Period!R13C30</stp>
        <stp>CRM US Equity</stp>
        <stp>CURRENT_FUTURE_REV_UNDER_CONTRACT/1M</stp>
        <stp>FPR=2022Y</stp>
        <stp>FPT=A</stp>
        <stp>FA_ACT_EST_DATA=E, EST_SOURCE=BAM</stp>
        <stp>ACT_EST_MAPPING=PRECISE</stp>
        <stp>FS=MRC</stp>
        <stp>CURRENCY=USD</stp>
        <stp>XLFILL=b</stp>
        <tr r="AD13" s="2"/>
      </tp>
      <tp t="s">
        <v/>
        <stp/>
        <stp>##V3_BQLV12</stp>
        <stp>[MODL_CRM_US1.xlsx]Single Period!R150C36</stp>
        <stp>CRM US Equity</stp>
        <stp>CURRENT_FUTURE_REV_UNDER_CONTRACT/1M</stp>
        <stp>FPR=2022Y</stp>
        <stp>FPT=A</stp>
        <stp>FA_ACT_EST_DATA=E, EST_SOURCE=MAC</stp>
        <stp>ACT_EST_MAPPING=PRECISE</stp>
        <stp>FS=MRC</stp>
        <stp>CURRENCY=USD</stp>
        <stp>XLFILL=b</stp>
        <tr r="AJ150" s="2"/>
      </tp>
      <tp>
        <v>5018.5626099999999</v>
        <stp/>
        <stp>##V3_BQLV12</stp>
        <stp>[MODL_CRM_US1.xlsx]Single Period!R30C25</stp>
        <stp>SEG0000269238 Segment</stp>
        <stp>IS_COGS_TO_FE_AND_PP_AND_G/1M</stp>
        <stp>FPR=2022Y</stp>
        <stp>FPT=A</stp>
        <stp>FA_ACT_EST_DATA=E, EST_SOURCE=WMS</stp>
        <stp>ACT_EST_MAPPING=PRECISE</stp>
        <stp>FS=MRC</stp>
        <stp>CURRENCY=USD</stp>
        <stp>XLFILL=b</stp>
        <tr r="Y30" s="2"/>
      </tp>
      <tp t="s">
        <v/>
        <stp/>
        <stp>##V3_BQLV12</stp>
        <stp>[MODL_CRM_US1.xlsx]Single Period!R141C39</stp>
        <stp>CRM US Equity</stp>
        <stp>BS_PURE_RETAINED_EARNINGS/1M</stp>
        <stp>FPR=2022Y</stp>
        <stp>FPT=A</stp>
        <stp>FA_ACT_EST_DATA=E, EST_SOURCE=KGI</stp>
        <stp>ACT_EST_MAPPING=PRECISE</stp>
        <stp>FS=MRC</stp>
        <stp>CURRENCY=USD</stp>
        <stp>XLFILL=b</stp>
        <tr r="AM141" s="2"/>
      </tp>
      <tp t="s">
        <v/>
        <stp/>
        <stp>##V3_BQLV12</stp>
        <stp>[MODL_CRM_US1.xlsx]Single Period!R170C37</stp>
        <stp>CRM US Equity</stp>
        <stp>CF_CASH_FOR_ACQUIS_SUBSIDIARIES/1M</stp>
        <stp>FPR=2022Y</stp>
        <stp>FPT=A</stp>
        <stp>FA_ACT_EST_DATA=E, EST_SOURCE=EVR</stp>
        <stp>ACT_EST_MAPPING=PRECISE</stp>
        <stp>FS=MRC</stp>
        <stp>CURRENCY=USD</stp>
        <stp>XLFILL=b</stp>
        <tr r="AK170" s="2"/>
      </tp>
      <tp>
        <v>5025.75</v>
        <stp/>
        <stp>##V3_BQLV12</stp>
        <stp>[MODL_CRM_US1.xlsx]Single Period!R30C20</stp>
        <stp>SEG0000269238 Segment</stp>
        <stp>IS_COGS_TO_FE_AND_PP_AND_G/1M</stp>
        <stp>FPR=2022Y</stp>
        <stp>FPT=A</stp>
        <stp>FA_ACT_EST_DATA=E, EST_SOURCE=JMP</stp>
        <stp>ACT_EST_MAPPING=PRECISE</stp>
        <stp>FS=MRC</stp>
        <stp>CURRENCY=USD</stp>
        <stp>XLFILL=b</stp>
        <tr r="T30" s="2"/>
      </tp>
      <tp t="s">
        <v/>
        <stp/>
        <stp>##V3_BQLV12</stp>
        <stp>[MODL_CRM_US1.xlsx]Single Period!R191C45</stp>
        <stp>CRM US Equity</stp>
        <stp>CF_FREE_CASH_FLOW/1M</stp>
        <stp>FPR=2022Y</stp>
        <stp>FPT=A</stp>
        <stp>FA_ACT_EST_DATA=E, EST_SOURCE=ARG</stp>
        <stp>ACT_EST_MAPPING=PRECISE</stp>
        <stp>FS=MRC</stp>
        <stp>CURRENCY=USD</stp>
        <stp>XLFILL=b</stp>
        <tr r="AS191" s="2"/>
      </tp>
      <tp t="s">
        <v/>
        <stp/>
        <stp>##V3_BQLV12</stp>
        <stp>[MODL_CRM_US1.xlsx]Single Period!R141C49</stp>
        <stp>CRM US Equity</stp>
        <stp>BS_PURE_RETAINED_EARNINGS/1M</stp>
        <stp>FPR=2022Y</stp>
        <stp>FPT=A</stp>
        <stp>FA_ACT_EST_DATA=E, EST_SOURCE=SGE</stp>
        <stp>ACT_EST_MAPPING=PRECISE</stp>
        <stp>FS=MRC</stp>
        <stp>CURRENCY=USD</stp>
        <stp>XLFILL=b</stp>
        <tr r="AW141" s="2"/>
      </tp>
      <tp t="s">
        <v/>
        <stp/>
        <stp>##V3_BQLV12</stp>
        <stp>[MODL_CRM_US1.xlsx]Single Period!R111C40</stp>
        <stp>CRM US Equity</stp>
        <stp>BS_CASH_CASH_EQUIVALENTS_AND_STI/1M</stp>
        <stp>FPR=2022Y</stp>
        <stp>FPT=A</stp>
        <stp>FA_ACT_EST_DATA=E, EST_SOURCE=ACC</stp>
        <stp>ACT_EST_MAPPING=PRECISE</stp>
        <stp>FS=MRC</stp>
        <stp>CURRENCY=USD</stp>
        <stp>XLFILL=b</stp>
        <tr r="AN111" s="2"/>
      </tp>
      <tp t="s">
        <v/>
        <stp/>
        <stp>##V3_BQLV12</stp>
        <stp>[MODL_CRM_US1.xlsx]Single Period!R34C33</stp>
        <stp>SEG0000269227 Segment</stp>
        <stp>IS_COGS_TO_FE_AND_PP_AND_G/1M</stp>
        <stp>FPR=2022Y</stp>
        <stp>FPT=A</stp>
        <stp>FA_ACT_EST_DATA=E, EST_SOURCE=RHR</stp>
        <stp>ACT_EST_MAPPING=PRECISE</stp>
        <stp>FS=MRC</stp>
        <stp>CURRENCY=USD</stp>
        <stp>XLFILL=b</stp>
        <tr r="AG34" s="2"/>
      </tp>
      <tp>
        <v>0.2428383810366363</v>
        <stp/>
        <stp>##V3_BQLV12</stp>
        <stp>[MODL_CRM_US1.xlsx]Single Period!R17C8</stp>
        <stp>CRM US Equity</stp>
        <stp>CONTRIBUTOR_STATS(IS_COMP_GROSS_MARGIN_PERCENTAGE, STD)</stp>
        <stp>FPR=2022Y</stp>
        <stp>FPT=A</stp>
        <stp>FA_ACT_EST_DATA=E</stp>
        <stp>ACT_EST_MAPPING=PRECISE</stp>
        <stp>FS=MRC</stp>
        <stp>CURRENCY=USD</stp>
        <stp>XLFILL=b</stp>
        <tr r="H17" s="2"/>
      </tp>
      <tp>
        <v>0.2428383810366363</v>
        <stp/>
        <stp>##V3_BQLV12</stp>
        <stp>[MODL_CRM_US1.xlsx]Single Period!R56C8</stp>
        <stp>CRM US Equity</stp>
        <stp>CONTRIBUTOR_STATS(IS_COMP_GROSS_MARGIN_PERCENTAGE, STD)</stp>
        <stp>FPR=2022Y</stp>
        <stp>FPT=A</stp>
        <stp>FA_ACT_EST_DATA=E</stp>
        <stp>ACT_EST_MAPPING=PRECISE</stp>
        <stp>FS=MRC</stp>
        <stp>CURRENCY=USD</stp>
        <stp>XLFILL=b</stp>
        <tr r="H56" s="2"/>
      </tp>
      <tp t="s">
        <v/>
        <stp/>
        <stp>##V3_BQLV12</stp>
        <stp>[MODL_CRM_US1.xlsx]Single Period!R150C29</stp>
        <stp>CRM US Equity</stp>
        <stp>CURRENT_FUTURE_REV_UNDER_CONTRACT/1M</stp>
        <stp>FPR=2022Y</stp>
        <stp>FPT=A</stp>
        <stp>FA_ACT_EST_DATA=E, EST_SOURCE=BNS</stp>
        <stp>ACT_EST_MAPPING=PRECISE</stp>
        <stp>FS=MRC</stp>
        <stp>CURRENCY=USD</stp>
        <stp>XLFILL=b</stp>
        <tr r="AC150" s="2"/>
      </tp>
      <tp>
        <v>11192.494451247891</v>
        <stp/>
        <stp>##V3_BQLV12</stp>
        <stp>[MODL_CRM_US1.xlsx]Single Period!R111C26</stp>
        <stp>CRM US Equity</stp>
        <stp>BS_CASH_CASH_EQUIVALENTS_AND_STI/1M</stp>
        <stp>FPR=2022Y</stp>
        <stp>FPT=A</stp>
        <stp>FA_ACT_EST_DATA=E, EST_SOURCE=KEY</stp>
        <stp>ACT_EST_MAPPING=PRECISE</stp>
        <stp>FS=MRC</stp>
        <stp>CURRENCY=USD</stp>
        <stp>XLFILL=b</stp>
        <tr r="Z111" s="2"/>
      </tp>
      <tp t="s">
        <v/>
        <stp/>
        <stp>##V3_BQLV12</stp>
        <stp>[MODL_CRM_US1.xlsx]Single Period!R30C12</stp>
        <stp>SEG0000269238 Segment</stp>
        <stp>IS_COGS_TO_FE_AND_PP_AND_G/1M</stp>
        <stp>FPR=2022Y</stp>
        <stp>FPT=A</stp>
        <stp>FA_ACT_EST_DATA=E, EST_SOURCE=BMO</stp>
        <stp>ACT_EST_MAPPING=PRECISE</stp>
        <stp>FS=MRC</stp>
        <stp>CURRENCY=USD</stp>
        <stp>XLFILL=b</stp>
        <tr r="L30" s="2"/>
      </tp>
      <tp t="s">
        <v/>
        <stp/>
        <stp>##V3_BQLV12</stp>
        <stp>[MODL_CRM_US1.xlsx]Single Period!R164C35</stp>
        <stp>CRM US Equity</stp>
        <stp>CHG_IN_ACCT_PYBL_AND_ACC_EXPNSS/1M</stp>
        <stp>FPR=2022Y</stp>
        <stp>FPT=A</stp>
        <stp>FA_ACT_EST_DATA=E, EST_SOURCE=ATL</stp>
        <stp>ACT_EST_MAPPING=PRECISE</stp>
        <stp>FS=MRC</stp>
        <stp>CURRENCY=USD</stp>
        <stp>XLFILL=b</stp>
        <tr r="AI164" s="2"/>
      </tp>
      <tp t="s">
        <v/>
        <stp/>
        <stp>##V3_BQLV12</stp>
        <stp>[MODL_CRM_US1.xlsx]Single Period!R164C46</stp>
        <stp>CRM US Equity</stp>
        <stp>CHG_IN_ACCT_PYBL_AND_ACC_EXPNSS/1M</stp>
        <stp>FPR=2022Y</stp>
        <stp>FPT=A</stp>
        <stp>FA_ACT_EST_DATA=E, EST_SOURCE=CTI</stp>
        <stp>ACT_EST_MAPPING=PRECISE</stp>
        <stp>FS=MRC</stp>
        <stp>CURRENCY=USD</stp>
        <stp>XLFILL=b</stp>
        <tr r="AT164" s="2"/>
      </tp>
      <tp t="s">
        <v/>
        <stp/>
        <stp>##V3_BQLV12</stp>
        <stp>[MODL_CRM_US1.xlsx]Single Period!R184C50</stp>
        <stp>CRM US Equity</stp>
        <stp>CFO_TO_SALES</stp>
        <stp>FPR=2022Y</stp>
        <stp>FPT=A</stp>
        <stp>FA_ACT_EST_DATA=E, EST_SOURCE=MZS</stp>
        <stp>ACT_EST_MAPPING=PRECISE</stp>
        <stp>FS=MRC</stp>
        <stp>CURRENCY=USD</stp>
        <stp>XLFILL=b</stp>
        <tr r="AX184" s="2"/>
      </tp>
      <tp t="s">
        <v/>
        <stp/>
        <stp>##V3_BQLV12</stp>
        <stp>[MODL_CRM_US1.xlsx]Single Period!R103C40</stp>
        <stp>CRM US Equity</stp>
        <stp>IS_SBC_ATT_TO_GENL_AND_ADMIN_PRETX/1M</stp>
        <stp>FPR=2022Y</stp>
        <stp>FPT=A</stp>
        <stp>FA_ACT_EST_DATA=E, EST_SOURCE=ACC</stp>
        <stp>ACT_EST_MAPPING=PRECISE</stp>
        <stp>FS=MRC</stp>
        <stp>CURRENCY=USD</stp>
        <stp>XLFILL=b</stp>
        <tr r="AN103" s="2"/>
      </tp>
      <tp t="s">
        <v/>
        <stp/>
        <stp>##V3_BQLV12</stp>
        <stp>[MODL_CRM_US1.xlsx]Single Period!R113C22</stp>
        <stp>CRM US Equity</stp>
        <stp>BS_MKT_SEC_OTHER_ST_INVEST/1M</stp>
        <stp>FPR=2022Y</stp>
        <stp>FPT=A</stp>
        <stp>FA_ACT_EST_DATA=E, EST_SOURCE=OPY</stp>
        <stp>ACT_EST_MAPPING=PRECISE</stp>
        <stp>FS=MRC</stp>
        <stp>CURRENCY=USD</stp>
        <stp>XLFILL=b</stp>
        <tr r="V113" s="2"/>
      </tp>
      <tp t="s">
        <v/>
        <stp/>
        <stp>##V3_BQLV12</stp>
        <stp>[MODL_CRM_US1.xlsx]Single Period!R103C19</stp>
        <stp>CRM US Equity</stp>
        <stp>IS_SBC_ATT_TO_GENL_AND_ADMIN_PRETX/1M</stp>
        <stp>FPR=2022Y</stp>
        <stp>FPT=A</stp>
        <stp>FA_ACT_EST_DATA=E, EST_SOURCE=SCB</stp>
        <stp>ACT_EST_MAPPING=PRECISE</stp>
        <stp>FS=MRC</stp>
        <stp>CURRENCY=USD</stp>
        <stp>XLFILL=b</stp>
        <tr r="S103" s="2"/>
      </tp>
      <tp>
        <v>388</v>
        <stp/>
        <stp>##V3_BQLV12</stp>
        <stp>[MODL_CRM_US1.xlsx]Single Period!R103C13</stp>
        <stp>CRM US Equity</stp>
        <stp>IS_SBC_ATT_TO_GENL_AND_ADMIN_PRETX/1M</stp>
        <stp>FPR=2022Y</stp>
        <stp>FPT=A</stp>
        <stp>FA_ACT_EST_DATA=E, EST_SOURCE=BCA</stp>
        <stp>ACT_EST_MAPPING=PRECISE</stp>
        <stp>FS=MRC</stp>
        <stp>CURRENCY=USD</stp>
        <stp>XLFILL=b</stp>
        <tr r="M103" s="2"/>
      </tp>
      <tp>
        <v>10591</v>
        <stp/>
        <stp>##V3_BQLV12</stp>
        <stp>[MODL_CRM_US1.xlsx]Single Period!R145C17</stp>
        <stp>CRM US Equity</stp>
        <stp>CB_BS_LT_BORROWING/1M</stp>
        <stp>FPR=2022Y</stp>
        <stp>FPT=A</stp>
        <stp>FA_ACT_EST_DATA=E, EST_SOURCE=NDH</stp>
        <stp>ACT_EST_MAPPING=PRECISE</stp>
        <stp>FS=MRC</stp>
        <stp>CURRENCY=USD</stp>
        <stp>XLFILL=b</stp>
        <tr r="Q145" s="2"/>
      </tp>
      <tp>
        <v>2731.46065</v>
        <stp/>
        <stp>##V3_BQLV12</stp>
        <stp>[MODL_CRM_US1.xlsx]Single Period!R118C15</stp>
        <stp>CRM US Equity</stp>
        <stp>CB_BS_PP_AND_E_NET/1M</stp>
        <stp>FPR=2022Y</stp>
        <stp>FPT=A</stp>
        <stp>FA_ACT_EST_DATA=E, EST_SOURCE=MSV</stp>
        <stp>ACT_EST_MAPPING=PRECISE</stp>
        <stp>FS=MRC</stp>
        <stp>CURRENCY=USD</stp>
        <stp>XLFILL=b</stp>
        <tr r="O118" s="2"/>
      </tp>
      <tp t="s">
        <v/>
        <stp/>
        <stp>##V3_BQLV12</stp>
        <stp>[MODL_CRM_US1.xlsx]Single Period!R80C25</stp>
        <stp>CRM US Equity</stp>
        <stp>GROSS_MARGIN</stp>
        <stp>FPR=2022Y</stp>
        <stp>FPT=A</stp>
        <stp>FA_ACT_EST_DATA=E, EST_SOURCE=WMS</stp>
        <stp>ACT_EST_MAPPING=PRECISE</stp>
        <stp>FS=MRC</stp>
        <stp>CURRENCY=USD</stp>
        <stp>XLFILL=b</stp>
        <tr r="Y80" s="2"/>
      </tp>
      <tp t="s">
        <v/>
        <stp/>
        <stp>##V3_BQLV12</stp>
        <stp>[MODL_CRM_US1.xlsx]Single Period!R118C41</stp>
        <stp>CRM US Equity</stp>
        <stp>CB_BS_PP_AND_E_NET/1M</stp>
        <stp>FPR=2022Y</stp>
        <stp>FPT=A</stp>
        <stp>FA_ACT_EST_DATA=E, EST_SOURCE=GSR</stp>
        <stp>ACT_EST_MAPPING=PRECISE</stp>
        <stp>FS=MRC</stp>
        <stp>CURRENCY=USD</stp>
        <stp>XLFILL=b</stp>
        <tr r="AO118" s="2"/>
      </tp>
      <tp t="s">
        <v/>
        <stp/>
        <stp>##V3_BQLV12</stp>
        <stp>[MODL_CRM_US1.xlsx]Single Period!R118C38</stp>
        <stp>CRM US Equity</stp>
        <stp>CB_BS_PP_AND_E_NET/1M</stp>
        <stp>FPR=2022Y</stp>
        <stp>FPT=A</stp>
        <stp>FA_ACT_EST_DATA=E, EST_SOURCE=MSR</stp>
        <stp>ACT_EST_MAPPING=PRECISE</stp>
        <stp>FS=MRC</stp>
        <stp>CURRENCY=USD</stp>
        <stp>XLFILL=b</stp>
        <tr r="AL118" s="2"/>
      </tp>
      <tp t="s">
        <v/>
        <stp/>
        <stp>##V3_BQLV12</stp>
        <stp>[MODL_CRM_US1.xlsx]Single Period!R115C22</stp>
        <stp>CRM US Equity</stp>
        <stp>CB_BS_OTHER_CURRENT_ASSETS/1M</stp>
        <stp>FPR=2022Y</stp>
        <stp>FPT=A</stp>
        <stp>FA_ACT_EST_DATA=E, EST_SOURCE=OPY</stp>
        <stp>ACT_EST_MAPPING=PRECISE</stp>
        <stp>FS=MRC</stp>
        <stp>CURRENCY=USD</stp>
        <stp>XLFILL=b</stp>
        <tr r="V115" s="2"/>
      </tp>
      <tp t="s">
        <v/>
        <stp/>
        <stp>##V3_BQLV12</stp>
        <stp>[MODL_CRM_US1.xlsx]Single Period!R103C27</stp>
        <stp>CRM US Equity</stp>
        <stp>IS_SBC_ATT_TO_GENL_AND_ADMIN_PRETX/1M</stp>
        <stp>FPR=2022Y</stp>
        <stp>FPT=A</stp>
        <stp>FA_ACT_EST_DATA=E, EST_SOURCE=LCM</stp>
        <stp>ACT_EST_MAPPING=PRECISE</stp>
        <stp>FS=MRC</stp>
        <stp>CURRENCY=USD</stp>
        <stp>XLFILL=b</stp>
        <tr r="AA103" s="2"/>
      </tp>
      <tp t="s">
        <v/>
        <stp/>
        <stp>##V3_BQLV12</stp>
        <stp>[MODL_CRM_US1.xlsx]Single Period!R103C51</stp>
        <stp>CRM US Equity</stp>
        <stp>IS_SBC_ATT_TO_GENL_AND_ADMIN_PRETX/1M</stp>
        <stp>FPR=2022Y</stp>
        <stp>FPT=A</stp>
        <stp>FA_ACT_EST_DATA=E, EST_SOURCE=RCP</stp>
        <stp>ACT_EST_MAPPING=PRECISE</stp>
        <stp>FS=MRC</stp>
        <stp>CURRENCY=USD</stp>
        <stp>XLFILL=b</stp>
        <tr r="AY103" s="2"/>
      </tp>
      <tp t="s">
        <v/>
        <stp/>
        <stp>##V3_BQLV12</stp>
        <stp>[MODL_CRM_US1.xlsx]Single Period!R113C23</stp>
        <stp>CRM US Equity</stp>
        <stp>BS_MKT_SEC_OTHER_ST_INVEST/1M</stp>
        <stp>FPR=2022Y</stp>
        <stp>FPT=A</stp>
        <stp>FA_ACT_EST_DATA=E, EST_SOURCE=JPM</stp>
        <stp>ACT_EST_MAPPING=PRECISE</stp>
        <stp>FS=MRC</stp>
        <stp>CURRENCY=USD</stp>
        <stp>XLFILL=b</stp>
        <tr r="W113" s="2"/>
      </tp>
      <tp t="s">
        <v/>
        <stp/>
        <stp>##V3_BQLV12</stp>
        <stp>[MODL_CRM_US1.xlsx]Single Period!R118C42</stp>
        <stp>CRM US Equity</stp>
        <stp>CB_BS_PP_AND_E_NET/1M</stp>
        <stp>FPR=2022Y</stp>
        <stp>FPT=A</stp>
        <stp>FA_ACT_EST_DATA=E, EST_SOURCE=PSG</stp>
        <stp>ACT_EST_MAPPING=PRECISE</stp>
        <stp>FS=MRC</stp>
        <stp>CURRENCY=USD</stp>
        <stp>XLFILL=b</stp>
        <tr r="AP118" s="2"/>
      </tp>
      <tp t="s">
        <v/>
        <stp/>
        <stp>##V3_BQLV12</stp>
        <stp>[MODL_CRM_US1.xlsx]Single Period!R61C50</stp>
        <stp>CRM US Equity</stp>
        <stp>ADJ_OPERATING_MARGIN</stp>
        <stp>FPR=2022Y</stp>
        <stp>FPT=A</stp>
        <stp>FA_ACT_EST_DATA=E, EST_SOURCE=MZS</stp>
        <stp>ACT_EST_MAPPING=PRECISE</stp>
        <stp>FS=MRC</stp>
        <stp>CURRENCY=USD</stp>
        <stp>XLFILL=b</stp>
        <tr r="AX61" s="2"/>
      </tp>
      <tp t="s">
        <v/>
        <stp/>
        <stp>##V3_BQLV12</stp>
        <stp>[MODL_CRM_US1.xlsx]Single Period!R115C23</stp>
        <stp>CRM US Equity</stp>
        <stp>CB_BS_OTHER_CURRENT_ASSETS/1M</stp>
        <stp>FPR=2022Y</stp>
        <stp>FPT=A</stp>
        <stp>FA_ACT_EST_DATA=E, EST_SOURCE=JPM</stp>
        <stp>ACT_EST_MAPPING=PRECISE</stp>
        <stp>FS=MRC</stp>
        <stp>CURRENCY=USD</stp>
        <stp>XLFILL=b</stp>
        <tr r="W115" s="2"/>
      </tp>
      <tp t="s">
        <v/>
        <stp/>
        <stp>##V3_BQLV12</stp>
        <stp>[MODL_CRM_US1.xlsx]Single Period!R158C45</stp>
        <stp>CRM US Equity</stp>
        <stp>IS_SBC_NON_GAAP/1M</stp>
        <stp>FPR=2022Y</stp>
        <stp>FPT=A</stp>
        <stp>FA_ACT_EST_DATA=E, EST_SOURCE=ARG</stp>
        <stp>ACT_EST_MAPPING=PRECISE</stp>
        <stp>FS=MRC</stp>
        <stp>CURRENCY=USD</stp>
        <stp>XLFILL=b</stp>
        <tr r="AS158" s="2"/>
      </tp>
      <tp t="s">
        <v/>
        <stp/>
        <stp>##V3_BQLV12</stp>
        <stp>[MODL_CRM_US1.xlsx]Single Period!R158C54</stp>
        <stp>CRM US Equity</stp>
        <stp>IS_SBC_NON_GAAP/1M</stp>
        <stp>FPR=2022Y</stp>
        <stp>FPT=A</stp>
        <stp>FA_ACT_EST_DATA=E, EST_SOURCE=ARE</stp>
        <stp>ACT_EST_MAPPING=PRECISE</stp>
        <stp>FS=MRC</stp>
        <stp>CURRENCY=USD</stp>
        <stp>XLFILL=b</stp>
        <tr r="BB158" s="2"/>
      </tp>
      <tp t="s">
        <v/>
        <stp/>
        <stp>##V3_BQLV12</stp>
        <stp>[MODL_CRM_US1.xlsx]Single Period!R159C49</stp>
        <stp>CRM US Equity</stp>
        <stp>SBC_NON_GAAP_TO_SALES</stp>
        <stp>FPR=2022Y</stp>
        <stp>FPT=A</stp>
        <stp>FA_ACT_EST_DATA=E, EST_SOURCE=SGE</stp>
        <stp>ACT_EST_MAPPING=PRECISE</stp>
        <stp>FS=MRC</stp>
        <stp>CURRENCY=USD</stp>
        <stp>XLFILL=b</stp>
        <tr r="AW159" s="2"/>
      </tp>
      <tp t="s">
        <v/>
        <stp/>
        <stp>##V3_BQLV12</stp>
        <stp>[MODL_CRM_US1.xlsx]Single Period!R86C36</stp>
        <stp>CRM US Equity</stp>
        <stp>IS_GENERAL_AND_ADMIN_GAAP/1M</stp>
        <stp>FPR=2022Y</stp>
        <stp>FPT=A</stp>
        <stp>FA_ACT_EST_DATA=E, EST_SOURCE=MAC</stp>
        <stp>ACT_EST_MAPPING=PRECISE</stp>
        <stp>FS=MRC</stp>
        <stp>CURRENCY=USD</stp>
        <stp>XLFILL=b</stp>
        <tr r="AJ86" s="2"/>
      </tp>
      <tp t="s">
        <v/>
        <stp/>
        <stp>##V3_BQLV12</stp>
        <stp>[MODL_CRM_US1.xlsx]Single Period!R138C44</stp>
        <stp>CRM US Equity</stp>
        <stp>BS_COMMON_STOCK/1M</stp>
        <stp>FPR=2022Y</stp>
        <stp>FPT=A</stp>
        <stp>FA_ACT_EST_DATA=E, EST_SOURCE=RWB</stp>
        <stp>ACT_EST_MAPPING=PRECISE</stp>
        <stp>FS=MRC</stp>
        <stp>CURRENCY=USD</stp>
        <stp>XLFILL=b</stp>
        <tr r="AR138" s="2"/>
      </tp>
      <tp t="s">
        <v/>
        <stp/>
        <stp>##V3_BQLV12</stp>
        <stp>[MODL_CRM_US1.xlsx]Single Period!R13C32</stp>
        <stp>CRM US Equity</stp>
        <stp>CURRENT_FUTURE_REV_UNDER_CONTRACT/1M</stp>
        <stp>FPR=2022Y</stp>
        <stp>FPT=A</stp>
        <stp>FA_ACT_EST_DATA=E, EST_SOURCE=UBS</stp>
        <stp>ACT_EST_MAPPING=PRECISE</stp>
        <stp>FS=MRC</stp>
        <stp>CURRENCY=USD</stp>
        <stp>XLFILL=b</stp>
        <tr r="AF13" s="2"/>
      </tp>
      <tp t="s">
        <v/>
        <stp/>
        <stp>##V3_BQLV12</stp>
        <stp>[MODL_CRM_US1.xlsx]Single Period!R159C39</stp>
        <stp>CRM US Equity</stp>
        <stp>SBC_NON_GAAP_TO_SALES</stp>
        <stp>FPR=2022Y</stp>
        <stp>FPT=A</stp>
        <stp>FA_ACT_EST_DATA=E, EST_SOURCE=KGI</stp>
        <stp>ACT_EST_MAPPING=PRECISE</stp>
        <stp>FS=MRC</stp>
        <stp>CURRENCY=USD</stp>
        <stp>XLFILL=b</stp>
        <tr r="AM159" s="2"/>
      </tp>
      <tp t="s">
        <v/>
        <stp/>
        <stp>##V3_BQLV12</stp>
        <stp>[MODL_CRM_US1.xlsx]Single Period!R138C43</stp>
        <stp>CRM US Equity</stp>
        <stp>BS_COMMON_STOCK/1M</stp>
        <stp>FPR=2022Y</stp>
        <stp>FPT=A</stp>
        <stp>FA_ACT_EST_DATA=E, EST_SOURCE=DWI</stp>
        <stp>ACT_EST_MAPPING=PRECISE</stp>
        <stp>FS=MRC</stp>
        <stp>CURRENCY=USD</stp>
        <stp>XLFILL=b</stp>
        <tr r="AQ138" s="2"/>
      </tp>
      <tp t="s">
        <v/>
        <stp/>
        <stp>##V3_BQLV12</stp>
        <stp>[MODL_CRM_US1.xlsx]Single Period!R138C28</stp>
        <stp>CRM US Equity</stp>
        <stp>BS_COMMON_STOCK/1M</stp>
        <stp>FPR=2022Y</stp>
        <stp>FPT=A</stp>
        <stp>FA_ACT_EST_DATA=E, EST_SOURCE=CWN</stp>
        <stp>ACT_EST_MAPPING=PRECISE</stp>
        <stp>FS=MRC</stp>
        <stp>CURRENCY=USD</stp>
        <stp>XLFILL=b</stp>
        <tr r="AB138" s="2"/>
      </tp>
      <tp t="s">
        <v/>
        <stp/>
        <stp>##V3_BQLV12</stp>
        <stp>[MODL_CRM_US1.xlsx]Single Period!R178C37</stp>
        <stp>CRM US Equity</stp>
        <stp>CB_CF_REPAYMENT_LT_DEBT/1M</stp>
        <stp>FPR=2022Y</stp>
        <stp>FPT=A</stp>
        <stp>FA_ACT_EST_DATA=E, EST_SOURCE=EVR</stp>
        <stp>ACT_EST_MAPPING=PRECISE</stp>
        <stp>FS=MRC</stp>
        <stp>CURRENCY=USD</stp>
        <stp>XLFILL=b</stp>
        <tr r="AK178" s="2"/>
      </tp>
      <tp t="s">
        <v/>
        <stp/>
        <stp>##V3_BQLV12</stp>
        <stp>[MODL_CRM_US1.xlsx]Single Period!R13C55</stp>
        <stp>CRM US Equity</stp>
        <stp>CURRENT_FUTURE_REV_UNDER_CONTRACT/1M</stp>
        <stp>FPR=2022Y</stp>
        <stp>FPT=A</stp>
        <stp>FA_ACT_EST_DATA=E, EST_SOURCE=RED</stp>
        <stp>ACT_EST_MAPPING=PRECISE</stp>
        <stp>FS=MRC</stp>
        <stp>CURRENCY=USD</stp>
        <stp>XLFILL=b</stp>
        <tr r="BC13" s="2"/>
      </tp>
      <tp t="s">
        <v/>
        <stp/>
        <stp>##V3_BQLV12</stp>
        <stp>[MODL_CRM_US1.xlsx]Single Period!R86C29</stp>
        <stp>CRM US Equity</stp>
        <stp>IS_GENERAL_AND_ADMIN_GAAP/1M</stp>
        <stp>FPR=2022Y</stp>
        <stp>FPT=A</stp>
        <stp>FA_ACT_EST_DATA=E, EST_SOURCE=BNS</stp>
        <stp>ACT_EST_MAPPING=PRECISE</stp>
        <stp>FS=MRC</stp>
        <stp>CURRENCY=USD</stp>
        <stp>XLFILL=b</stp>
        <tr r="AC86" s="2"/>
      </tp>
      <tp>
        <v>21420</v>
        <stp/>
        <stp>##V3_BQLV12</stp>
        <stp>[MODL_CRM_US1.xlsx]Single Period!R13C13</stp>
        <stp>CRM US Equity</stp>
        <stp>CURRENT_FUTURE_REV_UNDER_CONTRACT/1M</stp>
        <stp>FPR=2022Y</stp>
        <stp>FPT=A</stp>
        <stp>FA_ACT_EST_DATA=E, EST_SOURCE=BCA</stp>
        <stp>ACT_EST_MAPPING=PRECISE</stp>
        <stp>FS=MRC</stp>
        <stp>CURRENCY=USD</stp>
        <stp>XLFILL=b</stp>
        <tr r="M13" s="2"/>
      </tp>
      <tp>
        <v>1237</v>
        <stp/>
        <stp>##V3_BQLV12</stp>
        <stp>[MODL_CRM_US1.xlsx]Single Period!R155C21</stp>
        <stp>CRM US Equity</stp>
        <stp>IS_COMP_NET_INCOME_GAAP/1M</stp>
        <stp>FPR=2022Y</stp>
        <stp>FPT=A</stp>
        <stp>FA_ACT_EST_DATA=E, EST_SOURCE=RJA</stp>
        <stp>ACT_EST_MAPPING=PRECISE</stp>
        <stp>FS=MRC</stp>
        <stp>CURRENCY=USD</stp>
        <stp>XLFILL=b</stp>
        <tr r="U155" s="2"/>
      </tp>
      <tp t="s">
        <v/>
        <stp/>
        <stp>##V3_BQLV12</stp>
        <stp>[MODL_CRM_US1.xlsx]Single Period!R155C48</stp>
        <stp>CRM US Equity</stp>
        <stp>IS_COMP_NET_INCOME_GAAP/1M</stp>
        <stp>FPR=2022Y</stp>
        <stp>FPT=A</stp>
        <stp>FA_ACT_EST_DATA=E, EST_SOURCE=PJE</stp>
        <stp>ACT_EST_MAPPING=PRECISE</stp>
        <stp>FS=MRC</stp>
        <stp>CURRENCY=USD</stp>
        <stp>XLFILL=b</stp>
        <tr r="AV155" s="2"/>
      </tp>
      <tp t="s">
        <v/>
        <stp/>
        <stp>##V3_BQLV12</stp>
        <stp>[MODL_CRM_US1.xlsx]Single Period!R53C46</stp>
        <stp>CRM US Equity</stp>
        <stp>REVENUE_GROWTH_CC_1_YR</stp>
        <stp>FPR=2022Y</stp>
        <stp>FPT=A</stp>
        <stp>FA_ACT_EST_DATA=E, EST_SOURCE=CTI</stp>
        <stp>ACT_EST_MAPPING=PRECISE</stp>
        <stp>FS=MRC</stp>
        <stp>CURRENCY=USD</stp>
        <stp>XLFILL=b</stp>
        <tr r="AT53" s="2"/>
      </tp>
      <tp t="s">
        <v/>
        <stp/>
        <stp>##V3_BQLV12</stp>
        <stp>[MODL_CRM_US1.xlsx]Single Period!R53C35</stp>
        <stp>CRM US Equity</stp>
        <stp>REVENUE_GROWTH_CC_1_YR</stp>
        <stp>FPR=2022Y</stp>
        <stp>FPT=A</stp>
        <stp>FA_ACT_EST_DATA=E, EST_SOURCE=ATL</stp>
        <stp>ACT_EST_MAPPING=PRECISE</stp>
        <stp>FS=MRC</stp>
        <stp>CURRENCY=USD</stp>
        <stp>XLFILL=b</stp>
        <tr r="AI53" s="2"/>
      </tp>
      <tp t="s">
        <v/>
        <stp/>
        <stp>##V3_BQLV12</stp>
        <stp>[MODL_CRM_US1.xlsx]Single Period!R157C37</stp>
        <stp>CRM US Equity</stp>
        <stp>CF_AMORTIZATN_OF_DEFRRD_COMPNSTN/1M</stp>
        <stp>FPR=2022Y</stp>
        <stp>FPT=A</stp>
        <stp>FA_ACT_EST_DATA=E, EST_SOURCE=EVR</stp>
        <stp>ACT_EST_MAPPING=PRECISE</stp>
        <stp>FS=MRC</stp>
        <stp>CURRENCY=USD</stp>
        <stp>XLFILL=b</stp>
        <tr r="AK157" s="2"/>
      </tp>
      <tp>
        <v>22118</v>
        <stp/>
        <stp>##V3_BQLV12</stp>
        <stp>[MODL_CRM_US1.xlsx]Single Period!R150C24</stp>
        <stp>CRM US Equity</stp>
        <stp>CURRENT_FUTURE_REV_UNDER_CONTRACT/1M</stp>
        <stp>FPR=2022Y</stp>
        <stp>FPT=A</stp>
        <stp>FA_ACT_EST_DATA=E, EST_SOURCE=FBC</stp>
        <stp>ACT_EST_MAPPING=PRECISE</stp>
        <stp>FS=MRC</stp>
        <stp>CURRENCY=USD</stp>
        <stp>XLFILL=b</stp>
        <tr r="X150" s="2"/>
      </tp>
      <tp t="s">
        <v/>
        <stp/>
        <stp>##V3_BQLV12</stp>
        <stp>[MODL_CRM_US1.xlsx]Single Period!R141C12</stp>
        <stp>CRM US Equity</stp>
        <stp>BS_PURE_RETAINED_EARNINGS/1M</stp>
        <stp>FPR=2022Y</stp>
        <stp>FPT=A</stp>
        <stp>FA_ACT_EST_DATA=E, EST_SOURCE=BMO</stp>
        <stp>ACT_EST_MAPPING=PRECISE</stp>
        <stp>FS=MRC</stp>
        <stp>CURRENCY=USD</stp>
        <stp>XLFILL=b</stp>
        <tr r="L141" s="2"/>
      </tp>
      <tp t="s">
        <v/>
        <stp/>
        <stp>##V3_BQLV12</stp>
        <stp>[MODL_CRM_US1.xlsx]Single Period!R111C34</stp>
        <stp>CRM US Equity</stp>
        <stp>BS_CASH_CASH_EQUIVALENTS_AND_STI/1M</stp>
        <stp>FPR=2022Y</stp>
        <stp>FPT=A</stp>
        <stp>FA_ACT_EST_DATA=E, EST_SOURCE=JEF</stp>
        <stp>ACT_EST_MAPPING=PRECISE</stp>
        <stp>FS=MRC</stp>
        <stp>CURRENCY=USD</stp>
        <stp>XLFILL=b</stp>
        <tr r="AH111" s="2"/>
      </tp>
      <tp t="s">
        <v/>
        <stp/>
        <stp>##V3_BQLV12</stp>
        <stp>[MODL_CRM_US1.xlsx]Single Period!R34C56</stp>
        <stp>SEG0000269227 Segment</stp>
        <stp>IS_COGS_TO_FE_AND_PP_AND_G/1M</stp>
        <stp>FPR=2022Y</stp>
        <stp>FPT=A</stp>
        <stp>FA_ACT_EST_DATA=E, EST_SOURCE=DIR</stp>
        <stp>ACT_EST_MAPPING=PRECISE</stp>
        <stp>FS=MRC</stp>
        <stp>CURRENCY=USD</stp>
        <stp>XLFILL=b</stp>
        <tr r="BD34" s="2"/>
      </tp>
      <tp t="s">
        <v/>
        <stp/>
        <stp>##V3_BQLV12</stp>
        <stp>[MODL_CRM_US1.xlsx]Single Period!R191C54</stp>
        <stp>CRM US Equity</stp>
        <stp>CF_FREE_CASH_FLOW/1M</stp>
        <stp>FPR=2022Y</stp>
        <stp>FPT=A</stp>
        <stp>FA_ACT_EST_DATA=E, EST_SOURCE=ARE</stp>
        <stp>ACT_EST_MAPPING=PRECISE</stp>
        <stp>FS=MRC</stp>
        <stp>CURRENCY=USD</stp>
        <stp>XLFILL=b</stp>
        <tr r="BB191" s="2"/>
      </tp>
      <tp t="s">
        <v/>
        <stp/>
        <stp>##V3_BQLV12</stp>
        <stp>[MODL_CRM_US1.xlsx]Single Period!R177C33</stp>
        <stp>CRM US Equity</stp>
        <stp>CB_CF_OTHER_FINANCING_ACTIVITIES/1M</stp>
        <stp>FPR=2022Y</stp>
        <stp>FPT=A</stp>
        <stp>FA_ACT_EST_DATA=E, EST_SOURCE=RHR</stp>
        <stp>ACT_EST_MAPPING=PRECISE</stp>
        <stp>FS=MRC</stp>
        <stp>CURRENCY=USD</stp>
        <stp>XLFILL=b</stp>
        <tr r="AG177" s="2"/>
      </tp>
      <tp t="s">
        <v/>
        <stp/>
        <stp>##V3_BQLV12</stp>
        <stp>[MODL_CRM_US1.xlsx]Single Period!R170C44</stp>
        <stp>CRM US Equity</stp>
        <stp>CF_CASH_FOR_ACQUIS_SUBSIDIARIES/1M</stp>
        <stp>FPR=2022Y</stp>
        <stp>FPT=A</stp>
        <stp>FA_ACT_EST_DATA=E, EST_SOURCE=RWB</stp>
        <stp>ACT_EST_MAPPING=PRECISE</stp>
        <stp>FS=MRC</stp>
        <stp>CURRENCY=USD</stp>
        <stp>XLFILL=b</stp>
        <tr r="AR170" s="2"/>
      </tp>
      <tp t="s">
        <v/>
        <stp/>
        <stp>##V3_BQLV12</stp>
        <stp>[MODL_CRM_US1.xlsx]Single Period!R157C28</stp>
        <stp>CRM US Equity</stp>
        <stp>CF_AMORTIZATN_OF_DEFRRD_COMPNSTN/1M</stp>
        <stp>FPR=2022Y</stp>
        <stp>FPT=A</stp>
        <stp>FA_ACT_EST_DATA=E, EST_SOURCE=CWN</stp>
        <stp>ACT_EST_MAPPING=PRECISE</stp>
        <stp>FS=MRC</stp>
        <stp>CURRENCY=USD</stp>
        <stp>XLFILL=b</stp>
        <tr r="AB157" s="2"/>
      </tp>
      <tp t="s">
        <v/>
        <stp/>
        <stp>##V3_BQLV12</stp>
        <stp>[MODL_CRM_US1.xlsx]Single Period!R34C53</stp>
        <stp>SEG0000269227 Segment</stp>
        <stp>IS_COGS_TO_FE_AND_PP_AND_G/1M</stp>
        <stp>FPR=2022Y</stp>
        <stp>FPT=A</stp>
        <stp>FA_ACT_EST_DATA=E, EST_SOURCE=NIK</stp>
        <stp>ACT_EST_MAPPING=PRECISE</stp>
        <stp>FS=MRC</stp>
        <stp>CURRENCY=USD</stp>
        <stp>XLFILL=b</stp>
        <tr r="BA34" s="2"/>
      </tp>
      <tp t="s">
        <v/>
        <stp/>
        <stp>##V3_BQLV12</stp>
        <stp>[MODL_CRM_US1.xlsx]Single Period!R171C50</stp>
        <stp>CRM US Equity</stp>
        <stp>CF_PURCHASE_OF_FIXED_PROD_ASSETS/1M</stp>
        <stp>FPR=2022Y</stp>
        <stp>FPT=A</stp>
        <stp>FA_ACT_EST_DATA=E, EST_SOURCE=MZS</stp>
        <stp>ACT_EST_MAPPING=PRECISE</stp>
        <stp>FS=MRC</stp>
        <stp>CURRENCY=USD</stp>
        <stp>XLFILL=b</stp>
        <tr r="AX171" s="2"/>
      </tp>
      <tp t="s">
        <v/>
        <stp/>
        <stp>##V3_BQLV12</stp>
        <stp>[MODL_CRM_US1.xlsx]Single Period!R176C43</stp>
        <stp>CRM US Equity</stp>
        <stp>CF_INCR_CAP_STOCK/1M</stp>
        <stp>FPR=2022Y</stp>
        <stp>FPT=A</stp>
        <stp>FA_ACT_EST_DATA=E, EST_SOURCE=DWI</stp>
        <stp>ACT_EST_MAPPING=PRECISE</stp>
        <stp>FS=MRC</stp>
        <stp>CURRENCY=USD</stp>
        <stp>XLFILL=b</stp>
        <tr r="AQ176" s="2"/>
      </tp>
      <tp>
        <v>7825.6163687503113</v>
        <stp/>
        <stp>##V3_BQLV12</stp>
        <stp>[MODL_CRM_US1.xlsx]Single Period!R191C15</stp>
        <stp>CRM US Equity</stp>
        <stp>CF_FREE_CASH_FLOW/1M</stp>
        <stp>FPR=2022Y</stp>
        <stp>FPT=A</stp>
        <stp>FA_ACT_EST_DATA=E, EST_SOURCE=MSV</stp>
        <stp>ACT_EST_MAPPING=PRECISE</stp>
        <stp>FS=MRC</stp>
        <stp>CURRENCY=USD</stp>
        <stp>XLFILL=b</stp>
        <tr r="O191" s="2"/>
      </tp>
      <tp t="s">
        <v/>
        <stp/>
        <stp>##V3_BQLV12</stp>
        <stp>[MODL_CRM_US1.xlsx]Single Period!R170C43</stp>
        <stp>CRM US Equity</stp>
        <stp>CF_CASH_FOR_ACQUIS_SUBSIDIARIES/1M</stp>
        <stp>FPR=2022Y</stp>
        <stp>FPT=A</stp>
        <stp>FA_ACT_EST_DATA=E, EST_SOURCE=DWI</stp>
        <stp>ACT_EST_MAPPING=PRECISE</stp>
        <stp>FS=MRC</stp>
        <stp>CURRENCY=USD</stp>
        <stp>XLFILL=b</stp>
        <tr r="AQ170" s="2"/>
      </tp>
      <tp t="s">
        <v/>
        <stp/>
        <stp>##V3_BQLV12</stp>
        <stp>[MODL_CRM_US1.xlsx]Single Period!R170C28</stp>
        <stp>CRM US Equity</stp>
        <stp>CF_CASH_FOR_ACQUIS_SUBSIDIARIES/1M</stp>
        <stp>FPR=2022Y</stp>
        <stp>FPT=A</stp>
        <stp>FA_ACT_EST_DATA=E, EST_SOURCE=CWN</stp>
        <stp>ACT_EST_MAPPING=PRECISE</stp>
        <stp>FS=MRC</stp>
        <stp>CURRENCY=USD</stp>
        <stp>XLFILL=b</stp>
        <tr r="AB170" s="2"/>
      </tp>
      <tp t="s">
        <v/>
        <stp/>
        <stp>##V3_BQLV12</stp>
        <stp>[MODL_CRM_US1.xlsx]Single Period!R111C51</stp>
        <stp>CRM US Equity</stp>
        <stp>BS_CASH_CASH_EQUIVALENTS_AND_STI/1M</stp>
        <stp>FPR=2022Y</stp>
        <stp>FPT=A</stp>
        <stp>FA_ACT_EST_DATA=E, EST_SOURCE=RCP</stp>
        <stp>ACT_EST_MAPPING=PRECISE</stp>
        <stp>FS=MRC</stp>
        <stp>CURRENCY=USD</stp>
        <stp>XLFILL=b</stp>
        <tr r="AY111" s="2"/>
      </tp>
      <tp t="s">
        <v/>
        <stp/>
        <stp>##V3_BQLV12</stp>
        <stp>[MODL_CRM_US1.xlsx]Single Period!R141C56</stp>
        <stp>CRM US Equity</stp>
        <stp>BS_PURE_RETAINED_EARNINGS/1M</stp>
        <stp>FPR=2022Y</stp>
        <stp>FPT=A</stp>
        <stp>FA_ACT_EST_DATA=E, EST_SOURCE=DIR</stp>
        <stp>ACT_EST_MAPPING=PRECISE</stp>
        <stp>FS=MRC</stp>
        <stp>CURRENCY=USD</stp>
        <stp>XLFILL=b</stp>
        <tr r="BD141" s="2"/>
      </tp>
      <tp t="s">
        <v/>
        <stp/>
        <stp>##V3_BQLV12</stp>
        <stp>[MODL_CRM_US1.xlsx]Single Period!R184C38</stp>
        <stp>CRM US Equity</stp>
        <stp>CFO_TO_SALES</stp>
        <stp>FPR=2022Y</stp>
        <stp>FPT=A</stp>
        <stp>FA_ACT_EST_DATA=E, EST_SOURCE=MSR</stp>
        <stp>ACT_EST_MAPPING=PRECISE</stp>
        <stp>FS=MRC</stp>
        <stp>CURRENCY=USD</stp>
        <stp>XLFILL=b</stp>
        <tr r="AL184" s="2"/>
      </tp>
      <tp t="s">
        <v/>
        <stp/>
        <stp>##V3_BQLV12</stp>
        <stp>[MODL_CRM_US1.xlsx]Single Period!R103C31</stp>
        <stp>CRM US Equity</stp>
        <stp>IS_SBC_ATT_TO_GENL_AND_ADMIN_PRETX/1M</stp>
        <stp>FPR=2022Y</stp>
        <stp>FPT=A</stp>
        <stp>FA_ACT_EST_DATA=E, EST_SOURCE=RBC</stp>
        <stp>ACT_EST_MAPPING=PRECISE</stp>
        <stp>FS=MRC</stp>
        <stp>CURRENCY=USD</stp>
        <stp>XLFILL=b</stp>
        <tr r="AE103" s="2"/>
      </tp>
      <tp>
        <v>361.04549999999989</v>
        <stp/>
        <stp>##V3_BQLV12</stp>
        <stp>[MODL_CRM_US1.xlsx]Single Period!R103C24</stp>
        <stp>CRM US Equity</stp>
        <stp>IS_SBC_ATT_TO_GENL_AND_ADMIN_PRETX/1M</stp>
        <stp>FPR=2022Y</stp>
        <stp>FPT=A</stp>
        <stp>FA_ACT_EST_DATA=E, EST_SOURCE=FBC</stp>
        <stp>ACT_EST_MAPPING=PRECISE</stp>
        <stp>FS=MRC</stp>
        <stp>CURRENCY=USD</stp>
        <stp>XLFILL=b</stp>
        <tr r="X103" s="2"/>
      </tp>
      <tp>
        <v>390</v>
        <stp/>
        <stp>##V3_BQLV12</stp>
        <stp>[MODL_CRM_US1.xlsx]Single Period!R103C16</stp>
        <stp>CRM US Equity</stp>
        <stp>IS_SBC_ATT_TO_GENL_AND_ADMIN_PRETX/1M</stp>
        <stp>FPR=2022Y</stp>
        <stp>FPT=A</stp>
        <stp>FA_ACT_EST_DATA=E, EST_SOURCE=DBG</stp>
        <stp>ACT_EST_MAPPING=PRECISE</stp>
        <stp>FS=MRC</stp>
        <stp>CURRENCY=USD</stp>
        <stp>XLFILL=b</stp>
        <tr r="P103" s="2"/>
      </tp>
      <tp>
        <v>24.215791454921899</v>
        <stp/>
        <stp>##V3_BQLV12</stp>
        <stp>[MODL_CRM_US1.xlsx]Single Period!R53C7</stp>
        <stp>CRM US Equity</stp>
        <stp>CONTRIBUTOR_STATS(REVENUE_GROWTH_CC_1_YR, MAX)</stp>
        <stp>FPR=2022Y</stp>
        <stp>FPT=A</stp>
        <stp>FA_ACT_EST_DATA=E</stp>
        <stp>ACT_EST_MAPPING=PRECISE</stp>
        <stp>FS=MRC</stp>
        <stp>CURRENCY=USD</stp>
        <stp>XLFILL=b</stp>
        <tr r="G53" s="2"/>
      </tp>
      <tp t="s">
        <v/>
        <stp/>
        <stp>##V3_BQLV12</stp>
        <stp>[MODL_CRM_US1.xlsx]Single Period!R20C28</stp>
        <stp>CRM US Equity</stp>
        <stp>ADJ_OPERATING_MARGIN</stp>
        <stp>FPR=2022Y</stp>
        <stp>FPT=A</stp>
        <stp>FA_ACT_EST_DATA=E, EST_SOURCE=CWN</stp>
        <stp>ACT_EST_MAPPING=PRECISE</stp>
        <stp>FS=MRC</stp>
        <stp>CURRENCY=USD</stp>
        <stp>XLFILL=b</stp>
        <tr r="AB20" s="2"/>
      </tp>
      <tp>
        <v>22.333333333333339</v>
        <stp/>
        <stp>##V3_BQLV12</stp>
        <stp>[MODL_CRM_US1.xlsx]Single Period!R53C6</stp>
        <stp>CRM US Equity</stp>
        <stp>CONTRIBUTOR_STATS(REVENUE_GROWTH_CC_1_YR, MIN)</stp>
        <stp>FPR=2022Y</stp>
        <stp>FPT=A</stp>
        <stp>FA_ACT_EST_DATA=E</stp>
        <stp>ACT_EST_MAPPING=PRECISE</stp>
        <stp>FS=MRC</stp>
        <stp>CURRENCY=USD</stp>
        <stp>XLFILL=b</stp>
        <tr r="F53" s="2"/>
      </tp>
      <tp t="s">
        <v/>
        <stp/>
        <stp>##V3_BQLV12</stp>
        <stp>[MODL_CRM_US1.xlsx]Single Period!R145C34</stp>
        <stp>CRM US Equity</stp>
        <stp>CB_BS_LT_BORROWING/1M</stp>
        <stp>FPR=2022Y</stp>
        <stp>FPT=A</stp>
        <stp>FA_ACT_EST_DATA=E, EST_SOURCE=JEF</stp>
        <stp>ACT_EST_MAPPING=PRECISE</stp>
        <stp>FS=MRC</stp>
        <stp>CURRENCY=USD</stp>
        <stp>XLFILL=b</stp>
        <tr r="AH145" s="2"/>
      </tp>
      <tp t="s">
        <v/>
        <stp/>
        <stp>##V3_BQLV12</stp>
        <stp>[MODL_CRM_US1.xlsx]Single Period!R145C55</stp>
        <stp>CRM US Equity</stp>
        <stp>CB_BS_LT_BORROWING/1M</stp>
        <stp>FPR=2022Y</stp>
        <stp>FPT=A</stp>
        <stp>FA_ACT_EST_DATA=E, EST_SOURCE=RED</stp>
        <stp>ACT_EST_MAPPING=PRECISE</stp>
        <stp>FS=MRC</stp>
        <stp>CURRENCY=USD</stp>
        <stp>XLFILL=b</stp>
        <tr r="BC145" s="2"/>
      </tp>
      <tp t="s">
        <v/>
        <stp/>
        <stp>##V3_BQLV12</stp>
        <stp>[MODL_CRM_US1.xlsx]Single Period!R103C11</stp>
        <stp>CRM US Equity</stp>
        <stp>IS_SBC_ATT_TO_GENL_AND_ADMIN_PRETX/1M</stp>
        <stp>FPR=2022Y</stp>
        <stp>FPT=A</stp>
        <stp>FA_ACT_EST_DATA=E, EST_SOURCE=WBL</stp>
        <stp>ACT_EST_MAPPING=PRECISE</stp>
        <stp>FS=MRC</stp>
        <stp>CURRENCY=USD</stp>
        <stp>XLFILL=b</stp>
        <tr r="K103" s="2"/>
      </tp>
      <tp t="s">
        <v/>
        <stp/>
        <stp>##V3_BQLV12</stp>
        <stp>[MODL_CRM_US1.xlsx]Single Period!R103C32</stp>
        <stp>CRM US Equity</stp>
        <stp>IS_SBC_ATT_TO_GENL_AND_ADMIN_PRETX/1M</stp>
        <stp>FPR=2022Y</stp>
        <stp>FPT=A</stp>
        <stp>FA_ACT_EST_DATA=E, EST_SOURCE=UBS</stp>
        <stp>ACT_EST_MAPPING=PRECISE</stp>
        <stp>FS=MRC</stp>
        <stp>CURRENCY=USD</stp>
        <stp>XLFILL=b</stp>
        <tr r="AF103" s="2"/>
      </tp>
      <tp>
        <v>11928</v>
        <stp/>
        <stp>##V3_BQLV12</stp>
        <stp>[MODL_CRM_US1.xlsx]Single Period!R145C26</stp>
        <stp>CRM US Equity</stp>
        <stp>CB_BS_LT_BORROWING/1M</stp>
        <stp>FPR=2022Y</stp>
        <stp>FPT=A</stp>
        <stp>FA_ACT_EST_DATA=E, EST_SOURCE=KEY</stp>
        <stp>ACT_EST_MAPPING=PRECISE</stp>
        <stp>FS=MRC</stp>
        <stp>CURRENCY=USD</stp>
        <stp>XLFILL=b</stp>
        <tr r="Z145" s="2"/>
      </tp>
      <tp t="s">
        <v/>
        <stp/>
        <stp>##V3_BQLV12</stp>
        <stp>[MODL_CRM_US1.xlsx]Single Period!R80C18</stp>
        <stp>CRM US Equity</stp>
        <stp>GROSS_MARGIN</stp>
        <stp>FPR=2022Y</stp>
        <stp>FPT=A</stp>
        <stp>FA_ACT_EST_DATA=E, EST_SOURCE=CAN</stp>
        <stp>ACT_EST_MAPPING=PRECISE</stp>
        <stp>FS=MRC</stp>
        <stp>CURRENCY=USD</stp>
        <stp>XLFILL=b</stp>
        <tr r="R80" s="2"/>
      </tp>
      <tp t="s">
        <v/>
        <stp/>
        <stp>##V3_BQLV12</stp>
        <stp>[MODL_CRM_US1.xlsx]Single Period!R118C45</stp>
        <stp>CRM US Equity</stp>
        <stp>CB_BS_PP_AND_E_NET/1M</stp>
        <stp>FPR=2022Y</stp>
        <stp>FPT=A</stp>
        <stp>FA_ACT_EST_DATA=E, EST_SOURCE=ARG</stp>
        <stp>ACT_EST_MAPPING=PRECISE</stp>
        <stp>FS=MRC</stp>
        <stp>CURRENCY=USD</stp>
        <stp>XLFILL=b</stp>
        <tr r="AS118" s="2"/>
      </tp>
      <tp t="s">
        <v/>
        <stp/>
        <stp>##V3_BQLV12</stp>
        <stp>[MODL_CRM_US1.xlsx]Single Period!R61C38</stp>
        <stp>CRM US Equity</stp>
        <stp>ADJ_OPERATING_MARGIN</stp>
        <stp>FPR=2022Y</stp>
        <stp>FPT=A</stp>
        <stp>FA_ACT_EST_DATA=E, EST_SOURCE=MSR</stp>
        <stp>ACT_EST_MAPPING=PRECISE</stp>
        <stp>FS=MRC</stp>
        <stp>CURRENCY=USD</stp>
        <stp>XLFILL=b</stp>
        <tr r="AL61" s="2"/>
      </tp>
      <tp t="s">
        <v/>
        <stp/>
        <stp>##V3_BQLV12</stp>
        <stp>[MODL_CRM_US1.xlsx]Single Period!R118C54</stp>
        <stp>CRM US Equity</stp>
        <stp>CB_BS_PP_AND_E_NET/1M</stp>
        <stp>FPR=2022Y</stp>
        <stp>FPT=A</stp>
        <stp>FA_ACT_EST_DATA=E, EST_SOURCE=ARE</stp>
        <stp>ACT_EST_MAPPING=PRECISE</stp>
        <stp>FS=MRC</stp>
        <stp>CURRENCY=USD</stp>
        <stp>XLFILL=b</stp>
        <tr r="BB118" s="2"/>
      </tp>
      <tp>
        <v>2589.342915063803</v>
        <stp/>
        <stp>##V3_BQLV12</stp>
        <stp>[MODL_CRM_US1.xlsx]Single Period!R86C16</stp>
        <stp>CRM US Equity</stp>
        <stp>IS_GENERAL_AND_ADMIN_GAAP/1M</stp>
        <stp>FPR=2022Y</stp>
        <stp>FPT=A</stp>
        <stp>FA_ACT_EST_DATA=E, EST_SOURCE=DBG</stp>
        <stp>ACT_EST_MAPPING=PRECISE</stp>
        <stp>FS=MRC</stp>
        <stp>CURRENCY=USD</stp>
        <stp>XLFILL=b</stp>
        <tr r="P86" s="2"/>
      </tp>
      <tp>
        <v>152.79975394081418</v>
        <stp/>
        <stp>##V3_BQLV12</stp>
        <stp>[MODL_CRM_US1.xlsx]Single Period!R90C9</stp>
        <stp>CRM US Equity</stp>
        <stp>CONTRIBUTOR_STATS(IS_INC_TAX_EXP, MEDIAN)/1M</stp>
        <stp>FPR=2022Y</stp>
        <stp>FPT=A</stp>
        <stp>FA_ACT_EST_DATA=E</stp>
        <stp>ACT_EST_MAPPING=PRECISE</stp>
        <stp>FS=MRC</stp>
        <stp>CURRENCY=USD</stp>
        <stp>XLFILL=b</stp>
        <tr r="I90" s="2"/>
      </tp>
      <tp t="s">
        <v/>
        <stp/>
        <stp>##V3_BQLV12</stp>
        <stp>[MODL_CRM_US1.xlsx]Single Period!R159C17</stp>
        <stp>CRM US Equity</stp>
        <stp>SBC_NON_GAAP_TO_SALES</stp>
        <stp>FPR=2022Y</stp>
        <stp>FPT=A</stp>
        <stp>FA_ACT_EST_DATA=E, EST_SOURCE=NDH</stp>
        <stp>ACT_EST_MAPPING=PRECISE</stp>
        <stp>FS=MRC</stp>
        <stp>CURRENCY=USD</stp>
        <stp>XLFILL=b</stp>
        <tr r="Q159" s="2"/>
      </tp>
      <tp t="s">
        <v/>
        <stp/>
        <stp>##V3_BQLV12</stp>
        <stp>[MODL_CRM_US1.xlsx]Single Period!R86C27</stp>
        <stp>CRM US Equity</stp>
        <stp>IS_GENERAL_AND_ADMIN_GAAP/1M</stp>
        <stp>FPR=2022Y</stp>
        <stp>FPT=A</stp>
        <stp>FA_ACT_EST_DATA=E, EST_SOURCE=LCM</stp>
        <stp>ACT_EST_MAPPING=PRECISE</stp>
        <stp>FS=MRC</stp>
        <stp>CURRENCY=USD</stp>
        <stp>XLFILL=b</stp>
        <tr r="AA86" s="2"/>
      </tp>
      <tp t="s">
        <v/>
        <stp/>
        <stp>##V3_BQLV12</stp>
        <stp>[MODL_CRM_US1.xlsx]Single Period!R138C46</stp>
        <stp>CRM US Equity</stp>
        <stp>BS_COMMON_STOCK/1M</stp>
        <stp>FPR=2022Y</stp>
        <stp>FPT=A</stp>
        <stp>FA_ACT_EST_DATA=E, EST_SOURCE=CTI</stp>
        <stp>ACT_EST_MAPPING=PRECISE</stp>
        <stp>FS=MRC</stp>
        <stp>CURRENCY=USD</stp>
        <stp>XLFILL=b</stp>
        <tr r="AT138" s="2"/>
      </tp>
      <tp t="s">
        <v/>
        <stp/>
        <stp>##V3_BQLV12</stp>
        <stp>[MODL_CRM_US1.xlsx]Single Period!R155C56</stp>
        <stp>CRM US Equity</stp>
        <stp>IS_COMP_NET_INCOME_GAAP/1M</stp>
        <stp>FPR=2022Y</stp>
        <stp>FPT=A</stp>
        <stp>FA_ACT_EST_DATA=E, EST_SOURCE=DIR</stp>
        <stp>ACT_EST_MAPPING=PRECISE</stp>
        <stp>FS=MRC</stp>
        <stp>CURRENCY=USD</stp>
        <stp>XLFILL=b</stp>
        <tr r="BD155" s="2"/>
      </tp>
      <tp>
        <v>21147.38</v>
        <stp/>
        <stp>##V3_BQLV12</stp>
        <stp>[MODL_CRM_US1.xlsx]Single Period!R13C26</stp>
        <stp>CRM US Equity</stp>
        <stp>CURRENT_FUTURE_REV_UNDER_CONTRACT/1M</stp>
        <stp>FPR=2022Y</stp>
        <stp>FPT=A</stp>
        <stp>FA_ACT_EST_DATA=E, EST_SOURCE=KEY</stp>
        <stp>ACT_EST_MAPPING=PRECISE</stp>
        <stp>FS=MRC</stp>
        <stp>CURRENCY=USD</stp>
        <stp>XLFILL=b</stp>
        <tr r="Z13" s="2"/>
      </tp>
      <tp t="s">
        <v/>
        <stp/>
        <stp>##V3_BQLV12</stp>
        <stp>[MODL_CRM_US1.xlsx]Single Period!R138C35</stp>
        <stp>CRM US Equity</stp>
        <stp>BS_COMMON_STOCK/1M</stp>
        <stp>FPR=2022Y</stp>
        <stp>FPT=A</stp>
        <stp>FA_ACT_EST_DATA=E, EST_SOURCE=ATL</stp>
        <stp>ACT_EST_MAPPING=PRECISE</stp>
        <stp>FS=MRC</stp>
        <stp>CURRENCY=USD</stp>
        <stp>XLFILL=b</stp>
        <tr r="AI138" s="2"/>
      </tp>
      <tp t="s">
        <v/>
        <stp/>
        <stp>##V3_BQLV12</stp>
        <stp>[MODL_CRM_US1.xlsx]Single Period!R155C53</stp>
        <stp>CRM US Equity</stp>
        <stp>IS_COMP_NET_INCOME_GAAP/1M</stp>
        <stp>FPR=2022Y</stp>
        <stp>FPT=A</stp>
        <stp>FA_ACT_EST_DATA=E, EST_SOURCE=NIK</stp>
        <stp>ACT_EST_MAPPING=PRECISE</stp>
        <stp>FS=MRC</stp>
        <stp>CURRENCY=USD</stp>
        <stp>XLFILL=b</stp>
        <tr r="BA155" s="2"/>
      </tp>
      <tp t="s">
        <v/>
        <stp/>
        <stp>##V3_BQLV12</stp>
        <stp>[MODL_CRM_US1.xlsx]Single Period!R86C52</stp>
        <stp>CRM US Equity</stp>
        <stp>IS_GENERAL_AND_ADMIN_GAAP/1M</stp>
        <stp>FPR=2022Y</stp>
        <stp>FPT=A</stp>
        <stp>FA_ACT_EST_DATA=E, EST_SOURCE=WFR</stp>
        <stp>ACT_EST_MAPPING=PRECISE</stp>
        <stp>FS=MRC</stp>
        <stp>CURRENCY=USD</stp>
        <stp>XLFILL=b</stp>
        <tr r="AZ86" s="2"/>
      </tp>
      <tp t="s">
        <v/>
        <stp/>
        <stp>##V3_BQLV12</stp>
        <stp>[MODL_CRM_US1.xlsx]Single Period!R53C44</stp>
        <stp>CRM US Equity</stp>
        <stp>REVENUE_GROWTH_CC_1_YR</stp>
        <stp>FPR=2022Y</stp>
        <stp>FPT=A</stp>
        <stp>FA_ACT_EST_DATA=E, EST_SOURCE=RWB</stp>
        <stp>ACT_EST_MAPPING=PRECISE</stp>
        <stp>FS=MRC</stp>
        <stp>CURRENCY=USD</stp>
        <stp>XLFILL=b</stp>
        <tr r="AR53" s="2"/>
      </tp>
      <tp t="s">
        <v/>
        <stp/>
        <stp>##V3_BQLV12</stp>
        <stp>[MODL_CRM_US1.xlsx]Single Period!R13C31</stp>
        <stp>CRM US Equity</stp>
        <stp>CURRENT_FUTURE_REV_UNDER_CONTRACT/1M</stp>
        <stp>FPR=2022Y</stp>
        <stp>FPT=A</stp>
        <stp>FA_ACT_EST_DATA=E, EST_SOURCE=RBC</stp>
        <stp>ACT_EST_MAPPING=PRECISE</stp>
        <stp>FS=MRC</stp>
        <stp>CURRENCY=USD</stp>
        <stp>XLFILL=b</stp>
        <tr r="AE13" s="2"/>
      </tp>
      <tp t="s">
        <v/>
        <stp/>
        <stp>##V3_BQLV12</stp>
        <stp>[MODL_CRM_US1.xlsx]Single Period!R13C40</stp>
        <stp>CRM US Equity</stp>
        <stp>CURRENT_FUTURE_REV_UNDER_CONTRACT/1M</stp>
        <stp>FPR=2022Y</stp>
        <stp>FPT=A</stp>
        <stp>FA_ACT_EST_DATA=E, EST_SOURCE=ACC</stp>
        <stp>ACT_EST_MAPPING=PRECISE</stp>
        <stp>FS=MRC</stp>
        <stp>CURRENCY=USD</stp>
        <stp>XLFILL=b</stp>
        <tr r="AN13" s="2"/>
      </tp>
      <tp t="s">
        <v/>
        <stp/>
        <stp>##V3_BQLV12</stp>
        <stp>[MODL_CRM_US1.xlsx]Single Period!R13C11</stp>
        <stp>CRM US Equity</stp>
        <stp>CURRENT_FUTURE_REV_UNDER_CONTRACT/1M</stp>
        <stp>FPR=2022Y</stp>
        <stp>FPT=A</stp>
        <stp>FA_ACT_EST_DATA=E, EST_SOURCE=WBL</stp>
        <stp>ACT_EST_MAPPING=PRECISE</stp>
        <stp>FS=MRC</stp>
        <stp>CURRENCY=USD</stp>
        <stp>XLFILL=b</stp>
        <tr r="K13" s="2"/>
      </tp>
      <tp t="s">
        <v/>
        <stp/>
        <stp>##V3_BQLV12</stp>
        <stp>[MODL_CRM_US1.xlsx]Single Period!R53C43</stp>
        <stp>CRM US Equity</stp>
        <stp>REVENUE_GROWTH_CC_1_YR</stp>
        <stp>FPR=2022Y</stp>
        <stp>FPT=A</stp>
        <stp>FA_ACT_EST_DATA=E, EST_SOURCE=DWI</stp>
        <stp>ACT_EST_MAPPING=PRECISE</stp>
        <stp>FS=MRC</stp>
        <stp>CURRENCY=USD</stp>
        <stp>XLFILL=b</stp>
        <tr r="AQ53" s="2"/>
      </tp>
      <tp t="s">
        <v/>
        <stp/>
        <stp>##V3_BQLV12</stp>
        <stp>[MODL_CRM_US1.xlsx]Single Period!R13C17</stp>
        <stp>CRM US Equity</stp>
        <stp>CURRENT_FUTURE_REV_UNDER_CONTRACT/1M</stp>
        <stp>FPR=2022Y</stp>
        <stp>FPT=A</stp>
        <stp>FA_ACT_EST_DATA=E, EST_SOURCE=NDH</stp>
        <stp>ACT_EST_MAPPING=PRECISE</stp>
        <stp>FS=MRC</stp>
        <stp>CURRENCY=USD</stp>
        <stp>XLFILL=b</stp>
        <tr r="Q13" s="2"/>
      </tp>
      <tp t="s">
        <v/>
        <stp/>
        <stp>##V3_BQLV12</stp>
        <stp>[MODL_CRM_US1.xlsx]Single Period!R53C28</stp>
        <stp>CRM US Equity</stp>
        <stp>REVENUE_GROWTH_CC_1_YR</stp>
        <stp>FPR=2022Y</stp>
        <stp>FPT=A</stp>
        <stp>FA_ACT_EST_DATA=E, EST_SOURCE=CWN</stp>
        <stp>ACT_EST_MAPPING=PRECISE</stp>
        <stp>FS=MRC</stp>
        <stp>CURRENCY=USD</stp>
        <stp>XLFILL=b</stp>
        <tr r="AB53" s="2"/>
      </tp>
      <tp t="s">
        <v/>
        <stp/>
        <stp>##V3_BQLV12</stp>
        <stp>[MODL_CRM_US1.xlsx]Single Period!R163C33</stp>
        <stp>CRM US Equity</stp>
        <stp>CB_CF_OTHR_NONCSH_ITEMS/1M</stp>
        <stp>FPR=2022Y</stp>
        <stp>FPT=A</stp>
        <stp>FA_ACT_EST_DATA=E, EST_SOURCE=RHR</stp>
        <stp>ACT_EST_MAPPING=PRECISE</stp>
        <stp>FS=MRC</stp>
        <stp>CURRENCY=USD</stp>
        <stp>XLFILL=b</stp>
        <tr r="AG163" s="2"/>
      </tp>
      <tp t="s">
        <v/>
        <stp/>
        <stp>##V3_BQLV12</stp>
        <stp>[MODL_CRM_US1.xlsx]Single Period!R151C10</stp>
        <stp>CRM US Equity</stp>
        <stp>NON_CURRENT_FUTURE_REV_UNDER_CONTRACT/1M</stp>
        <stp>FPR=2022Y</stp>
        <stp>FPT=A</stp>
        <stp>FA_ACT_EST_DATA=E, EST_SOURCE=CMPY</stp>
        <stp>ACT_EST_MAPPING=PRECISE</stp>
        <stp>FS=MRC</stp>
        <stp>CURRENCY=USD</stp>
        <stp>XLFILL=b</stp>
        <tr r="J151" s="2"/>
      </tp>
      <tp t="s">
        <v/>
        <stp/>
        <stp>##V3_BQLV12</stp>
        <stp>[MODL_CRM_US1.xlsx]Single Period!R164C37</stp>
        <stp>CRM US Equity</stp>
        <stp>CHG_IN_ACCT_PYBL_AND_ACC_EXPNSS/1M</stp>
        <stp>FPR=2022Y</stp>
        <stp>FPT=A</stp>
        <stp>FA_ACT_EST_DATA=E, EST_SOURCE=EVR</stp>
        <stp>ACT_EST_MAPPING=PRECISE</stp>
        <stp>FS=MRC</stp>
        <stp>CURRENCY=USD</stp>
        <stp>XLFILL=b</stp>
        <tr r="AK164" s="2"/>
      </tp>
      <tp>
        <v>12482.629150000001</v>
        <stp/>
        <stp>##V3_BQLV12</stp>
        <stp>[MODL_CRM_US1.xlsx]Single Period!R111C17</stp>
        <stp>CRM US Equity</stp>
        <stp>BS_CASH_CASH_EQUIVALENTS_AND_STI/1M</stp>
        <stp>FPR=2022Y</stp>
        <stp>FPT=A</stp>
        <stp>FA_ACT_EST_DATA=E, EST_SOURCE=NDH</stp>
        <stp>ACT_EST_MAPPING=PRECISE</stp>
        <stp>FS=MRC</stp>
        <stp>CURRENCY=USD</stp>
        <stp>XLFILL=b</stp>
        <tr r="Q111" s="2"/>
      </tp>
      <tp>
        <v>4762.660346679967</v>
        <stp/>
        <stp>##V3_BQLV12</stp>
        <stp>[MODL_CRM_US1.xlsx]Single Period!R113C5</stp>
        <stp>CRM US Equity</stp>
        <stp>BS_MKT_SEC_OTHER_ST_INVEST/1M</stp>
        <stp>FPR=2022Y</stp>
        <stp>FPT=A</stp>
        <stp>FA_ACT_EST_DATA=E</stp>
        <stp>ACT_EST_MAPPING=PRECISE</stp>
        <stp>FS=MRC</stp>
        <stp>CURRENCY=USD</stp>
        <stp>XLFILL=b</stp>
        <tr r="E113" s="2"/>
      </tp>
      <tp t="s">
        <v/>
        <stp/>
        <stp>##V3_BQLV12</stp>
        <stp>[MODL_CRM_US1.xlsx]Single Period!R157C45</stp>
        <stp>CRM US Equity</stp>
        <stp>CF_AMORTIZATN_OF_DEFRRD_COMPNSTN/1M</stp>
        <stp>FPR=2022Y</stp>
        <stp>FPT=A</stp>
        <stp>FA_ACT_EST_DATA=E, EST_SOURCE=ARG</stp>
        <stp>ACT_EST_MAPPING=PRECISE</stp>
        <stp>FS=MRC</stp>
        <stp>CURRENCY=USD</stp>
        <stp>XLFILL=b</stp>
        <tr r="AS157" s="2"/>
      </tp>
      <tp t="s">
        <v/>
        <stp/>
        <stp>##V3_BQLV12</stp>
        <stp>[MODL_CRM_US1.xlsx]Single Period!R170C35</stp>
        <stp>CRM US Equity</stp>
        <stp>CF_CASH_FOR_ACQUIS_SUBSIDIARIES/1M</stp>
        <stp>FPR=2022Y</stp>
        <stp>FPT=A</stp>
        <stp>FA_ACT_EST_DATA=E, EST_SOURCE=ATL</stp>
        <stp>ACT_EST_MAPPING=PRECISE</stp>
        <stp>FS=MRC</stp>
        <stp>CURRENCY=USD</stp>
        <stp>XLFILL=b</stp>
        <tr r="AI170" s="2"/>
      </tp>
      <tp t="s">
        <v/>
        <stp/>
        <stp>##V3_BQLV12</stp>
        <stp>[MODL_CRM_US1.xlsx]Single Period!R34C21</stp>
        <stp>SEG0000269227 Segment</stp>
        <stp>IS_COGS_TO_FE_AND_PP_AND_G/1M</stp>
        <stp>FPR=2022Y</stp>
        <stp>FPT=A</stp>
        <stp>FA_ACT_EST_DATA=E, EST_SOURCE=RJA</stp>
        <stp>ACT_EST_MAPPING=PRECISE</stp>
        <stp>FS=MRC</stp>
        <stp>CURRENCY=USD</stp>
        <stp>XLFILL=b</stp>
        <tr r="U34" s="2"/>
      </tp>
      <tp t="s">
        <v/>
        <stp/>
        <stp>##V3_BQLV12</stp>
        <stp>[MODL_CRM_US1.xlsx]Single Period!R170C46</stp>
        <stp>CRM US Equity</stp>
        <stp>CF_CASH_FOR_ACQUIS_SUBSIDIARIES/1M</stp>
        <stp>FPR=2022Y</stp>
        <stp>FPT=A</stp>
        <stp>FA_ACT_EST_DATA=E, EST_SOURCE=CTI</stp>
        <stp>ACT_EST_MAPPING=PRECISE</stp>
        <stp>FS=MRC</stp>
        <stp>CURRENCY=USD</stp>
        <stp>XLFILL=b</stp>
        <tr r="AT170" s="2"/>
      </tp>
      <tp t="s">
        <v/>
        <stp/>
        <stp>##V3_BQLV12</stp>
        <stp>[MODL_CRM_US1.xlsx]Single Period!R176C45</stp>
        <stp>CRM US Equity</stp>
        <stp>CF_INCR_CAP_STOCK/1M</stp>
        <stp>FPR=2022Y</stp>
        <stp>FPT=A</stp>
        <stp>FA_ACT_EST_DATA=E, EST_SOURCE=ARG</stp>
        <stp>ACT_EST_MAPPING=PRECISE</stp>
        <stp>FS=MRC</stp>
        <stp>CURRENCY=USD</stp>
        <stp>XLFILL=b</stp>
        <tr r="AS176" s="2"/>
      </tp>
      <tp t="s">
        <v/>
        <stp/>
        <stp>##V3_BQLV12</stp>
        <stp>[MODL_CRM_US1.xlsx]Single Period!R34C48</stp>
        <stp>SEG0000269227 Segment</stp>
        <stp>IS_COGS_TO_FE_AND_PP_AND_G/1M</stp>
        <stp>FPR=2022Y</stp>
        <stp>FPT=A</stp>
        <stp>FA_ACT_EST_DATA=E, EST_SOURCE=PJE</stp>
        <stp>ACT_EST_MAPPING=PRECISE</stp>
        <stp>FS=MRC</stp>
        <stp>CURRENCY=USD</stp>
        <stp>XLFILL=b</stp>
        <tr r="AV34" s="2"/>
      </tp>
      <tp t="s">
        <v/>
        <stp/>
        <stp>##V3_BQLV12</stp>
        <stp>[MODL_CRM_US1.xlsx]Single Period!R177C21</stp>
        <stp>CRM US Equity</stp>
        <stp>CB_CF_OTHER_FINANCING_ACTIVITIES/1M</stp>
        <stp>FPR=2022Y</stp>
        <stp>FPT=A</stp>
        <stp>FA_ACT_EST_DATA=E, EST_SOURCE=RJA</stp>
        <stp>ACT_EST_MAPPING=PRECISE</stp>
        <stp>FS=MRC</stp>
        <stp>CURRENCY=USD</stp>
        <stp>XLFILL=b</stp>
        <tr r="U177" s="2"/>
      </tp>
      <tp t="s">
        <v/>
        <stp/>
        <stp>##V3_BQLV12</stp>
        <stp>[MODL_CRM_US1.xlsx]Single Period!R74C50</stp>
        <stp>CRM US Equity</stp>
        <stp>IS_COMP_EPS_EXCL_STOCK_COMP</stp>
        <stp>FPR=2022Y</stp>
        <stp>FPT=A</stp>
        <stp>FA_ACT_EST_DATA=E, EST_SOURCE=MZS</stp>
        <stp>ACT_EST_MAPPING=PRECISE</stp>
        <stp>FS=MRC</stp>
        <stp>CURRENCY=USD</stp>
        <stp>XLFILL=b</stp>
        <tr r="AX74" s="2"/>
      </tp>
      <tp>
        <v>-13284.644526301179</v>
        <stp/>
        <stp>##V3_BQLV12</stp>
        <stp>[MODL_CRM_US1.xlsx]Single Period!R173C5</stp>
        <stp>CRM US Equity</stp>
        <stp>CB_CF_NET_CASH_INVESTING_ACT/1M</stp>
        <stp>FPR=2022Y</stp>
        <stp>FPT=A</stp>
        <stp>FA_ACT_EST_DATA=E</stp>
        <stp>ACT_EST_MAPPING=PRECISE</stp>
        <stp>FS=MRC</stp>
        <stp>CURRENCY=USD</stp>
        <stp>XLFILL=b</stp>
        <tr r="E173" s="2"/>
      </tp>
      <tp t="s">
        <v/>
        <stp/>
        <stp>##V3_BQLV12</stp>
        <stp>[MODL_CRM_US1.xlsx]Single Period!R103C36</stp>
        <stp>CRM US Equity</stp>
        <stp>IS_SBC_ATT_TO_GENL_AND_ADMIN_PRETX/1M</stp>
        <stp>FPR=2022Y</stp>
        <stp>FPT=A</stp>
        <stp>FA_ACT_EST_DATA=E, EST_SOURCE=MAC</stp>
        <stp>ACT_EST_MAPPING=PRECISE</stp>
        <stp>FS=MRC</stp>
        <stp>CURRENCY=USD</stp>
        <stp>XLFILL=b</stp>
        <tr r="AJ103" s="2"/>
      </tp>
      <tp t="s">
        <v/>
        <stp/>
        <stp>##V3_BQLV12</stp>
        <stp>[MODL_CRM_US1.xlsx]Single Period!R80C14</stp>
        <stp>CRM US Equity</stp>
        <stp>GROSS_MARGIN</stp>
        <stp>FPR=2022Y</stp>
        <stp>FPT=A</stp>
        <stp>FA_ACT_EST_DATA=E, EST_SOURCE=SNR</stp>
        <stp>ACT_EST_MAPPING=PRECISE</stp>
        <stp>FS=MRC</stp>
        <stp>CURRENCY=USD</stp>
        <stp>XLFILL=b</stp>
        <tr r="N80" s="2"/>
      </tp>
      <tp t="s">
        <v/>
        <stp/>
        <stp>##V3_BQLV12</stp>
        <stp>[MODL_CRM_US1.xlsx]Single Period!R103C18</stp>
        <stp>CRM US Equity</stp>
        <stp>IS_SBC_ATT_TO_GENL_AND_ADMIN_PRETX/1M</stp>
        <stp>FPR=2022Y</stp>
        <stp>FPT=A</stp>
        <stp>FA_ACT_EST_DATA=E, EST_SOURCE=CAN</stp>
        <stp>ACT_EST_MAPPING=PRECISE</stp>
        <stp>FS=MRC</stp>
        <stp>CURRENCY=USD</stp>
        <stp>XLFILL=b</stp>
        <tr r="R103" s="2"/>
      </tp>
      <tp t="s">
        <v/>
        <stp/>
        <stp>##V3_BQLV12</stp>
        <stp>[MODL_CRM_US1.xlsx]Single Period!R103C30</stp>
        <stp>CRM US Equity</stp>
        <stp>IS_SBC_ATT_TO_GENL_AND_ADMIN_PRETX/1M</stp>
        <stp>FPR=2022Y</stp>
        <stp>FPT=A</stp>
        <stp>FA_ACT_EST_DATA=E, EST_SOURCE=BAM</stp>
        <stp>ACT_EST_MAPPING=PRECISE</stp>
        <stp>FS=MRC</stp>
        <stp>CURRENCY=USD</stp>
        <stp>XLFILL=b</stp>
        <tr r="AD103" s="2"/>
      </tp>
      <tp t="s">
        <v/>
        <stp/>
        <stp>##V3_BQLV12</stp>
        <stp>[MODL_CRM_US1.xlsx]Single Period!R115C45</stp>
        <stp>CRM US Equity</stp>
        <stp>CB_BS_OTHER_CURRENT_ASSETS/1M</stp>
        <stp>FPR=2022Y</stp>
        <stp>FPT=A</stp>
        <stp>FA_ACT_EST_DATA=E, EST_SOURCE=ARG</stp>
        <stp>ACT_EST_MAPPING=PRECISE</stp>
        <stp>FS=MRC</stp>
        <stp>CURRENCY=USD</stp>
        <stp>XLFILL=b</stp>
        <tr r="AS115" s="2"/>
      </tp>
      <tp t="s">
        <v/>
        <stp/>
        <stp>##V3_BQLV12</stp>
        <stp>[MODL_CRM_US1.xlsx]Single Period!R80C53</stp>
        <stp>CRM US Equity</stp>
        <stp>GROSS_MARGIN</stp>
        <stp>FPR=2022Y</stp>
        <stp>FPT=A</stp>
        <stp>FA_ACT_EST_DATA=E, EST_SOURCE=NIK</stp>
        <stp>ACT_EST_MAPPING=PRECISE</stp>
        <stp>FS=MRC</stp>
        <stp>CURRENCY=USD</stp>
        <stp>XLFILL=b</stp>
        <tr r="BA80" s="2"/>
      </tp>
      <tp>
        <v>21500</v>
        <stp/>
        <stp>##V3_BQLV12</stp>
        <stp>[MODL_CRM_US1.xlsx]Single Period!R13C7</stp>
        <stp>CRM US Equity</stp>
        <stp>CONTRIBUTOR_STATS(CURRENT_FUTURE_REV_UNDER_CONTRACT, MAX)/1M</stp>
        <stp>FPR=2022Y</stp>
        <stp>FPT=A</stp>
        <stp>FA_ACT_EST_DATA=E</stp>
        <stp>ACT_EST_MAPPING=PRECISE</stp>
        <stp>FS=MRC</stp>
        <stp>CURRENCY=USD</stp>
        <stp>XLFILL=b</stp>
        <tr r="G13" s="2"/>
      </tp>
      <tp t="s">
        <v/>
        <stp/>
        <stp>##V3_BQLV12</stp>
        <stp>[MODL_CRM_US1.xlsx]Single Period!R115C54</stp>
        <stp>CRM US Equity</stp>
        <stp>CB_BS_OTHER_CURRENT_ASSETS/1M</stp>
        <stp>FPR=2022Y</stp>
        <stp>FPT=A</stp>
        <stp>FA_ACT_EST_DATA=E, EST_SOURCE=ARE</stp>
        <stp>ACT_EST_MAPPING=PRECISE</stp>
        <stp>FS=MRC</stp>
        <stp>CURRENCY=USD</stp>
        <stp>XLFILL=b</stp>
        <tr r="BB115" s="2"/>
      </tp>
      <tp t="s">
        <v/>
        <stp/>
        <stp>##V3_BQLV12</stp>
        <stp>[MODL_CRM_US1.xlsx]Single Period!R80C19</stp>
        <stp>CRM US Equity</stp>
        <stp>GROSS_MARGIN</stp>
        <stp>FPR=2022Y</stp>
        <stp>FPT=A</stp>
        <stp>FA_ACT_EST_DATA=E, EST_SOURCE=SCB</stp>
        <stp>ACT_EST_MAPPING=PRECISE</stp>
        <stp>FS=MRC</stp>
        <stp>CURRENCY=USD</stp>
        <stp>XLFILL=b</stp>
        <tr r="S80" s="2"/>
      </tp>
      <tp t="s">
        <v/>
        <stp/>
        <stp>##V3_BQLV12</stp>
        <stp>[MODL_CRM_US1.xlsx]Single Period!R145C52</stp>
        <stp>CRM US Equity</stp>
        <stp>CB_BS_LT_BORROWING/1M</stp>
        <stp>FPR=2022Y</stp>
        <stp>FPT=A</stp>
        <stp>FA_ACT_EST_DATA=E, EST_SOURCE=WFR</stp>
        <stp>ACT_EST_MAPPING=PRECISE</stp>
        <stp>FS=MRC</stp>
        <stp>CURRENCY=USD</stp>
        <stp>XLFILL=b</stp>
        <tr r="AZ145" s="2"/>
      </tp>
      <tp t="s">
        <v/>
        <stp/>
        <stp>##V3_BQLV12</stp>
        <stp>[MODL_CRM_US1.xlsx]Single Period!R113C54</stp>
        <stp>CRM US Equity</stp>
        <stp>BS_MKT_SEC_OTHER_ST_INVEST/1M</stp>
        <stp>FPR=2022Y</stp>
        <stp>FPT=A</stp>
        <stp>FA_ACT_EST_DATA=E, EST_SOURCE=ARE</stp>
        <stp>ACT_EST_MAPPING=PRECISE</stp>
        <stp>FS=MRC</stp>
        <stp>CURRENCY=USD</stp>
        <stp>XLFILL=b</stp>
        <tr r="BB113" s="2"/>
      </tp>
      <tp t="s">
        <v/>
        <stp/>
        <stp>##V3_BQLV12</stp>
        <stp>[MODL_CRM_US1.xlsx]Single Period!R113C45</stp>
        <stp>CRM US Equity</stp>
        <stp>BS_MKT_SEC_OTHER_ST_INVEST/1M</stp>
        <stp>FPR=2022Y</stp>
        <stp>FPT=A</stp>
        <stp>FA_ACT_EST_DATA=E, EST_SOURCE=ARG</stp>
        <stp>ACT_EST_MAPPING=PRECISE</stp>
        <stp>FS=MRC</stp>
        <stp>CURRENCY=USD</stp>
        <stp>XLFILL=b</stp>
        <tr r="AS113" s="2"/>
      </tp>
      <tp t="s">
        <v/>
        <stp/>
        <stp>##V3_BQLV12</stp>
        <stp>[MODL_CRM_US1.xlsx]Single Period!R145C47</stp>
        <stp>CRM US Equity</stp>
        <stp>CB_BS_LT_BORROWING/1M</stp>
        <stp>FPR=2022Y</stp>
        <stp>FPT=A</stp>
        <stp>FA_ACT_EST_DATA=E, EST_SOURCE=WFT</stp>
        <stp>ACT_EST_MAPPING=PRECISE</stp>
        <stp>FS=MRC</stp>
        <stp>CURRENCY=USD</stp>
        <stp>XLFILL=b</stp>
        <tr r="AU145" s="2"/>
      </tp>
      <tp t="s">
        <v/>
        <stp/>
        <stp>##V3_BQLV12</stp>
        <stp>[MODL_CRM_US1.xlsx]Single Period!R53C37</stp>
        <stp>CRM US Equity</stp>
        <stp>REVENUE_GROWTH_CC_1_YR</stp>
        <stp>FPR=2022Y</stp>
        <stp>FPT=A</stp>
        <stp>FA_ACT_EST_DATA=E, EST_SOURCE=EVR</stp>
        <stp>ACT_EST_MAPPING=PRECISE</stp>
        <stp>FS=MRC</stp>
        <stp>CURRENCY=USD</stp>
        <stp>XLFILL=b</stp>
        <tr r="AK53" s="2"/>
      </tp>
      <tp t="s">
        <v/>
        <stp/>
        <stp>##V3_BQLV12</stp>
        <stp>[MODL_CRM_US1.xlsx]Single Period!R163C53</stp>
        <stp>CRM US Equity</stp>
        <stp>CB_CF_OTHR_NONCSH_ITEMS/1M</stp>
        <stp>FPR=2022Y</stp>
        <stp>FPT=A</stp>
        <stp>FA_ACT_EST_DATA=E, EST_SOURCE=NIK</stp>
        <stp>ACT_EST_MAPPING=PRECISE</stp>
        <stp>FS=MRC</stp>
        <stp>CURRENCY=USD</stp>
        <stp>XLFILL=b</stp>
        <tr r="BA163" s="2"/>
      </tp>
      <tp t="s">
        <v/>
        <stp/>
        <stp>##V3_BQLV12</stp>
        <stp>[MODL_CRM_US1.xlsx]Single Period!R159C55</stp>
        <stp>CRM US Equity</stp>
        <stp>SBC_NON_GAAP_TO_SALES</stp>
        <stp>FPR=2022Y</stp>
        <stp>FPT=A</stp>
        <stp>FA_ACT_EST_DATA=E, EST_SOURCE=RED</stp>
        <stp>ACT_EST_MAPPING=PRECISE</stp>
        <stp>FS=MRC</stp>
        <stp>CURRENCY=USD</stp>
        <stp>XLFILL=b</stp>
        <tr r="BC159" s="2"/>
      </tp>
      <tp t="s">
        <v/>
        <stp/>
        <stp>##V3_BQLV12</stp>
        <stp>[MODL_CRM_US1.xlsx]Single Period!R13C51</stp>
        <stp>CRM US Equity</stp>
        <stp>CURRENT_FUTURE_REV_UNDER_CONTRACT/1M</stp>
        <stp>FPR=2022Y</stp>
        <stp>FPT=A</stp>
        <stp>FA_ACT_EST_DATA=E, EST_SOURCE=RCP</stp>
        <stp>ACT_EST_MAPPING=PRECISE</stp>
        <stp>FS=MRC</stp>
        <stp>CURRENCY=USD</stp>
        <stp>XLFILL=b</stp>
        <tr r="AY13" s="2"/>
      </tp>
      <tp t="s">
        <v/>
        <stp/>
        <stp>##V3_BQLV12</stp>
        <stp>[MODL_CRM_US1.xlsx]Single Period!R159C34</stp>
        <stp>CRM US Equity</stp>
        <stp>SBC_NON_GAAP_TO_SALES</stp>
        <stp>FPR=2022Y</stp>
        <stp>FPT=A</stp>
        <stp>FA_ACT_EST_DATA=E, EST_SOURCE=JEF</stp>
        <stp>ACT_EST_MAPPING=PRECISE</stp>
        <stp>FS=MRC</stp>
        <stp>CURRENCY=USD</stp>
        <stp>XLFILL=b</stp>
        <tr r="AH159" s="2"/>
      </tp>
      <tp>
        <v>5.0460374832794068</v>
        <stp/>
        <stp>##V3_BQLV12</stp>
        <stp>[MODL_CRM_US1.xlsx]Single Period!R193C5</stp>
        <stp>CRM US Equity</stp>
        <stp>FCF_PER_DIL_SHR</stp>
        <stp>FPR=2022Y</stp>
        <stp>FPT=A</stp>
        <stp>FA_ACT_EST_DATA=E</stp>
        <stp>ACT_EST_MAPPING=PRECISE</stp>
        <stp>FS=MRC</stp>
        <stp>CURRENCY=USD</stp>
        <stp>XLFILL=b</stp>
        <tr r="E193" s="2"/>
      </tp>
      <tp>
        <v>609</v>
        <stp/>
        <stp>##V3_BQLV12</stp>
        <stp>[MODL_CRM_US1.xlsx]Single Period!R155C33</stp>
        <stp>CRM US Equity</stp>
        <stp>IS_COMP_NET_INCOME_GAAP/1M</stp>
        <stp>FPR=2022Y</stp>
        <stp>FPT=A</stp>
        <stp>FA_ACT_EST_DATA=E, EST_SOURCE=RHR</stp>
        <stp>ACT_EST_MAPPING=PRECISE</stp>
        <stp>FS=MRC</stp>
        <stp>CURRENCY=USD</stp>
        <stp>XLFILL=b</stp>
        <tr r="AG155" s="2"/>
      </tp>
      <tp t="s">
        <v/>
        <stp/>
        <stp>##V3_BQLV12</stp>
        <stp>[MODL_CRM_US1.xlsx]Single Period!R178C46</stp>
        <stp>CRM US Equity</stp>
        <stp>CB_CF_REPAYMENT_LT_DEBT/1M</stp>
        <stp>FPR=2022Y</stp>
        <stp>FPT=A</stp>
        <stp>FA_ACT_EST_DATA=E, EST_SOURCE=CTI</stp>
        <stp>ACT_EST_MAPPING=PRECISE</stp>
        <stp>FS=MRC</stp>
        <stp>CURRENCY=USD</stp>
        <stp>XLFILL=b</stp>
        <tr r="AT178" s="2"/>
      </tp>
      <tp>
        <v>2876.2698210783328</v>
        <stp/>
        <stp>##V3_BQLV12</stp>
        <stp>[MODL_CRM_US1.xlsx]Single Period!R158C23</stp>
        <stp>CRM US Equity</stp>
        <stp>IS_SBC_NON_GAAP/1M</stp>
        <stp>FPR=2022Y</stp>
        <stp>FPT=A</stp>
        <stp>FA_ACT_EST_DATA=E, EST_SOURCE=JPM</stp>
        <stp>ACT_EST_MAPPING=PRECISE</stp>
        <stp>FS=MRC</stp>
        <stp>CURRENCY=USD</stp>
        <stp>XLFILL=b</stp>
        <tr r="W158" s="2"/>
      </tp>
      <tp t="s">
        <v/>
        <stp/>
        <stp>##V3_BQLV12</stp>
        <stp>[MODL_CRM_US1.xlsx]Single Period!R178C35</stp>
        <stp>CRM US Equity</stp>
        <stp>CB_CF_REPAYMENT_LT_DEBT/1M</stp>
        <stp>FPR=2022Y</stp>
        <stp>FPT=A</stp>
        <stp>FA_ACT_EST_DATA=E, EST_SOURCE=ATL</stp>
        <stp>ACT_EST_MAPPING=PRECISE</stp>
        <stp>FS=MRC</stp>
        <stp>CURRENCY=USD</stp>
        <stp>XLFILL=b</stp>
        <tr r="AI178" s="2"/>
      </tp>
      <tp t="s">
        <v/>
        <stp/>
        <stp>##V3_BQLV12</stp>
        <stp>[MODL_CRM_US1.xlsx]Single Period!R13C48</stp>
        <stp>CRM US Equity</stp>
        <stp>CURRENT_FUTURE_REV_UNDER_CONTRACT/1M</stp>
        <stp>FPR=2022Y</stp>
        <stp>FPT=A</stp>
        <stp>FA_ACT_EST_DATA=E, EST_SOURCE=PJE</stp>
        <stp>ACT_EST_MAPPING=PRECISE</stp>
        <stp>FS=MRC</stp>
        <stp>CURRENCY=USD</stp>
        <stp>XLFILL=b</stp>
        <tr r="AV13" s="2"/>
      </tp>
      <tp t="s">
        <v/>
        <stp/>
        <stp>##V3_BQLV12</stp>
        <stp>[MODL_CRM_US1.xlsx]Single Period!R158C22</stp>
        <stp>CRM US Equity</stp>
        <stp>IS_SBC_NON_GAAP/1M</stp>
        <stp>FPR=2022Y</stp>
        <stp>FPT=A</stp>
        <stp>FA_ACT_EST_DATA=E, EST_SOURCE=OPY</stp>
        <stp>ACT_EST_MAPPING=PRECISE</stp>
        <stp>FS=MRC</stp>
        <stp>CURRENCY=USD</stp>
        <stp>XLFILL=b</stp>
        <tr r="V158" s="2"/>
      </tp>
      <tp t="s">
        <v/>
        <stp/>
        <stp>##V3_BQLV12</stp>
        <stp>[MODL_CRM_US1.xlsx]Single Period!R163C56</stp>
        <stp>CRM US Equity</stp>
        <stp>CB_CF_OTHR_NONCSH_ITEMS/1M</stp>
        <stp>FPR=2022Y</stp>
        <stp>FPT=A</stp>
        <stp>FA_ACT_EST_DATA=E, EST_SOURCE=DIR</stp>
        <stp>ACT_EST_MAPPING=PRECISE</stp>
        <stp>FS=MRC</stp>
        <stp>CURRENCY=USD</stp>
        <stp>XLFILL=b</stp>
        <tr r="BD163" s="2"/>
      </tp>
      <tp>
        <v>10.659768641027711</v>
        <stp/>
        <stp>##V3_BQLV12</stp>
        <stp>[MODL_CRM_US1.xlsx]Single Period!R159C26</stp>
        <stp>CRM US Equity</stp>
        <stp>SBC_NON_GAAP_TO_SALES</stp>
        <stp>FPR=2022Y</stp>
        <stp>FPT=A</stp>
        <stp>FA_ACT_EST_DATA=E, EST_SOURCE=KEY</stp>
        <stp>ACT_EST_MAPPING=PRECISE</stp>
        <stp>FS=MRC</stp>
        <stp>CURRENCY=USD</stp>
        <stp>XLFILL=b</stp>
        <tr r="Z159" s="2"/>
      </tp>
      <tp t="s">
        <v/>
        <stp/>
        <stp>##V3_BQLV12</stp>
        <stp>[MODL_CRM_US1.xlsx]Single Period!R30C29</stp>
        <stp>SEG0000269238 Segment</stp>
        <stp>IS_COGS_TO_FE_AND_PP_AND_G/1M</stp>
        <stp>FPR=2022Y</stp>
        <stp>FPT=A</stp>
        <stp>FA_ACT_EST_DATA=E, EST_SOURCE=BNS</stp>
        <stp>ACT_EST_MAPPING=PRECISE</stp>
        <stp>FS=MRC</stp>
        <stp>CURRENCY=USD</stp>
        <stp>XLFILL=b</stp>
        <tr r="AC30" s="2"/>
      </tp>
      <tp t="s">
        <v/>
        <stp/>
        <stp>##V3_BQLV12</stp>
        <stp>[MODL_CRM_US1.xlsx]Single Period!R30C14</stp>
        <stp>SEG0000269238 Segment</stp>
        <stp>IS_COGS_TO_FE_AND_PP_AND_G/1M</stp>
        <stp>FPR=2022Y</stp>
        <stp>FPT=A</stp>
        <stp>FA_ACT_EST_DATA=E, EST_SOURCE=SNR</stp>
        <stp>ACT_EST_MAPPING=PRECISE</stp>
        <stp>FS=MRC</stp>
        <stp>CURRENCY=USD</stp>
        <stp>XLFILL=b</stp>
        <tr r="N30" s="2"/>
      </tp>
      <tp>
        <v>21448.26</v>
        <stp/>
        <stp>##V3_BQLV12</stp>
        <stp>[MODL_CRM_US1.xlsx]Single Period!R150C16</stp>
        <stp>CRM US Equity</stp>
        <stp>CURRENT_FUTURE_REV_UNDER_CONTRACT/1M</stp>
        <stp>FPR=2022Y</stp>
        <stp>FPT=A</stp>
        <stp>FA_ACT_EST_DATA=E, EST_SOURCE=DBG</stp>
        <stp>ACT_EST_MAPPING=PRECISE</stp>
        <stp>FS=MRC</stp>
        <stp>CURRENCY=USD</stp>
        <stp>XLFILL=b</stp>
        <tr r="P150" s="2"/>
      </tp>
      <tp t="s">
        <v/>
        <stp/>
        <stp>##V3_BQLV12</stp>
        <stp>[MODL_CRM_US1.xlsx]Single Period!R191C43</stp>
        <stp>CRM US Equity</stp>
        <stp>CF_FREE_CASH_FLOW/1M</stp>
        <stp>FPR=2022Y</stp>
        <stp>FPT=A</stp>
        <stp>FA_ACT_EST_DATA=E, EST_SOURCE=DWI</stp>
        <stp>ACT_EST_MAPPING=PRECISE</stp>
        <stp>FS=MRC</stp>
        <stp>CURRENCY=USD</stp>
        <stp>XLFILL=b</stp>
        <tr r="AQ191" s="2"/>
      </tp>
      <tp t="s">
        <v/>
        <stp/>
        <stp>##V3_BQLV12</stp>
        <stp>[MODL_CRM_US1.xlsx]Single Period!R157C41</stp>
        <stp>CRM US Equity</stp>
        <stp>CF_AMORTIZATN_OF_DEFRRD_COMPNSTN/1M</stp>
        <stp>FPR=2022Y</stp>
        <stp>FPT=A</stp>
        <stp>FA_ACT_EST_DATA=E, EST_SOURCE=GSR</stp>
        <stp>ACT_EST_MAPPING=PRECISE</stp>
        <stp>FS=MRC</stp>
        <stp>CURRENCY=USD</stp>
        <stp>XLFILL=b</stp>
        <tr r="AO157" s="2"/>
      </tp>
      <tp t="s">
        <v/>
        <stp/>
        <stp>##V3_BQLV12</stp>
        <stp>[MODL_CRM_US1.xlsx]Single Period!R111C39</stp>
        <stp>CRM US Equity</stp>
        <stp>BS_CASH_CASH_EQUIVALENTS_AND_STI/1M</stp>
        <stp>FPR=2022Y</stp>
        <stp>FPT=A</stp>
        <stp>FA_ACT_EST_DATA=E, EST_SOURCE=KGI</stp>
        <stp>ACT_EST_MAPPING=PRECISE</stp>
        <stp>FS=MRC</stp>
        <stp>CURRENCY=USD</stp>
        <stp>XLFILL=b</stp>
        <tr r="AM111" s="2"/>
      </tp>
      <tp>
        <v>1030</v>
        <stp/>
        <stp>##V3_BQLV12</stp>
        <stp>[MODL_CRM_US1.xlsx]Single Period!R176C15</stp>
        <stp>CRM US Equity</stp>
        <stp>CF_INCR_CAP_STOCK/1M</stp>
        <stp>FPR=2022Y</stp>
        <stp>FPT=A</stp>
        <stp>FA_ACT_EST_DATA=E, EST_SOURCE=MSV</stp>
        <stp>ACT_EST_MAPPING=PRECISE</stp>
        <stp>FS=MRC</stp>
        <stp>CURRENCY=USD</stp>
        <stp>XLFILL=b</stp>
        <tr r="O176" s="2"/>
      </tp>
      <tp t="s">
        <v/>
        <stp/>
        <stp>##V3_BQLV12</stp>
        <stp>[MODL_CRM_US1.xlsx]Single Period!R150C27</stp>
        <stp>CRM US Equity</stp>
        <stp>CURRENT_FUTURE_REV_UNDER_CONTRACT/1M</stp>
        <stp>FPR=2022Y</stp>
        <stp>FPT=A</stp>
        <stp>FA_ACT_EST_DATA=E, EST_SOURCE=LCM</stp>
        <stp>ACT_EST_MAPPING=PRECISE</stp>
        <stp>FS=MRC</stp>
        <stp>CURRENCY=USD</stp>
        <stp>XLFILL=b</stp>
        <tr r="AA150" s="2"/>
      </tp>
      <tp t="s">
        <v/>
        <stp/>
        <stp>##V3_BQLV12</stp>
        <stp>[MODL_CRM_US1.xlsx]Single Period!R150C52</stp>
        <stp>CRM US Equity</stp>
        <stp>CURRENT_FUTURE_REV_UNDER_CONTRACT/1M</stp>
        <stp>FPR=2022Y</stp>
        <stp>FPT=A</stp>
        <stp>FA_ACT_EST_DATA=E, EST_SOURCE=WFR</stp>
        <stp>ACT_EST_MAPPING=PRECISE</stp>
        <stp>FS=MRC</stp>
        <stp>CURRENCY=USD</stp>
        <stp>XLFILL=b</stp>
        <tr r="AZ150" s="2"/>
      </tp>
      <tp t="s">
        <v/>
        <stp/>
        <stp>##V3_BQLV12</stp>
        <stp>[MODL_CRM_US1.xlsx]Single Period!R157C42</stp>
        <stp>CRM US Equity</stp>
        <stp>CF_AMORTIZATN_OF_DEFRRD_COMPNSTN/1M</stp>
        <stp>FPR=2022Y</stp>
        <stp>FPT=A</stp>
        <stp>FA_ACT_EST_DATA=E, EST_SOURCE=PSG</stp>
        <stp>ACT_EST_MAPPING=PRECISE</stp>
        <stp>FS=MRC</stp>
        <stp>CURRENCY=USD</stp>
        <stp>XLFILL=b</stp>
        <tr r="AP157" s="2"/>
      </tp>
      <tp t="s">
        <v/>
        <stp/>
        <stp>##V3_BQLV12</stp>
        <stp>[MODL_CRM_US1.xlsx]Single Period!R157C54</stp>
        <stp>CRM US Equity</stp>
        <stp>CF_AMORTIZATN_OF_DEFRRD_COMPNSTN/1M</stp>
        <stp>FPR=2022Y</stp>
        <stp>FPT=A</stp>
        <stp>FA_ACT_EST_DATA=E, EST_SOURCE=ARE</stp>
        <stp>ACT_EST_MAPPING=PRECISE</stp>
        <stp>FS=MRC</stp>
        <stp>CURRENCY=USD</stp>
        <stp>XLFILL=b</stp>
        <tr r="BB157" s="2"/>
      </tp>
      <tp t="s">
        <v/>
        <stp/>
        <stp>##V3_BQLV12</stp>
        <stp>[MODL_CRM_US1.xlsx]Single Period!R164C44</stp>
        <stp>CRM US Equity</stp>
        <stp>CHG_IN_ACCT_PYBL_AND_ACC_EXPNSS/1M</stp>
        <stp>FPR=2022Y</stp>
        <stp>FPT=A</stp>
        <stp>FA_ACT_EST_DATA=E, EST_SOURCE=RWB</stp>
        <stp>ACT_EST_MAPPING=PRECISE</stp>
        <stp>FS=MRC</stp>
        <stp>CURRENCY=USD</stp>
        <stp>XLFILL=b</stp>
        <tr r="AR164" s="2"/>
      </tp>
      <tp t="s">
        <v/>
        <stp/>
        <stp>##V3_BQLV12</stp>
        <stp>[MODL_CRM_US1.xlsx]Single Period!R176C54</stp>
        <stp>CRM US Equity</stp>
        <stp>CF_INCR_CAP_STOCK/1M</stp>
        <stp>FPR=2022Y</stp>
        <stp>FPT=A</stp>
        <stp>FA_ACT_EST_DATA=E, EST_SOURCE=ARE</stp>
        <stp>ACT_EST_MAPPING=PRECISE</stp>
        <stp>FS=MRC</stp>
        <stp>CURRENCY=USD</stp>
        <stp>XLFILL=b</stp>
        <tr r="BB176" s="2"/>
      </tp>
      <tp t="s">
        <v/>
        <stp/>
        <stp>##V3_BQLV12</stp>
        <stp>[MODL_CRM_US1.xlsx]Single Period!R157C35</stp>
        <stp>CRM US Equity</stp>
        <stp>CF_AMORTIZATN_OF_DEFRRD_COMPNSTN/1M</stp>
        <stp>FPR=2022Y</stp>
        <stp>FPT=A</stp>
        <stp>FA_ACT_EST_DATA=E, EST_SOURCE=ATL</stp>
        <stp>ACT_EST_MAPPING=PRECISE</stp>
        <stp>FS=MRC</stp>
        <stp>CURRENCY=USD</stp>
        <stp>XLFILL=b</stp>
        <tr r="AI157" s="2"/>
      </tp>
      <tp t="s">
        <v/>
        <stp/>
        <stp>##V3_BQLV12</stp>
        <stp>[MODL_CRM_US1.xlsx]Single Period!R141C20</stp>
        <stp>CRM US Equity</stp>
        <stp>BS_PURE_RETAINED_EARNINGS/1M</stp>
        <stp>FPR=2022Y</stp>
        <stp>FPT=A</stp>
        <stp>FA_ACT_EST_DATA=E, EST_SOURCE=JMP</stp>
        <stp>ACT_EST_MAPPING=PRECISE</stp>
        <stp>FS=MRC</stp>
        <stp>CURRENCY=USD</stp>
        <stp>XLFILL=b</stp>
        <tr r="T141" s="2"/>
      </tp>
      <tp t="s">
        <v/>
        <stp/>
        <stp>##V3_BQLV12</stp>
        <stp>[MODL_CRM_US1.xlsx]Single Period!R164C43</stp>
        <stp>CRM US Equity</stp>
        <stp>CHG_IN_ACCT_PYBL_AND_ACC_EXPNSS/1M</stp>
        <stp>FPR=2022Y</stp>
        <stp>FPT=A</stp>
        <stp>FA_ACT_EST_DATA=E, EST_SOURCE=DWI</stp>
        <stp>ACT_EST_MAPPING=PRECISE</stp>
        <stp>FS=MRC</stp>
        <stp>CURRENCY=USD</stp>
        <stp>XLFILL=b</stp>
        <tr r="AQ164" s="2"/>
      </tp>
      <tp t="s">
        <v/>
        <stp/>
        <stp>##V3_BQLV12</stp>
        <stp>[MODL_CRM_US1.xlsx]Single Period!R164C28</stp>
        <stp>CRM US Equity</stp>
        <stp>CHG_IN_ACCT_PYBL_AND_ACC_EXPNSS/1M</stp>
        <stp>FPR=2022Y</stp>
        <stp>FPT=A</stp>
        <stp>FA_ACT_EST_DATA=E, EST_SOURCE=CWN</stp>
        <stp>ACT_EST_MAPPING=PRECISE</stp>
        <stp>FS=MRC</stp>
        <stp>CURRENCY=USD</stp>
        <stp>XLFILL=b</stp>
        <tr r="AB164" s="2"/>
      </tp>
      <tp t="s">
        <v/>
        <stp/>
        <stp>##V3_BQLV12</stp>
        <stp>[MODL_CRM_US1.xlsx]Single Period!R115C15</stp>
        <stp>CRM US Equity</stp>
        <stp>CB_BS_OTHER_CURRENT_ASSETS/1M</stp>
        <stp>FPR=2022Y</stp>
        <stp>FPT=A</stp>
        <stp>FA_ACT_EST_DATA=E, EST_SOURCE=MSV</stp>
        <stp>ACT_EST_MAPPING=PRECISE</stp>
        <stp>FS=MRC</stp>
        <stp>CURRENCY=USD</stp>
        <stp>XLFILL=b</stp>
        <tr r="O115" s="2"/>
      </tp>
      <tp t="s">
        <v/>
        <stp/>
        <stp>##V3_BQLV12</stp>
        <stp>[MODL_CRM_US1.xlsx]Single Period!R145C39</stp>
        <stp>CRM US Equity</stp>
        <stp>CB_BS_LT_BORROWING/1M</stp>
        <stp>FPR=2022Y</stp>
        <stp>FPT=A</stp>
        <stp>FA_ACT_EST_DATA=E, EST_SOURCE=KGI</stp>
        <stp>ACT_EST_MAPPING=PRECISE</stp>
        <stp>FS=MRC</stp>
        <stp>CURRENCY=USD</stp>
        <stp>XLFILL=b</stp>
        <tr r="AM145" s="2"/>
      </tp>
      <tp t="s">
        <v/>
        <stp/>
        <stp>##V3_BQLV12</stp>
        <stp>[MODL_CRM_US1.xlsx]Single Period!R115C41</stp>
        <stp>CRM US Equity</stp>
        <stp>CB_BS_OTHER_CURRENT_ASSETS/1M</stp>
        <stp>FPR=2022Y</stp>
        <stp>FPT=A</stp>
        <stp>FA_ACT_EST_DATA=E, EST_SOURCE=GSR</stp>
        <stp>ACT_EST_MAPPING=PRECISE</stp>
        <stp>FS=MRC</stp>
        <stp>CURRENCY=USD</stp>
        <stp>XLFILL=b</stp>
        <tr r="AO115" s="2"/>
      </tp>
      <tp t="s">
        <v/>
        <stp/>
        <stp>##V3_BQLV12</stp>
        <stp>[MODL_CRM_US1.xlsx]Single Period!R115C38</stp>
        <stp>CRM US Equity</stp>
        <stp>CB_BS_OTHER_CURRENT_ASSETS/1M</stp>
        <stp>FPR=2022Y</stp>
        <stp>FPT=A</stp>
        <stp>FA_ACT_EST_DATA=E, EST_SOURCE=MSR</stp>
        <stp>ACT_EST_MAPPING=PRECISE</stp>
        <stp>FS=MRC</stp>
        <stp>CURRENCY=USD</stp>
        <stp>XLFILL=b</stp>
        <tr r="AL115" s="2"/>
      </tp>
      <tp t="s">
        <v/>
        <stp/>
        <stp>##V3_BQLV12</stp>
        <stp>[MODL_CRM_US1.xlsx]Single Period!R118C22</stp>
        <stp>CRM US Equity</stp>
        <stp>CB_BS_PP_AND_E_NET/1M</stp>
        <stp>FPR=2022Y</stp>
        <stp>FPT=A</stp>
        <stp>FA_ACT_EST_DATA=E, EST_SOURCE=OPY</stp>
        <stp>ACT_EST_MAPPING=PRECISE</stp>
        <stp>FS=MRC</stp>
        <stp>CURRENCY=USD</stp>
        <stp>XLFILL=b</stp>
        <tr r="V118" s="2"/>
      </tp>
      <tp t="s">
        <v/>
        <stp/>
        <stp>##V3_BQLV12</stp>
        <stp>[MODL_CRM_US1.xlsx]Single Period!R80C33</stp>
        <stp>CRM US Equity</stp>
        <stp>GROSS_MARGIN</stp>
        <stp>FPR=2022Y</stp>
        <stp>FPT=A</stp>
        <stp>FA_ACT_EST_DATA=E, EST_SOURCE=RHR</stp>
        <stp>ACT_EST_MAPPING=PRECISE</stp>
        <stp>FS=MRC</stp>
        <stp>CURRENCY=USD</stp>
        <stp>XLFILL=b</stp>
        <tr r="AG80" s="2"/>
      </tp>
      <tp t="s">
        <v/>
        <stp/>
        <stp>##V3_BQLV12</stp>
        <stp>[MODL_CRM_US1.xlsx]Single Period!R113C41</stp>
        <stp>CRM US Equity</stp>
        <stp>BS_MKT_SEC_OTHER_ST_INVEST/1M</stp>
        <stp>FPR=2022Y</stp>
        <stp>FPT=A</stp>
        <stp>FA_ACT_EST_DATA=E, EST_SOURCE=GSR</stp>
        <stp>ACT_EST_MAPPING=PRECISE</stp>
        <stp>FS=MRC</stp>
        <stp>CURRENCY=USD</stp>
        <stp>XLFILL=b</stp>
        <tr r="AO113" s="2"/>
      </tp>
      <tp t="s">
        <v/>
        <stp/>
        <stp>##V3_BQLV12</stp>
        <stp>[MODL_CRM_US1.xlsx]Single Period!R113C38</stp>
        <stp>CRM US Equity</stp>
        <stp>BS_MKT_SEC_OTHER_ST_INVEST/1M</stp>
        <stp>FPR=2022Y</stp>
        <stp>FPT=A</stp>
        <stp>FA_ACT_EST_DATA=E, EST_SOURCE=MSR</stp>
        <stp>ACT_EST_MAPPING=PRECISE</stp>
        <stp>FS=MRC</stp>
        <stp>CURRENCY=USD</stp>
        <stp>XLFILL=b</stp>
        <tr r="AL113" s="2"/>
      </tp>
      <tp>
        <v>5771</v>
        <stp/>
        <stp>##V3_BQLV12</stp>
        <stp>[MODL_CRM_US1.xlsx]Single Period!R113C15</stp>
        <stp>CRM US Equity</stp>
        <stp>BS_MKT_SEC_OTHER_ST_INVEST/1M</stp>
        <stp>FPR=2022Y</stp>
        <stp>FPT=A</stp>
        <stp>FA_ACT_EST_DATA=E, EST_SOURCE=MSV</stp>
        <stp>ACT_EST_MAPPING=PRECISE</stp>
        <stp>FS=MRC</stp>
        <stp>CURRENCY=USD</stp>
        <stp>XLFILL=b</stp>
        <tr r="O113" s="2"/>
      </tp>
      <tp t="s">
        <v/>
        <stp/>
        <stp>##V3_BQLV12</stp>
        <stp>[MODL_CRM_US1.xlsx]Single Period!R145C49</stp>
        <stp>CRM US Equity</stp>
        <stp>CB_BS_LT_BORROWING/1M</stp>
        <stp>FPR=2022Y</stp>
        <stp>FPT=A</stp>
        <stp>FA_ACT_EST_DATA=E, EST_SOURCE=SGE</stp>
        <stp>ACT_EST_MAPPING=PRECISE</stp>
        <stp>FS=MRC</stp>
        <stp>CURRENCY=USD</stp>
        <stp>XLFILL=b</stp>
        <tr r="AW145" s="2"/>
      </tp>
      <tp t="s">
        <v/>
        <stp/>
        <stp>##V3_BQLV12</stp>
        <stp>[MODL_CRM_US1.xlsx]Single Period!R115C42</stp>
        <stp>CRM US Equity</stp>
        <stp>CB_BS_OTHER_CURRENT_ASSETS/1M</stp>
        <stp>FPR=2022Y</stp>
        <stp>FPT=A</stp>
        <stp>FA_ACT_EST_DATA=E, EST_SOURCE=PSG</stp>
        <stp>ACT_EST_MAPPING=PRECISE</stp>
        <stp>FS=MRC</stp>
        <stp>CURRENCY=USD</stp>
        <stp>XLFILL=b</stp>
        <tr r="AP115" s="2"/>
      </tp>
      <tp>
        <v>21413.200000000001</v>
        <stp/>
        <stp>##V3_BQLV12</stp>
        <stp>[MODL_CRM_US1.xlsx]Single Period!R13C6</stp>
        <stp>CRM US Equity</stp>
        <stp>CONTRIBUTOR_STATS(CURRENT_FUTURE_REV_UNDER_CONTRACT, MIN)/1M</stp>
        <stp>FPR=2022Y</stp>
        <stp>FPT=A</stp>
        <stp>FA_ACT_EST_DATA=E</stp>
        <stp>ACT_EST_MAPPING=PRECISE</stp>
        <stp>FS=MRC</stp>
        <stp>CURRENCY=USD</stp>
        <stp>XLFILL=b</stp>
        <tr r="F13" s="2"/>
      </tp>
      <tp t="s">
        <v/>
        <stp/>
        <stp>##V3_BQLV12</stp>
        <stp>[MODL_CRM_US1.xlsx]Single Period!R118C23</stp>
        <stp>CRM US Equity</stp>
        <stp>CB_BS_PP_AND_E_NET/1M</stp>
        <stp>FPR=2022Y</stp>
        <stp>FPT=A</stp>
        <stp>FA_ACT_EST_DATA=E, EST_SOURCE=JPM</stp>
        <stp>ACT_EST_MAPPING=PRECISE</stp>
        <stp>FS=MRC</stp>
        <stp>CURRENCY=USD</stp>
        <stp>XLFILL=b</stp>
        <tr r="W118" s="2"/>
      </tp>
      <tp t="s">
        <v/>
        <stp/>
        <stp>##V3_BQLV12</stp>
        <stp>[MODL_CRM_US1.xlsx]Single Period!R80C21</stp>
        <stp>CRM US Equity</stp>
        <stp>GROSS_MARGIN</stp>
        <stp>FPR=2022Y</stp>
        <stp>FPT=A</stp>
        <stp>FA_ACT_EST_DATA=E, EST_SOURCE=RJA</stp>
        <stp>ACT_EST_MAPPING=PRECISE</stp>
        <stp>FS=MRC</stp>
        <stp>CURRENCY=USD</stp>
        <stp>XLFILL=b</stp>
        <tr r="U80" s="2"/>
      </tp>
      <tp t="s">
        <v/>
        <stp/>
        <stp>##V3_BQLV12</stp>
        <stp>[MODL_CRM_US1.xlsx]Single Period!R113C42</stp>
        <stp>CRM US Equity</stp>
        <stp>BS_MKT_SEC_OTHER_ST_INVEST/1M</stp>
        <stp>FPR=2022Y</stp>
        <stp>FPT=A</stp>
        <stp>FA_ACT_EST_DATA=E, EST_SOURCE=PSG</stp>
        <stp>ACT_EST_MAPPING=PRECISE</stp>
        <stp>FS=MRC</stp>
        <stp>CURRENCY=USD</stp>
        <stp>XLFILL=b</stp>
        <tr r="AP113" s="2"/>
      </tp>
      <tp t="s">
        <v/>
        <stp/>
        <stp>##V3_BQLV12</stp>
        <stp>[MODL_CRM_US1.xlsx]Single Period!R138C54</stp>
        <stp>CRM US Equity</stp>
        <stp>BS_COMMON_STOCK/1M</stp>
        <stp>FPR=2022Y</stp>
        <stp>FPT=A</stp>
        <stp>FA_ACT_EST_DATA=E, EST_SOURCE=ARE</stp>
        <stp>ACT_EST_MAPPING=PRECISE</stp>
        <stp>FS=MRC</stp>
        <stp>CURRENCY=USD</stp>
        <stp>XLFILL=b</stp>
        <tr r="BB138" s="2"/>
      </tp>
      <tp t="s">
        <v/>
        <stp/>
        <stp>##V3_BQLV12</stp>
        <stp>[MODL_CRM_US1.xlsx]Single Period!R178C42</stp>
        <stp>CRM US Equity</stp>
        <stp>CB_CF_REPAYMENT_LT_DEBT/1M</stp>
        <stp>FPR=2022Y</stp>
        <stp>FPT=A</stp>
        <stp>FA_ACT_EST_DATA=E, EST_SOURCE=PSG</stp>
        <stp>ACT_EST_MAPPING=PRECISE</stp>
        <stp>FS=MRC</stp>
        <stp>CURRENCY=USD</stp>
        <stp>XLFILL=b</stp>
        <tr r="AP178" s="2"/>
      </tp>
      <tp t="s">
        <v/>
        <stp/>
        <stp>##V3_BQLV12</stp>
        <stp>[MODL_CRM_US1.xlsx]Single Period!R138C45</stp>
        <stp>CRM US Equity</stp>
        <stp>BS_COMMON_STOCK/1M</stp>
        <stp>FPR=2022Y</stp>
        <stp>FPT=A</stp>
        <stp>FA_ACT_EST_DATA=E, EST_SOURCE=ARG</stp>
        <stp>ACT_EST_MAPPING=PRECISE</stp>
        <stp>FS=MRC</stp>
        <stp>CURRENCY=USD</stp>
        <stp>XLFILL=b</stp>
        <tr r="AS138" s="2"/>
      </tp>
      <tp t="s">
        <v/>
        <stp/>
        <stp>##V3_BQLV12</stp>
        <stp>[MODL_CRM_US1.xlsx]Single Period!R159C24</stp>
        <stp>CRM US Equity</stp>
        <stp>SBC_NON_GAAP_TO_SALES</stp>
        <stp>FPR=2022Y</stp>
        <stp>FPT=A</stp>
        <stp>FA_ACT_EST_DATA=E, EST_SOURCE=FBC</stp>
        <stp>ACT_EST_MAPPING=PRECISE</stp>
        <stp>FS=MRC</stp>
        <stp>CURRENCY=USD</stp>
        <stp>XLFILL=b</stp>
        <tr r="X159" s="2"/>
      </tp>
      <tp t="s">
        <v/>
        <stp/>
        <stp>##V3_BQLV12</stp>
        <stp>[MODL_CRM_US1.xlsx]Single Period!R159C31</stp>
        <stp>CRM US Equity</stp>
        <stp>SBC_NON_GAAP_TO_SALES</stp>
        <stp>FPR=2022Y</stp>
        <stp>FPT=A</stp>
        <stp>FA_ACT_EST_DATA=E, EST_SOURCE=RBC</stp>
        <stp>ACT_EST_MAPPING=PRECISE</stp>
        <stp>FS=MRC</stp>
        <stp>CURRENCY=USD</stp>
        <stp>XLFILL=b</stp>
        <tr r="AE159" s="2"/>
      </tp>
      <tp t="s">
        <v/>
        <stp/>
        <stp>##V3_BQLV12</stp>
        <stp>[MODL_CRM_US1.xlsx]Single Period!R86C48</stp>
        <stp>CRM US Equity</stp>
        <stp>IS_GENERAL_AND_ADMIN_GAAP/1M</stp>
        <stp>FPR=2022Y</stp>
        <stp>FPT=A</stp>
        <stp>FA_ACT_EST_DATA=E, EST_SOURCE=PJE</stp>
        <stp>ACT_EST_MAPPING=PRECISE</stp>
        <stp>FS=MRC</stp>
        <stp>CURRENCY=USD</stp>
        <stp>XLFILL=b</stp>
        <tr r="AV86" s="2"/>
      </tp>
      <tp t="s">
        <v/>
        <stp/>
        <stp>##V3_BQLV12</stp>
        <stp>[MODL_CRM_US1.xlsx]Single Period!R158C44</stp>
        <stp>CRM US Equity</stp>
        <stp>IS_SBC_NON_GAAP/1M</stp>
        <stp>FPR=2022Y</stp>
        <stp>FPT=A</stp>
        <stp>FA_ACT_EST_DATA=E, EST_SOURCE=RWB</stp>
        <stp>ACT_EST_MAPPING=PRECISE</stp>
        <stp>FS=MRC</stp>
        <stp>CURRENCY=USD</stp>
        <stp>XLFILL=b</stp>
        <tr r="AR158" s="2"/>
      </tp>
      <tp t="s">
        <v/>
        <stp/>
        <stp>##V3_BQLV12</stp>
        <stp>[MODL_CRM_US1.xlsx]Single Period!R159C16</stp>
        <stp>CRM US Equity</stp>
        <stp>SBC_NON_GAAP_TO_SALES</stp>
        <stp>FPR=2022Y</stp>
        <stp>FPT=A</stp>
        <stp>FA_ACT_EST_DATA=E, EST_SOURCE=DBG</stp>
        <stp>ACT_EST_MAPPING=PRECISE</stp>
        <stp>FS=MRC</stp>
        <stp>CURRENCY=USD</stp>
        <stp>XLFILL=b</stp>
        <tr r="P159" s="2"/>
      </tp>
      <tp>
        <v>19506.401625466318</v>
        <stp/>
        <stp>##V3_BQLV12</stp>
        <stp>[MODL_CRM_US1.xlsx]Single Period!R79C5</stp>
        <stp>CRM US Equity</stp>
        <stp>CB_IS_GROSS_PROFIT/1M</stp>
        <stp>FPR=2022Y</stp>
        <stp>FPT=A</stp>
        <stp>FA_ACT_EST_DATA=E</stp>
        <stp>ACT_EST_MAPPING=PRECISE</stp>
        <stp>FS=MRC</stp>
        <stp>CURRENCY=USD</stp>
        <stp>XLFILL=b</stp>
        <tr r="E79" s="2"/>
      </tp>
      <tp t="s">
        <v/>
        <stp/>
        <stp>##V3_BQLV12</stp>
        <stp>[MODL_CRM_US1.xlsx]Single Period!R159C11</stp>
        <stp>CRM US Equity</stp>
        <stp>SBC_NON_GAAP_TO_SALES</stp>
        <stp>FPR=2022Y</stp>
        <stp>FPT=A</stp>
        <stp>FA_ACT_EST_DATA=E, EST_SOURCE=WBL</stp>
        <stp>ACT_EST_MAPPING=PRECISE</stp>
        <stp>FS=MRC</stp>
        <stp>CURRENCY=USD</stp>
        <stp>XLFILL=b</stp>
        <tr r="K159" s="2"/>
      </tp>
      <tp t="s">
        <v/>
        <stp/>
        <stp>##V3_BQLV12</stp>
        <stp>[MODL_CRM_US1.xlsx]Single Period!R158C43</stp>
        <stp>CRM US Equity</stp>
        <stp>IS_SBC_NON_GAAP/1M</stp>
        <stp>FPR=2022Y</stp>
        <stp>FPT=A</stp>
        <stp>FA_ACT_EST_DATA=E, EST_SOURCE=DWI</stp>
        <stp>ACT_EST_MAPPING=PRECISE</stp>
        <stp>FS=MRC</stp>
        <stp>CURRENCY=USD</stp>
        <stp>XLFILL=b</stp>
        <tr r="AQ158" s="2"/>
      </tp>
      <tp t="s">
        <v/>
        <stp/>
        <stp>##V3_BQLV12</stp>
        <stp>[MODL_CRM_US1.xlsx]Single Period!R158C28</stp>
        <stp>CRM US Equity</stp>
        <stp>IS_SBC_NON_GAAP/1M</stp>
        <stp>FPR=2022Y</stp>
        <stp>FPT=A</stp>
        <stp>FA_ACT_EST_DATA=E, EST_SOURCE=CWN</stp>
        <stp>ACT_EST_MAPPING=PRECISE</stp>
        <stp>FS=MRC</stp>
        <stp>CURRENCY=USD</stp>
        <stp>XLFILL=b</stp>
        <tr r="AB158" s="2"/>
      </tp>
      <tp t="s">
        <v/>
        <stp/>
        <stp>##V3_BQLV12</stp>
        <stp>[MODL_CRM_US1.xlsx]Single Period!R178C38</stp>
        <stp>CRM US Equity</stp>
        <stp>CB_CF_REPAYMENT_LT_DEBT/1M</stp>
        <stp>FPR=2022Y</stp>
        <stp>FPT=A</stp>
        <stp>FA_ACT_EST_DATA=E, EST_SOURCE=MSR</stp>
        <stp>ACT_EST_MAPPING=PRECISE</stp>
        <stp>FS=MRC</stp>
        <stp>CURRENCY=USD</stp>
        <stp>XLFILL=b</stp>
        <tr r="AL178" s="2"/>
      </tp>
      <tp t="s">
        <v/>
        <stp/>
        <stp>##V3_BQLV12</stp>
        <stp>[MODL_CRM_US1.xlsx]Single Period!R159C32</stp>
        <stp>CRM US Equity</stp>
        <stp>SBC_NON_GAAP_TO_SALES</stp>
        <stp>FPR=2022Y</stp>
        <stp>FPT=A</stp>
        <stp>FA_ACT_EST_DATA=E, EST_SOURCE=UBS</stp>
        <stp>ACT_EST_MAPPING=PRECISE</stp>
        <stp>FS=MRC</stp>
        <stp>CURRENCY=USD</stp>
        <stp>XLFILL=b</stp>
        <tr r="AF159" s="2"/>
      </tp>
      <tp>
        <v>-4</v>
        <stp/>
        <stp>##V3_BQLV12</stp>
        <stp>[MODL_CRM_US1.xlsx]Single Period!R178C15</stp>
        <stp>CRM US Equity</stp>
        <stp>CB_CF_REPAYMENT_LT_DEBT/1M</stp>
        <stp>FPR=2022Y</stp>
        <stp>FPT=A</stp>
        <stp>FA_ACT_EST_DATA=E, EST_SOURCE=MSV</stp>
        <stp>ACT_EST_MAPPING=PRECISE</stp>
        <stp>FS=MRC</stp>
        <stp>CURRENCY=USD</stp>
        <stp>XLFILL=b</stp>
        <tr r="O178" s="2"/>
      </tp>
      <tp t="s">
        <v/>
        <stp/>
        <stp>##V3_BQLV12</stp>
        <stp>[MODL_CRM_US1.xlsx]Single Period!R86C51</stp>
        <stp>CRM US Equity</stp>
        <stp>IS_GENERAL_AND_ADMIN_GAAP/1M</stp>
        <stp>FPR=2022Y</stp>
        <stp>FPT=A</stp>
        <stp>FA_ACT_EST_DATA=E, EST_SOURCE=RCP</stp>
        <stp>ACT_EST_MAPPING=PRECISE</stp>
        <stp>FS=MRC</stp>
        <stp>CURRENCY=USD</stp>
        <stp>XLFILL=b</stp>
        <tr r="AY86" s="2"/>
      </tp>
      <tp t="s">
        <v/>
        <stp/>
        <stp>##V3_BQLV12</stp>
        <stp>[MODL_CRM_US1.xlsx]Single Period!R178C41</stp>
        <stp>CRM US Equity</stp>
        <stp>CB_CF_REPAYMENT_LT_DEBT/1M</stp>
        <stp>FPR=2022Y</stp>
        <stp>FPT=A</stp>
        <stp>FA_ACT_EST_DATA=E, EST_SOURCE=GSR</stp>
        <stp>ACT_EST_MAPPING=PRECISE</stp>
        <stp>FS=MRC</stp>
        <stp>CURRENCY=USD</stp>
        <stp>XLFILL=b</stp>
        <tr r="AO178" s="2"/>
      </tp>
      <tp t="s">
        <v/>
        <stp/>
        <stp>##V3_BQLV12</stp>
        <stp>[MODL_CRM_US1.xlsx]Single Period!R163C14</stp>
        <stp>CRM US Equity</stp>
        <stp>CB_CF_OTHR_NONCSH_ITEMS/1M</stp>
        <stp>FPR=2022Y</stp>
        <stp>FPT=A</stp>
        <stp>FA_ACT_EST_DATA=E, EST_SOURCE=SNR</stp>
        <stp>ACT_EST_MAPPING=PRECISE</stp>
        <stp>FS=MRC</stp>
        <stp>CURRENCY=USD</stp>
        <stp>XLFILL=b</stp>
        <tr r="N163" s="2"/>
      </tp>
      <tp t="s">
        <v/>
        <stp/>
        <stp>##V3_BQLV12</stp>
        <stp>[MODL_CRM_US1.xlsx]Single Period!R163C29</stp>
        <stp>CRM US Equity</stp>
        <stp>CB_CF_OTHR_NONCSH_ITEMS/1M</stp>
        <stp>FPR=2022Y</stp>
        <stp>FPT=A</stp>
        <stp>FA_ACT_EST_DATA=E, EST_SOURCE=BNS</stp>
        <stp>ACT_EST_MAPPING=PRECISE</stp>
        <stp>FS=MRC</stp>
        <stp>CURRENCY=USD</stp>
        <stp>XLFILL=b</stp>
        <tr r="AC163" s="2"/>
      </tp>
      <tp t="s">
        <v/>
        <stp/>
        <stp>##V3_BQLV12</stp>
        <stp>[MODL_CRM_US1.xlsx]Single Period!R150C40</stp>
        <stp>CRM US Equity</stp>
        <stp>CURRENT_FUTURE_REV_UNDER_CONTRACT/1M</stp>
        <stp>FPR=2022Y</stp>
        <stp>FPT=A</stp>
        <stp>FA_ACT_EST_DATA=E, EST_SOURCE=ACC</stp>
        <stp>ACT_EST_MAPPING=PRECISE</stp>
        <stp>FS=MRC</stp>
        <stp>CURRENCY=USD</stp>
        <stp>XLFILL=b</stp>
        <tr r="AN150" s="2"/>
      </tp>
      <tp t="s">
        <v/>
        <stp/>
        <stp>##V3_BQLV12</stp>
        <stp>[MODL_CRM_US1.xlsx]Single Period!R150C31</stp>
        <stp>CRM US Equity</stp>
        <stp>CURRENT_FUTURE_REV_UNDER_CONTRACT/1M</stp>
        <stp>FPR=2022Y</stp>
        <stp>FPT=A</stp>
        <stp>FA_ACT_EST_DATA=E, EST_SOURCE=RBC</stp>
        <stp>ACT_EST_MAPPING=PRECISE</stp>
        <stp>FS=MRC</stp>
        <stp>CURRENCY=USD</stp>
        <stp>XLFILL=b</stp>
        <tr r="AE150" s="2"/>
      </tp>
      <tp t="s">
        <v/>
        <stp/>
        <stp>##V3_BQLV12</stp>
        <stp>[MODL_CRM_US1.xlsx]Single Period!R191C23</stp>
        <stp>CRM US Equity</stp>
        <stp>CF_FREE_CASH_FLOW/1M</stp>
        <stp>FPR=2022Y</stp>
        <stp>FPT=A</stp>
        <stp>FA_ACT_EST_DATA=E, EST_SOURCE=JPM</stp>
        <stp>ACT_EST_MAPPING=PRECISE</stp>
        <stp>FS=MRC</stp>
        <stp>CURRENCY=USD</stp>
        <stp>XLFILL=b</stp>
        <tr r="W191" s="2"/>
      </tp>
      <tp>
        <v>1414.036431874305</v>
        <stp/>
        <stp>##V3_BQLV12</stp>
        <stp>[MODL_CRM_US1.xlsx]Single Period!R115C5</stp>
        <stp>CRM US Equity</stp>
        <stp>CB_BS_OTHER_CURRENT_ASSETS/1M</stp>
        <stp>FPR=2022Y</stp>
        <stp>FPT=A</stp>
        <stp>FA_ACT_EST_DATA=E</stp>
        <stp>ACT_EST_MAPPING=PRECISE</stp>
        <stp>FS=MRC</stp>
        <stp>CURRENCY=USD</stp>
        <stp>XLFILL=b</stp>
        <tr r="E115" s="2"/>
      </tp>
      <tp t="s">
        <v/>
        <stp/>
        <stp>##V3_BQLV12</stp>
        <stp>[MODL_CRM_US1.xlsx]Single Period!R30C56</stp>
        <stp>SEG0000269238 Segment</stp>
        <stp>IS_COGS_TO_FE_AND_PP_AND_G/1M</stp>
        <stp>FPR=2022Y</stp>
        <stp>FPT=A</stp>
        <stp>FA_ACT_EST_DATA=E, EST_SOURCE=DIR</stp>
        <stp>ACT_EST_MAPPING=PRECISE</stp>
        <stp>FS=MRC</stp>
        <stp>CURRENCY=USD</stp>
        <stp>XLFILL=b</stp>
        <tr r="BD30" s="2"/>
      </tp>
      <tp t="s">
        <v/>
        <stp/>
        <stp>##V3_BQLV12</stp>
        <stp>[MODL_CRM_US1.xlsx]Single Period!R111C49</stp>
        <stp>CRM US Equity</stp>
        <stp>BS_CASH_CASH_EQUIVALENTS_AND_STI/1M</stp>
        <stp>FPR=2022Y</stp>
        <stp>FPT=A</stp>
        <stp>FA_ACT_EST_DATA=E, EST_SOURCE=SGE</stp>
        <stp>ACT_EST_MAPPING=PRECISE</stp>
        <stp>FS=MRC</stp>
        <stp>CURRENCY=USD</stp>
        <stp>XLFILL=b</stp>
        <tr r="AW111" s="2"/>
      </tp>
      <tp t="s">
        <v/>
        <stp/>
        <stp>##V3_BQLV12</stp>
        <stp>[MODL_CRM_US1.xlsx]Single Period!R141C53</stp>
        <stp>CRM US Equity</stp>
        <stp>BS_PURE_RETAINED_EARNINGS/1M</stp>
        <stp>FPR=2022Y</stp>
        <stp>FPT=A</stp>
        <stp>FA_ACT_EST_DATA=E, EST_SOURCE=NIK</stp>
        <stp>ACT_EST_MAPPING=PRECISE</stp>
        <stp>FS=MRC</stp>
        <stp>CURRENCY=USD</stp>
        <stp>XLFILL=b</stp>
        <tr r="BA141" s="2"/>
      </tp>
      <tp t="s">
        <v/>
        <stp/>
        <stp>##V3_BQLV12</stp>
        <stp>[MODL_CRM_US1.xlsx]Single Period!R111C11</stp>
        <stp>CRM US Equity</stp>
        <stp>BS_CASH_CASH_EQUIVALENTS_AND_STI/1M</stp>
        <stp>FPR=2022Y</stp>
        <stp>FPT=A</stp>
        <stp>FA_ACT_EST_DATA=E, EST_SOURCE=WBL</stp>
        <stp>ACT_EST_MAPPING=PRECISE</stp>
        <stp>FS=MRC</stp>
        <stp>CURRENCY=USD</stp>
        <stp>XLFILL=b</stp>
        <tr r="K111" s="2"/>
      </tp>
      <tp t="s">
        <v/>
        <stp/>
        <stp>##V3_BQLV12</stp>
        <stp>[MODL_CRM_US1.xlsx]Single Period!R164C22</stp>
        <stp>CRM US Equity</stp>
        <stp>CHG_IN_ACCT_PYBL_AND_ACC_EXPNSS/1M</stp>
        <stp>FPR=2022Y</stp>
        <stp>FPT=A</stp>
        <stp>FA_ACT_EST_DATA=E, EST_SOURCE=OPY</stp>
        <stp>ACT_EST_MAPPING=PRECISE</stp>
        <stp>FS=MRC</stp>
        <stp>CURRENCY=USD</stp>
        <stp>XLFILL=b</stp>
        <tr r="V164" s="2"/>
      </tp>
      <tp t="s">
        <v/>
        <stp/>
        <stp>##V3_BQLV12</stp>
        <stp>[MODL_CRM_US1.xlsx]Single Period!R150C17</stp>
        <stp>CRM US Equity</stp>
        <stp>CURRENT_FUTURE_REV_UNDER_CONTRACT/1M</stp>
        <stp>FPR=2022Y</stp>
        <stp>FPT=A</stp>
        <stp>FA_ACT_EST_DATA=E, EST_SOURCE=NDH</stp>
        <stp>ACT_EST_MAPPING=PRECISE</stp>
        <stp>FS=MRC</stp>
        <stp>CURRENCY=USD</stp>
        <stp>XLFILL=b</stp>
        <tr r="Q150" s="2"/>
      </tp>
      <tp t="s">
        <v/>
        <stp/>
        <stp>##V3_BQLV12</stp>
        <stp>[MODL_CRM_US1.xlsx]Single Period!R111C16</stp>
        <stp>CRM US Equity</stp>
        <stp>BS_CASH_CASH_EQUIVALENTS_AND_STI/1M</stp>
        <stp>FPR=2022Y</stp>
        <stp>FPT=A</stp>
        <stp>FA_ACT_EST_DATA=E, EST_SOURCE=DBG</stp>
        <stp>ACT_EST_MAPPING=PRECISE</stp>
        <stp>FS=MRC</stp>
        <stp>CURRENCY=USD</stp>
        <stp>XLFILL=b</stp>
        <tr r="P111" s="2"/>
      </tp>
      <tp t="s">
        <v/>
        <stp/>
        <stp>##V3_BQLV12</stp>
        <stp>[MODL_CRM_US1.xlsx]Single Period!R191C44</stp>
        <stp>CRM US Equity</stp>
        <stp>CF_FREE_CASH_FLOW/1M</stp>
        <stp>FPR=2022Y</stp>
        <stp>FPT=A</stp>
        <stp>FA_ACT_EST_DATA=E, EST_SOURCE=RWB</stp>
        <stp>ACT_EST_MAPPING=PRECISE</stp>
        <stp>FS=MRC</stp>
        <stp>CURRENCY=USD</stp>
        <stp>XLFILL=b</stp>
        <tr r="AR191" s="2"/>
      </tp>
      <tp t="s">
        <v/>
        <stp/>
        <stp>##V3_BQLV12</stp>
        <stp>[MODL_CRM_US1.xlsx]Single Period!R157C38</stp>
        <stp>CRM US Equity</stp>
        <stp>CF_AMORTIZATN_OF_DEFRRD_COMPNSTN/1M</stp>
        <stp>FPR=2022Y</stp>
        <stp>FPT=A</stp>
        <stp>FA_ACT_EST_DATA=E, EST_SOURCE=MSR</stp>
        <stp>ACT_EST_MAPPING=PRECISE</stp>
        <stp>FS=MRC</stp>
        <stp>CURRENCY=USD</stp>
        <stp>XLFILL=b</stp>
        <tr r="AL157" s="2"/>
      </tp>
      <tp t="s">
        <v/>
        <stp/>
        <stp>##V3_BQLV12</stp>
        <stp>[MODL_CRM_US1.xlsx]Single Period!R150C11</stp>
        <stp>CRM US Equity</stp>
        <stp>CURRENT_FUTURE_REV_UNDER_CONTRACT/1M</stp>
        <stp>FPR=2022Y</stp>
        <stp>FPT=A</stp>
        <stp>FA_ACT_EST_DATA=E, EST_SOURCE=WBL</stp>
        <stp>ACT_EST_MAPPING=PRECISE</stp>
        <stp>FS=MRC</stp>
        <stp>CURRENCY=USD</stp>
        <stp>XLFILL=b</stp>
        <tr r="K150" s="2"/>
      </tp>
      <tp t="s">
        <v/>
        <stp/>
        <stp>##V3_BQLV12</stp>
        <stp>[MODL_CRM_US1.xlsx]Single Period!R176C37</stp>
        <stp>CRM US Equity</stp>
        <stp>CF_INCR_CAP_STOCK/1M</stp>
        <stp>FPR=2022Y</stp>
        <stp>FPT=A</stp>
        <stp>FA_ACT_EST_DATA=E, EST_SOURCE=EVR</stp>
        <stp>ACT_EST_MAPPING=PRECISE</stp>
        <stp>FS=MRC</stp>
        <stp>CURRENCY=USD</stp>
        <stp>XLFILL=b</stp>
        <tr r="AK176" s="2"/>
      </tp>
      <tp t="s">
        <v/>
        <stp/>
        <stp>##V3_BQLV12</stp>
        <stp>[MODL_CRM_US1.xlsx]Single Period!R141C19</stp>
        <stp>CRM US Equity</stp>
        <stp>BS_PURE_RETAINED_EARNINGS/1M</stp>
        <stp>FPR=2022Y</stp>
        <stp>FPT=A</stp>
        <stp>FA_ACT_EST_DATA=E, EST_SOURCE=SCB</stp>
        <stp>ACT_EST_MAPPING=PRECISE</stp>
        <stp>FS=MRC</stp>
        <stp>CURRENCY=USD</stp>
        <stp>XLFILL=b</stp>
        <tr r="S141" s="2"/>
      </tp>
      <tp t="s">
        <v/>
        <stp/>
        <stp>##V3_BQLV12</stp>
        <stp>[MODL_CRM_US1.xlsx]Single Period!R177C48</stp>
        <stp>CRM US Equity</stp>
        <stp>CB_CF_OTHER_FINANCING_ACTIVITIES/1M</stp>
        <stp>FPR=2022Y</stp>
        <stp>FPT=A</stp>
        <stp>FA_ACT_EST_DATA=E, EST_SOURCE=PJE</stp>
        <stp>ACT_EST_MAPPING=PRECISE</stp>
        <stp>FS=MRC</stp>
        <stp>CURRENCY=USD</stp>
        <stp>XLFILL=b</stp>
        <tr r="AV177" s="2"/>
      </tp>
      <tp t="s">
        <v/>
        <stp/>
        <stp>##V3_BQLV12</stp>
        <stp>[MODL_CRM_US1.xlsx]Single Period!R176C35</stp>
        <stp>CRM US Equity</stp>
        <stp>CF_INCR_CAP_STOCK/1M</stp>
        <stp>FPR=2022Y</stp>
        <stp>FPT=A</stp>
        <stp>FA_ACT_EST_DATA=E, EST_SOURCE=ATL</stp>
        <stp>ACT_EST_MAPPING=PRECISE</stp>
        <stp>FS=MRC</stp>
        <stp>CURRENCY=USD</stp>
        <stp>XLFILL=b</stp>
        <tr r="AI176" s="2"/>
      </tp>
      <tp t="s">
        <v/>
        <stp/>
        <stp>##V3_BQLV12</stp>
        <stp>[MODL_CRM_US1.xlsx]Single Period!R170C45</stp>
        <stp>CRM US Equity</stp>
        <stp>CF_CASH_FOR_ACQUIS_SUBSIDIARIES/1M</stp>
        <stp>FPR=2022Y</stp>
        <stp>FPT=A</stp>
        <stp>FA_ACT_EST_DATA=E, EST_SOURCE=ARG</stp>
        <stp>ACT_EST_MAPPING=PRECISE</stp>
        <stp>FS=MRC</stp>
        <stp>CURRENCY=USD</stp>
        <stp>XLFILL=b</stp>
        <tr r="AS170" s="2"/>
      </tp>
      <tp t="s">
        <v/>
        <stp/>
        <stp>##V3_BQLV12</stp>
        <stp>[MODL_CRM_US1.xlsx]Single Period!R170C54</stp>
        <stp>CRM US Equity</stp>
        <stp>CF_CASH_FOR_ACQUIS_SUBSIDIARIES/1M</stp>
        <stp>FPR=2022Y</stp>
        <stp>FPT=A</stp>
        <stp>FA_ACT_EST_DATA=E, EST_SOURCE=ARE</stp>
        <stp>ACT_EST_MAPPING=PRECISE</stp>
        <stp>FS=MRC</stp>
        <stp>CURRENCY=USD</stp>
        <stp>XLFILL=b</stp>
        <tr r="BB170" s="2"/>
      </tp>
      <tp t="s">
        <v/>
        <stp/>
        <stp>##V3_BQLV12</stp>
        <stp>[MODL_CRM_US1.xlsx]Single Period!R111C52</stp>
        <stp>CRM US Equity</stp>
        <stp>BS_CASH_CASH_EQUIVALENTS_AND_STI/1M</stp>
        <stp>FPR=2022Y</stp>
        <stp>FPT=A</stp>
        <stp>FA_ACT_EST_DATA=E, EST_SOURCE=WFR</stp>
        <stp>ACT_EST_MAPPING=PRECISE</stp>
        <stp>FS=MRC</stp>
        <stp>CURRENCY=USD</stp>
        <stp>XLFILL=b</stp>
        <tr r="AZ111" s="2"/>
      </tp>
      <tp t="s">
        <v/>
        <stp/>
        <stp>##V3_BQLV12</stp>
        <stp>[MODL_CRM_US1.xlsx]Single Period!R157C46</stp>
        <stp>CRM US Equity</stp>
        <stp>CF_AMORTIZATN_OF_DEFRRD_COMPNSTN/1M</stp>
        <stp>FPR=2022Y</stp>
        <stp>FPT=A</stp>
        <stp>FA_ACT_EST_DATA=E, EST_SOURCE=CTI</stp>
        <stp>ACT_EST_MAPPING=PRECISE</stp>
        <stp>FS=MRC</stp>
        <stp>CURRENCY=USD</stp>
        <stp>XLFILL=b</stp>
        <tr r="AT157" s="2"/>
      </tp>
      <tp>
        <v>21147.38</v>
        <stp/>
        <stp>##V3_BQLV12</stp>
        <stp>[MODL_CRM_US1.xlsx]Single Period!R150C26</stp>
        <stp>CRM US Equity</stp>
        <stp>CURRENT_FUTURE_REV_UNDER_CONTRACT/1M</stp>
        <stp>FPR=2022Y</stp>
        <stp>FPT=A</stp>
        <stp>FA_ACT_EST_DATA=E, EST_SOURCE=KEY</stp>
        <stp>ACT_EST_MAPPING=PRECISE</stp>
        <stp>FS=MRC</stp>
        <stp>CURRENCY=USD</stp>
        <stp>XLFILL=b</stp>
        <tr r="Z150" s="2"/>
      </tp>
      <tp t="s">
        <v/>
        <stp/>
        <stp>##V3_BQLV12</stp>
        <stp>[MODL_CRM_US1.xlsx]Single Period!R176C42</stp>
        <stp>CRM US Equity</stp>
        <stp>CF_INCR_CAP_STOCK/1M</stp>
        <stp>FPR=2022Y</stp>
        <stp>FPT=A</stp>
        <stp>FA_ACT_EST_DATA=E, EST_SOURCE=PSG</stp>
        <stp>ACT_EST_MAPPING=PRECISE</stp>
        <stp>FS=MRC</stp>
        <stp>CURRENCY=USD</stp>
        <stp>XLFILL=b</stp>
        <tr r="AP176" s="2"/>
      </tp>
      <tp t="s">
        <v/>
        <stp/>
        <stp>##V3_BQLV12</stp>
        <stp>[MODL_CRM_US1.xlsx]Single Period!R30C53</stp>
        <stp>SEG0000269238 Segment</stp>
        <stp>IS_COGS_TO_FE_AND_PP_AND_G/1M</stp>
        <stp>FPR=2022Y</stp>
        <stp>FPT=A</stp>
        <stp>FA_ACT_EST_DATA=E, EST_SOURCE=NIK</stp>
        <stp>ACT_EST_MAPPING=PRECISE</stp>
        <stp>FS=MRC</stp>
        <stp>CURRENCY=USD</stp>
        <stp>XLFILL=b</stp>
        <tr r="BA30" s="2"/>
      </tp>
      <tp t="s">
        <v/>
        <stp/>
        <stp>##V3_BQLV12</stp>
        <stp>[MODL_CRM_US1.xlsx]Single Period!R164C23</stp>
        <stp>CRM US Equity</stp>
        <stp>CHG_IN_ACCT_PYBL_AND_ACC_EXPNSS/1M</stp>
        <stp>FPR=2022Y</stp>
        <stp>FPT=A</stp>
        <stp>FA_ACT_EST_DATA=E, EST_SOURCE=JPM</stp>
        <stp>ACT_EST_MAPPING=PRECISE</stp>
        <stp>FS=MRC</stp>
        <stp>CURRENCY=USD</stp>
        <stp>XLFILL=b</stp>
        <tr r="W164" s="2"/>
      </tp>
      <tp t="s">
        <v/>
        <stp/>
        <stp>##V3_BQLV12</stp>
        <stp>[MODL_CRM_US1.xlsx]Single Period!R141C14</stp>
        <stp>CRM US Equity</stp>
        <stp>BS_PURE_RETAINED_EARNINGS/1M</stp>
        <stp>FPR=2022Y</stp>
        <stp>FPT=A</stp>
        <stp>FA_ACT_EST_DATA=E, EST_SOURCE=SNR</stp>
        <stp>ACT_EST_MAPPING=PRECISE</stp>
        <stp>FS=MRC</stp>
        <stp>CURRENCY=USD</stp>
        <stp>XLFILL=b</stp>
        <tr r="N141" s="2"/>
      </tp>
      <tp>
        <v>18.641936933912689</v>
        <stp/>
        <stp>##V3_BQLV12</stp>
        <stp>[MODL_CRM_US1.xlsx]Single Period!R192C5</stp>
        <stp>CRM US Equity</stp>
        <stp>FREE_CASH_FLOW_MARGIN</stp>
        <stp>FPR=2022Y</stp>
        <stp>FPT=A</stp>
        <stp>FA_ACT_EST_DATA=E</stp>
        <stp>ACT_EST_MAPPING=PRECISE</stp>
        <stp>FS=MRC</stp>
        <stp>CURRENCY=USD</stp>
        <stp>XLFILL=b</stp>
        <tr r="E192" s="2"/>
      </tp>
      <tp t="s">
        <v/>
        <stp/>
        <stp>##V3_BQLV12</stp>
        <stp>[MODL_CRM_US1.xlsx]Single Period!R103C49</stp>
        <stp>CRM US Equity</stp>
        <stp>IS_SBC_ATT_TO_GENL_AND_ADMIN_PRETX/1M</stp>
        <stp>FPR=2022Y</stp>
        <stp>FPT=A</stp>
        <stp>FA_ACT_EST_DATA=E, EST_SOURCE=SGE</stp>
        <stp>ACT_EST_MAPPING=PRECISE</stp>
        <stp>FS=MRC</stp>
        <stp>CURRENCY=USD</stp>
        <stp>XLFILL=b</stp>
        <tr r="AW103" s="2"/>
      </tp>
      <tp t="s">
        <v/>
        <stp/>
        <stp>##V3_BQLV12</stp>
        <stp>[MODL_CRM_US1.xlsx]Single Period!R103C39</stp>
        <stp>CRM US Equity</stp>
        <stp>IS_SBC_ATT_TO_GENL_AND_ADMIN_PRETX/1M</stp>
        <stp>FPR=2022Y</stp>
        <stp>FPT=A</stp>
        <stp>FA_ACT_EST_DATA=E, EST_SOURCE=KGI</stp>
        <stp>ACT_EST_MAPPING=PRECISE</stp>
        <stp>FS=MRC</stp>
        <stp>CURRENCY=USD</stp>
        <stp>XLFILL=b</stp>
        <tr r="AM103" s="2"/>
      </tp>
      <tp t="s">
        <v/>
        <stp/>
        <stp>##V3_BQLV12</stp>
        <stp>[MODL_CRM_US1.xlsx]Single Period!R118C28</stp>
        <stp>CRM US Equity</stp>
        <stp>CB_BS_PP_AND_E_NET/1M</stp>
        <stp>FPR=2022Y</stp>
        <stp>FPT=A</stp>
        <stp>FA_ACT_EST_DATA=E, EST_SOURCE=CWN</stp>
        <stp>ACT_EST_MAPPING=PRECISE</stp>
        <stp>FS=MRC</stp>
        <stp>CURRENCY=USD</stp>
        <stp>XLFILL=b</stp>
        <tr r="AB118" s="2"/>
      </tp>
      <tp t="s">
        <v/>
        <stp/>
        <stp>##V3_BQLV12</stp>
        <stp>[MODL_CRM_US1.xlsx]Single Period!R113C46</stp>
        <stp>CRM US Equity</stp>
        <stp>BS_MKT_SEC_OTHER_ST_INVEST/1M</stp>
        <stp>FPR=2022Y</stp>
        <stp>FPT=A</stp>
        <stp>FA_ACT_EST_DATA=E, EST_SOURCE=CTI</stp>
        <stp>ACT_EST_MAPPING=PRECISE</stp>
        <stp>FS=MRC</stp>
        <stp>CURRENCY=USD</stp>
        <stp>XLFILL=b</stp>
        <tr r="AT113" s="2"/>
      </tp>
      <tp t="s">
        <v/>
        <stp/>
        <stp>##V3_BQLV12</stp>
        <stp>[MODL_CRM_US1.xlsx]Single Period!R113C35</stp>
        <stp>CRM US Equity</stp>
        <stp>BS_MKT_SEC_OTHER_ST_INVEST/1M</stp>
        <stp>FPR=2022Y</stp>
        <stp>FPT=A</stp>
        <stp>FA_ACT_EST_DATA=E, EST_SOURCE=ATL</stp>
        <stp>ACT_EST_MAPPING=PRECISE</stp>
        <stp>FS=MRC</stp>
        <stp>CURRENCY=USD</stp>
        <stp>XLFILL=b</stp>
        <tr r="AI113" s="2"/>
      </tp>
      <tp t="s">
        <v/>
        <stp/>
        <stp>##V3_BQLV12</stp>
        <stp>[MODL_CRM_US1.xlsx]Single Period!R118C43</stp>
        <stp>CRM US Equity</stp>
        <stp>CB_BS_PP_AND_E_NET/1M</stp>
        <stp>FPR=2022Y</stp>
        <stp>FPT=A</stp>
        <stp>FA_ACT_EST_DATA=E, EST_SOURCE=DWI</stp>
        <stp>ACT_EST_MAPPING=PRECISE</stp>
        <stp>FS=MRC</stp>
        <stp>CURRENCY=USD</stp>
        <stp>XLFILL=b</stp>
        <tr r="AQ118" s="2"/>
      </tp>
      <tp t="s">
        <v/>
        <stp/>
        <stp>##V3_BQLV12</stp>
        <stp>[MODL_CRM_US1.xlsx]Single Period!R20C50</stp>
        <stp>CRM US Equity</stp>
        <stp>ADJ_OPERATING_MARGIN</stp>
        <stp>FPR=2022Y</stp>
        <stp>FPT=A</stp>
        <stp>FA_ACT_EST_DATA=E, EST_SOURCE=MZS</stp>
        <stp>ACT_EST_MAPPING=PRECISE</stp>
        <stp>FS=MRC</stp>
        <stp>CURRENCY=USD</stp>
        <stp>XLFILL=b</stp>
        <tr r="AX20" s="2"/>
      </tp>
      <tp t="s">
        <v/>
        <stp/>
        <stp>##V3_BQLV12</stp>
        <stp>[MODL_CRM_US1.xlsx]Single Period!R115C35</stp>
        <stp>CRM US Equity</stp>
        <stp>CB_BS_OTHER_CURRENT_ASSETS/1M</stp>
        <stp>FPR=2022Y</stp>
        <stp>FPT=A</stp>
        <stp>FA_ACT_EST_DATA=E, EST_SOURCE=ATL</stp>
        <stp>ACT_EST_MAPPING=PRECISE</stp>
        <stp>FS=MRC</stp>
        <stp>CURRENCY=USD</stp>
        <stp>XLFILL=b</stp>
        <tr r="AI115" s="2"/>
      </tp>
      <tp t="s">
        <v/>
        <stp/>
        <stp>##V3_BQLV12</stp>
        <stp>[MODL_CRM_US1.xlsx]Single Period!R118C44</stp>
        <stp>CRM US Equity</stp>
        <stp>CB_BS_PP_AND_E_NET/1M</stp>
        <stp>FPR=2022Y</stp>
        <stp>FPT=A</stp>
        <stp>FA_ACT_EST_DATA=E, EST_SOURCE=RWB</stp>
        <stp>ACT_EST_MAPPING=PRECISE</stp>
        <stp>FS=MRC</stp>
        <stp>CURRENCY=USD</stp>
        <stp>XLFILL=b</stp>
        <tr r="AR118" s="2"/>
      </tp>
      <tp t="s">
        <v/>
        <stp/>
        <stp>##V3_BQLV12</stp>
        <stp>[MODL_CRM_US1.xlsx]Single Period!R115C46</stp>
        <stp>CRM US Equity</stp>
        <stp>CB_BS_OTHER_CURRENT_ASSETS/1M</stp>
        <stp>FPR=2022Y</stp>
        <stp>FPT=A</stp>
        <stp>FA_ACT_EST_DATA=E, EST_SOURCE=CTI</stp>
        <stp>ACT_EST_MAPPING=PRECISE</stp>
        <stp>FS=MRC</stp>
        <stp>CURRENCY=USD</stp>
        <stp>XLFILL=b</stp>
        <tr r="AT115" s="2"/>
      </tp>
      <tp t="s">
        <v/>
        <stp/>
        <stp>##V3_BQLV12</stp>
        <stp>[MODL_CRM_US1.xlsx]Single Period!R178C54</stp>
        <stp>CRM US Equity</stp>
        <stp>CB_CF_REPAYMENT_LT_DEBT/1M</stp>
        <stp>FPR=2022Y</stp>
        <stp>FPT=A</stp>
        <stp>FA_ACT_EST_DATA=E, EST_SOURCE=ARE</stp>
        <stp>ACT_EST_MAPPING=PRECISE</stp>
        <stp>FS=MRC</stp>
        <stp>CURRENCY=USD</stp>
        <stp>XLFILL=b</stp>
        <tr r="BB178" s="2"/>
      </tp>
      <tp t="s">
        <v/>
        <stp/>
        <stp>##V3_BQLV12</stp>
        <stp>[MODL_CRM_US1.xlsx]Single Period!R159C13</stp>
        <stp>CRM US Equity</stp>
        <stp>SBC_NON_GAAP_TO_SALES</stp>
        <stp>FPR=2022Y</stp>
        <stp>FPT=A</stp>
        <stp>FA_ACT_EST_DATA=E, EST_SOURCE=BCA</stp>
        <stp>ACT_EST_MAPPING=PRECISE</stp>
        <stp>FS=MRC</stp>
        <stp>CURRENCY=USD</stp>
        <stp>XLFILL=b</stp>
        <tr r="M159" s="2"/>
      </tp>
      <tp t="s">
        <v/>
        <stp/>
        <stp>##V3_BQLV12</stp>
        <stp>[MODL_CRM_US1.xlsx]Single Period!R178C45</stp>
        <stp>CRM US Equity</stp>
        <stp>CB_CF_REPAYMENT_LT_DEBT/1M</stp>
        <stp>FPR=2022Y</stp>
        <stp>FPT=A</stp>
        <stp>FA_ACT_EST_DATA=E, EST_SOURCE=ARG</stp>
        <stp>ACT_EST_MAPPING=PRECISE</stp>
        <stp>FS=MRC</stp>
        <stp>CURRENCY=USD</stp>
        <stp>XLFILL=b</stp>
        <tr r="AS178" s="2"/>
      </tp>
      <tp t="s">
        <v/>
        <stp/>
        <stp>##V3_BQLV12</stp>
        <stp>[MODL_CRM_US1.xlsx]Single Period!R159C19</stp>
        <stp>CRM US Equity</stp>
        <stp>SBC_NON_GAAP_TO_SALES</stp>
        <stp>FPR=2022Y</stp>
        <stp>FPT=A</stp>
        <stp>FA_ACT_EST_DATA=E, EST_SOURCE=SCB</stp>
        <stp>ACT_EST_MAPPING=PRECISE</stp>
        <stp>FS=MRC</stp>
        <stp>CURRENCY=USD</stp>
        <stp>XLFILL=b</stp>
        <tr r="S159" s="2"/>
      </tp>
      <tp t="s">
        <v/>
        <stp/>
        <stp>##V3_BQLV12</stp>
        <stp>[MODL_CRM_US1.xlsx]Single Period!R138C42</stp>
        <stp>CRM US Equity</stp>
        <stp>BS_COMMON_STOCK/1M</stp>
        <stp>FPR=2022Y</stp>
        <stp>FPT=A</stp>
        <stp>FA_ACT_EST_DATA=E, EST_SOURCE=PSG</stp>
        <stp>ACT_EST_MAPPING=PRECISE</stp>
        <stp>FS=MRC</stp>
        <stp>CURRENCY=USD</stp>
        <stp>XLFILL=b</stp>
        <tr r="AP138" s="2"/>
      </tp>
      <tp t="s">
        <v/>
        <stp/>
        <stp>##V3_BQLV12</stp>
        <stp>[MODL_CRM_US1.xlsx]Single Period!R159C40</stp>
        <stp>CRM US Equity</stp>
        <stp>SBC_NON_GAAP_TO_SALES</stp>
        <stp>FPR=2022Y</stp>
        <stp>FPT=A</stp>
        <stp>FA_ACT_EST_DATA=E, EST_SOURCE=ACC</stp>
        <stp>ACT_EST_MAPPING=PRECISE</stp>
        <stp>FS=MRC</stp>
        <stp>CURRENCY=USD</stp>
        <stp>XLFILL=b</stp>
        <tr r="AN159" s="2"/>
      </tp>
      <tp t="s">
        <v/>
        <stp/>
        <stp>##V3_BQLV12</stp>
        <stp>[MODL_CRM_US1.xlsx]Single Period!R86C31</stp>
        <stp>CRM US Equity</stp>
        <stp>IS_GENERAL_AND_ADMIN_GAAP/1M</stp>
        <stp>FPR=2022Y</stp>
        <stp>FPT=A</stp>
        <stp>FA_ACT_EST_DATA=E, EST_SOURCE=RBC</stp>
        <stp>ACT_EST_MAPPING=PRECISE</stp>
        <stp>FS=MRC</stp>
        <stp>CURRENCY=USD</stp>
        <stp>XLFILL=b</stp>
        <tr r="AE86" s="2"/>
      </tp>
      <tp t="s">
        <v/>
        <stp/>
        <stp>##V3_BQLV12</stp>
        <stp>[MODL_CRM_US1.xlsx]Single Period!R86C40</stp>
        <stp>CRM US Equity</stp>
        <stp>IS_GENERAL_AND_ADMIN_GAAP/1M</stp>
        <stp>FPR=2022Y</stp>
        <stp>FPT=A</stp>
        <stp>FA_ACT_EST_DATA=E, EST_SOURCE=ACC</stp>
        <stp>ACT_EST_MAPPING=PRECISE</stp>
        <stp>FS=MRC</stp>
        <stp>CURRENCY=USD</stp>
        <stp>XLFILL=b</stp>
        <tr r="AN86" s="2"/>
      </tp>
      <tp t="s">
        <v/>
        <stp/>
        <stp>##V3_BQLV12</stp>
        <stp>[MODL_CRM_US1.xlsx]Single Period!R192C50</stp>
        <stp>CRM US Equity</stp>
        <stp>FREE_CASH_FLOW_MARGIN</stp>
        <stp>FPR=2022Y</stp>
        <stp>FPT=A</stp>
        <stp>FA_ACT_EST_DATA=E, EST_SOURCE=MZS</stp>
        <stp>ACT_EST_MAPPING=PRECISE</stp>
        <stp>FS=MRC</stp>
        <stp>CURRENCY=USD</stp>
        <stp>XLFILL=b</stp>
        <tr r="AX192" s="2"/>
      </tp>
      <tp t="s">
        <v/>
        <stp/>
        <stp>##V3_BQLV12</stp>
        <stp>[MODL_CRM_US1.xlsx]Single Period!R13C52</stp>
        <stp>CRM US Equity</stp>
        <stp>CURRENT_FUTURE_REV_UNDER_CONTRACT/1M</stp>
        <stp>FPR=2022Y</stp>
        <stp>FPT=A</stp>
        <stp>FA_ACT_EST_DATA=E, EST_SOURCE=WFR</stp>
        <stp>ACT_EST_MAPPING=PRECISE</stp>
        <stp>FS=MRC</stp>
        <stp>CURRENCY=USD</stp>
        <stp>XLFILL=b</stp>
        <tr r="AZ13" s="2"/>
      </tp>
      <tp t="s">
        <v/>
        <stp/>
        <stp>##V3_BQLV12</stp>
        <stp>[MODL_CRM_US1.xlsx]Single Period!R116C50</stp>
        <stp>CRM US Equity</stp>
        <stp>PREPAID_EXPNSS_AND_OTHR/1M</stp>
        <stp>FPR=2022Y</stp>
        <stp>FPT=A</stp>
        <stp>FA_ACT_EST_DATA=E, EST_SOURCE=MZS</stp>
        <stp>ACT_EST_MAPPING=PRECISE</stp>
        <stp>FS=MRC</stp>
        <stp>CURRENCY=USD</stp>
        <stp>XLFILL=b</stp>
        <tr r="AX116" s="2"/>
      </tp>
      <tp>
        <v>1242</v>
        <stp/>
        <stp>##V3_BQLV12</stp>
        <stp>[MODL_CRM_US1.xlsx]Single Period!R155C14</stp>
        <stp>CRM US Equity</stp>
        <stp>IS_COMP_NET_INCOME_GAAP/1M</stp>
        <stp>FPR=2022Y</stp>
        <stp>FPT=A</stp>
        <stp>FA_ACT_EST_DATA=E, EST_SOURCE=SNR</stp>
        <stp>ACT_EST_MAPPING=PRECISE</stp>
        <stp>FS=MRC</stp>
        <stp>CURRENCY=USD</stp>
        <stp>XLFILL=b</stp>
        <tr r="N155" s="2"/>
      </tp>
      <tp t="s">
        <v/>
        <stp/>
        <stp>##V3_BQLV12</stp>
        <stp>[MODL_CRM_US1.xlsx]Single Period!R53C22</stp>
        <stp>CRM US Equity</stp>
        <stp>REVENUE_GROWTH_CC_1_YR</stp>
        <stp>FPR=2022Y</stp>
        <stp>FPT=A</stp>
        <stp>FA_ACT_EST_DATA=E, EST_SOURCE=OPY</stp>
        <stp>ACT_EST_MAPPING=PRECISE</stp>
        <stp>FS=MRC</stp>
        <stp>CURRENCY=USD</stp>
        <stp>XLFILL=b</stp>
        <tr r="V53" s="2"/>
      </tp>
      <tp t="s">
        <v/>
        <stp/>
        <stp>##V3_BQLV12</stp>
        <stp>[MODL_CRM_US1.xlsx]Single Period!R86C11</stp>
        <stp>CRM US Equity</stp>
        <stp>IS_GENERAL_AND_ADMIN_GAAP/1M</stp>
        <stp>FPR=2022Y</stp>
        <stp>FPT=A</stp>
        <stp>FA_ACT_EST_DATA=E, EST_SOURCE=WBL</stp>
        <stp>ACT_EST_MAPPING=PRECISE</stp>
        <stp>FS=MRC</stp>
        <stp>CURRENCY=USD</stp>
        <stp>XLFILL=b</stp>
        <tr r="K86" s="2"/>
      </tp>
      <tp>
        <v>1221</v>
        <stp/>
        <stp>##V3_BQLV12</stp>
        <stp>[MODL_CRM_US1.xlsx]Single Period!R155C29</stp>
        <stp>CRM US Equity</stp>
        <stp>IS_COMP_NET_INCOME_GAAP/1M</stp>
        <stp>FPR=2022Y</stp>
        <stp>FPT=A</stp>
        <stp>FA_ACT_EST_DATA=E, EST_SOURCE=BNS</stp>
        <stp>ACT_EST_MAPPING=PRECISE</stp>
        <stp>FS=MRC</stp>
        <stp>CURRENCY=USD</stp>
        <stp>XLFILL=b</stp>
        <tr r="AC155" s="2"/>
      </tp>
      <tp t="s">
        <v/>
        <stp/>
        <stp>##V3_BQLV12</stp>
        <stp>[MODL_CRM_US1.xlsx]Single Period!R159C27</stp>
        <stp>CRM US Equity</stp>
        <stp>SBC_NON_GAAP_TO_SALES</stp>
        <stp>FPR=2022Y</stp>
        <stp>FPT=A</stp>
        <stp>FA_ACT_EST_DATA=E, EST_SOURCE=LCM</stp>
        <stp>ACT_EST_MAPPING=PRECISE</stp>
        <stp>FS=MRC</stp>
        <stp>CURRENCY=USD</stp>
        <stp>XLFILL=b</stp>
        <tr r="AA159" s="2"/>
      </tp>
      <tp t="s">
        <v/>
        <stp/>
        <stp>##V3_BQLV12</stp>
        <stp>[MODL_CRM_US1.xlsx]Single Period!R86C17</stp>
        <stp>CRM US Equity</stp>
        <stp>IS_GENERAL_AND_ADMIN_GAAP/1M</stp>
        <stp>FPR=2022Y</stp>
        <stp>FPT=A</stp>
        <stp>FA_ACT_EST_DATA=E, EST_SOURCE=NDH</stp>
        <stp>ACT_EST_MAPPING=PRECISE</stp>
        <stp>FS=MRC</stp>
        <stp>CURRENCY=USD</stp>
        <stp>XLFILL=b</stp>
        <tr r="Q86" s="2"/>
      </tp>
      <tp t="s">
        <v/>
        <stp/>
        <stp>##V3_BQLV12</stp>
        <stp>[MODL_CRM_US1.xlsx]Single Period!R159C51</stp>
        <stp>CRM US Equity</stp>
        <stp>SBC_NON_GAAP_TO_SALES</stp>
        <stp>FPR=2022Y</stp>
        <stp>FPT=A</stp>
        <stp>FA_ACT_EST_DATA=E, EST_SOURCE=RCP</stp>
        <stp>ACT_EST_MAPPING=PRECISE</stp>
        <stp>FS=MRC</stp>
        <stp>CURRENCY=USD</stp>
        <stp>XLFILL=b</stp>
        <tr r="AY159" s="2"/>
      </tp>
      <tp t="s">
        <v/>
        <stp/>
        <stp>##V3_BQLV12</stp>
        <stp>[MODL_CRM_US1.xlsx]Single Period!R138C38</stp>
        <stp>CRM US Equity</stp>
        <stp>BS_COMMON_STOCK/1M</stp>
        <stp>FPR=2022Y</stp>
        <stp>FPT=A</stp>
        <stp>FA_ACT_EST_DATA=E, EST_SOURCE=MSR</stp>
        <stp>ACT_EST_MAPPING=PRECISE</stp>
        <stp>FS=MRC</stp>
        <stp>CURRENCY=USD</stp>
        <stp>XLFILL=b</stp>
        <tr r="AL138" s="2"/>
      </tp>
      <tp>
        <v>0.30895966165580291</v>
        <stp/>
        <stp>##V3_BQLV12</stp>
        <stp>[MODL_CRM_US1.xlsx]Single Period!R80C8</stp>
        <stp>CRM US Equity</stp>
        <stp>CONTRIBUTOR_STATS(GROSS_MARGIN, STD)</stp>
        <stp>FPR=2022Y</stp>
        <stp>FPT=A</stp>
        <stp>FA_ACT_EST_DATA=E</stp>
        <stp>ACT_EST_MAPPING=PRECISE</stp>
        <stp>FS=MRC</stp>
        <stp>CURRENCY=USD</stp>
        <stp>XLFILL=b</stp>
        <tr r="H80" s="2"/>
      </tp>
      <tp t="s">
        <v/>
        <stp/>
        <stp>##V3_BQLV12</stp>
        <stp>[MODL_CRM_US1.xlsx]Single Period!R158C37</stp>
        <stp>CRM US Equity</stp>
        <stp>IS_SBC_NON_GAAP/1M</stp>
        <stp>FPR=2022Y</stp>
        <stp>FPT=A</stp>
        <stp>FA_ACT_EST_DATA=E, EST_SOURCE=EVR</stp>
        <stp>ACT_EST_MAPPING=PRECISE</stp>
        <stp>FS=MRC</stp>
        <stp>CURRENCY=USD</stp>
        <stp>XLFILL=b</stp>
        <tr r="AK158" s="2"/>
      </tp>
      <tp>
        <v>21448.26</v>
        <stp/>
        <stp>##V3_BQLV12</stp>
        <stp>[MODL_CRM_US1.xlsx]Single Period!R13C16</stp>
        <stp>CRM US Equity</stp>
        <stp>CURRENT_FUTURE_REV_UNDER_CONTRACT/1M</stp>
        <stp>FPR=2022Y</stp>
        <stp>FPT=A</stp>
        <stp>FA_ACT_EST_DATA=E, EST_SOURCE=DBG</stp>
        <stp>ACT_EST_MAPPING=PRECISE</stp>
        <stp>FS=MRC</stp>
        <stp>CURRENCY=USD</stp>
        <stp>XLFILL=b</stp>
        <tr r="P13" s="2"/>
      </tp>
      <tp>
        <v>1</v>
        <stp/>
        <stp>##V3_BQLV12</stp>
        <stp>[MODL_CRM_US1.xlsx]Single Period!R138C15</stp>
        <stp>CRM US Equity</stp>
        <stp>BS_COMMON_STOCK/1M</stp>
        <stp>FPR=2022Y</stp>
        <stp>FPT=A</stp>
        <stp>FA_ACT_EST_DATA=E, EST_SOURCE=MSV</stp>
        <stp>ACT_EST_MAPPING=PRECISE</stp>
        <stp>FS=MRC</stp>
        <stp>CURRENCY=USD</stp>
        <stp>XLFILL=b</stp>
        <tr r="O138" s="2"/>
      </tp>
      <tp t="s">
        <v/>
        <stp/>
        <stp>##V3_BQLV12</stp>
        <stp>[MODL_CRM_US1.xlsx]Single Period!R138C41</stp>
        <stp>CRM US Equity</stp>
        <stp>BS_COMMON_STOCK/1M</stp>
        <stp>FPR=2022Y</stp>
        <stp>FPT=A</stp>
        <stp>FA_ACT_EST_DATA=E, EST_SOURCE=GSR</stp>
        <stp>ACT_EST_MAPPING=PRECISE</stp>
        <stp>FS=MRC</stp>
        <stp>CURRENCY=USD</stp>
        <stp>XLFILL=b</stp>
        <tr r="AO138" s="2"/>
      </tp>
      <tp>
        <v>5.0514085641266941</v>
        <stp/>
        <stp>##V3_BQLV12</stp>
        <stp>[MODL_CRM_US1.xlsx]Single Period!R193C9</stp>
        <stp>CRM US Equity</stp>
        <stp>CONTRIBUTOR_STATS(FCF_PER_DIL_SHR, MEDIAN)</stp>
        <stp>FPR=2022Y</stp>
        <stp>FPT=A</stp>
        <stp>FA_ACT_EST_DATA=E</stp>
        <stp>ACT_EST_MAPPING=PRECISE</stp>
        <stp>FS=MRC</stp>
        <stp>CURRENCY=USD</stp>
        <stp>XLFILL=b</stp>
        <tr r="I193" s="2"/>
      </tp>
      <tp t="s">
        <v/>
        <stp/>
        <stp>##V3_BQLV12</stp>
        <stp>[MODL_CRM_US1.xlsx]Single Period!R13C27</stp>
        <stp>CRM US Equity</stp>
        <stp>CURRENT_FUTURE_REV_UNDER_CONTRACT/1M</stp>
        <stp>FPR=2022Y</stp>
        <stp>FPT=A</stp>
        <stp>FA_ACT_EST_DATA=E, EST_SOURCE=LCM</stp>
        <stp>ACT_EST_MAPPING=PRECISE</stp>
        <stp>FS=MRC</stp>
        <stp>CURRENCY=USD</stp>
        <stp>XLFILL=b</stp>
        <tr r="AA13" s="2"/>
      </tp>
      <tp t="s">
        <v/>
        <stp/>
        <stp>##V3_BQLV12</stp>
        <stp>[MODL_CRM_US1.xlsx]Single Period!R53C23</stp>
        <stp>CRM US Equity</stp>
        <stp>REVENUE_GROWTH_CC_1_YR</stp>
        <stp>FPR=2022Y</stp>
        <stp>FPT=A</stp>
        <stp>FA_ACT_EST_DATA=E, EST_SOURCE=JPM</stp>
        <stp>ACT_EST_MAPPING=PRECISE</stp>
        <stp>FS=MRC</stp>
        <stp>CURRENCY=USD</stp>
        <stp>XLFILL=b</stp>
        <tr r="W53" s="2"/>
      </tp>
      <tp>
        <v>2695.9211446553632</v>
        <stp/>
        <stp>##V3_BQLV12</stp>
        <stp>[MODL_CRM_US1.xlsx]Single Period!R86C26</stp>
        <stp>CRM US Equity</stp>
        <stp>IS_GENERAL_AND_ADMIN_GAAP/1M</stp>
        <stp>FPR=2022Y</stp>
        <stp>FPT=A</stp>
        <stp>FA_ACT_EST_DATA=E, EST_SOURCE=KEY</stp>
        <stp>ACT_EST_MAPPING=PRECISE</stp>
        <stp>FS=MRC</stp>
        <stp>CURRENCY=USD</stp>
        <stp>XLFILL=b</stp>
        <tr r="Z86" s="2"/>
      </tp>
      <tp>
        <v>-14816</v>
        <stp/>
        <stp>##V3_BQLV12</stp>
        <stp>[MODL_CRM_US1.xlsx]Single Period!R170C15</stp>
        <stp>CRM US Equity</stp>
        <stp>CF_CASH_FOR_ACQUIS_SUBSIDIARIES/1M</stp>
        <stp>FPR=2022Y</stp>
        <stp>FPT=A</stp>
        <stp>FA_ACT_EST_DATA=E, EST_SOURCE=MSV</stp>
        <stp>ACT_EST_MAPPING=PRECISE</stp>
        <stp>FS=MRC</stp>
        <stp>CURRENCY=USD</stp>
        <stp>XLFILL=b</stp>
        <tr r="O170" s="2"/>
      </tp>
      <tp t="s">
        <v/>
        <stp/>
        <stp>##V3_BQLV12</stp>
        <stp>[MODL_CRM_US1.xlsx]Single Period!R170C41</stp>
        <stp>CRM US Equity</stp>
        <stp>CF_CASH_FOR_ACQUIS_SUBSIDIARIES/1M</stp>
        <stp>FPR=2022Y</stp>
        <stp>FPT=A</stp>
        <stp>FA_ACT_EST_DATA=E, EST_SOURCE=GSR</stp>
        <stp>ACT_EST_MAPPING=PRECISE</stp>
        <stp>FS=MRC</stp>
        <stp>CURRENCY=USD</stp>
        <stp>XLFILL=b</stp>
        <tr r="AO170" s="2"/>
      </tp>
      <tp t="s">
        <v/>
        <stp/>
        <stp>##V3_BQLV12</stp>
        <stp>[MODL_CRM_US1.xlsx]Single Period!R111C19</stp>
        <stp>CRM US Equity</stp>
        <stp>BS_CASH_CASH_EQUIVALENTS_AND_STI/1M</stp>
        <stp>FPR=2022Y</stp>
        <stp>FPT=A</stp>
        <stp>FA_ACT_EST_DATA=E, EST_SOURCE=SCB</stp>
        <stp>ACT_EST_MAPPING=PRECISE</stp>
        <stp>FS=MRC</stp>
        <stp>CURRENCY=USD</stp>
        <stp>XLFILL=b</stp>
        <tr r="S111" s="2"/>
      </tp>
      <tp>
        <v>47902.572931001007</v>
        <stp/>
        <stp>##V3_BQLV12</stp>
        <stp>[MODL_CRM_US1.xlsx]Single Period!R139C5</stp>
        <stp>CRM US Equity</stp>
        <stp>BS_ADD_PAID_IN_CAP/1M</stp>
        <stp>FPR=2022Y</stp>
        <stp>FPT=A</stp>
        <stp>FA_ACT_EST_DATA=E</stp>
        <stp>ACT_EST_MAPPING=PRECISE</stp>
        <stp>FS=MRC</stp>
        <stp>CURRENCY=USD</stp>
        <stp>XLFILL=b</stp>
        <tr r="E139" s="2"/>
      </tp>
      <tp t="s">
        <v/>
        <stp/>
        <stp>##V3_BQLV12</stp>
        <stp>[MODL_CRM_US1.xlsx]Single Period!R30C33</stp>
        <stp>SEG0000269238 Segment</stp>
        <stp>IS_COGS_TO_FE_AND_PP_AND_G/1M</stp>
        <stp>FPR=2022Y</stp>
        <stp>FPT=A</stp>
        <stp>FA_ACT_EST_DATA=E, EST_SOURCE=RHR</stp>
        <stp>ACT_EST_MAPPING=PRECISE</stp>
        <stp>FS=MRC</stp>
        <stp>CURRENCY=USD</stp>
        <stp>XLFILL=b</stp>
        <tr r="AG30" s="2"/>
      </tp>
      <tp t="s">
        <v/>
        <stp/>
        <stp>##V3_BQLV12</stp>
        <stp>[MODL_CRM_US1.xlsx]Single Period!R170C38</stp>
        <stp>CRM US Equity</stp>
        <stp>CF_CASH_FOR_ACQUIS_SUBSIDIARIES/1M</stp>
        <stp>FPR=2022Y</stp>
        <stp>FPT=A</stp>
        <stp>FA_ACT_EST_DATA=E, EST_SOURCE=MSR</stp>
        <stp>ACT_EST_MAPPING=PRECISE</stp>
        <stp>FS=MRC</stp>
        <stp>CURRENCY=USD</stp>
        <stp>XLFILL=b</stp>
        <tr r="AL170" s="2"/>
      </tp>
      <tp t="s">
        <v/>
        <stp/>
        <stp>##V3_BQLV12</stp>
        <stp>[MODL_CRM_US1.xlsx]Single Period!R191C46</stp>
        <stp>CRM US Equity</stp>
        <stp>CF_FREE_CASH_FLOW/1M</stp>
        <stp>FPR=2022Y</stp>
        <stp>FPT=A</stp>
        <stp>FA_ACT_EST_DATA=E, EST_SOURCE=CTI</stp>
        <stp>ACT_EST_MAPPING=PRECISE</stp>
        <stp>FS=MRC</stp>
        <stp>CURRENCY=USD</stp>
        <stp>XLFILL=b</stp>
        <tr r="AT191" s="2"/>
      </tp>
      <tp t="s">
        <v/>
        <stp/>
        <stp>##V3_BQLV12</stp>
        <stp>[MODL_CRM_US1.xlsx]Single Period!R111C30</stp>
        <stp>CRM US Equity</stp>
        <stp>BS_CASH_CASH_EQUIVALENTS_AND_STI/1M</stp>
        <stp>FPR=2022Y</stp>
        <stp>FPT=A</stp>
        <stp>FA_ACT_EST_DATA=E, EST_SOURCE=BAM</stp>
        <stp>ACT_EST_MAPPING=PRECISE</stp>
        <stp>FS=MRC</stp>
        <stp>CURRENCY=USD</stp>
        <stp>XLFILL=b</stp>
        <tr r="AD111" s="2"/>
      </tp>
      <tp t="s">
        <v/>
        <stp/>
        <stp>##V3_BQLV12</stp>
        <stp>[MODL_CRM_US1.xlsx]Single Period!R150C48</stp>
        <stp>CRM US Equity</stp>
        <stp>CURRENT_FUTURE_REV_UNDER_CONTRACT/1M</stp>
        <stp>FPR=2022Y</stp>
        <stp>FPT=A</stp>
        <stp>FA_ACT_EST_DATA=E, EST_SOURCE=PJE</stp>
        <stp>ACT_EST_MAPPING=PRECISE</stp>
        <stp>FS=MRC</stp>
        <stp>CURRENCY=USD</stp>
        <stp>XLFILL=b</stp>
        <tr r="AV150" s="2"/>
      </tp>
      <tp>
        <v>1882.2</v>
        <stp/>
        <stp>##V3_BQLV12</stp>
        <stp>[MODL_CRM_US1.xlsx]Single Period!R34C20</stp>
        <stp>SEG0000269227 Segment</stp>
        <stp>IS_COGS_TO_FE_AND_PP_AND_G/1M</stp>
        <stp>FPR=2022Y</stp>
        <stp>FPT=A</stp>
        <stp>FA_ACT_EST_DATA=E, EST_SOURCE=JMP</stp>
        <stp>ACT_EST_MAPPING=PRECISE</stp>
        <stp>FS=MRC</stp>
        <stp>CURRENCY=USD</stp>
        <stp>XLFILL=b</stp>
        <tr r="T34" s="2"/>
      </tp>
      <tp t="s">
        <v/>
        <stp/>
        <stp>##V3_BQLV12</stp>
        <stp>[MODL_CRM_US1.xlsx]Single Period!R111C13</stp>
        <stp>CRM US Equity</stp>
        <stp>BS_CASH_CASH_EQUIVALENTS_AND_STI/1M</stp>
        <stp>FPR=2022Y</stp>
        <stp>FPT=A</stp>
        <stp>FA_ACT_EST_DATA=E, EST_SOURCE=BCA</stp>
        <stp>ACT_EST_MAPPING=PRECISE</stp>
        <stp>FS=MRC</stp>
        <stp>CURRENCY=USD</stp>
        <stp>XLFILL=b</stp>
        <tr r="M111" s="2"/>
      </tp>
      <tp>
        <v>1566.168625</v>
        <stp/>
        <stp>##V3_BQLV12</stp>
        <stp>[MODL_CRM_US1.xlsx]Single Period!R34C25</stp>
        <stp>SEG0000269227 Segment</stp>
        <stp>IS_COGS_TO_FE_AND_PP_AND_G/1M</stp>
        <stp>FPR=2022Y</stp>
        <stp>FPT=A</stp>
        <stp>FA_ACT_EST_DATA=E, EST_SOURCE=WMS</stp>
        <stp>ACT_EST_MAPPING=PRECISE</stp>
        <stp>FS=MRC</stp>
        <stp>CURRENCY=USD</stp>
        <stp>XLFILL=b</stp>
        <tr r="Y34" s="2"/>
      </tp>
      <tp>
        <v>-192</v>
        <stp/>
        <stp>##V3_BQLV12</stp>
        <stp>[MODL_CRM_US1.xlsx]Single Period!R177C25</stp>
        <stp>CRM US Equity</stp>
        <stp>CB_CF_OTHER_FINANCING_ACTIVITIES/1M</stp>
        <stp>FPR=2022Y</stp>
        <stp>FPT=A</stp>
        <stp>FA_ACT_EST_DATA=E, EST_SOURCE=WMS</stp>
        <stp>ACT_EST_MAPPING=PRECISE</stp>
        <stp>FS=MRC</stp>
        <stp>CURRENCY=USD</stp>
        <stp>XLFILL=b</stp>
        <tr r="Y177" s="2"/>
      </tp>
      <tp t="s">
        <v/>
        <stp/>
        <stp>##V3_BQLV12</stp>
        <stp>[MODL_CRM_US1.xlsx]Single Period!R177C14</stp>
        <stp>CRM US Equity</stp>
        <stp>CB_CF_OTHER_FINANCING_ACTIVITIES/1M</stp>
        <stp>FPR=2022Y</stp>
        <stp>FPT=A</stp>
        <stp>FA_ACT_EST_DATA=E, EST_SOURCE=SNR</stp>
        <stp>ACT_EST_MAPPING=PRECISE</stp>
        <stp>FS=MRC</stp>
        <stp>CURRENCY=USD</stp>
        <stp>XLFILL=b</stp>
        <tr r="N177" s="2"/>
      </tp>
      <tp t="s">
        <v/>
        <stp/>
        <stp>##V3_BQLV12</stp>
        <stp>[MODL_CRM_US1.xlsx]Single Period!R141C21</stp>
        <stp>CRM US Equity</stp>
        <stp>BS_PURE_RETAINED_EARNINGS/1M</stp>
        <stp>FPR=2022Y</stp>
        <stp>FPT=A</stp>
        <stp>FA_ACT_EST_DATA=E, EST_SOURCE=RJA</stp>
        <stp>ACT_EST_MAPPING=PRECISE</stp>
        <stp>FS=MRC</stp>
        <stp>CURRENCY=USD</stp>
        <stp>XLFILL=b</stp>
        <tr r="U141" s="2"/>
      </tp>
      <tp t="s">
        <v/>
        <stp/>
        <stp>##V3_BQLV12</stp>
        <stp>[MODL_CRM_US1.xlsx]Single Period!R177C20</stp>
        <stp>CRM US Equity</stp>
        <stp>CB_CF_OTHER_FINANCING_ACTIVITIES/1M</stp>
        <stp>FPR=2022Y</stp>
        <stp>FPT=A</stp>
        <stp>FA_ACT_EST_DATA=E, EST_SOURCE=JMP</stp>
        <stp>ACT_EST_MAPPING=PRECISE</stp>
        <stp>FS=MRC</stp>
        <stp>CURRENCY=USD</stp>
        <stp>XLFILL=b</stp>
        <tr r="T177" s="2"/>
      </tp>
      <tp t="s">
        <v/>
        <stp/>
        <stp>##V3_BQLV12</stp>
        <stp>[MODL_CRM_US1.xlsx]Single Period!R111C36</stp>
        <stp>CRM US Equity</stp>
        <stp>BS_CASH_CASH_EQUIVALENTS_AND_STI/1M</stp>
        <stp>FPR=2022Y</stp>
        <stp>FPT=A</stp>
        <stp>FA_ACT_EST_DATA=E, EST_SOURCE=MAC</stp>
        <stp>ACT_EST_MAPPING=PRECISE</stp>
        <stp>FS=MRC</stp>
        <stp>CURRENCY=USD</stp>
        <stp>XLFILL=b</stp>
        <tr r="AJ111" s="2"/>
      </tp>
      <tp t="s">
        <v/>
        <stp/>
        <stp>##V3_BQLV12</stp>
        <stp>[MODL_CRM_US1.xlsx]Single Period!R150C51</stp>
        <stp>CRM US Equity</stp>
        <stp>CURRENT_FUTURE_REV_UNDER_CONTRACT/1M</stp>
        <stp>FPR=2022Y</stp>
        <stp>FPT=A</stp>
        <stp>FA_ACT_EST_DATA=E, EST_SOURCE=RCP</stp>
        <stp>ACT_EST_MAPPING=PRECISE</stp>
        <stp>FS=MRC</stp>
        <stp>CURRENCY=USD</stp>
        <stp>XLFILL=b</stp>
        <tr r="AY150" s="2"/>
      </tp>
      <tp t="s">
        <v/>
        <stp/>
        <stp>##V3_BQLV12</stp>
        <stp>[MODL_CRM_US1.xlsx]Single Period!R170C42</stp>
        <stp>CRM US Equity</stp>
        <stp>CF_CASH_FOR_ACQUIS_SUBSIDIARIES/1M</stp>
        <stp>FPR=2022Y</stp>
        <stp>FPT=A</stp>
        <stp>FA_ACT_EST_DATA=E, EST_SOURCE=PSG</stp>
        <stp>ACT_EST_MAPPING=PRECISE</stp>
        <stp>FS=MRC</stp>
        <stp>CURRENCY=USD</stp>
        <stp>XLFILL=b</stp>
        <tr r="AP170" s="2"/>
      </tp>
      <tp>
        <v>4933.2051914493759</v>
        <stp/>
        <stp>##V3_BQLV12</stp>
        <stp>[MODL_CRM_US1.xlsx]Single Period!R191C22</stp>
        <stp>CRM US Equity</stp>
        <stp>CF_FREE_CASH_FLOW/1M</stp>
        <stp>FPR=2022Y</stp>
        <stp>FPT=A</stp>
        <stp>FA_ACT_EST_DATA=E, EST_SOURCE=OPY</stp>
        <stp>ACT_EST_MAPPING=PRECISE</stp>
        <stp>FS=MRC</stp>
        <stp>CURRENCY=USD</stp>
        <stp>XLFILL=b</stp>
        <tr r="V191" s="2"/>
      </tp>
      <tp t="s">
        <v/>
        <stp/>
        <stp>##V3_BQLV12</stp>
        <stp>[MODL_CRM_US1.xlsx]Single Period!R34C12</stp>
        <stp>SEG0000269227 Segment</stp>
        <stp>IS_COGS_TO_FE_AND_PP_AND_G/1M</stp>
        <stp>FPR=2022Y</stp>
        <stp>FPT=A</stp>
        <stp>FA_ACT_EST_DATA=E, EST_SOURCE=BMO</stp>
        <stp>ACT_EST_MAPPING=PRECISE</stp>
        <stp>FS=MRC</stp>
        <stp>CURRENCY=USD</stp>
        <stp>XLFILL=b</stp>
        <tr r="L34" s="2"/>
      </tp>
      <tp t="s">
        <v/>
        <stp/>
        <stp>##V3_BQLV12</stp>
        <stp>[MODL_CRM_US1.xlsx]Single Period!R111C47</stp>
        <stp>CRM US Equity</stp>
        <stp>BS_CASH_CASH_EQUIVALENTS_AND_STI/1M</stp>
        <stp>FPR=2022Y</stp>
        <stp>FPT=A</stp>
        <stp>FA_ACT_EST_DATA=E, EST_SOURCE=WFT</stp>
        <stp>ACT_EST_MAPPING=PRECISE</stp>
        <stp>FS=MRC</stp>
        <stp>CURRENCY=USD</stp>
        <stp>XLFILL=b</stp>
        <tr r="AU111" s="2"/>
      </tp>
      <tp t="s">
        <v/>
        <stp/>
        <stp>##V3_BQLV12</stp>
        <stp>[MODL_CRM_US1.xlsx]Single Period!R191C41</stp>
        <stp>CRM US Equity</stp>
        <stp>CF_FREE_CASH_FLOW/1M</stp>
        <stp>FPR=2022Y</stp>
        <stp>FPT=A</stp>
        <stp>FA_ACT_EST_DATA=E, EST_SOURCE=GSR</stp>
        <stp>ACT_EST_MAPPING=PRECISE</stp>
        <stp>FS=MRC</stp>
        <stp>CURRENCY=USD</stp>
        <stp>XLFILL=b</stp>
        <tr r="AO191" s="2"/>
      </tp>
      <tp t="s">
        <v/>
        <stp/>
        <stp>##V3_BQLV12</stp>
        <stp>[MODL_CRM_US1.xlsx]Single Period!R141C33</stp>
        <stp>CRM US Equity</stp>
        <stp>BS_PURE_RETAINED_EARNINGS/1M</stp>
        <stp>FPR=2022Y</stp>
        <stp>FPT=A</stp>
        <stp>FA_ACT_EST_DATA=E, EST_SOURCE=RHR</stp>
        <stp>ACT_EST_MAPPING=PRECISE</stp>
        <stp>FS=MRC</stp>
        <stp>CURRENCY=USD</stp>
        <stp>XLFILL=b</stp>
        <tr r="AG141" s="2"/>
      </tp>
      <tp t="s">
        <v/>
        <stp/>
        <stp>##V3_BQLV12</stp>
        <stp>[MODL_CRM_US1.xlsx]Single Period!R92C50</stp>
        <stp>CRM US Equity</stp>
        <stp>PROF_MARGIN</stp>
        <stp>FPR=2022Y</stp>
        <stp>FPT=A</stp>
        <stp>FA_ACT_EST_DATA=E, EST_SOURCE=MZS</stp>
        <stp>ACT_EST_MAPPING=PRECISE</stp>
        <stp>FS=MRC</stp>
        <stp>CURRENCY=USD</stp>
        <stp>XLFILL=b</stp>
        <tr r="AX92" s="2"/>
      </tp>
      <tp t="s">
        <v/>
        <stp/>
        <stp>##V3_BQLV12</stp>
        <stp>[MODL_CRM_US1.xlsx]Single Period!R184C28</stp>
        <stp>CRM US Equity</stp>
        <stp>CFO_TO_SALES</stp>
        <stp>FPR=2022Y</stp>
        <stp>FPT=A</stp>
        <stp>FA_ACT_EST_DATA=E, EST_SOURCE=CWN</stp>
        <stp>ACT_EST_MAPPING=PRECISE</stp>
        <stp>FS=MRC</stp>
        <stp>CURRENCY=USD</stp>
        <stp>XLFILL=b</stp>
        <tr r="AB184" s="2"/>
      </tp>
      <tp t="s">
        <v/>
        <stp/>
        <stp>##V3_BQLV12</stp>
        <stp>[MODL_CRM_US1.xlsx]Single Period!R145C18</stp>
        <stp>CRM US Equity</stp>
        <stp>CB_BS_LT_BORROWING/1M</stp>
        <stp>FPR=2022Y</stp>
        <stp>FPT=A</stp>
        <stp>FA_ACT_EST_DATA=E, EST_SOURCE=CAN</stp>
        <stp>ACT_EST_MAPPING=PRECISE</stp>
        <stp>FS=MRC</stp>
        <stp>CURRENCY=USD</stp>
        <stp>XLFILL=b</stp>
        <tr r="R145" s="2"/>
      </tp>
      <tp t="s">
        <v/>
        <stp/>
        <stp>##V3_BQLV12</stp>
        <stp>[MODL_CRM_US1.xlsx]Single Period!R145C30</stp>
        <stp>CRM US Equity</stp>
        <stp>CB_BS_LT_BORROWING/1M</stp>
        <stp>FPR=2022Y</stp>
        <stp>FPT=A</stp>
        <stp>FA_ACT_EST_DATA=E, EST_SOURCE=BAM</stp>
        <stp>ACT_EST_MAPPING=PRECISE</stp>
        <stp>FS=MRC</stp>
        <stp>CURRENCY=USD</stp>
        <stp>XLFILL=b</stp>
        <tr r="AD145" s="2"/>
      </tp>
      <tp t="s">
        <v/>
        <stp/>
        <stp>##V3_BQLV12</stp>
        <stp>[MODL_CRM_US1.xlsx]Single Period!R61C28</stp>
        <stp>CRM US Equity</stp>
        <stp>ADJ_OPERATING_MARGIN</stp>
        <stp>FPR=2022Y</stp>
        <stp>FPT=A</stp>
        <stp>FA_ACT_EST_DATA=E, EST_SOURCE=CWN</stp>
        <stp>ACT_EST_MAPPING=PRECISE</stp>
        <stp>FS=MRC</stp>
        <stp>CURRENCY=USD</stp>
        <stp>XLFILL=b</stp>
        <tr r="AB61" s="2"/>
      </tp>
      <tp t="s">
        <v/>
        <stp/>
        <stp>##V3_BQLV12</stp>
        <stp>[MODL_CRM_US1.xlsx]Single Period!R145C36</stp>
        <stp>CRM US Equity</stp>
        <stp>CB_BS_LT_BORROWING/1M</stp>
        <stp>FPR=2022Y</stp>
        <stp>FPT=A</stp>
        <stp>FA_ACT_EST_DATA=E, EST_SOURCE=MAC</stp>
        <stp>ACT_EST_MAPPING=PRECISE</stp>
        <stp>FS=MRC</stp>
        <stp>CURRENCY=USD</stp>
        <stp>XLFILL=b</stp>
        <tr r="AJ145" s="2"/>
      </tp>
      <tp t="s">
        <v/>
        <stp/>
        <stp>##V3_BQLV12</stp>
        <stp>[MODL_CRM_US1.xlsx]Single Period!R139C50</stp>
        <stp>CRM US Equity</stp>
        <stp>BS_ADD_PAID_IN_CAP/1M</stp>
        <stp>FPR=2022Y</stp>
        <stp>FPT=A</stp>
        <stp>FA_ACT_EST_DATA=E, EST_SOURCE=MZS</stp>
        <stp>ACT_EST_MAPPING=PRECISE</stp>
        <stp>FS=MRC</stp>
        <stp>CURRENCY=USD</stp>
        <stp>XLFILL=b</stp>
        <tr r="AX139" s="2"/>
      </tp>
      <tp>
        <v>73.829557508713435</v>
        <stp/>
        <stp>##V3_BQLV12</stp>
        <stp>[MODL_CRM_US1.xlsx]Single Period!R80C20</stp>
        <stp>CRM US Equity</stp>
        <stp>GROSS_MARGIN</stp>
        <stp>FPR=2022Y</stp>
        <stp>FPT=A</stp>
        <stp>FA_ACT_EST_DATA=E, EST_SOURCE=JMP</stp>
        <stp>ACT_EST_MAPPING=PRECISE</stp>
        <stp>FS=MRC</stp>
        <stp>CURRENCY=USD</stp>
        <stp>XLFILL=b</stp>
        <tr r="T80" s="2"/>
      </tp>
      <tp t="s">
        <v/>
        <stp/>
        <stp>##V3_BQLV12</stp>
        <stp>[MODL_CRM_US1.xlsx]Single Period!R118C37</stp>
        <stp>CRM US Equity</stp>
        <stp>CB_BS_PP_AND_E_NET/1M</stp>
        <stp>FPR=2022Y</stp>
        <stp>FPT=A</stp>
        <stp>FA_ACT_EST_DATA=E, EST_SOURCE=EVR</stp>
        <stp>ACT_EST_MAPPING=PRECISE</stp>
        <stp>FS=MRC</stp>
        <stp>CURRENCY=USD</stp>
        <stp>XLFILL=b</stp>
        <tr r="AK118" s="2"/>
      </tp>
      <tp t="s">
        <v/>
        <stp/>
        <stp>##V3_BQLV12</stp>
        <stp>[MODL_CRM_US1.xlsx]Single Period!R103C52</stp>
        <stp>CRM US Equity</stp>
        <stp>IS_SBC_ATT_TO_GENL_AND_ADMIN_PRETX/1M</stp>
        <stp>FPR=2022Y</stp>
        <stp>FPT=A</stp>
        <stp>FA_ACT_EST_DATA=E, EST_SOURCE=WFR</stp>
        <stp>ACT_EST_MAPPING=PRECISE</stp>
        <stp>FS=MRC</stp>
        <stp>CURRENCY=USD</stp>
        <stp>XLFILL=b</stp>
        <tr r="AZ103" s="2"/>
      </tp>
      <tp t="s">
        <v/>
        <stp/>
        <stp>##V3_BQLV12</stp>
        <stp>[MODL_CRM_US1.xlsx]Single Period!R103C47</stp>
        <stp>CRM US Equity</stp>
        <stp>IS_SBC_ATT_TO_GENL_AND_ADMIN_PRETX/1M</stp>
        <stp>FPR=2022Y</stp>
        <stp>FPT=A</stp>
        <stp>FA_ACT_EST_DATA=E, EST_SOURCE=WFT</stp>
        <stp>ACT_EST_MAPPING=PRECISE</stp>
        <stp>FS=MRC</stp>
        <stp>CURRENCY=USD</stp>
        <stp>XLFILL=b</stp>
        <tr r="AU103" s="2"/>
      </tp>
      <tp t="s">
        <v/>
        <stp/>
        <stp>##V3_BQLV12</stp>
        <stp>[MODL_CRM_US1.xlsx]Single Period!R20C38</stp>
        <stp>CRM US Equity</stp>
        <stp>ADJ_OPERATING_MARGIN</stp>
        <stp>FPR=2022Y</stp>
        <stp>FPT=A</stp>
        <stp>FA_ACT_EST_DATA=E, EST_SOURCE=MSR</stp>
        <stp>ACT_EST_MAPPING=PRECISE</stp>
        <stp>FS=MRC</stp>
        <stp>CURRENCY=USD</stp>
        <stp>XLFILL=b</stp>
        <tr r="AL20" s="2"/>
      </tp>
      <tp t="s">
        <v/>
        <stp/>
        <stp>##V3_BQLV12</stp>
        <stp>[MODL_CRM_US1.xlsx]Single Period!R145C10</stp>
        <stp>CRM US Equity</stp>
        <stp>CB_BS_LT_BORROWING/1M</stp>
        <stp>FPR=2022Y</stp>
        <stp>FPT=A</stp>
        <stp>FA_ACT_EST_DATA=E, EST_SOURCE=CMPY</stp>
        <stp>ACT_EST_MAPPING=PRECISE</stp>
        <stp>FS=MRC</stp>
        <stp>CURRENCY=USD</stp>
        <stp>XLFILL=b</stp>
        <tr r="J145" s="2"/>
      </tp>
      <tp t="s">
        <v/>
        <stp/>
        <stp>##V3_BQLV12</stp>
        <stp>[MODL_CRM_US1.xlsx]Single Period!R53C38</stp>
        <stp>CRM US Equity</stp>
        <stp>REVENUE_GROWTH_CC_1_YR</stp>
        <stp>FPR=2022Y</stp>
        <stp>FPT=A</stp>
        <stp>FA_ACT_EST_DATA=E, EST_SOURCE=MSR</stp>
        <stp>ACT_EST_MAPPING=PRECISE</stp>
        <stp>FS=MRC</stp>
        <stp>CURRENCY=USD</stp>
        <stp>XLFILL=b</stp>
        <tr r="AL53" s="2"/>
      </tp>
      <tp t="s">
        <v/>
        <stp/>
        <stp>##V3_BQLV12</stp>
        <stp>[MODL_CRM_US1.xlsx]Single Period!R20C10</stp>
        <stp>CRM US Equity</stp>
        <stp>ADJ_OPERATING_MARGIN</stp>
        <stp>FPR=2022Y</stp>
        <stp>FPT=A</stp>
        <stp>FA_ACT_EST_DATA=E, EST_SOURCE=CMPY</stp>
        <stp>ACT_EST_MAPPING=PRECISE</stp>
        <stp>FS=MRC</stp>
        <stp>CURRENCY=USD</stp>
        <stp>XLFILL=b</stp>
        <tr r="J20" s="2"/>
      </tp>
      <tp t="s">
        <v/>
        <stp/>
        <stp>##V3_BQLV12</stp>
        <stp>[MODL_CRM_US1.xlsx]Single Period!R86C55</stp>
        <stp>CRM US Equity</stp>
        <stp>IS_GENERAL_AND_ADMIN_GAAP/1M</stp>
        <stp>FPR=2022Y</stp>
        <stp>FPT=A</stp>
        <stp>FA_ACT_EST_DATA=E, EST_SOURCE=RED</stp>
        <stp>ACT_EST_MAPPING=PRECISE</stp>
        <stp>FS=MRC</stp>
        <stp>CURRENCY=USD</stp>
        <stp>XLFILL=b</stp>
        <tr r="BC86" s="2"/>
      </tp>
      <tp t="s">
        <v/>
        <stp/>
        <stp>##V3_BQLV12</stp>
        <stp>[MODL_CRM_US1.xlsx]Single Period!R53C15</stp>
        <stp>CRM US Equity</stp>
        <stp>REVENUE_GROWTH_CC_1_YR</stp>
        <stp>FPR=2022Y</stp>
        <stp>FPT=A</stp>
        <stp>FA_ACT_EST_DATA=E, EST_SOURCE=MSV</stp>
        <stp>ACT_EST_MAPPING=PRECISE</stp>
        <stp>FS=MRC</stp>
        <stp>CURRENCY=USD</stp>
        <stp>XLFILL=b</stp>
        <tr r="O53" s="2"/>
      </tp>
      <tp t="s">
        <v/>
        <stp/>
        <stp>##V3_BQLV12</stp>
        <stp>[MODL_CRM_US1.xlsx]Single Period!R53C41</stp>
        <stp>CRM US Equity</stp>
        <stp>REVENUE_GROWTH_CC_1_YR</stp>
        <stp>FPR=2022Y</stp>
        <stp>FPT=A</stp>
        <stp>FA_ACT_EST_DATA=E, EST_SOURCE=GSR</stp>
        <stp>ACT_EST_MAPPING=PRECISE</stp>
        <stp>FS=MRC</stp>
        <stp>CURRENCY=USD</stp>
        <stp>XLFILL=b</stp>
        <tr r="AO53" s="2"/>
      </tp>
      <tp>
        <v>2630.5773905442311</v>
        <stp/>
        <stp>##V3_BQLV12</stp>
        <stp>[MODL_CRM_US1.xlsx]Single Period!R86C13</stp>
        <stp>CRM US Equity</stp>
        <stp>IS_GENERAL_AND_ADMIN_GAAP/1M</stp>
        <stp>FPR=2022Y</stp>
        <stp>FPT=A</stp>
        <stp>FA_ACT_EST_DATA=E, EST_SOURCE=BCA</stp>
        <stp>ACT_EST_MAPPING=PRECISE</stp>
        <stp>FS=MRC</stp>
        <stp>CURRENCY=USD</stp>
        <stp>XLFILL=b</stp>
        <tr r="M86" s="2"/>
      </tp>
      <tp t="s">
        <v/>
        <stp/>
        <stp>##V3_BQLV12</stp>
        <stp>[MODL_CRM_US1.xlsx]Single Period!R13C29</stp>
        <stp>CRM US Equity</stp>
        <stp>CURRENT_FUTURE_REV_UNDER_CONTRACT/1M</stp>
        <stp>FPR=2022Y</stp>
        <stp>FPT=A</stp>
        <stp>FA_ACT_EST_DATA=E, EST_SOURCE=BNS</stp>
        <stp>ACT_EST_MAPPING=PRECISE</stp>
        <stp>FS=MRC</stp>
        <stp>CURRENCY=USD</stp>
        <stp>XLFILL=b</stp>
        <tr r="AC13" s="2"/>
      </tp>
      <tp>
        <v>1248</v>
        <stp/>
        <stp>##V3_BQLV12</stp>
        <stp>[MODL_CRM_US1.xlsx]Single Period!R155C20</stp>
        <stp>CRM US Equity</stp>
        <stp>IS_COMP_NET_INCOME_GAAP/1M</stp>
        <stp>FPR=2022Y</stp>
        <stp>FPT=A</stp>
        <stp>FA_ACT_EST_DATA=E, EST_SOURCE=JMP</stp>
        <stp>ACT_EST_MAPPING=PRECISE</stp>
        <stp>FS=MRC</stp>
        <stp>CURRENCY=USD</stp>
        <stp>XLFILL=b</stp>
        <tr r="T155" s="2"/>
      </tp>
      <tp>
        <v>1343</v>
        <stp/>
        <stp>##V3_BQLV12</stp>
        <stp>[MODL_CRM_US1.xlsx]Single Period!R155C25</stp>
        <stp>CRM US Equity</stp>
        <stp>IS_COMP_NET_INCOME_GAAP/1M</stp>
        <stp>FPR=2022Y</stp>
        <stp>FPT=A</stp>
        <stp>FA_ACT_EST_DATA=E, EST_SOURCE=WMS</stp>
        <stp>ACT_EST_MAPPING=PRECISE</stp>
        <stp>FS=MRC</stp>
        <stp>CURRENCY=USD</stp>
        <stp>XLFILL=b</stp>
        <tr r="Y155" s="2"/>
      </tp>
      <tp t="s">
        <v/>
        <stp/>
        <stp>##V3_BQLV12</stp>
        <stp>[MODL_CRM_US1.xlsx]Single Period!R138C23</stp>
        <stp>CRM US Equity</stp>
        <stp>BS_COMMON_STOCK/1M</stp>
        <stp>FPR=2022Y</stp>
        <stp>FPT=A</stp>
        <stp>FA_ACT_EST_DATA=E, EST_SOURCE=JPM</stp>
        <stp>ACT_EST_MAPPING=PRECISE</stp>
        <stp>FS=MRC</stp>
        <stp>CURRENCY=USD</stp>
        <stp>XLFILL=b</stp>
        <tr r="W138" s="2"/>
      </tp>
      <tp t="s">
        <v/>
        <stp/>
        <stp>##V3_BQLV12</stp>
        <stp>[MODL_CRM_US1.xlsx]Single Period!R53C42</stp>
        <stp>CRM US Equity</stp>
        <stp>REVENUE_GROWTH_CC_1_YR</stp>
        <stp>FPR=2022Y</stp>
        <stp>FPT=A</stp>
        <stp>FA_ACT_EST_DATA=E, EST_SOURCE=PSG</stp>
        <stp>ACT_EST_MAPPING=PRECISE</stp>
        <stp>FS=MRC</stp>
        <stp>CURRENCY=USD</stp>
        <stp>XLFILL=b</stp>
        <tr r="AP53" s="2"/>
      </tp>
      <tp>
        <v>1226</v>
        <stp/>
        <stp>##V3_BQLV12</stp>
        <stp>[MODL_CRM_US1.xlsx]Single Period!R155C12</stp>
        <stp>CRM US Equity</stp>
        <stp>IS_COMP_NET_INCOME_GAAP/1M</stp>
        <stp>FPR=2022Y</stp>
        <stp>FPT=A</stp>
        <stp>FA_ACT_EST_DATA=E, EST_SOURCE=BMO</stp>
        <stp>ACT_EST_MAPPING=PRECISE</stp>
        <stp>FS=MRC</stp>
        <stp>CURRENCY=USD</stp>
        <stp>XLFILL=b</stp>
        <tr r="L155" s="2"/>
      </tp>
      <tp t="s">
        <v/>
        <stp/>
        <stp>##V3_BQLV12</stp>
        <stp>[MODL_CRM_US1.xlsx]Single Period!R86C32</stp>
        <stp>CRM US Equity</stp>
        <stp>IS_GENERAL_AND_ADMIN_GAAP/1M</stp>
        <stp>FPR=2022Y</stp>
        <stp>FPT=A</stp>
        <stp>FA_ACT_EST_DATA=E, EST_SOURCE=UBS</stp>
        <stp>ACT_EST_MAPPING=PRECISE</stp>
        <stp>FS=MRC</stp>
        <stp>CURRENCY=USD</stp>
        <stp>XLFILL=b</stp>
        <tr r="AF86" s="2"/>
      </tp>
      <tp t="s">
        <v/>
        <stp/>
        <stp>##V3_BQLV12</stp>
        <stp>[MODL_CRM_US1.xlsx]Single Period!R13C36</stp>
        <stp>CRM US Equity</stp>
        <stp>CURRENT_FUTURE_REV_UNDER_CONTRACT/1M</stp>
        <stp>FPR=2022Y</stp>
        <stp>FPT=A</stp>
        <stp>FA_ACT_EST_DATA=E, EST_SOURCE=MAC</stp>
        <stp>ACT_EST_MAPPING=PRECISE</stp>
        <stp>FS=MRC</stp>
        <stp>CURRENCY=USD</stp>
        <stp>XLFILL=b</stp>
        <tr r="AJ13" s="2"/>
      </tp>
      <tp t="s">
        <v/>
        <stp/>
        <stp>##V3_BQLV12</stp>
        <stp>[MODL_CRM_US1.xlsx]Single Period!R138C22</stp>
        <stp>CRM US Equity</stp>
        <stp>BS_COMMON_STOCK/1M</stp>
        <stp>FPR=2022Y</stp>
        <stp>FPT=A</stp>
        <stp>FA_ACT_EST_DATA=E, EST_SOURCE=OPY</stp>
        <stp>ACT_EST_MAPPING=PRECISE</stp>
        <stp>FS=MRC</stp>
        <stp>CURRENCY=USD</stp>
        <stp>XLFILL=b</stp>
        <tr r="V138" s="2"/>
      </tp>
      <tp t="s">
        <v/>
        <stp/>
        <stp>##V3_BQLV12</stp>
        <stp>[MODL_CRM_US1.xlsx]Single Period!R111C27</stp>
        <stp>CRM US Equity</stp>
        <stp>BS_CASH_CASH_EQUIVALENTS_AND_STI/1M</stp>
        <stp>FPR=2022Y</stp>
        <stp>FPT=A</stp>
        <stp>FA_ACT_EST_DATA=E, EST_SOURCE=LCM</stp>
        <stp>ACT_EST_MAPPING=PRECISE</stp>
        <stp>FS=MRC</stp>
        <stp>CURRENCY=USD</stp>
        <stp>XLFILL=b</stp>
        <tr r="AA111" s="2"/>
      </tp>
      <tp>
        <v>4877.4451489115036</v>
        <stp/>
        <stp>##V3_BQLV12</stp>
        <stp>[MODL_CRM_US1.xlsx]Single Period!R191C35</stp>
        <stp>CRM US Equity</stp>
        <stp>CF_FREE_CASH_FLOW/1M</stp>
        <stp>FPR=2022Y</stp>
        <stp>FPT=A</stp>
        <stp>FA_ACT_EST_DATA=E, EST_SOURCE=ATL</stp>
        <stp>ACT_EST_MAPPING=PRECISE</stp>
        <stp>FS=MRC</stp>
        <stp>CURRENCY=USD</stp>
        <stp>XLFILL=b</stp>
        <tr r="AI191" s="2"/>
      </tp>
      <tp t="s">
        <v/>
        <stp/>
        <stp>##V3_BQLV12</stp>
        <stp>[MODL_CRM_US1.xlsx]Single Period!R150C34</stp>
        <stp>CRM US Equity</stp>
        <stp>CURRENT_FUTURE_REV_UNDER_CONTRACT/1M</stp>
        <stp>FPR=2022Y</stp>
        <stp>FPT=A</stp>
        <stp>FA_ACT_EST_DATA=E, EST_SOURCE=JEF</stp>
        <stp>ACT_EST_MAPPING=PRECISE</stp>
        <stp>FS=MRC</stp>
        <stp>CURRENCY=USD</stp>
        <stp>XLFILL=b</stp>
        <tr r="AH150" s="2"/>
      </tp>
      <tp>
        <v>992</v>
        <stp/>
        <stp>##V3_BQLV12</stp>
        <stp>[MODL_CRM_US1.xlsx]Single Period!R157C15</stp>
        <stp>CRM US Equity</stp>
        <stp>CF_AMORTIZATN_OF_DEFRRD_COMPNSTN/1M</stp>
        <stp>FPR=2022Y</stp>
        <stp>FPT=A</stp>
        <stp>FA_ACT_EST_DATA=E, EST_SOURCE=MSV</stp>
        <stp>ACT_EST_MAPPING=PRECISE</stp>
        <stp>FS=MRC</stp>
        <stp>CURRENCY=USD</stp>
        <stp>XLFILL=b</stp>
        <tr r="O157" s="2"/>
      </tp>
      <tp t="s">
        <v/>
        <stp/>
        <stp>##V3_BQLV12</stp>
        <stp>[MODL_CRM_US1.xlsx]Single Period!R177C29</stp>
        <stp>CRM US Equity</stp>
        <stp>CB_CF_OTHER_FINANCING_ACTIVITIES/1M</stp>
        <stp>FPR=2022Y</stp>
        <stp>FPT=A</stp>
        <stp>FA_ACT_EST_DATA=E, EST_SOURCE=BNS</stp>
        <stp>ACT_EST_MAPPING=PRECISE</stp>
        <stp>FS=MRC</stp>
        <stp>CURRENCY=USD</stp>
        <stp>XLFILL=b</stp>
        <tr r="AC177" s="2"/>
      </tp>
      <tp t="s">
        <v/>
        <stp/>
        <stp>##V3_BQLV12</stp>
        <stp>[MODL_CRM_US1.xlsx]Single Period!R111C31</stp>
        <stp>CRM US Equity</stp>
        <stp>BS_CASH_CASH_EQUIVALENTS_AND_STI/1M</stp>
        <stp>FPR=2022Y</stp>
        <stp>FPT=A</stp>
        <stp>FA_ACT_EST_DATA=E, EST_SOURCE=RBC</stp>
        <stp>ACT_EST_MAPPING=PRECISE</stp>
        <stp>FS=MRC</stp>
        <stp>CURRENCY=USD</stp>
        <stp>XLFILL=b</stp>
        <tr r="AE111" s="2"/>
      </tp>
      <tp t="s">
        <v/>
        <stp/>
        <stp>##V3_BQLV12</stp>
        <stp>[MODL_CRM_US1.xlsx]Single Period!R191C42</stp>
        <stp>CRM US Equity</stp>
        <stp>CF_FREE_CASH_FLOW/1M</stp>
        <stp>FPR=2022Y</stp>
        <stp>FPT=A</stp>
        <stp>FA_ACT_EST_DATA=E, EST_SOURCE=PSG</stp>
        <stp>ACT_EST_MAPPING=PRECISE</stp>
        <stp>FS=MRC</stp>
        <stp>CURRENCY=USD</stp>
        <stp>XLFILL=b</stp>
        <tr r="AP191" s="2"/>
      </tp>
      <tp t="s">
        <v/>
        <stp/>
        <stp>##V3_BQLV12</stp>
        <stp>[MODL_CRM_US1.xlsx]Single Period!R177C56</stp>
        <stp>CRM US Equity</stp>
        <stp>CB_CF_OTHER_FINANCING_ACTIVITIES/1M</stp>
        <stp>FPR=2022Y</stp>
        <stp>FPT=A</stp>
        <stp>FA_ACT_EST_DATA=E, EST_SOURCE=DIR</stp>
        <stp>ACT_EST_MAPPING=PRECISE</stp>
        <stp>FS=MRC</stp>
        <stp>CURRENCY=USD</stp>
        <stp>XLFILL=b</stp>
        <tr r="BD177" s="2"/>
      </tp>
      <tp t="s">
        <v/>
        <stp/>
        <stp>##V3_BQLV12</stp>
        <stp>[MODL_CRM_US1.xlsx]Single Period!R34C14</stp>
        <stp>SEG0000269227 Segment</stp>
        <stp>IS_COGS_TO_FE_AND_PP_AND_G/1M</stp>
        <stp>FPR=2022Y</stp>
        <stp>FPT=A</stp>
        <stp>FA_ACT_EST_DATA=E, EST_SOURCE=SNR</stp>
        <stp>ACT_EST_MAPPING=PRECISE</stp>
        <stp>FS=MRC</stp>
        <stp>CURRENCY=USD</stp>
        <stp>XLFILL=b</stp>
        <tr r="N34" s="2"/>
      </tp>
      <tp t="s">
        <v/>
        <stp/>
        <stp>##V3_BQLV12</stp>
        <stp>[MODL_CRM_US1.xlsx]Single Period!R34C29</stp>
        <stp>SEG0000269227 Segment</stp>
        <stp>IS_COGS_TO_FE_AND_PP_AND_G/1M</stp>
        <stp>FPR=2022Y</stp>
        <stp>FPT=A</stp>
        <stp>FA_ACT_EST_DATA=E, EST_SOURCE=BNS</stp>
        <stp>ACT_EST_MAPPING=PRECISE</stp>
        <stp>FS=MRC</stp>
        <stp>CURRENCY=USD</stp>
        <stp>XLFILL=b</stp>
        <tr r="AC34" s="2"/>
      </tp>
      <tp t="s">
        <v/>
        <stp/>
        <stp>##V3_BQLV12</stp>
        <stp>[MODL_CRM_US1.xlsx]Single Period!R170C22</stp>
        <stp>CRM US Equity</stp>
        <stp>CF_CASH_FOR_ACQUIS_SUBSIDIARIES/1M</stp>
        <stp>FPR=2022Y</stp>
        <stp>FPT=A</stp>
        <stp>FA_ACT_EST_DATA=E, EST_SOURCE=OPY</stp>
        <stp>ACT_EST_MAPPING=PRECISE</stp>
        <stp>FS=MRC</stp>
        <stp>CURRENCY=USD</stp>
        <stp>XLFILL=b</stp>
        <tr r="V170" s="2"/>
      </tp>
      <tp t="s">
        <v/>
        <stp/>
        <stp>##V3_BQLV12</stp>
        <stp>[MODL_CRM_US1.xlsx]Single Period!R157C22</stp>
        <stp>CRM US Equity</stp>
        <stp>CF_AMORTIZATN_OF_DEFRRD_COMPNSTN/1M</stp>
        <stp>FPR=2022Y</stp>
        <stp>FPT=A</stp>
        <stp>FA_ACT_EST_DATA=E, EST_SOURCE=OPY</stp>
        <stp>ACT_EST_MAPPING=PRECISE</stp>
        <stp>FS=MRC</stp>
        <stp>CURRENCY=USD</stp>
        <stp>XLFILL=b</stp>
        <tr r="V157" s="2"/>
      </tp>
      <tp t="s">
        <v/>
        <stp/>
        <stp>##V3_BQLV12</stp>
        <stp>[MODL_CRM_US1.xlsx]Single Period!R150C30</stp>
        <stp>CRM US Equity</stp>
        <stp>CURRENT_FUTURE_REV_UNDER_CONTRACT/1M</stp>
        <stp>FPR=2022Y</stp>
        <stp>FPT=A</stp>
        <stp>FA_ACT_EST_DATA=E, EST_SOURCE=BAM</stp>
        <stp>ACT_EST_MAPPING=PRECISE</stp>
        <stp>FS=MRC</stp>
        <stp>CURRENCY=USD</stp>
        <stp>XLFILL=b</stp>
        <tr r="AD150" s="2"/>
      </tp>
      <tp t="s">
        <v/>
        <stp/>
        <stp>##V3_BQLV12</stp>
        <stp>[MODL_CRM_US1.xlsx]Single Period!R177C12</stp>
        <stp>CRM US Equity</stp>
        <stp>CB_CF_OTHER_FINANCING_ACTIVITIES/1M</stp>
        <stp>FPR=2022Y</stp>
        <stp>FPT=A</stp>
        <stp>FA_ACT_EST_DATA=E, EST_SOURCE=BMO</stp>
        <stp>ACT_EST_MAPPING=PRECISE</stp>
        <stp>FS=MRC</stp>
        <stp>CURRENCY=USD</stp>
        <stp>XLFILL=b</stp>
        <tr r="L177" s="2"/>
      </tp>
      <tp t="s">
        <v/>
        <stp/>
        <stp>##V3_BQLV12</stp>
        <stp>[MODL_CRM_US1.xlsx]Single Period!R164C45</stp>
        <stp>CRM US Equity</stp>
        <stp>CHG_IN_ACCT_PYBL_AND_ACC_EXPNSS/1M</stp>
        <stp>FPR=2022Y</stp>
        <stp>FPT=A</stp>
        <stp>FA_ACT_EST_DATA=E, EST_SOURCE=ARG</stp>
        <stp>ACT_EST_MAPPING=PRECISE</stp>
        <stp>FS=MRC</stp>
        <stp>CURRENCY=USD</stp>
        <stp>XLFILL=b</stp>
        <tr r="AS164" s="2"/>
      </tp>
      <tp t="s">
        <v/>
        <stp/>
        <stp>##V3_BQLV12</stp>
        <stp>[MODL_CRM_US1.xlsx]Single Period!R176C23</stp>
        <stp>CRM US Equity</stp>
        <stp>CF_INCR_CAP_STOCK/1M</stp>
        <stp>FPR=2022Y</stp>
        <stp>FPT=A</stp>
        <stp>FA_ACT_EST_DATA=E, EST_SOURCE=JPM</stp>
        <stp>ACT_EST_MAPPING=PRECISE</stp>
        <stp>FS=MRC</stp>
        <stp>CURRENCY=USD</stp>
        <stp>XLFILL=b</stp>
        <tr r="W176" s="2"/>
      </tp>
      <tp t="s">
        <v/>
        <stp/>
        <stp>##V3_BQLV12</stp>
        <stp>[MODL_CRM_US1.xlsx]Single Period!R164C54</stp>
        <stp>CRM US Equity</stp>
        <stp>CHG_IN_ACCT_PYBL_AND_ACC_EXPNSS/1M</stp>
        <stp>FPR=2022Y</stp>
        <stp>FPT=A</stp>
        <stp>FA_ACT_EST_DATA=E, EST_SOURCE=ARE</stp>
        <stp>ACT_EST_MAPPING=PRECISE</stp>
        <stp>FS=MRC</stp>
        <stp>CURRENCY=USD</stp>
        <stp>XLFILL=b</stp>
        <tr r="BB164" s="2"/>
      </tp>
      <tp t="s">
        <v/>
        <stp/>
        <stp>##V3_BQLV12</stp>
        <stp>[MODL_CRM_US1.xlsx]Single Period!R177C53</stp>
        <stp>CRM US Equity</stp>
        <stp>CB_CF_OTHER_FINANCING_ACTIVITIES/1M</stp>
        <stp>FPR=2022Y</stp>
        <stp>FPT=A</stp>
        <stp>FA_ACT_EST_DATA=E, EST_SOURCE=NIK</stp>
        <stp>ACT_EST_MAPPING=PRECISE</stp>
        <stp>FS=MRC</stp>
        <stp>CURRENCY=USD</stp>
        <stp>XLFILL=b</stp>
        <tr r="BA177" s="2"/>
      </tp>
      <tp t="s">
        <v/>
        <stp/>
        <stp>##V3_BQLV12</stp>
        <stp>[MODL_CRM_US1.xlsx]Single Period!R150C47</stp>
        <stp>CRM US Equity</stp>
        <stp>CURRENT_FUTURE_REV_UNDER_CONTRACT/1M</stp>
        <stp>FPR=2022Y</stp>
        <stp>FPT=A</stp>
        <stp>FA_ACT_EST_DATA=E, EST_SOURCE=WFT</stp>
        <stp>ACT_EST_MAPPING=PRECISE</stp>
        <stp>FS=MRC</stp>
        <stp>CURRENCY=USD</stp>
        <stp>XLFILL=b</stp>
        <tr r="AU150" s="2"/>
      </tp>
      <tp t="s">
        <v/>
        <stp/>
        <stp>##V3_BQLV12</stp>
        <stp>[MODL_CRM_US1.xlsx]Single Period!R170C23</stp>
        <stp>CRM US Equity</stp>
        <stp>CF_CASH_FOR_ACQUIS_SUBSIDIARIES/1M</stp>
        <stp>FPR=2022Y</stp>
        <stp>FPT=A</stp>
        <stp>FA_ACT_EST_DATA=E, EST_SOURCE=JPM</stp>
        <stp>ACT_EST_MAPPING=PRECISE</stp>
        <stp>FS=MRC</stp>
        <stp>CURRENCY=USD</stp>
        <stp>XLFILL=b</stp>
        <tr r="W170" s="2"/>
      </tp>
      <tp t="s">
        <v/>
        <stp/>
        <stp>##V3_BQLV12</stp>
        <stp>[MODL_CRM_US1.xlsx]Single Period!R157C23</stp>
        <stp>CRM US Equity</stp>
        <stp>CF_AMORTIZATN_OF_DEFRRD_COMPNSTN/1M</stp>
        <stp>FPR=2022Y</stp>
        <stp>FPT=A</stp>
        <stp>FA_ACT_EST_DATA=E, EST_SOURCE=JPM</stp>
        <stp>ACT_EST_MAPPING=PRECISE</stp>
        <stp>FS=MRC</stp>
        <stp>CURRENCY=USD</stp>
        <stp>XLFILL=b</stp>
        <tr r="W157" s="2"/>
      </tp>
      <tp t="s">
        <v/>
        <stp/>
        <stp>##V3_BQLV12</stp>
        <stp>[MODL_CRM_US1.xlsx]Single Period!R111C32</stp>
        <stp>CRM US Equity</stp>
        <stp>BS_CASH_CASH_EQUIVALENTS_AND_STI/1M</stp>
        <stp>FPR=2022Y</stp>
        <stp>FPT=A</stp>
        <stp>FA_ACT_EST_DATA=E, EST_SOURCE=UBS</stp>
        <stp>ACT_EST_MAPPING=PRECISE</stp>
        <stp>FS=MRC</stp>
        <stp>CURRENCY=USD</stp>
        <stp>XLFILL=b</stp>
        <tr r="AF111" s="2"/>
      </tp>
      <tp t="s">
        <v/>
        <stp/>
        <stp>##V3_BQLV12</stp>
        <stp>[MODL_CRM_US1.xlsx]Single Period!R191C37</stp>
        <stp>CRM US Equity</stp>
        <stp>CF_FREE_CASH_FLOW/1M</stp>
        <stp>FPR=2022Y</stp>
        <stp>FPT=A</stp>
        <stp>FA_ACT_EST_DATA=E, EST_SOURCE=EVR</stp>
        <stp>ACT_EST_MAPPING=PRECISE</stp>
        <stp>FS=MRC</stp>
        <stp>CURRENCY=USD</stp>
        <stp>XLFILL=b</stp>
        <tr r="AK191" s="2"/>
      </tp>
      <tp t="s">
        <v/>
        <stp/>
        <stp>##V3_BQLV12</stp>
        <stp>[MODL_CRM_US1.xlsx]Single Period!R141C25</stp>
        <stp>CRM US Equity</stp>
        <stp>BS_PURE_RETAINED_EARNINGS/1M</stp>
        <stp>FPR=2022Y</stp>
        <stp>FPT=A</stp>
        <stp>FA_ACT_EST_DATA=E, EST_SOURCE=WMS</stp>
        <stp>ACT_EST_MAPPING=PRECISE</stp>
        <stp>FS=MRC</stp>
        <stp>CURRENCY=USD</stp>
        <stp>XLFILL=b</stp>
        <tr r="Y141" s="2"/>
      </tp>
      <tp t="s">
        <v/>
        <stp/>
        <stp>##V3_BQLV12</stp>
        <stp>[MODL_CRM_US1.xlsx]Single Period!R176C44</stp>
        <stp>CRM US Equity</stp>
        <stp>CF_INCR_CAP_STOCK/1M</stp>
        <stp>FPR=2022Y</stp>
        <stp>FPT=A</stp>
        <stp>FA_ACT_EST_DATA=E, EST_SOURCE=RWB</stp>
        <stp>ACT_EST_MAPPING=PRECISE</stp>
        <stp>FS=MRC</stp>
        <stp>CURRENCY=USD</stp>
        <stp>XLFILL=b</stp>
        <tr r="AR176" s="2"/>
      </tp>
      <tp t="s">
        <v/>
        <stp/>
        <stp>##V3_BQLV12</stp>
        <stp>[MODL_CRM_US1.xlsx]Single Period!R179C10</stp>
        <stp>CRM US Equity</stp>
        <stp>CB_CF_NET_CASH_FINANCING_ACT/1M</stp>
        <stp>FPR=2022Y</stp>
        <stp>FPT=A</stp>
        <stp>FA_ACT_EST_DATA=E, EST_SOURCE=CMPY</stp>
        <stp>ACT_EST_MAPPING=PRECISE</stp>
        <stp>FS=MRC</stp>
        <stp>CURRENCY=USD</stp>
        <stp>XLFILL=b</stp>
        <tr r="J179" s="2"/>
      </tp>
      <tp>
        <v>24.215791454921899</v>
        <stp/>
        <stp>##V3_BQLV12</stp>
        <stp>[MODL_CRM_US1.xlsx]Single Period!R8C7</stp>
        <stp>CRM US Equity</stp>
        <stp>CONTRIBUTOR_STATS(REVENUE_GROWTH_CC_1_YR, MAX)</stp>
        <stp>FPR=2022Y</stp>
        <stp>FPT=A</stp>
        <stp>FA_ACT_EST_DATA=E</stp>
        <stp>ACT_EST_MAPPING=PRECISE</stp>
        <stp>FS=MRC</stp>
        <stp>CURRENCY=USD</stp>
        <stp>XLFILL=b</stp>
        <tr r="G8" s="2"/>
      </tp>
      <tp>
        <v>22.333333333333339</v>
        <stp/>
        <stp>##V3_BQLV12</stp>
        <stp>[MODL_CRM_US1.xlsx]Single Period!R8C6</stp>
        <stp>CRM US Equity</stp>
        <stp>CONTRIBUTOR_STATS(REVENUE_GROWTH_CC_1_YR, MIN)</stp>
        <stp>FPR=2022Y</stp>
        <stp>FPT=A</stp>
        <stp>FA_ACT_EST_DATA=E</stp>
        <stp>ACT_EST_MAPPING=PRECISE</stp>
        <stp>FS=MRC</stp>
        <stp>CURRENCY=USD</stp>
        <stp>XLFILL=b</stp>
        <tr r="F8" s="2"/>
      </tp>
      <tp t="s">
        <v/>
        <stp/>
        <stp>##V3_BQLV12</stp>
        <stp>[MODL_CRM_US1.xlsx]Single Period!R115C37</stp>
        <stp>CRM US Equity</stp>
        <stp>CB_BS_OTHER_CURRENT_ASSETS/1M</stp>
        <stp>FPR=2022Y</stp>
        <stp>FPT=A</stp>
        <stp>FA_ACT_EST_DATA=E, EST_SOURCE=EVR</stp>
        <stp>ACT_EST_MAPPING=PRECISE</stp>
        <stp>FS=MRC</stp>
        <stp>CURRENCY=USD</stp>
        <stp>XLFILL=b</stp>
        <tr r="AK115" s="2"/>
      </tp>
      <tp t="s">
        <v/>
        <stp/>
        <stp>##V3_BQLV12</stp>
        <stp>[MODL_CRM_US1.xlsx]Single Period!R103C34</stp>
        <stp>CRM US Equity</stp>
        <stp>IS_SBC_ATT_TO_GENL_AND_ADMIN_PRETX/1M</stp>
        <stp>FPR=2022Y</stp>
        <stp>FPT=A</stp>
        <stp>FA_ACT_EST_DATA=E, EST_SOURCE=JEF</stp>
        <stp>ACT_EST_MAPPING=PRECISE</stp>
        <stp>FS=MRC</stp>
        <stp>CURRENCY=USD</stp>
        <stp>XLFILL=b</stp>
        <tr r="AH103" s="2"/>
      </tp>
      <tp t="s">
        <v/>
        <stp/>
        <stp>##V3_BQLV12</stp>
        <stp>[MODL_CRM_US1.xlsx]Single Period!R145C11</stp>
        <stp>CRM US Equity</stp>
        <stp>CB_BS_LT_BORROWING/1M</stp>
        <stp>FPR=2022Y</stp>
        <stp>FPT=A</stp>
        <stp>FA_ACT_EST_DATA=E, EST_SOURCE=WBL</stp>
        <stp>ACT_EST_MAPPING=PRECISE</stp>
        <stp>FS=MRC</stp>
        <stp>CURRENCY=USD</stp>
        <stp>XLFILL=b</stp>
        <tr r="K145" s="2"/>
      </tp>
      <tp t="s">
        <v/>
        <stp/>
        <stp>##V3_BQLV12</stp>
        <stp>[MODL_CRM_US1.xlsx]Single Period!R103C55</stp>
        <stp>CRM US Equity</stp>
        <stp>IS_SBC_ATT_TO_GENL_AND_ADMIN_PRETX/1M</stp>
        <stp>FPR=2022Y</stp>
        <stp>FPT=A</stp>
        <stp>FA_ACT_EST_DATA=E, EST_SOURCE=RED</stp>
        <stp>ACT_EST_MAPPING=PRECISE</stp>
        <stp>FS=MRC</stp>
        <stp>CURRENCY=USD</stp>
        <stp>XLFILL=b</stp>
        <tr r="BC103" s="2"/>
      </tp>
      <tp t="s">
        <v/>
        <stp/>
        <stp>##V3_BQLV12</stp>
        <stp>[MODL_CRM_US1.xlsx]Single Period!R145C24</stp>
        <stp>CRM US Equity</stp>
        <stp>CB_BS_LT_BORROWING/1M</stp>
        <stp>FPR=2022Y</stp>
        <stp>FPT=A</stp>
        <stp>FA_ACT_EST_DATA=E, EST_SOURCE=FBC</stp>
        <stp>ACT_EST_MAPPING=PRECISE</stp>
        <stp>FS=MRC</stp>
        <stp>CURRENCY=USD</stp>
        <stp>XLFILL=b</stp>
        <tr r="X145" s="2"/>
      </tp>
      <tp t="s">
        <v/>
        <stp/>
        <stp>##V3_BQLV12</stp>
        <stp>[MODL_CRM_US1.xlsx]Single Period!R145C31</stp>
        <stp>CRM US Equity</stp>
        <stp>CB_BS_LT_BORROWING/1M</stp>
        <stp>FPR=2022Y</stp>
        <stp>FPT=A</stp>
        <stp>FA_ACT_EST_DATA=E, EST_SOURCE=RBC</stp>
        <stp>ACT_EST_MAPPING=PRECISE</stp>
        <stp>FS=MRC</stp>
        <stp>CURRENCY=USD</stp>
        <stp>XLFILL=b</stp>
        <tr r="AE145" s="2"/>
      </tp>
      <tp t="s">
        <v/>
        <stp/>
        <stp>##V3_BQLV12</stp>
        <stp>[MODL_CRM_US1.xlsx]Single Period!R113C37</stp>
        <stp>CRM US Equity</stp>
        <stp>BS_MKT_SEC_OTHER_ST_INVEST/1M</stp>
        <stp>FPR=2022Y</stp>
        <stp>FPT=A</stp>
        <stp>FA_ACT_EST_DATA=E, EST_SOURCE=EVR</stp>
        <stp>ACT_EST_MAPPING=PRECISE</stp>
        <stp>FS=MRC</stp>
        <stp>CURRENCY=USD</stp>
        <stp>XLFILL=b</stp>
        <tr r="AK113" s="2"/>
      </tp>
      <tp t="s">
        <v/>
        <stp/>
        <stp>##V3_BQLV12</stp>
        <stp>[MODL_CRM_US1.xlsx]Single Period!R145C16</stp>
        <stp>CRM US Equity</stp>
        <stp>CB_BS_LT_BORROWING/1M</stp>
        <stp>FPR=2022Y</stp>
        <stp>FPT=A</stp>
        <stp>FA_ACT_EST_DATA=E, EST_SOURCE=DBG</stp>
        <stp>ACT_EST_MAPPING=PRECISE</stp>
        <stp>FS=MRC</stp>
        <stp>CURRENCY=USD</stp>
        <stp>XLFILL=b</stp>
        <tr r="P145" s="2"/>
      </tp>
      <tp t="s">
        <v/>
        <stp/>
        <stp>##V3_BQLV12</stp>
        <stp>[MODL_CRM_US1.xlsx]Single Period!R129C50</stp>
        <stp>CRM US Equity</stp>
        <stp>CB_BS_ACCT_PYBL_ACC_EXPNSS/1M</stp>
        <stp>FPR=2022Y</stp>
        <stp>FPT=A</stp>
        <stp>FA_ACT_EST_DATA=E, EST_SOURCE=MZS</stp>
        <stp>ACT_EST_MAPPING=PRECISE</stp>
        <stp>FS=MRC</stp>
        <stp>CURRENCY=USD</stp>
        <stp>XLFILL=b</stp>
        <tr r="AX129" s="2"/>
      </tp>
      <tp>
        <v>0.26019498719780348</v>
        <stp/>
        <stp>##V3_BQLV12</stp>
        <stp>[MODL_CRM_US1.xlsx]Single Period!R84C8</stp>
        <stp>CRM US Equity</stp>
        <stp>CONTRIBUTOR_STATS(RD_EXPEND_TO_NET_SALES, STD)</stp>
        <stp>FPR=2022Y</stp>
        <stp>FPT=A</stp>
        <stp>FA_ACT_EST_DATA=E</stp>
        <stp>ACT_EST_MAPPING=PRECISE</stp>
        <stp>FS=MRC</stp>
        <stp>CURRENCY=USD</stp>
        <stp>XLFILL=b</stp>
        <tr r="H84" s="2"/>
      </tp>
      <tp t="s">
        <v/>
        <stp/>
        <stp>##V3_BQLV12</stp>
        <stp>[MODL_CRM_US1.xlsx]Single Period!R80C39</stp>
        <stp>CRM US Equity</stp>
        <stp>GROSS_MARGIN</stp>
        <stp>FPR=2022Y</stp>
        <stp>FPT=A</stp>
        <stp>FA_ACT_EST_DATA=E, EST_SOURCE=KGI</stp>
        <stp>ACT_EST_MAPPING=PRECISE</stp>
        <stp>FS=MRC</stp>
        <stp>CURRENCY=USD</stp>
        <stp>XLFILL=b</stp>
        <tr r="AM80" s="2"/>
      </tp>
      <tp t="s">
        <v/>
        <stp/>
        <stp>##V3_BQLV12</stp>
        <stp>[MODL_CRM_US1.xlsx]Single Period!R145C32</stp>
        <stp>CRM US Equity</stp>
        <stp>CB_BS_LT_BORROWING/1M</stp>
        <stp>FPR=2022Y</stp>
        <stp>FPT=A</stp>
        <stp>FA_ACT_EST_DATA=E, EST_SOURCE=UBS</stp>
        <stp>ACT_EST_MAPPING=PRECISE</stp>
        <stp>FS=MRC</stp>
        <stp>CURRENCY=USD</stp>
        <stp>XLFILL=b</stp>
        <tr r="AF145" s="2"/>
      </tp>
      <tp>
        <v>368.42114465536281</v>
        <stp/>
        <stp>##V3_BQLV12</stp>
        <stp>[MODL_CRM_US1.xlsx]Single Period!R103C26</stp>
        <stp>CRM US Equity</stp>
        <stp>IS_SBC_ATT_TO_GENL_AND_ADMIN_PRETX/1M</stp>
        <stp>FPR=2022Y</stp>
        <stp>FPT=A</stp>
        <stp>FA_ACT_EST_DATA=E, EST_SOURCE=KEY</stp>
        <stp>ACT_EST_MAPPING=PRECISE</stp>
        <stp>FS=MRC</stp>
        <stp>CURRENCY=USD</stp>
        <stp>XLFILL=b</stp>
        <tr r="Z103" s="2"/>
      </tp>
      <tp>
        <v>42.254096552288168</v>
        <stp/>
        <stp>##V3_BQLV12</stp>
        <stp>[MODL_CRM_US1.xlsx]Single Period!R86C8</stp>
        <stp>CRM US Equity</stp>
        <stp>CONTRIBUTOR_STATS(IS_GENERAL_AND_ADMIN_GAAP, STD)/1M</stp>
        <stp>FPR=2022Y</stp>
        <stp>FPT=A</stp>
        <stp>FA_ACT_EST_DATA=E</stp>
        <stp>ACT_EST_MAPPING=PRECISE</stp>
        <stp>FS=MRC</stp>
        <stp>CURRENCY=USD</stp>
        <stp>XLFILL=b</stp>
        <tr r="H86" s="2"/>
      </tp>
      <tp t="s">
        <v/>
        <stp/>
        <stp>##V3_BQLV12</stp>
        <stp>[MODL_CRM_US1.xlsx]Single Period!R80C49</stp>
        <stp>CRM US Equity</stp>
        <stp>GROSS_MARGIN</stp>
        <stp>FPR=2022Y</stp>
        <stp>FPT=A</stp>
        <stp>FA_ACT_EST_DATA=E, EST_SOURCE=SGE</stp>
        <stp>ACT_EST_MAPPING=PRECISE</stp>
        <stp>FS=MRC</stp>
        <stp>CURRENCY=USD</stp>
        <stp>XLFILL=b</stp>
        <tr r="AW80" s="2"/>
      </tp>
      <tp t="s">
        <v/>
        <stp/>
        <stp>##V3_BQLV12</stp>
        <stp>[MODL_CRM_US1.xlsx]Single Period!R86C34</stp>
        <stp>CRM US Equity</stp>
        <stp>IS_GENERAL_AND_ADMIN_GAAP/1M</stp>
        <stp>FPR=2022Y</stp>
        <stp>FPT=A</stp>
        <stp>FA_ACT_EST_DATA=E, EST_SOURCE=JEF</stp>
        <stp>ACT_EST_MAPPING=PRECISE</stp>
        <stp>FS=MRC</stp>
        <stp>CURRENCY=USD</stp>
        <stp>XLFILL=b</stp>
        <tr r="AH86" s="2"/>
      </tp>
      <tp t="s">
        <v/>
        <stp/>
        <stp>##V3_BQLV12</stp>
        <stp>[MODL_CRM_US1.xlsx]Single Period!R61C10</stp>
        <stp>CRM US Equity</stp>
        <stp>ADJ_OPERATING_MARGIN</stp>
        <stp>FPR=2022Y</stp>
        <stp>FPT=A</stp>
        <stp>FA_ACT_EST_DATA=E, EST_SOURCE=CMPY</stp>
        <stp>ACT_EST_MAPPING=PRECISE</stp>
        <stp>FS=MRC</stp>
        <stp>CURRENCY=USD</stp>
        <stp>XLFILL=b</stp>
        <tr r="J61" s="2"/>
      </tp>
      <tp t="s">
        <v/>
        <stp/>
        <stp>##V3_BQLV12</stp>
        <stp>[MODL_CRM_US1.xlsx]Single Period!R163C12</stp>
        <stp>CRM US Equity</stp>
        <stp>CB_CF_OTHR_NONCSH_ITEMS/1M</stp>
        <stp>FPR=2022Y</stp>
        <stp>FPT=A</stp>
        <stp>FA_ACT_EST_DATA=E, EST_SOURCE=BMO</stp>
        <stp>ACT_EST_MAPPING=PRECISE</stp>
        <stp>FS=MRC</stp>
        <stp>CURRENCY=USD</stp>
        <stp>XLFILL=b</stp>
        <tr r="L163" s="2"/>
      </tp>
      <tp t="s">
        <v/>
        <stp/>
        <stp>##V3_BQLV12</stp>
        <stp>[MODL_CRM_US1.xlsx]Single Period!R133C50</stp>
        <stp>CRM US Equity</stp>
        <stp>BS_LONG_TERM_BORROWINGS/1M</stp>
        <stp>FPR=2022Y</stp>
        <stp>FPT=A</stp>
        <stp>FA_ACT_EST_DATA=E, EST_SOURCE=MZS</stp>
        <stp>ACT_EST_MAPPING=PRECISE</stp>
        <stp>FS=MRC</stp>
        <stp>CURRENCY=USD</stp>
        <stp>XLFILL=b</stp>
        <tr r="AX133" s="2"/>
      </tp>
      <tp t="s">
        <v/>
        <stp/>
        <stp>##V3_BQLV12</stp>
        <stp>[MODL_CRM_US1.xlsx]Single Period!R159C36</stp>
        <stp>CRM US Equity</stp>
        <stp>SBC_NON_GAAP_TO_SALES</stp>
        <stp>FPR=2022Y</stp>
        <stp>FPT=A</stp>
        <stp>FA_ACT_EST_DATA=E, EST_SOURCE=MAC</stp>
        <stp>ACT_EST_MAPPING=PRECISE</stp>
        <stp>FS=MRC</stp>
        <stp>CURRENCY=USD</stp>
        <stp>XLFILL=b</stp>
        <tr r="AJ159" s="2"/>
      </tp>
      <tp>
        <v>-905</v>
        <stp/>
        <stp>##V3_BQLV12</stp>
        <stp>[MODL_CRM_US1.xlsx]Single Period!R67C9</stp>
        <stp>CRM US Equity</stp>
        <stp>CONTRIBUTOR_STATS(IS_NON_OPERATING_INC_LOSS_GAAP, MEDIAN)/1M</stp>
        <stp>FPR=2022Y</stp>
        <stp>FPT=A</stp>
        <stp>FA_ACT_EST_DATA=E</stp>
        <stp>ACT_EST_MAPPING=PRECISE</stp>
        <stp>FS=MRC</stp>
        <stp>CURRENCY=USD</stp>
        <stp>XLFILL=b</stp>
        <tr r="I67" s="2"/>
      </tp>
      <tp t="s">
        <v/>
        <stp/>
        <stp>##V3_BQLV12</stp>
        <stp>[MODL_CRM_US1.xlsx]Single Period!R86C30</stp>
        <stp>CRM US Equity</stp>
        <stp>IS_GENERAL_AND_ADMIN_GAAP/1M</stp>
        <stp>FPR=2022Y</stp>
        <stp>FPT=A</stp>
        <stp>FA_ACT_EST_DATA=E, EST_SOURCE=BAM</stp>
        <stp>ACT_EST_MAPPING=PRECISE</stp>
        <stp>FS=MRC</stp>
        <stp>CURRENCY=USD</stp>
        <stp>XLFILL=b</stp>
        <tr r="AD86" s="2"/>
      </tp>
      <tp t="s">
        <v/>
        <stp/>
        <stp>##V3_BQLV12</stp>
        <stp>[MODL_CRM_US1.xlsx]Single Period!R158C35</stp>
        <stp>CRM US Equity</stp>
        <stp>IS_SBC_NON_GAAP/1M</stp>
        <stp>FPR=2022Y</stp>
        <stp>FPT=A</stp>
        <stp>FA_ACT_EST_DATA=E, EST_SOURCE=ATL</stp>
        <stp>ACT_EST_MAPPING=PRECISE</stp>
        <stp>FS=MRC</stp>
        <stp>CURRENCY=USD</stp>
        <stp>XLFILL=b</stp>
        <tr r="AI158" s="2"/>
      </tp>
      <tp t="s">
        <v/>
        <stp/>
        <stp>##V3_BQLV12</stp>
        <stp>[MODL_CRM_US1.xlsx]Single Period!R159C30</stp>
        <stp>CRM US Equity</stp>
        <stp>SBC_NON_GAAP_TO_SALES</stp>
        <stp>FPR=2022Y</stp>
        <stp>FPT=A</stp>
        <stp>FA_ACT_EST_DATA=E, EST_SOURCE=BAM</stp>
        <stp>ACT_EST_MAPPING=PRECISE</stp>
        <stp>FS=MRC</stp>
        <stp>CURRENCY=USD</stp>
        <stp>XLFILL=b</stp>
        <tr r="AD159" s="2"/>
      </tp>
      <tp t="s">
        <v/>
        <stp/>
        <stp>##V3_BQLV12</stp>
        <stp>[MODL_CRM_US1.xlsx]Single Period!R178C23</stp>
        <stp>CRM US Equity</stp>
        <stp>CB_CF_REPAYMENT_LT_DEBT/1M</stp>
        <stp>FPR=2022Y</stp>
        <stp>FPT=A</stp>
        <stp>FA_ACT_EST_DATA=E, EST_SOURCE=JPM</stp>
        <stp>ACT_EST_MAPPING=PRECISE</stp>
        <stp>FS=MRC</stp>
        <stp>CURRENCY=USD</stp>
        <stp>XLFILL=b</stp>
        <tr r="W178" s="2"/>
      </tp>
      <tp t="s">
        <v/>
        <stp/>
        <stp>##V3_BQLV12</stp>
        <stp>[MODL_CRM_US1.xlsx]Single Period!R159C18</stp>
        <stp>CRM US Equity</stp>
        <stp>SBC_NON_GAAP_TO_SALES</stp>
        <stp>FPR=2022Y</stp>
        <stp>FPT=A</stp>
        <stp>FA_ACT_EST_DATA=E, EST_SOURCE=CAN</stp>
        <stp>ACT_EST_MAPPING=PRECISE</stp>
        <stp>FS=MRC</stp>
        <stp>CURRENCY=USD</stp>
        <stp>XLFILL=b</stp>
        <tr r="R159" s="2"/>
      </tp>
      <tp t="s">
        <v/>
        <stp/>
        <stp>##V3_BQLV12</stp>
        <stp>[MODL_CRM_US1.xlsx]Single Period!R158C46</stp>
        <stp>CRM US Equity</stp>
        <stp>IS_SBC_NON_GAAP/1M</stp>
        <stp>FPR=2022Y</stp>
        <stp>FPT=A</stp>
        <stp>FA_ACT_EST_DATA=E, EST_SOURCE=CTI</stp>
        <stp>ACT_EST_MAPPING=PRECISE</stp>
        <stp>FS=MRC</stp>
        <stp>CURRENCY=USD</stp>
        <stp>XLFILL=b</stp>
        <tr r="AT158" s="2"/>
      </tp>
      <tp t="s">
        <v/>
        <stp/>
        <stp>##V3_BQLV12</stp>
        <stp>[MODL_CRM_US1.xlsx]Single Period!R53C54</stp>
        <stp>CRM US Equity</stp>
        <stp>REVENUE_GROWTH_CC_1_YR</stp>
        <stp>FPR=2022Y</stp>
        <stp>FPT=A</stp>
        <stp>FA_ACT_EST_DATA=E, EST_SOURCE=ARE</stp>
        <stp>ACT_EST_MAPPING=PRECISE</stp>
        <stp>FS=MRC</stp>
        <stp>CURRENCY=USD</stp>
        <stp>XLFILL=b</stp>
        <tr r="BB53" s="2"/>
      </tp>
      <tp t="s">
        <v/>
        <stp/>
        <stp>##V3_BQLV12</stp>
        <stp>[MODL_CRM_US1.xlsx]Single Period!R53C45</stp>
        <stp>CRM US Equity</stp>
        <stp>REVENUE_GROWTH_CC_1_YR</stp>
        <stp>FPR=2022Y</stp>
        <stp>FPT=A</stp>
        <stp>FA_ACT_EST_DATA=E, EST_SOURCE=ARG</stp>
        <stp>ACT_EST_MAPPING=PRECISE</stp>
        <stp>FS=MRC</stp>
        <stp>CURRENCY=USD</stp>
        <stp>XLFILL=b</stp>
        <tr r="AS53" s="2"/>
      </tp>
      <tp t="s">
        <v/>
        <stp/>
        <stp>##V3_BQLV12</stp>
        <stp>[MODL_CRM_US1.xlsx]Single Period!R86C47</stp>
        <stp>CRM US Equity</stp>
        <stp>IS_GENERAL_AND_ADMIN_GAAP/1M</stp>
        <stp>FPR=2022Y</stp>
        <stp>FPT=A</stp>
        <stp>FA_ACT_EST_DATA=E, EST_SOURCE=WFT</stp>
        <stp>ACT_EST_MAPPING=PRECISE</stp>
        <stp>FS=MRC</stp>
        <stp>CURRENCY=USD</stp>
        <stp>XLFILL=b</stp>
        <tr r="AU86" s="2"/>
      </tp>
      <tp t="s">
        <v/>
        <stp/>
        <stp>##V3_BQLV12</stp>
        <stp>[MODL_CRM_US1.xlsx]Single Period!R147C50</stp>
        <stp>CRM US Equity</stp>
        <stp>BV_PER_WEIGHTED_DILUTED_SHARE</stp>
        <stp>FPR=2022Y</stp>
        <stp>FPT=A</stp>
        <stp>FA_ACT_EST_DATA=E, EST_SOURCE=MZS</stp>
        <stp>ACT_EST_MAPPING=PRECISE</stp>
        <stp>FS=MRC</stp>
        <stp>CURRENCY=USD</stp>
        <stp>XLFILL=b</stp>
        <tr r="AX147" s="2"/>
      </tp>
      <tp>
        <v>22118</v>
        <stp/>
        <stp>##V3_BQLV12</stp>
        <stp>[MODL_CRM_US1.xlsx]Single Period!R13C24</stp>
        <stp>CRM US Equity</stp>
        <stp>CURRENT_FUTURE_REV_UNDER_CONTRACT/1M</stp>
        <stp>FPR=2022Y</stp>
        <stp>FPT=A</stp>
        <stp>FA_ACT_EST_DATA=E, EST_SOURCE=FBC</stp>
        <stp>ACT_EST_MAPPING=PRECISE</stp>
        <stp>FS=MRC</stp>
        <stp>CURRENCY=USD</stp>
        <stp>XLFILL=b</stp>
        <tr r="X13" s="2"/>
      </tp>
      <tp t="s">
        <v/>
        <stp/>
        <stp>##V3_BQLV12</stp>
        <stp>[MODL_CRM_US1.xlsx]Single Period!R178C22</stp>
        <stp>CRM US Equity</stp>
        <stp>CB_CF_REPAYMENT_LT_DEBT/1M</stp>
        <stp>FPR=2022Y</stp>
        <stp>FPT=A</stp>
        <stp>FA_ACT_EST_DATA=E, EST_SOURCE=OPY</stp>
        <stp>ACT_EST_MAPPING=PRECISE</stp>
        <stp>FS=MRC</stp>
        <stp>CURRENCY=USD</stp>
        <stp>XLFILL=b</stp>
        <tr r="V178" s="2"/>
      </tp>
      <tp>
        <v>-1223</v>
        <stp/>
        <stp>##V3_BQLV12</stp>
        <stp>[MODL_CRM_US1.xlsx]Single Period!R163C20</stp>
        <stp>CRM US Equity</stp>
        <stp>CB_CF_OTHR_NONCSH_ITEMS/1M</stp>
        <stp>FPR=2022Y</stp>
        <stp>FPT=A</stp>
        <stp>FA_ACT_EST_DATA=E, EST_SOURCE=JMP</stp>
        <stp>ACT_EST_MAPPING=PRECISE</stp>
        <stp>FS=MRC</stp>
        <stp>CURRENCY=USD</stp>
        <stp>XLFILL=b</stp>
        <tr r="T163" s="2"/>
      </tp>
      <tp>
        <v>-1222.4519094509399</v>
        <stp/>
        <stp>##V3_BQLV12</stp>
        <stp>[MODL_CRM_US1.xlsx]Single Period!R163C25</stp>
        <stp>CRM US Equity</stp>
        <stp>CB_CF_OTHR_NONCSH_ITEMS/1M</stp>
        <stp>FPR=2022Y</stp>
        <stp>FPT=A</stp>
        <stp>FA_ACT_EST_DATA=E, EST_SOURCE=WMS</stp>
        <stp>ACT_EST_MAPPING=PRECISE</stp>
        <stp>FS=MRC</stp>
        <stp>CURRENCY=USD</stp>
        <stp>XLFILL=b</stp>
        <tr r="Y163" s="2"/>
      </tp>
      <tp t="s">
        <v/>
        <stp/>
        <stp>##V3_BQLV12</stp>
        <stp>[MODL_CRM_US1.xlsx]Single Period!R164C38</stp>
        <stp>CRM US Equity</stp>
        <stp>CHG_IN_ACCT_PYBL_AND_ACC_EXPNSS/1M</stp>
        <stp>FPR=2022Y</stp>
        <stp>FPT=A</stp>
        <stp>FA_ACT_EST_DATA=E, EST_SOURCE=MSR</stp>
        <stp>ACT_EST_MAPPING=PRECISE</stp>
        <stp>FS=MRC</stp>
        <stp>CURRENCY=USD</stp>
        <stp>XLFILL=b</stp>
        <tr r="AL164" s="2"/>
      </tp>
      <tp t="s">
        <v/>
        <stp/>
        <stp>##V3_BQLV12</stp>
        <stp>[MODL_CRM_US1.xlsx]Single Period!R141C18</stp>
        <stp>CRM US Equity</stp>
        <stp>BS_PURE_RETAINED_EARNINGS/1M</stp>
        <stp>FPR=2022Y</stp>
        <stp>FPT=A</stp>
        <stp>FA_ACT_EST_DATA=E, EST_SOURCE=CAN</stp>
        <stp>ACT_EST_MAPPING=PRECISE</stp>
        <stp>FS=MRC</stp>
        <stp>CURRENCY=USD</stp>
        <stp>XLFILL=b</stp>
        <tr r="R141" s="2"/>
      </tp>
      <tp>
        <v>21420</v>
        <stp/>
        <stp>##V3_BQLV12</stp>
        <stp>[MODL_CRM_US1.xlsx]Single Period!R150C13</stp>
        <stp>CRM US Equity</stp>
        <stp>CURRENT_FUTURE_REV_UNDER_CONTRACT/1M</stp>
        <stp>FPR=2022Y</stp>
        <stp>FPT=A</stp>
        <stp>FA_ACT_EST_DATA=E, EST_SOURCE=BCA</stp>
        <stp>ACT_EST_MAPPING=PRECISE</stp>
        <stp>FS=MRC</stp>
        <stp>CURRENCY=USD</stp>
        <stp>XLFILL=b</stp>
        <tr r="M150" s="2"/>
      </tp>
      <tp>
        <v>474.6968418395756</v>
        <stp/>
        <stp>##V3_BQLV12</stp>
        <stp>[MODL_CRM_US1.xlsx]Single Period!R164C15</stp>
        <stp>CRM US Equity</stp>
        <stp>CHG_IN_ACCT_PYBL_AND_ACC_EXPNSS/1M</stp>
        <stp>FPR=2022Y</stp>
        <stp>FPT=A</stp>
        <stp>FA_ACT_EST_DATA=E, EST_SOURCE=MSV</stp>
        <stp>ACT_EST_MAPPING=PRECISE</stp>
        <stp>FS=MRC</stp>
        <stp>CURRENCY=USD</stp>
        <stp>XLFILL=b</stp>
        <tr r="O164" s="2"/>
      </tp>
      <tp t="s">
        <v/>
        <stp/>
        <stp>##V3_BQLV12</stp>
        <stp>[MODL_CRM_US1.xlsx]Single Period!R164C41</stp>
        <stp>CRM US Equity</stp>
        <stp>CHG_IN_ACCT_PYBL_AND_ACC_EXPNSS/1M</stp>
        <stp>FPR=2022Y</stp>
        <stp>FPT=A</stp>
        <stp>FA_ACT_EST_DATA=E, EST_SOURCE=GSR</stp>
        <stp>ACT_EST_MAPPING=PRECISE</stp>
        <stp>FS=MRC</stp>
        <stp>CURRENCY=USD</stp>
        <stp>XLFILL=b</stp>
        <tr r="AO164" s="2"/>
      </tp>
      <tp t="s">
        <v/>
        <stp/>
        <stp>##V3_BQLV12</stp>
        <stp>[MODL_CRM_US1.xlsx]Single Period!R176C22</stp>
        <stp>CRM US Equity</stp>
        <stp>CF_INCR_CAP_STOCK/1M</stp>
        <stp>FPR=2022Y</stp>
        <stp>FPT=A</stp>
        <stp>FA_ACT_EST_DATA=E, EST_SOURCE=OPY</stp>
        <stp>ACT_EST_MAPPING=PRECISE</stp>
        <stp>FS=MRC</stp>
        <stp>CURRENCY=USD</stp>
        <stp>XLFILL=b</stp>
        <tr r="V176" s="2"/>
      </tp>
      <tp>
        <v>5066.9772691779135</v>
        <stp/>
        <stp>##V3_BQLV12</stp>
        <stp>[MODL_CRM_US1.xlsx]Single Period!R129C5</stp>
        <stp>CRM US Equity</stp>
        <stp>CB_BS_ACCT_PYBL_ACC_EXPNSS/1M</stp>
        <stp>FPR=2022Y</stp>
        <stp>FPT=A</stp>
        <stp>FA_ACT_EST_DATA=E</stp>
        <stp>ACT_EST_MAPPING=PRECISE</stp>
        <stp>FS=MRC</stp>
        <stp>CURRENCY=USD</stp>
        <stp>XLFILL=b</stp>
        <tr r="E129" s="2"/>
      </tp>
      <tp t="s">
        <v/>
        <stp/>
        <stp>##V3_BQLV12</stp>
        <stp>[MODL_CRM_US1.xlsx]Single Period!R150C55</stp>
        <stp>CRM US Equity</stp>
        <stp>CURRENT_FUTURE_REV_UNDER_CONTRACT/1M</stp>
        <stp>FPR=2022Y</stp>
        <stp>FPT=A</stp>
        <stp>FA_ACT_EST_DATA=E, EST_SOURCE=RED</stp>
        <stp>ACT_EST_MAPPING=PRECISE</stp>
        <stp>FS=MRC</stp>
        <stp>CURRENCY=USD</stp>
        <stp>XLFILL=b</stp>
        <tr r="BC150" s="2"/>
      </tp>
      <tp>
        <v>15816.715696587878</v>
        <stp/>
        <stp>##V3_BQLV12</stp>
        <stp>[MODL_CRM_US1.xlsx]Single Period!R58C5</stp>
        <stp>CRM US Equity</stp>
        <stp>CB_IS_ADJUSTED_OPEX/1M</stp>
        <stp>FPR=2022Y</stp>
        <stp>FPT=A</stp>
        <stp>FA_ACT_EST_DATA=E</stp>
        <stp>ACT_EST_MAPPING=PRECISE</stp>
        <stp>FS=MRC</stp>
        <stp>CURRENCY=USD</stp>
        <stp>XLFILL=b</stp>
        <tr r="E58" s="2"/>
      </tp>
      <tp t="s">
        <v/>
        <stp/>
        <stp>##V3_BQLV12</stp>
        <stp>[MODL_CRM_US1.xlsx]Single Period!R111C55</stp>
        <stp>CRM US Equity</stp>
        <stp>BS_CASH_CASH_EQUIVALENTS_AND_STI/1M</stp>
        <stp>FPR=2022Y</stp>
        <stp>FPT=A</stp>
        <stp>FA_ACT_EST_DATA=E, EST_SOURCE=RED</stp>
        <stp>ACT_EST_MAPPING=PRECISE</stp>
        <stp>FS=MRC</stp>
        <stp>CURRENCY=USD</stp>
        <stp>XLFILL=b</stp>
        <tr r="BC111" s="2"/>
      </tp>
      <tp t="s">
        <v/>
        <stp/>
        <stp>##V3_BQLV12</stp>
        <stp>[MODL_CRM_US1.xlsx]Single Period!R111C18</stp>
        <stp>CRM US Equity</stp>
        <stp>BS_CASH_CASH_EQUIVALENTS_AND_STI/1M</stp>
        <stp>FPR=2022Y</stp>
        <stp>FPT=A</stp>
        <stp>FA_ACT_EST_DATA=E, EST_SOURCE=CAN</stp>
        <stp>ACT_EST_MAPPING=PRECISE</stp>
        <stp>FS=MRC</stp>
        <stp>CURRENCY=USD</stp>
        <stp>XLFILL=b</stp>
        <tr r="R111" s="2"/>
      </tp>
      <tp>
        <v>11087.45667126588</v>
        <stp/>
        <stp>##V3_BQLV12</stp>
        <stp>[MODL_CRM_US1.xlsx]Single Period!R111C24</stp>
        <stp>CRM US Equity</stp>
        <stp>BS_CASH_CASH_EQUIVALENTS_AND_STI/1M</stp>
        <stp>FPR=2022Y</stp>
        <stp>FPT=A</stp>
        <stp>FA_ACT_EST_DATA=E, EST_SOURCE=FBC</stp>
        <stp>ACT_EST_MAPPING=PRECISE</stp>
        <stp>FS=MRC</stp>
        <stp>CURRENCY=USD</stp>
        <stp>XLFILL=b</stp>
        <tr r="X111" s="2"/>
      </tp>
      <tp t="s">
        <v/>
        <stp/>
        <stp>##V3_BQLV12</stp>
        <stp>[MODL_CRM_US1.xlsx]Single Period!R176C41</stp>
        <stp>CRM US Equity</stp>
        <stp>CF_INCR_CAP_STOCK/1M</stp>
        <stp>FPR=2022Y</stp>
        <stp>FPT=A</stp>
        <stp>FA_ACT_EST_DATA=E, EST_SOURCE=GSR</stp>
        <stp>ACT_EST_MAPPING=PRECISE</stp>
        <stp>FS=MRC</stp>
        <stp>CURRENCY=USD</stp>
        <stp>XLFILL=b</stp>
        <tr r="AO176" s="2"/>
      </tp>
      <tp t="s">
        <v/>
        <stp/>
        <stp>##V3_BQLV12</stp>
        <stp>[MODL_CRM_US1.xlsx]Single Period!R164C42</stp>
        <stp>CRM US Equity</stp>
        <stp>CHG_IN_ACCT_PYBL_AND_ACC_EXPNSS/1M</stp>
        <stp>FPR=2022Y</stp>
        <stp>FPT=A</stp>
        <stp>FA_ACT_EST_DATA=E, EST_SOURCE=PSG</stp>
        <stp>ACT_EST_MAPPING=PRECISE</stp>
        <stp>FS=MRC</stp>
        <stp>CURRENCY=USD</stp>
        <stp>XLFILL=b</stp>
        <tr r="AP164" s="2"/>
      </tp>
      <tp t="s">
        <v/>
        <stp/>
        <stp>##V3_BQLV12</stp>
        <stp>[MODL_CRM_US1.xlsx]Single Period!R150C32</stp>
        <stp>CRM US Equity</stp>
        <stp>CURRENT_FUTURE_REV_UNDER_CONTRACT/1M</stp>
        <stp>FPR=2022Y</stp>
        <stp>FPT=A</stp>
        <stp>FA_ACT_EST_DATA=E, EST_SOURCE=UBS</stp>
        <stp>ACT_EST_MAPPING=PRECISE</stp>
        <stp>FS=MRC</stp>
        <stp>CURRENCY=USD</stp>
        <stp>XLFILL=b</stp>
        <tr r="AF150" s="2"/>
      </tp>
      <tp t="s">
        <v/>
        <stp/>
        <stp>##V3_BQLV12</stp>
        <stp>[MODL_CRM_US1.xlsx]Single Period!R30C48</stp>
        <stp>SEG0000269238 Segment</stp>
        <stp>IS_COGS_TO_FE_AND_PP_AND_G/1M</stp>
        <stp>FPR=2022Y</stp>
        <stp>FPT=A</stp>
        <stp>FA_ACT_EST_DATA=E, EST_SOURCE=PJE</stp>
        <stp>ACT_EST_MAPPING=PRECISE</stp>
        <stp>FS=MRC</stp>
        <stp>CURRENCY=USD</stp>
        <stp>XLFILL=b</stp>
        <tr r="AV30" s="2"/>
      </tp>
      <tp t="s">
        <v/>
        <stp/>
        <stp>##V3_BQLV12</stp>
        <stp>[MODL_CRM_US1.xlsx]Single Period!R157C44</stp>
        <stp>CRM US Equity</stp>
        <stp>CF_AMORTIZATN_OF_DEFRRD_COMPNSTN/1M</stp>
        <stp>FPR=2022Y</stp>
        <stp>FPT=A</stp>
        <stp>FA_ACT_EST_DATA=E, EST_SOURCE=RWB</stp>
        <stp>ACT_EST_MAPPING=PRECISE</stp>
        <stp>FS=MRC</stp>
        <stp>CURRENCY=USD</stp>
        <stp>XLFILL=b</stp>
        <tr r="AR157" s="2"/>
      </tp>
      <tp t="s">
        <v/>
        <stp/>
        <stp>##V3_BQLV12</stp>
        <stp>[MODL_CRM_US1.xlsx]Single Period!R176C46</stp>
        <stp>CRM US Equity</stp>
        <stp>CF_INCR_CAP_STOCK/1M</stp>
        <stp>FPR=2022Y</stp>
        <stp>FPT=A</stp>
        <stp>FA_ACT_EST_DATA=E, EST_SOURCE=CTI</stp>
        <stp>ACT_EST_MAPPING=PRECISE</stp>
        <stp>FS=MRC</stp>
        <stp>CURRENCY=USD</stp>
        <stp>XLFILL=b</stp>
        <tr r="AT176" s="2"/>
      </tp>
      <tp t="s">
        <v/>
        <stp/>
        <stp>##V3_BQLV12</stp>
        <stp>[MODL_CRM_US1.xlsx]Single Period!R30C21</stp>
        <stp>SEG0000269238 Segment</stp>
        <stp>IS_COGS_TO_FE_AND_PP_AND_G/1M</stp>
        <stp>FPR=2022Y</stp>
        <stp>FPT=A</stp>
        <stp>FA_ACT_EST_DATA=E, EST_SOURCE=RJA</stp>
        <stp>ACT_EST_MAPPING=PRECISE</stp>
        <stp>FS=MRC</stp>
        <stp>CURRENCY=USD</stp>
        <stp>XLFILL=b</stp>
        <tr r="U30" s="2"/>
      </tp>
      <tp t="s">
        <v/>
        <stp/>
        <stp>##V3_BQLV12</stp>
        <stp>[MODL_CRM_US1.xlsx]Single Period!R157C43</stp>
        <stp>CRM US Equity</stp>
        <stp>CF_AMORTIZATN_OF_DEFRRD_COMPNSTN/1M</stp>
        <stp>FPR=2022Y</stp>
        <stp>FPT=A</stp>
        <stp>FA_ACT_EST_DATA=E, EST_SOURCE=DWI</stp>
        <stp>ACT_EST_MAPPING=PRECISE</stp>
        <stp>FS=MRC</stp>
        <stp>CURRENCY=USD</stp>
        <stp>XLFILL=b</stp>
        <tr r="AQ157" s="2"/>
      </tp>
      <tp t="s">
        <v/>
        <stp/>
        <stp>##V3_BQLV12</stp>
        <stp>[MODL_CRM_US1.xlsx]Single Period!R182C10</stp>
        <stp>CRM US Equity</stp>
        <stp>CB_CF_NET_CASH_OPERATING_ACT/1M</stp>
        <stp>FPR=2022Y</stp>
        <stp>FPT=A</stp>
        <stp>FA_ACT_EST_DATA=E, EST_SOURCE=CMPY</stp>
        <stp>ACT_EST_MAPPING=PRECISE</stp>
        <stp>FS=MRC</stp>
        <stp>CURRENCY=USD</stp>
        <stp>XLFILL=b</stp>
        <tr r="J182" s="2"/>
      </tp>
      <tp>
        <v>37471.186190895605</v>
        <stp/>
        <stp>##V3_BQLV12</stp>
        <stp>[MODL_CRM_US1.xlsx]Single Period!R136C5</stp>
        <stp>CRM US Equity</stp>
        <stp>BS_TOTAL_LIABILITIES/1M</stp>
        <stp>FPR=2022Y</stp>
        <stp>FPT=A</stp>
        <stp>FA_ACT_EST_DATA=E</stp>
        <stp>ACT_EST_MAPPING=PRECISE</stp>
        <stp>FS=MRC</stp>
        <stp>CURRENCY=USD</stp>
        <stp>XLFILL=b</stp>
        <tr r="E136" s="2"/>
      </tp>
      <tp t="s">
        <v/>
        <stp/>
        <stp>##V3_BQLV12</stp>
        <stp>[MODL_CRM_US1.xlsx]Single Period!R145C27</stp>
        <stp>CRM US Equity</stp>
        <stp>CB_BS_LT_BORROWING/1M</stp>
        <stp>FPR=2022Y</stp>
        <stp>FPT=A</stp>
        <stp>FA_ACT_EST_DATA=E, EST_SOURCE=LCM</stp>
        <stp>ACT_EST_MAPPING=PRECISE</stp>
        <stp>FS=MRC</stp>
        <stp>CURRENCY=USD</stp>
        <stp>XLFILL=b</stp>
        <tr r="AA145" s="2"/>
      </tp>
      <tp t="s">
        <v/>
        <stp/>
        <stp>##V3_BQLV12</stp>
        <stp>[MODL_CRM_US1.xlsx]Single Period!R80C56</stp>
        <stp>CRM US Equity</stp>
        <stp>GROSS_MARGIN</stp>
        <stp>FPR=2022Y</stp>
        <stp>FPT=A</stp>
        <stp>FA_ACT_EST_DATA=E, EST_SOURCE=DIR</stp>
        <stp>ACT_EST_MAPPING=PRECISE</stp>
        <stp>FS=MRC</stp>
        <stp>CURRENCY=USD</stp>
        <stp>XLFILL=b</stp>
        <tr r="BD80" s="2"/>
      </tp>
      <tp t="s">
        <v/>
        <stp/>
        <stp>##V3_BQLV12</stp>
        <stp>[MODL_CRM_US1.xlsx]Single Period!R145C40</stp>
        <stp>CRM US Equity</stp>
        <stp>CB_BS_LT_BORROWING/1M</stp>
        <stp>FPR=2022Y</stp>
        <stp>FPT=A</stp>
        <stp>FA_ACT_EST_DATA=E, EST_SOURCE=ACC</stp>
        <stp>ACT_EST_MAPPING=PRECISE</stp>
        <stp>FS=MRC</stp>
        <stp>CURRENCY=USD</stp>
        <stp>XLFILL=b</stp>
        <tr r="AN145" s="2"/>
      </tp>
      <tp t="s">
        <v/>
        <stp/>
        <stp>##V3_BQLV12</stp>
        <stp>[MODL_CRM_US1.xlsx]Single Period!R145C19</stp>
        <stp>CRM US Equity</stp>
        <stp>CB_BS_LT_BORROWING/1M</stp>
        <stp>FPR=2022Y</stp>
        <stp>FPT=A</stp>
        <stp>FA_ACT_EST_DATA=E, EST_SOURCE=SCB</stp>
        <stp>ACT_EST_MAPPING=PRECISE</stp>
        <stp>FS=MRC</stp>
        <stp>CURRENCY=USD</stp>
        <stp>XLFILL=b</stp>
        <tr r="S145" s="2"/>
      </tp>
      <tp t="s">
        <v/>
        <stp/>
        <stp>##V3_BQLV12</stp>
        <stp>[MODL_CRM_US1.xlsx]Single Period!R145C13</stp>
        <stp>CRM US Equity</stp>
        <stp>CB_BS_LT_BORROWING/1M</stp>
        <stp>FPR=2022Y</stp>
        <stp>FPT=A</stp>
        <stp>FA_ACT_EST_DATA=E, EST_SOURCE=BCA</stp>
        <stp>ACT_EST_MAPPING=PRECISE</stp>
        <stp>FS=MRC</stp>
        <stp>CURRENCY=USD</stp>
        <stp>XLFILL=b</stp>
        <tr r="M145" s="2"/>
      </tp>
      <tp t="s">
        <v/>
        <stp/>
        <stp>##V3_BQLV12</stp>
        <stp>[MODL_CRM_US1.xlsx]Single Period!R103C17</stp>
        <stp>CRM US Equity</stp>
        <stp>IS_SBC_ATT_TO_GENL_AND_ADMIN_PRETX/1M</stp>
        <stp>FPR=2022Y</stp>
        <stp>FPT=A</stp>
        <stp>FA_ACT_EST_DATA=E, EST_SOURCE=NDH</stp>
        <stp>ACT_EST_MAPPING=PRECISE</stp>
        <stp>FS=MRC</stp>
        <stp>CURRENCY=USD</stp>
        <stp>XLFILL=b</stp>
        <tr r="Q103" s="2"/>
      </tp>
      <tp t="s">
        <v/>
        <stp/>
        <stp>##V3_BQLV12</stp>
        <stp>[MODL_CRM_US1.xlsx]Single Period!R71C10</stp>
        <stp>CRM US Equity</stp>
        <stp>ADJ_PROFIT_MARGIN</stp>
        <stp>FPR=2022Y</stp>
        <stp>FPT=A</stp>
        <stp>FA_ACT_EST_DATA=E, EST_SOURCE=CMPY</stp>
        <stp>ACT_EST_MAPPING=PRECISE</stp>
        <stp>FS=MRC</stp>
        <stp>CURRENCY=USD</stp>
        <stp>XLFILL=b</stp>
        <tr r="J71" s="2"/>
      </tp>
      <tp t="s">
        <v/>
        <stp/>
        <stp>##V3_BQLV12</stp>
        <stp>[MODL_CRM_US1.xlsx]Single Period!R113C43</stp>
        <stp>CRM US Equity</stp>
        <stp>BS_MKT_SEC_OTHER_ST_INVEST/1M</stp>
        <stp>FPR=2022Y</stp>
        <stp>FPT=A</stp>
        <stp>FA_ACT_EST_DATA=E, EST_SOURCE=DWI</stp>
        <stp>ACT_EST_MAPPING=PRECISE</stp>
        <stp>FS=MRC</stp>
        <stp>CURRENCY=USD</stp>
        <stp>XLFILL=b</stp>
        <tr r="AQ113" s="2"/>
      </tp>
      <tp t="s">
        <v/>
        <stp/>
        <stp>##V3_BQLV12</stp>
        <stp>[MODL_CRM_US1.xlsx]Single Period!R118C35</stp>
        <stp>CRM US Equity</stp>
        <stp>CB_BS_PP_AND_E_NET/1M</stp>
        <stp>FPR=2022Y</stp>
        <stp>FPT=A</stp>
        <stp>FA_ACT_EST_DATA=E, EST_SOURCE=ATL</stp>
        <stp>ACT_EST_MAPPING=PRECISE</stp>
        <stp>FS=MRC</stp>
        <stp>CURRENCY=USD</stp>
        <stp>XLFILL=b</stp>
        <tr r="AI118" s="2"/>
      </tp>
      <tp t="s">
        <v/>
        <stp/>
        <stp>##V3_BQLV12</stp>
        <stp>[MODL_CRM_US1.xlsx]Single Period!R80C12</stp>
        <stp>CRM US Equity</stp>
        <stp>GROSS_MARGIN</stp>
        <stp>FPR=2022Y</stp>
        <stp>FPT=A</stp>
        <stp>FA_ACT_EST_DATA=E, EST_SOURCE=BMO</stp>
        <stp>ACT_EST_MAPPING=PRECISE</stp>
        <stp>FS=MRC</stp>
        <stp>CURRENCY=USD</stp>
        <stp>XLFILL=b</stp>
        <tr r="L80" s="2"/>
      </tp>
      <tp t="s">
        <v/>
        <stp/>
        <stp>##V3_BQLV12</stp>
        <stp>[MODL_CRM_US1.xlsx]Single Period!R115C44</stp>
        <stp>CRM US Equity</stp>
        <stp>CB_BS_OTHER_CURRENT_ASSETS/1M</stp>
        <stp>FPR=2022Y</stp>
        <stp>FPT=A</stp>
        <stp>FA_ACT_EST_DATA=E, EST_SOURCE=RWB</stp>
        <stp>ACT_EST_MAPPING=PRECISE</stp>
        <stp>FS=MRC</stp>
        <stp>CURRENCY=USD</stp>
        <stp>XLFILL=b</stp>
        <tr r="AR115" s="2"/>
      </tp>
      <tp t="s">
        <v/>
        <stp/>
        <stp>##V3_BQLV12</stp>
        <stp>[MODL_CRM_US1.xlsx]Single Period!R113C28</stp>
        <stp>CRM US Equity</stp>
        <stp>BS_MKT_SEC_OTHER_ST_INVEST/1M</stp>
        <stp>FPR=2022Y</stp>
        <stp>FPT=A</stp>
        <stp>FA_ACT_EST_DATA=E, EST_SOURCE=CWN</stp>
        <stp>ACT_EST_MAPPING=PRECISE</stp>
        <stp>FS=MRC</stp>
        <stp>CURRENCY=USD</stp>
        <stp>XLFILL=b</stp>
        <tr r="AB113" s="2"/>
      </tp>
      <tp t="s">
        <v/>
        <stp/>
        <stp>##V3_BQLV12</stp>
        <stp>[MODL_CRM_US1.xlsx]Single Period!R118C46</stp>
        <stp>CRM US Equity</stp>
        <stp>CB_BS_PP_AND_E_NET/1M</stp>
        <stp>FPR=2022Y</stp>
        <stp>FPT=A</stp>
        <stp>FA_ACT_EST_DATA=E, EST_SOURCE=CTI</stp>
        <stp>ACT_EST_MAPPING=PRECISE</stp>
        <stp>FS=MRC</stp>
        <stp>CURRENCY=USD</stp>
        <stp>XLFILL=b</stp>
        <tr r="AT118" s="2"/>
      </tp>
      <tp t="s">
        <v/>
        <stp/>
        <stp>##V3_BQLV12</stp>
        <stp>[MODL_CRM_US1.xlsx]Single Period!R115C28</stp>
        <stp>CRM US Equity</stp>
        <stp>CB_BS_OTHER_CURRENT_ASSETS/1M</stp>
        <stp>FPR=2022Y</stp>
        <stp>FPT=A</stp>
        <stp>FA_ACT_EST_DATA=E, EST_SOURCE=CWN</stp>
        <stp>ACT_EST_MAPPING=PRECISE</stp>
        <stp>FS=MRC</stp>
        <stp>CURRENCY=USD</stp>
        <stp>XLFILL=b</stp>
        <tr r="AB115" s="2"/>
      </tp>
      <tp t="s">
        <v/>
        <stp/>
        <stp>##V3_BQLV12</stp>
        <stp>[MODL_CRM_US1.xlsx]Single Period!R113C44</stp>
        <stp>CRM US Equity</stp>
        <stp>BS_MKT_SEC_OTHER_ST_INVEST/1M</stp>
        <stp>FPR=2022Y</stp>
        <stp>FPT=A</stp>
        <stp>FA_ACT_EST_DATA=E, EST_SOURCE=RWB</stp>
        <stp>ACT_EST_MAPPING=PRECISE</stp>
        <stp>FS=MRC</stp>
        <stp>CURRENCY=USD</stp>
        <stp>XLFILL=b</stp>
        <tr r="AR113" s="2"/>
      </tp>
      <tp t="s">
        <v/>
        <stp/>
        <stp>##V3_BQLV12</stp>
        <stp>[MODL_CRM_US1.xlsx]Single Period!R145C51</stp>
        <stp>CRM US Equity</stp>
        <stp>CB_BS_LT_BORROWING/1M</stp>
        <stp>FPR=2022Y</stp>
        <stp>FPT=A</stp>
        <stp>FA_ACT_EST_DATA=E, EST_SOURCE=RCP</stp>
        <stp>ACT_EST_MAPPING=PRECISE</stp>
        <stp>FS=MRC</stp>
        <stp>CURRENCY=USD</stp>
        <stp>XLFILL=b</stp>
        <tr r="AY145" s="2"/>
      </tp>
      <tp t="s">
        <v/>
        <stp/>
        <stp>##V3_BQLV12</stp>
        <stp>[MODL_CRM_US1.xlsx]Single Period!R115C43</stp>
        <stp>CRM US Equity</stp>
        <stp>CB_BS_OTHER_CURRENT_ASSETS/1M</stp>
        <stp>FPR=2022Y</stp>
        <stp>FPT=A</stp>
        <stp>FA_ACT_EST_DATA=E, EST_SOURCE=DWI</stp>
        <stp>ACT_EST_MAPPING=PRECISE</stp>
        <stp>FS=MRC</stp>
        <stp>CURRENCY=USD</stp>
        <stp>XLFILL=b</stp>
        <tr r="AQ115" s="2"/>
      </tp>
      <tp t="s">
        <v/>
        <stp/>
        <stp>##V3_BQLV12</stp>
        <stp>[MODL_CRM_US1.xlsx]Single Period!R163C11</stp>
        <stp>CRM US Equity</stp>
        <stp>CB_CF_OTHR_NONCSH_ITEMS/1M</stp>
        <stp>FPR=2022Y</stp>
        <stp>FPT=A</stp>
        <stp>FA_ACT_EST_DATA=E, EST_SOURCE=WBL</stp>
        <stp>ACT_EST_MAPPING=PRECISE</stp>
        <stp>FS=MRC</stp>
        <stp>CURRENCY=USD</stp>
        <stp>XLFILL=b</stp>
        <tr r="K163" s="2"/>
      </tp>
      <tp t="s">
        <v/>
        <stp/>
        <stp>##V3_BQLV12</stp>
        <stp>[MODL_CRM_US1.xlsx]Single Period!R86C49</stp>
        <stp>CRM US Equity</stp>
        <stp>IS_GENERAL_AND_ADMIN_GAAP/1M</stp>
        <stp>FPR=2022Y</stp>
        <stp>FPT=A</stp>
        <stp>FA_ACT_EST_DATA=E, EST_SOURCE=SGE</stp>
        <stp>ACT_EST_MAPPING=PRECISE</stp>
        <stp>FS=MRC</stp>
        <stp>CURRENCY=USD</stp>
        <stp>XLFILL=b</stp>
        <tr r="AW86" s="2"/>
      </tp>
      <tp>
        <v>-1983.1625975784391</v>
        <stp/>
        <stp>##V3_BQLV12</stp>
        <stp>[MODL_CRM_US1.xlsx]Single Period!R163C16</stp>
        <stp>CRM US Equity</stp>
        <stp>CB_CF_OTHR_NONCSH_ITEMS/1M</stp>
        <stp>FPR=2022Y</stp>
        <stp>FPT=A</stp>
        <stp>FA_ACT_EST_DATA=E, EST_SOURCE=DBG</stp>
        <stp>ACT_EST_MAPPING=PRECISE</stp>
        <stp>FS=MRC</stp>
        <stp>CURRENCY=USD</stp>
        <stp>XLFILL=b</stp>
        <tr r="P163" s="2"/>
      </tp>
      <tp>
        <v>-1807.7856006918769</v>
        <stp/>
        <stp>##V3_BQLV12</stp>
        <stp>[MODL_CRM_US1.xlsx]Single Period!R163C24</stp>
        <stp>CRM US Equity</stp>
        <stp>CB_CF_OTHR_NONCSH_ITEMS/1M</stp>
        <stp>FPR=2022Y</stp>
        <stp>FPT=A</stp>
        <stp>FA_ACT_EST_DATA=E, EST_SOURCE=FBC</stp>
        <stp>ACT_EST_MAPPING=PRECISE</stp>
        <stp>FS=MRC</stp>
        <stp>CURRENCY=USD</stp>
        <stp>XLFILL=b</stp>
        <tr r="X163" s="2"/>
      </tp>
      <tp t="s">
        <v/>
        <stp/>
        <stp>##V3_BQLV12</stp>
        <stp>[MODL_CRM_US1.xlsx]Single Period!R155C51</stp>
        <stp>CRM US Equity</stp>
        <stp>IS_COMP_NET_INCOME_GAAP/1M</stp>
        <stp>FPR=2022Y</stp>
        <stp>FPT=A</stp>
        <stp>FA_ACT_EST_DATA=E, EST_SOURCE=RCP</stp>
        <stp>ACT_EST_MAPPING=PRECISE</stp>
        <stp>FS=MRC</stp>
        <stp>CURRENCY=USD</stp>
        <stp>XLFILL=b</stp>
        <tr r="AY155" s="2"/>
      </tp>
      <tp t="s">
        <v/>
        <stp/>
        <stp>##V3_BQLV12</stp>
        <stp>[MODL_CRM_US1.xlsx]Single Period!R163C31</stp>
        <stp>CRM US Equity</stp>
        <stp>CB_CF_OTHR_NONCSH_ITEMS/1M</stp>
        <stp>FPR=2022Y</stp>
        <stp>FPT=A</stp>
        <stp>FA_ACT_EST_DATA=E, EST_SOURCE=RBC</stp>
        <stp>ACT_EST_MAPPING=PRECISE</stp>
        <stp>FS=MRC</stp>
        <stp>CURRENCY=USD</stp>
        <stp>XLFILL=b</stp>
        <tr r="AE163" s="2"/>
      </tp>
      <tp t="s">
        <v/>
        <stp/>
        <stp>##V3_BQLV12</stp>
        <stp>[MODL_CRM_US1.xlsx]Single Period!R86C39</stp>
        <stp>CRM US Equity</stp>
        <stp>IS_GENERAL_AND_ADMIN_GAAP/1M</stp>
        <stp>FPR=2022Y</stp>
        <stp>FPT=A</stp>
        <stp>FA_ACT_EST_DATA=E, EST_SOURCE=KGI</stp>
        <stp>ACT_EST_MAPPING=PRECISE</stp>
        <stp>FS=MRC</stp>
        <stp>CURRENCY=USD</stp>
        <stp>XLFILL=b</stp>
        <tr r="AM86" s="2"/>
      </tp>
      <tp t="s">
        <v/>
        <stp/>
        <stp>##V3_BQLV12</stp>
        <stp>[MODL_CRM_US1.xlsx]Single Period!R116C28</stp>
        <stp>CRM US Equity</stp>
        <stp>PREPAID_EXPNSS_AND_OTHR/1M</stp>
        <stp>FPR=2022Y</stp>
        <stp>FPT=A</stp>
        <stp>FA_ACT_EST_DATA=E, EST_SOURCE=CWN</stp>
        <stp>ACT_EST_MAPPING=PRECISE</stp>
        <stp>FS=MRC</stp>
        <stp>CURRENCY=USD</stp>
        <stp>XLFILL=b</stp>
        <tr r="AB116" s="2"/>
      </tp>
      <tp t="s">
        <v/>
        <stp/>
        <stp>##V3_BQLV12</stp>
        <stp>[MODL_CRM_US1.xlsx]Single Period!R159C14</stp>
        <stp>CRM US Equity</stp>
        <stp>SBC_NON_GAAP_TO_SALES</stp>
        <stp>FPR=2022Y</stp>
        <stp>FPT=A</stp>
        <stp>FA_ACT_EST_DATA=E, EST_SOURCE=SNR</stp>
        <stp>ACT_EST_MAPPING=PRECISE</stp>
        <stp>FS=MRC</stp>
        <stp>CURRENCY=USD</stp>
        <stp>XLFILL=b</stp>
        <tr r="N159" s="2"/>
      </tp>
      <tp t="s">
        <v/>
        <stp/>
        <stp>##V3_BQLV12</stp>
        <stp>[MODL_CRM_US1.xlsx]Single Period!R116C43</stp>
        <stp>CRM US Equity</stp>
        <stp>PREPAID_EXPNSS_AND_OTHR/1M</stp>
        <stp>FPR=2022Y</stp>
        <stp>FPT=A</stp>
        <stp>FA_ACT_EST_DATA=E, EST_SOURCE=DWI</stp>
        <stp>ACT_EST_MAPPING=PRECISE</stp>
        <stp>FS=MRC</stp>
        <stp>CURRENCY=USD</stp>
        <stp>XLFILL=b</stp>
        <tr r="AQ116" s="2"/>
      </tp>
      <tp t="s">
        <v/>
        <stp/>
        <stp>##V3_BQLV12</stp>
        <stp>[MODL_CRM_US1.xlsx]Single Period!R159C29</stp>
        <stp>CRM US Equity</stp>
        <stp>SBC_NON_GAAP_TO_SALES</stp>
        <stp>FPR=2022Y</stp>
        <stp>FPT=A</stp>
        <stp>FA_ACT_EST_DATA=E, EST_SOURCE=BNS</stp>
        <stp>ACT_EST_MAPPING=PRECISE</stp>
        <stp>FS=MRC</stp>
        <stp>CURRENCY=USD</stp>
        <stp>XLFILL=b</stp>
        <tr r="AC159" s="2"/>
      </tp>
      <tp>
        <v>1246</v>
        <stp/>
        <stp>##V3_BQLV12</stp>
        <stp>[MODL_CRM_US1.xlsx]Single Period!R155C27</stp>
        <stp>CRM US Equity</stp>
        <stp>IS_COMP_NET_INCOME_GAAP/1M</stp>
        <stp>FPR=2022Y</stp>
        <stp>FPT=A</stp>
        <stp>FA_ACT_EST_DATA=E, EST_SOURCE=LCM</stp>
        <stp>ACT_EST_MAPPING=PRECISE</stp>
        <stp>FS=MRC</stp>
        <stp>CURRENCY=USD</stp>
        <stp>XLFILL=b</stp>
        <tr r="AA155" s="2"/>
      </tp>
      <tp t="s">
        <v/>
        <stp/>
        <stp>##V3_BQLV12</stp>
        <stp>[MODL_CRM_US1.xlsx]Single Period!R192C44</stp>
        <stp>CRM US Equity</stp>
        <stp>FREE_CASH_FLOW_MARGIN</stp>
        <stp>FPR=2022Y</stp>
        <stp>FPT=A</stp>
        <stp>FA_ACT_EST_DATA=E, EST_SOURCE=RWB</stp>
        <stp>ACT_EST_MAPPING=PRECISE</stp>
        <stp>FS=MRC</stp>
        <stp>CURRENCY=USD</stp>
        <stp>XLFILL=b</stp>
        <tr r="AR192" s="2"/>
      </tp>
      <tp t="s">
        <v/>
        <stp/>
        <stp>##V3_BQLV12</stp>
        <stp>[MODL_CRM_US1.xlsx]Single Period!R116C44</stp>
        <stp>CRM US Equity</stp>
        <stp>PREPAID_EXPNSS_AND_OTHR/1M</stp>
        <stp>FPR=2022Y</stp>
        <stp>FPT=A</stp>
        <stp>FA_ACT_EST_DATA=E, EST_SOURCE=RWB</stp>
        <stp>ACT_EST_MAPPING=PRECISE</stp>
        <stp>FS=MRC</stp>
        <stp>CURRENCY=USD</stp>
        <stp>XLFILL=b</stp>
        <tr r="AR116" s="2"/>
      </tp>
      <tp>
        <v>1249</v>
        <stp/>
        <stp>##V3_BQLV12</stp>
        <stp>[MODL_CRM_US1.xlsx]Single Period!R155C19</stp>
        <stp>CRM US Equity</stp>
        <stp>IS_COMP_NET_INCOME_GAAP/1M</stp>
        <stp>FPR=2022Y</stp>
        <stp>FPT=A</stp>
        <stp>FA_ACT_EST_DATA=E, EST_SOURCE=SCB</stp>
        <stp>ACT_EST_MAPPING=PRECISE</stp>
        <stp>FS=MRC</stp>
        <stp>CURRENCY=USD</stp>
        <stp>XLFILL=b</stp>
        <tr r="S155" s="2"/>
      </tp>
      <tp>
        <v>1242</v>
        <stp/>
        <stp>##V3_BQLV12</stp>
        <stp>[MODL_CRM_US1.xlsx]Single Period!R155C13</stp>
        <stp>CRM US Equity</stp>
        <stp>IS_COMP_NET_INCOME_GAAP/1M</stp>
        <stp>FPR=2022Y</stp>
        <stp>FPT=A</stp>
        <stp>FA_ACT_EST_DATA=E, EST_SOURCE=BCA</stp>
        <stp>ACT_EST_MAPPING=PRECISE</stp>
        <stp>FS=MRC</stp>
        <stp>CURRENCY=USD</stp>
        <stp>XLFILL=b</stp>
        <tr r="M155" s="2"/>
      </tp>
      <tp t="s">
        <v/>
        <stp/>
        <stp>##V3_BQLV12</stp>
        <stp>[MODL_CRM_US1.xlsx]Single Period!R13C18</stp>
        <stp>CRM US Equity</stp>
        <stp>CURRENT_FUTURE_REV_UNDER_CONTRACT/1M</stp>
        <stp>FPR=2022Y</stp>
        <stp>FPT=A</stp>
        <stp>FA_ACT_EST_DATA=E, EST_SOURCE=CAN</stp>
        <stp>ACT_EST_MAPPING=PRECISE</stp>
        <stp>FS=MRC</stp>
        <stp>CURRENCY=USD</stp>
        <stp>XLFILL=b</stp>
        <tr r="R13" s="2"/>
      </tp>
      <tp t="s">
        <v/>
        <stp/>
        <stp>##V3_BQLV12</stp>
        <stp>[MODL_CRM_US1.xlsx]Single Period!R192C28</stp>
        <stp>CRM US Equity</stp>
        <stp>FREE_CASH_FLOW_MARGIN</stp>
        <stp>FPR=2022Y</stp>
        <stp>FPT=A</stp>
        <stp>FA_ACT_EST_DATA=E, EST_SOURCE=CWN</stp>
        <stp>ACT_EST_MAPPING=PRECISE</stp>
        <stp>FS=MRC</stp>
        <stp>CURRENCY=USD</stp>
        <stp>XLFILL=b</stp>
        <tr r="AB192" s="2"/>
      </tp>
      <tp t="s">
        <v/>
        <stp/>
        <stp>##V3_BQLV12</stp>
        <stp>[MODL_CRM_US1.xlsx]Single Period!R192C43</stp>
        <stp>CRM US Equity</stp>
        <stp>FREE_CASH_FLOW_MARGIN</stp>
        <stp>FPR=2022Y</stp>
        <stp>FPT=A</stp>
        <stp>FA_ACT_EST_DATA=E, EST_SOURCE=DWI</stp>
        <stp>ACT_EST_MAPPING=PRECISE</stp>
        <stp>FS=MRC</stp>
        <stp>CURRENCY=USD</stp>
        <stp>XLFILL=b</stp>
        <tr r="AQ192" s="2"/>
      </tp>
      <tp>
        <v>1240</v>
        <stp/>
        <stp>##V3_BQLV12</stp>
        <stp>[MODL_CRM_US1.xlsx]Single Period!R155C40</stp>
        <stp>CRM US Equity</stp>
        <stp>IS_COMP_NET_INCOME_GAAP/1M</stp>
        <stp>FPR=2022Y</stp>
        <stp>FPT=A</stp>
        <stp>FA_ACT_EST_DATA=E, EST_SOURCE=ACC</stp>
        <stp>ACT_EST_MAPPING=PRECISE</stp>
        <stp>FS=MRC</stp>
        <stp>CURRENCY=USD</stp>
        <stp>XLFILL=b</stp>
        <tr r="AN155" s="2"/>
      </tp>
      <tp t="s">
        <v/>
        <stp/>
        <stp>##V3_BQLV12</stp>
        <stp>[MODL_CRM_US1.xlsx]Single Period!R140C10</stp>
        <stp>CRM US Equity</stp>
        <stp>BS_ACCUMULATED_OTHER_COMP_INC/1M</stp>
        <stp>FPR=2022Y</stp>
        <stp>FPT=A</stp>
        <stp>FA_ACT_EST_DATA=E, EST_SOURCE=CMPY</stp>
        <stp>ACT_EST_MAPPING=PRECISE</stp>
        <stp>FS=MRC</stp>
        <stp>CURRENCY=USD</stp>
        <stp>XLFILL=b</stp>
        <tr r="J140" s="2"/>
      </tp>
      <tp t="s">
        <v/>
        <stp/>
        <stp>##V3_BQLV12</stp>
        <stp>[MODL_CRM_US1.xlsx]Single Period!R163C32</stp>
        <stp>CRM US Equity</stp>
        <stp>CB_CF_OTHR_NONCSH_ITEMS/1M</stp>
        <stp>FPR=2022Y</stp>
        <stp>FPT=A</stp>
        <stp>FA_ACT_EST_DATA=E, EST_SOURCE=UBS</stp>
        <stp>ACT_EST_MAPPING=PRECISE</stp>
        <stp>FS=MRC</stp>
        <stp>CURRENCY=USD</stp>
        <stp>XLFILL=b</stp>
        <tr r="AF163" s="2"/>
      </tp>
      <tp t="s">
        <v/>
        <stp/>
        <stp>##V3_BQLV12</stp>
        <stp>[MODL_CRM_US1.xlsx]Single Period!R191C28</stp>
        <stp>CRM US Equity</stp>
        <stp>CF_FREE_CASH_FLOW/1M</stp>
        <stp>FPR=2022Y</stp>
        <stp>FPT=A</stp>
        <stp>FA_ACT_EST_DATA=E, EST_SOURCE=CWN</stp>
        <stp>ACT_EST_MAPPING=PRECISE</stp>
        <stp>FS=MRC</stp>
        <stp>CURRENCY=USD</stp>
        <stp>XLFILL=b</stp>
        <tr r="AB191" s="2"/>
      </tp>
      <tp t="s">
        <v/>
        <stp/>
        <stp>##V3_BQLV12</stp>
        <stp>[MODL_CRM_US1.xlsx]Single Period!R171C45</stp>
        <stp>CRM US Equity</stp>
        <stp>CF_PURCHASE_OF_FIXED_PROD_ASSETS/1M</stp>
        <stp>FPR=2022Y</stp>
        <stp>FPT=A</stp>
        <stp>FA_ACT_EST_DATA=E, EST_SOURCE=ARG</stp>
        <stp>ACT_EST_MAPPING=PRECISE</stp>
        <stp>FS=MRC</stp>
        <stp>CURRENCY=USD</stp>
        <stp>XLFILL=b</stp>
        <tr r="AS171" s="2"/>
      </tp>
      <tp t="s">
        <v/>
        <stp/>
        <stp>##V3_BQLV12</stp>
        <stp>[MODL_CRM_US1.xlsx]Single Period!R150C12</stp>
        <stp>CRM US Equity</stp>
        <stp>CURRENT_FUTURE_REV_UNDER_CONTRACT/1M</stp>
        <stp>FPR=2022Y</stp>
        <stp>FPT=A</stp>
        <stp>FA_ACT_EST_DATA=E, EST_SOURCE=BMO</stp>
        <stp>ACT_EST_MAPPING=PRECISE</stp>
        <stp>FS=MRC</stp>
        <stp>CURRENCY=USD</stp>
        <stp>XLFILL=b</stp>
        <tr r="L150" s="2"/>
      </tp>
      <tp>
        <v>5137.7198366751163</v>
        <stp/>
        <stp>##V3_BQLV12</stp>
        <stp>[MODL_CRM_US1.xlsx]Single Period!R30C26</stp>
        <stp>SEG0000269238 Segment</stp>
        <stp>IS_COGS_TO_FE_AND_PP_AND_G/1M</stp>
        <stp>FPR=2022Y</stp>
        <stp>FPT=A</stp>
        <stp>FA_ACT_EST_DATA=E, EST_SOURCE=KEY</stp>
        <stp>ACT_EST_MAPPING=PRECISE</stp>
        <stp>FS=MRC</stp>
        <stp>CURRENCY=USD</stp>
        <stp>XLFILL=b</stp>
        <tr r="Z30" s="2"/>
      </tp>
      <tp t="s">
        <v/>
        <stp/>
        <stp>##V3_BQLV12</stp>
        <stp>[MODL_CRM_US1.xlsx]Single Period!R177C47</stp>
        <stp>CRM US Equity</stp>
        <stp>CB_CF_OTHER_FINANCING_ACTIVITIES/1M</stp>
        <stp>FPR=2022Y</stp>
        <stp>FPT=A</stp>
        <stp>FA_ACT_EST_DATA=E, EST_SOURCE=WFT</stp>
        <stp>ACT_EST_MAPPING=PRECISE</stp>
        <stp>FS=MRC</stp>
        <stp>CURRENCY=USD</stp>
        <stp>XLFILL=b</stp>
        <tr r="AU177" s="2"/>
      </tp>
      <tp t="s">
        <v/>
        <stp/>
        <stp>##V3_BQLV12</stp>
        <stp>[MODL_CRM_US1.xlsx]Single Period!R141C24</stp>
        <stp>CRM US Equity</stp>
        <stp>BS_PURE_RETAINED_EARNINGS/1M</stp>
        <stp>FPR=2022Y</stp>
        <stp>FPT=A</stp>
        <stp>FA_ACT_EST_DATA=E, EST_SOURCE=FBC</stp>
        <stp>ACT_EST_MAPPING=PRECISE</stp>
        <stp>FS=MRC</stp>
        <stp>CURRENCY=USD</stp>
        <stp>XLFILL=b</stp>
        <tr r="X141" s="2"/>
      </tp>
      <tp t="s">
        <v/>
        <stp/>
        <stp>##V3_BQLV12</stp>
        <stp>[MODL_CRM_US1.xlsx]Single Period!R177C30</stp>
        <stp>CRM US Equity</stp>
        <stp>CB_CF_OTHER_FINANCING_ACTIVITIES/1M</stp>
        <stp>FPR=2022Y</stp>
        <stp>FPT=A</stp>
        <stp>FA_ACT_EST_DATA=E, EST_SOURCE=BAM</stp>
        <stp>ACT_EST_MAPPING=PRECISE</stp>
        <stp>FS=MRC</stp>
        <stp>CURRENCY=USD</stp>
        <stp>XLFILL=b</stp>
        <tr r="AD177" s="2"/>
      </tp>
      <tp t="s">
        <v/>
        <stp/>
        <stp>##V3_BQLV12</stp>
        <stp>[MODL_CRM_US1.xlsx]Single Period!R150C56</stp>
        <stp>CRM US Equity</stp>
        <stp>CURRENT_FUTURE_REV_UNDER_CONTRACT/1M</stp>
        <stp>FPR=2022Y</stp>
        <stp>FPT=A</stp>
        <stp>FA_ACT_EST_DATA=E, EST_SOURCE=DIR</stp>
        <stp>ACT_EST_MAPPING=PRECISE</stp>
        <stp>FS=MRC</stp>
        <stp>CURRENCY=USD</stp>
        <stp>XLFILL=b</stp>
        <tr r="BD150" s="2"/>
      </tp>
      <tp t="s">
        <v/>
        <stp/>
        <stp>##V3_BQLV12</stp>
        <stp>[MODL_CRM_US1.xlsx]Single Period!R30C34</stp>
        <stp>SEG0000269238 Segment</stp>
        <stp>IS_COGS_TO_FE_AND_PP_AND_G/1M</stp>
        <stp>FPR=2022Y</stp>
        <stp>FPT=A</stp>
        <stp>FA_ACT_EST_DATA=E, EST_SOURCE=JEF</stp>
        <stp>ACT_EST_MAPPING=PRECISE</stp>
        <stp>FS=MRC</stp>
        <stp>CURRENCY=USD</stp>
        <stp>XLFILL=b</stp>
        <tr r="AH30" s="2"/>
      </tp>
      <tp t="s">
        <v/>
        <stp/>
        <stp>##V3_BQLV12</stp>
        <stp>[MODL_CRM_US1.xlsx]Single Period!R30C55</stp>
        <stp>SEG0000269238 Segment</stp>
        <stp>IS_COGS_TO_FE_AND_PP_AND_G/1M</stp>
        <stp>FPR=2022Y</stp>
        <stp>FPT=A</stp>
        <stp>FA_ACT_EST_DATA=E, EST_SOURCE=RED</stp>
        <stp>ACT_EST_MAPPING=PRECISE</stp>
        <stp>FS=MRC</stp>
        <stp>CURRENCY=USD</stp>
        <stp>XLFILL=b</stp>
        <tr r="BC30" s="2"/>
      </tp>
      <tp t="s">
        <v/>
        <stp/>
        <stp>##V3_BQLV12</stp>
        <stp>[MODL_CRM_US1.xlsx]Single Period!R177C19</stp>
        <stp>CRM US Equity</stp>
        <stp>CB_CF_OTHER_FINANCING_ACTIVITIES/1M</stp>
        <stp>FPR=2022Y</stp>
        <stp>FPT=A</stp>
        <stp>FA_ACT_EST_DATA=E, EST_SOURCE=SCB</stp>
        <stp>ACT_EST_MAPPING=PRECISE</stp>
        <stp>FS=MRC</stp>
        <stp>CURRENCY=USD</stp>
        <stp>XLFILL=b</stp>
        <tr r="S177" s="2"/>
      </tp>
      <tp t="s">
        <v/>
        <stp/>
        <stp>##V3_BQLV12</stp>
        <stp>[MODL_CRM_US1.xlsx]Single Period!R177C36</stp>
        <stp>CRM US Equity</stp>
        <stp>CB_CF_OTHER_FINANCING_ACTIVITIES/1M</stp>
        <stp>FPR=2022Y</stp>
        <stp>FPT=A</stp>
        <stp>FA_ACT_EST_DATA=E, EST_SOURCE=MAC</stp>
        <stp>ACT_EST_MAPPING=PRECISE</stp>
        <stp>FS=MRC</stp>
        <stp>CURRENCY=USD</stp>
        <stp>XLFILL=b</stp>
        <tr r="AJ177" s="2"/>
      </tp>
      <tp t="s">
        <v/>
        <stp/>
        <stp>##V3_BQLV12</stp>
        <stp>[MODL_CRM_US1.xlsx]Single Period!R111C20</stp>
        <stp>CRM US Equity</stp>
        <stp>BS_CASH_CASH_EQUIVALENTS_AND_STI/1M</stp>
        <stp>FPR=2022Y</stp>
        <stp>FPT=A</stp>
        <stp>FA_ACT_EST_DATA=E, EST_SOURCE=JMP</stp>
        <stp>ACT_EST_MAPPING=PRECISE</stp>
        <stp>FS=MRC</stp>
        <stp>CURRENCY=USD</stp>
        <stp>XLFILL=b</stp>
        <tr r="T111" s="2"/>
      </tp>
      <tp t="s">
        <v/>
        <stp/>
        <stp>##V3_BQLV12</stp>
        <stp>[MODL_CRM_US1.xlsx]Single Period!R111C14</stp>
        <stp>CRM US Equity</stp>
        <stp>BS_CASH_CASH_EQUIVALENTS_AND_STI/1M</stp>
        <stp>FPR=2022Y</stp>
        <stp>FPT=A</stp>
        <stp>FA_ACT_EST_DATA=E, EST_SOURCE=SNR</stp>
        <stp>ACT_EST_MAPPING=PRECISE</stp>
        <stp>FS=MRC</stp>
        <stp>CURRENCY=USD</stp>
        <stp>XLFILL=b</stp>
        <tr r="N111" s="2"/>
      </tp>
      <tp>
        <v>20682.094814150361</v>
        <stp/>
        <stp>##V3_BQLV12</stp>
        <stp>[MODL_CRM_US1.xlsx]Single Period!R111C25</stp>
        <stp>CRM US Equity</stp>
        <stp>BS_CASH_CASH_EQUIVALENTS_AND_STI/1M</stp>
        <stp>FPR=2022Y</stp>
        <stp>FPT=A</stp>
        <stp>FA_ACT_EST_DATA=E, EST_SOURCE=WMS</stp>
        <stp>ACT_EST_MAPPING=PRECISE</stp>
        <stp>FS=MRC</stp>
        <stp>CURRENCY=USD</stp>
        <stp>XLFILL=b</stp>
        <tr r="Y111" s="2"/>
      </tp>
      <tp t="s">
        <v/>
        <stp/>
        <stp>##V3_BQLV12</stp>
        <stp>[MODL_CRM_US1.xlsx]Single Period!R177C13</stp>
        <stp>CRM US Equity</stp>
        <stp>CB_CF_OTHER_FINANCING_ACTIVITIES/1M</stp>
        <stp>FPR=2022Y</stp>
        <stp>FPT=A</stp>
        <stp>FA_ACT_EST_DATA=E, EST_SOURCE=BCA</stp>
        <stp>ACT_EST_MAPPING=PRECISE</stp>
        <stp>FS=MRC</stp>
        <stp>CURRENCY=USD</stp>
        <stp>XLFILL=b</stp>
        <tr r="M177" s="2"/>
      </tp>
      <tp>
        <v>4.68</v>
        <stp/>
        <stp>##V3_BQLV12</stp>
        <stp>[MODL_CRM_US1.xlsx]Single Period!R74C28</stp>
        <stp>CRM US Equity</stp>
        <stp>IS_COMP_EPS_EXCL_STOCK_COMP</stp>
        <stp>FPR=2022Y</stp>
        <stp>FPT=A</stp>
        <stp>FA_ACT_EST_DATA=E, EST_SOURCE=CWN</stp>
        <stp>ACT_EST_MAPPING=PRECISE</stp>
        <stp>FS=MRC</stp>
        <stp>CURRENCY=USD</stp>
        <stp>XLFILL=b</stp>
        <tr r="AB74" s="2"/>
      </tp>
      <tp>
        <v>3.2162499999999969</v>
        <stp/>
        <stp>##V3_BQLV12</stp>
        <stp>[MODL_CRM_US1.xlsx]Single Period!R92C15</stp>
        <stp>CRM US Equity</stp>
        <stp>PROF_MARGIN</stp>
        <stp>FPR=2022Y</stp>
        <stp>FPT=A</stp>
        <stp>FA_ACT_EST_DATA=E, EST_SOURCE=MSV</stp>
        <stp>ACT_EST_MAPPING=PRECISE</stp>
        <stp>FS=MRC</stp>
        <stp>CURRENCY=USD</stp>
        <stp>XLFILL=b</stp>
        <tr r="O92" s="2"/>
      </tp>
      <tp t="s">
        <v/>
        <stp/>
        <stp>##V3_BQLV12</stp>
        <stp>[MODL_CRM_US1.xlsx]Single Period!R184C46</stp>
        <stp>CRM US Equity</stp>
        <stp>CFO_TO_SALES</stp>
        <stp>FPR=2022Y</stp>
        <stp>FPT=A</stp>
        <stp>FA_ACT_EST_DATA=E, EST_SOURCE=CTI</stp>
        <stp>ACT_EST_MAPPING=PRECISE</stp>
        <stp>FS=MRC</stp>
        <stp>CURRENCY=USD</stp>
        <stp>XLFILL=b</stp>
        <tr r="AT184" s="2"/>
      </tp>
      <tp t="s">
        <v/>
        <stp/>
        <stp>##V3_BQLV12</stp>
        <stp>[MODL_CRM_US1.xlsx]Single Period!R92C22</stp>
        <stp>CRM US Equity</stp>
        <stp>PROF_MARGIN</stp>
        <stp>FPR=2022Y</stp>
        <stp>FPT=A</stp>
        <stp>FA_ACT_EST_DATA=E, EST_SOURCE=OPY</stp>
        <stp>ACT_EST_MAPPING=PRECISE</stp>
        <stp>FS=MRC</stp>
        <stp>CURRENCY=USD</stp>
        <stp>XLFILL=b</stp>
        <tr r="V92" s="2"/>
      </tp>
      <tp>
        <v>4.67</v>
        <stp/>
        <stp>##V3_BQLV12</stp>
        <stp>[MODL_CRM_US1.xlsx]Single Period!R74C37</stp>
        <stp>CRM US Equity</stp>
        <stp>IS_COMP_EPS_EXCL_STOCK_COMP</stp>
        <stp>FPR=2022Y</stp>
        <stp>FPT=A</stp>
        <stp>FA_ACT_EST_DATA=E, EST_SOURCE=EVR</stp>
        <stp>ACT_EST_MAPPING=PRECISE</stp>
        <stp>FS=MRC</stp>
        <stp>CURRENCY=USD</stp>
        <stp>XLFILL=b</stp>
        <tr r="AK74" s="2"/>
      </tp>
      <tp t="s">
        <v/>
        <stp/>
        <stp>##V3_BQLV12</stp>
        <stp>[MODL_CRM_US1.xlsx]Single Period!R184C41</stp>
        <stp>CRM US Equity</stp>
        <stp>CFO_TO_SALES</stp>
        <stp>FPR=2022Y</stp>
        <stp>FPT=A</stp>
        <stp>FA_ACT_EST_DATA=E, EST_SOURCE=GSR</stp>
        <stp>ACT_EST_MAPPING=PRECISE</stp>
        <stp>FS=MRC</stp>
        <stp>CURRENCY=USD</stp>
        <stp>XLFILL=b</stp>
        <tr r="AO184" s="2"/>
      </tp>
      <tp>
        <v>4.6264437781972054</v>
        <stp/>
        <stp>##V3_BQLV12</stp>
        <stp>[MODL_CRM_US1.xlsx]Single Period!R92C23</stp>
        <stp>CRM US Equity</stp>
        <stp>PROF_MARGIN</stp>
        <stp>FPR=2022Y</stp>
        <stp>FPT=A</stp>
        <stp>FA_ACT_EST_DATA=E, EST_SOURCE=JPM</stp>
        <stp>ACT_EST_MAPPING=PRECISE</stp>
        <stp>FS=MRC</stp>
        <stp>CURRENCY=USD</stp>
        <stp>XLFILL=b</stp>
        <tr r="W92" s="2"/>
      </tp>
      <tp t="s">
        <v/>
        <stp/>
        <stp>##V3_BQLV12</stp>
        <stp>[MODL_CRM_US1.xlsx]Single Period!R184C22</stp>
        <stp>CRM US Equity</stp>
        <stp>CFO_TO_SALES</stp>
        <stp>FPR=2022Y</stp>
        <stp>FPT=A</stp>
        <stp>FA_ACT_EST_DATA=E, EST_SOURCE=OPY</stp>
        <stp>ACT_EST_MAPPING=PRECISE</stp>
        <stp>FS=MRC</stp>
        <stp>CURRENCY=USD</stp>
        <stp>XLFILL=b</stp>
        <tr r="V184" s="2"/>
      </tp>
      <tp>
        <v>10.630398545234129</v>
        <stp/>
        <stp>##V3_BQLV12</stp>
        <stp>[MODL_CRM_US1.xlsx]Single Period!R159C9</stp>
        <stp>CRM US Equity</stp>
        <stp>CONTRIBUTOR_STATS(SBC_NON_GAAP_TO_SALES, MEDIAN)</stp>
        <stp>FPR=2022Y</stp>
        <stp>FPT=A</stp>
        <stp>FA_ACT_EST_DATA=E</stp>
        <stp>ACT_EST_MAPPING=PRECISE</stp>
        <stp>FS=MRC</stp>
        <stp>CURRENCY=USD</stp>
        <stp>XLFILL=b</stp>
        <tr r="I159" s="2"/>
      </tp>
      <tp t="s">
        <v/>
        <stp/>
        <stp>##V3_BQLV12</stp>
        <stp>[MODL_CRM_US1.xlsx]Single Period!R61C46</stp>
        <stp>CRM US Equity</stp>
        <stp>ADJ_OPERATING_MARGIN</stp>
        <stp>FPR=2022Y</stp>
        <stp>FPT=A</stp>
        <stp>FA_ACT_EST_DATA=E, EST_SOURCE=CTI</stp>
        <stp>ACT_EST_MAPPING=PRECISE</stp>
        <stp>FS=MRC</stp>
        <stp>CURRENCY=USD</stp>
        <stp>XLFILL=b</stp>
        <tr r="AT61" s="2"/>
      </tp>
      <tp>
        <v>2544.7518481958773</v>
        <stp/>
        <stp>##V3_BQLV12</stp>
        <stp>[MODL_CRM_US1.xlsx]Single Period!R86C6</stp>
        <stp>CRM US Equity</stp>
        <stp>CONTRIBUTOR_STATS(IS_GENERAL_AND_ADMIN_GAAP, MIN)/1M</stp>
        <stp>FPR=2022Y</stp>
        <stp>FPT=A</stp>
        <stp>FA_ACT_EST_DATA=E</stp>
        <stp>ACT_EST_MAPPING=PRECISE</stp>
        <stp>FS=MRC</stp>
        <stp>CURRENCY=USD</stp>
        <stp>XLFILL=b</stp>
        <tr r="F86" s="2"/>
      </tp>
      <tp t="s">
        <v/>
        <stp/>
        <stp>##V3_BQLV12</stp>
        <stp>[MODL_CRM_US1.xlsx]Single Period!R65C10</stp>
        <stp>CRM US Equity</stp>
        <stp>IS_AMORT_OF_TOT_INTANG_PRETX/1M</stp>
        <stp>FPR=2022Y</stp>
        <stp>FPT=A</stp>
        <stp>FA_ACT_EST_DATA=E, EST_SOURCE=CMPY</stp>
        <stp>ACT_EST_MAPPING=PRECISE</stp>
        <stp>FS=MRC</stp>
        <stp>CURRENCY=USD</stp>
        <stp>XLFILL=b</stp>
        <tr r="J65" s="2"/>
      </tp>
      <tp t="s">
        <v/>
        <stp/>
        <stp>##V3_BQLV12</stp>
        <stp>[MODL_CRM_US1.xlsx]Single Period!R80C32</stp>
        <stp>CRM US Equity</stp>
        <stp>GROSS_MARGIN</stp>
        <stp>FPR=2022Y</stp>
        <stp>FPT=A</stp>
        <stp>FA_ACT_EST_DATA=E, EST_SOURCE=UBS</stp>
        <stp>ACT_EST_MAPPING=PRECISE</stp>
        <stp>FS=MRC</stp>
        <stp>CURRENCY=USD</stp>
        <stp>XLFILL=b</stp>
        <tr r="AF80" s="2"/>
      </tp>
      <tp t="s">
        <v/>
        <stp/>
        <stp>##V3_BQLV12</stp>
        <stp>[MODL_CRM_US1.xlsx]Single Period!R20C54</stp>
        <stp>CRM US Equity</stp>
        <stp>ADJ_OPERATING_MARGIN</stp>
        <stp>FPR=2022Y</stp>
        <stp>FPT=A</stp>
        <stp>FA_ACT_EST_DATA=E, EST_SOURCE=ARE</stp>
        <stp>ACT_EST_MAPPING=PRECISE</stp>
        <stp>FS=MRC</stp>
        <stp>CURRENCY=USD</stp>
        <stp>XLFILL=b</stp>
        <tr r="BB20" s="2"/>
      </tp>
      <tp t="s">
        <v/>
        <stp/>
        <stp>##V3_BQLV12</stp>
        <stp>[MODL_CRM_US1.xlsx]Single Period!R61C22</stp>
        <stp>CRM US Equity</stp>
        <stp>ADJ_OPERATING_MARGIN</stp>
        <stp>FPR=2022Y</stp>
        <stp>FPT=A</stp>
        <stp>FA_ACT_EST_DATA=E, EST_SOURCE=OPY</stp>
        <stp>ACT_EST_MAPPING=PRECISE</stp>
        <stp>FS=MRC</stp>
        <stp>CURRENCY=USD</stp>
        <stp>XLFILL=b</stp>
        <tr r="V61" s="2"/>
      </tp>
      <tp t="s">
        <v/>
        <stp/>
        <stp>##V3_BQLV12</stp>
        <stp>[MODL_CRM_US1.xlsx]Single Period!R129C35</stp>
        <stp>CRM US Equity</stp>
        <stp>CB_BS_ACCT_PYBL_ACC_EXPNSS/1M</stp>
        <stp>FPR=2022Y</stp>
        <stp>FPT=A</stp>
        <stp>FA_ACT_EST_DATA=E, EST_SOURCE=ATL</stp>
        <stp>ACT_EST_MAPPING=PRECISE</stp>
        <stp>FS=MRC</stp>
        <stp>CURRENCY=USD</stp>
        <stp>XLFILL=b</stp>
        <tr r="AI129" s="2"/>
      </tp>
      <tp t="s">
        <v/>
        <stp/>
        <stp>##V3_BQLV12</stp>
        <stp>[MODL_CRM_US1.xlsx]Single Period!R139C43</stp>
        <stp>CRM US Equity</stp>
        <stp>BS_ADD_PAID_IN_CAP/1M</stp>
        <stp>FPR=2022Y</stp>
        <stp>FPT=A</stp>
        <stp>FA_ACT_EST_DATA=E, EST_SOURCE=DWI</stp>
        <stp>ACT_EST_MAPPING=PRECISE</stp>
        <stp>FS=MRC</stp>
        <stp>CURRENCY=USD</stp>
        <stp>XLFILL=b</stp>
        <tr r="AQ139" s="2"/>
      </tp>
      <tp t="s">
        <v/>
        <stp/>
        <stp>##V3_BQLV12</stp>
        <stp>[MODL_CRM_US1.xlsx]Single Period!R139C28</stp>
        <stp>CRM US Equity</stp>
        <stp>BS_ADD_PAID_IN_CAP/1M</stp>
        <stp>FPR=2022Y</stp>
        <stp>FPT=A</stp>
        <stp>FA_ACT_EST_DATA=E, EST_SOURCE=CWN</stp>
        <stp>ACT_EST_MAPPING=PRECISE</stp>
        <stp>FS=MRC</stp>
        <stp>CURRENCY=USD</stp>
        <stp>XLFILL=b</stp>
        <tr r="AB139" s="2"/>
      </tp>
      <tp t="s">
        <v/>
        <stp/>
        <stp>##V3_BQLV12</stp>
        <stp>[MODL_CRM_US1.xlsx]Single Period!R129C46</stp>
        <stp>CRM US Equity</stp>
        <stp>CB_BS_ACCT_PYBL_ACC_EXPNSS/1M</stp>
        <stp>FPR=2022Y</stp>
        <stp>FPT=A</stp>
        <stp>FA_ACT_EST_DATA=E, EST_SOURCE=CTI</stp>
        <stp>ACT_EST_MAPPING=PRECISE</stp>
        <stp>FS=MRC</stp>
        <stp>CURRENCY=USD</stp>
        <stp>XLFILL=b</stp>
        <tr r="AT129" s="2"/>
      </tp>
      <tp t="s">
        <v/>
        <stp/>
        <stp>##V3_BQLV12</stp>
        <stp>[MODL_CRM_US1.xlsx]Single Period!R139C44</stp>
        <stp>CRM US Equity</stp>
        <stp>BS_ADD_PAID_IN_CAP/1M</stp>
        <stp>FPR=2022Y</stp>
        <stp>FPT=A</stp>
        <stp>FA_ACT_EST_DATA=E, EST_SOURCE=RWB</stp>
        <stp>ACT_EST_MAPPING=PRECISE</stp>
        <stp>FS=MRC</stp>
        <stp>CURRENCY=USD</stp>
        <stp>XLFILL=b</stp>
        <tr r="AR139" s="2"/>
      </tp>
      <tp t="s">
        <v/>
        <stp/>
        <stp>##V3_BQLV12</stp>
        <stp>[MODL_CRM_US1.xlsx]Single Period!R61C41</stp>
        <stp>CRM US Equity</stp>
        <stp>ADJ_OPERATING_MARGIN</stp>
        <stp>FPR=2022Y</stp>
        <stp>FPT=A</stp>
        <stp>FA_ACT_EST_DATA=E, EST_SOURCE=GSR</stp>
        <stp>ACT_EST_MAPPING=PRECISE</stp>
        <stp>FS=MRC</stp>
        <stp>CURRENCY=USD</stp>
        <stp>XLFILL=b</stp>
        <tr r="AO61" s="2"/>
      </tp>
      <tp>
        <v>73.917188926782558</v>
        <stp/>
        <stp>##V3_BQLV12</stp>
        <stp>[MODL_CRM_US1.xlsx]Single Period!R80C13</stp>
        <stp>CRM US Equity</stp>
        <stp>GROSS_MARGIN</stp>
        <stp>FPR=2022Y</stp>
        <stp>FPT=A</stp>
        <stp>FA_ACT_EST_DATA=E, EST_SOURCE=BCA</stp>
        <stp>ACT_EST_MAPPING=PRECISE</stp>
        <stp>FS=MRC</stp>
        <stp>CURRENCY=USD</stp>
        <stp>XLFILL=b</stp>
        <tr r="M80" s="2"/>
      </tp>
      <tp>
        <v>18.555220369630401</v>
        <stp/>
        <stp>##V3_BQLV12</stp>
        <stp>[MODL_CRM_US1.xlsx]Single Period!R20C15</stp>
        <stp>CRM US Equity</stp>
        <stp>ADJ_OPERATING_MARGIN</stp>
        <stp>FPR=2022Y</stp>
        <stp>FPT=A</stp>
        <stp>FA_ACT_EST_DATA=E, EST_SOURCE=MSV</stp>
        <stp>ACT_EST_MAPPING=PRECISE</stp>
        <stp>FS=MRC</stp>
        <stp>CURRENCY=USD</stp>
        <stp>XLFILL=b</stp>
        <tr r="O20" s="2"/>
      </tp>
      <tp t="s">
        <v/>
        <stp/>
        <stp>##V3_BQLV12</stp>
        <stp>[MODL_CRM_US1.xlsx]Single Period!R80C55</stp>
        <stp>CRM US Equity</stp>
        <stp>GROSS_MARGIN</stp>
        <stp>FPR=2022Y</stp>
        <stp>FPT=A</stp>
        <stp>FA_ACT_EST_DATA=E, EST_SOURCE=RED</stp>
        <stp>ACT_EST_MAPPING=PRECISE</stp>
        <stp>FS=MRC</stp>
        <stp>CURRENCY=USD</stp>
        <stp>XLFILL=b</stp>
        <tr r="BC80" s="2"/>
      </tp>
      <tp t="s">
        <v/>
        <stp/>
        <stp>##V3_BQLV12</stp>
        <stp>[MODL_CRM_US1.xlsx]Single Period!R163C27</stp>
        <stp>CRM US Equity</stp>
        <stp>CB_CF_OTHR_NONCSH_ITEMS/1M</stp>
        <stp>FPR=2022Y</stp>
        <stp>FPT=A</stp>
        <stp>FA_ACT_EST_DATA=E, EST_SOURCE=LCM</stp>
        <stp>ACT_EST_MAPPING=PRECISE</stp>
        <stp>FS=MRC</stp>
        <stp>CURRENCY=USD</stp>
        <stp>XLFILL=b</stp>
        <tr r="AA163" s="2"/>
      </tp>
      <tp t="s">
        <v/>
        <stp/>
        <stp>##V3_BQLV12</stp>
        <stp>[MODL_CRM_US1.xlsx]Single Period!R192C37</stp>
        <stp>CRM US Equity</stp>
        <stp>FREE_CASH_FLOW_MARGIN</stp>
        <stp>FPR=2022Y</stp>
        <stp>FPT=A</stp>
        <stp>FA_ACT_EST_DATA=E, EST_SOURCE=EVR</stp>
        <stp>ACT_EST_MAPPING=PRECISE</stp>
        <stp>FS=MRC</stp>
        <stp>CURRENCY=USD</stp>
        <stp>XLFILL=b</stp>
        <tr r="AK192" s="2"/>
      </tp>
      <tp t="s">
        <v/>
        <stp/>
        <stp>##V3_BQLV12</stp>
        <stp>[MODL_CRM_US1.xlsx]Single Period!R13C25</stp>
        <stp>CRM US Equity</stp>
        <stp>CURRENT_FUTURE_REV_UNDER_CONTRACT/1M</stp>
        <stp>FPR=2022Y</stp>
        <stp>FPT=A</stp>
        <stp>FA_ACT_EST_DATA=E, EST_SOURCE=WMS</stp>
        <stp>ACT_EST_MAPPING=PRECISE</stp>
        <stp>FS=MRC</stp>
        <stp>CURRENCY=USD</stp>
        <stp>XLFILL=b</stp>
        <tr r="Y13" s="2"/>
      </tp>
      <tp t="s">
        <v/>
        <stp/>
        <stp>##V3_BQLV12</stp>
        <stp>[MODL_CRM_US1.xlsx]Single Period!R163C40</stp>
        <stp>CRM US Equity</stp>
        <stp>CB_CF_OTHR_NONCSH_ITEMS/1M</stp>
        <stp>FPR=2022Y</stp>
        <stp>FPT=A</stp>
        <stp>FA_ACT_EST_DATA=E, EST_SOURCE=ACC</stp>
        <stp>ACT_EST_MAPPING=PRECISE</stp>
        <stp>FS=MRC</stp>
        <stp>CURRENCY=USD</stp>
        <stp>XLFILL=b</stp>
        <tr r="AN163" s="2"/>
      </tp>
      <tp t="s">
        <v/>
        <stp/>
        <stp>##V3_BQLV12</stp>
        <stp>[MODL_CRM_US1.xlsx]Single Period!R147C35</stp>
        <stp>CRM US Equity</stp>
        <stp>BV_PER_WEIGHTED_DILUTED_SHARE</stp>
        <stp>FPR=2022Y</stp>
        <stp>FPT=A</stp>
        <stp>FA_ACT_EST_DATA=E, EST_SOURCE=ATL</stp>
        <stp>ACT_EST_MAPPING=PRECISE</stp>
        <stp>FS=MRC</stp>
        <stp>CURRENCY=USD</stp>
        <stp>XLFILL=b</stp>
        <tr r="AI147" s="2"/>
      </tp>
      <tp t="s">
        <v/>
        <stp/>
        <stp>##V3_BQLV12</stp>
        <stp>[MODL_CRM_US1.xlsx]Single Period!R86C12</stp>
        <stp>CRM US Equity</stp>
        <stp>IS_GENERAL_AND_ADMIN_GAAP/1M</stp>
        <stp>FPR=2022Y</stp>
        <stp>FPT=A</stp>
        <stp>FA_ACT_EST_DATA=E, EST_SOURCE=BMO</stp>
        <stp>ACT_EST_MAPPING=PRECISE</stp>
        <stp>FS=MRC</stp>
        <stp>CURRENCY=USD</stp>
        <stp>XLFILL=b</stp>
        <tr r="L86" s="2"/>
      </tp>
      <tp>
        <v>1048</v>
        <stp/>
        <stp>##V3_BQLV12</stp>
        <stp>[MODL_CRM_US1.xlsx]Single Period!R155C32</stp>
        <stp>CRM US Equity</stp>
        <stp>IS_COMP_NET_INCOME_GAAP/1M</stp>
        <stp>FPR=2022Y</stp>
        <stp>FPT=A</stp>
        <stp>FA_ACT_EST_DATA=E, EST_SOURCE=UBS</stp>
        <stp>ACT_EST_MAPPING=PRECISE</stp>
        <stp>FS=MRC</stp>
        <stp>CURRENCY=USD</stp>
        <stp>XLFILL=b</stp>
        <tr r="AF155" s="2"/>
      </tp>
      <tp t="s">
        <v/>
        <stp/>
        <stp>##V3_BQLV12</stp>
        <stp>[MODL_CRM_US1.xlsx]Single Period!R147C46</stp>
        <stp>CRM US Equity</stp>
        <stp>BV_PER_WEIGHTED_DILUTED_SHARE</stp>
        <stp>FPR=2022Y</stp>
        <stp>FPT=A</stp>
        <stp>FA_ACT_EST_DATA=E, EST_SOURCE=CTI</stp>
        <stp>ACT_EST_MAPPING=PRECISE</stp>
        <stp>FS=MRC</stp>
        <stp>CURRENCY=USD</stp>
        <stp>XLFILL=b</stp>
        <tr r="AT147" s="2"/>
      </tp>
      <tp t="s">
        <v/>
        <stp/>
        <stp>##V3_BQLV12</stp>
        <stp>[MODL_CRM_US1.xlsx]Single Period!R163C19</stp>
        <stp>CRM US Equity</stp>
        <stp>CB_CF_OTHR_NONCSH_ITEMS/1M</stp>
        <stp>FPR=2022Y</stp>
        <stp>FPT=A</stp>
        <stp>FA_ACT_EST_DATA=E, EST_SOURCE=SCB</stp>
        <stp>ACT_EST_MAPPING=PRECISE</stp>
        <stp>FS=MRC</stp>
        <stp>CURRENCY=USD</stp>
        <stp>XLFILL=b</stp>
        <tr r="S163" s="2"/>
      </tp>
      <tp t="s">
        <v/>
        <stp/>
        <stp>##V3_BQLV12</stp>
        <stp>[MODL_CRM_US1.xlsx]Single Period!R116C37</stp>
        <stp>CRM US Equity</stp>
        <stp>PREPAID_EXPNSS_AND_OTHR/1M</stp>
        <stp>FPR=2022Y</stp>
        <stp>FPT=A</stp>
        <stp>FA_ACT_EST_DATA=E, EST_SOURCE=EVR</stp>
        <stp>ACT_EST_MAPPING=PRECISE</stp>
        <stp>FS=MRC</stp>
        <stp>CURRENCY=USD</stp>
        <stp>XLFILL=b</stp>
        <tr r="AK116" s="2"/>
      </tp>
      <tp>
        <v>-2701.3849686405438</v>
        <stp/>
        <stp>##V3_BQLV12</stp>
        <stp>[MODL_CRM_US1.xlsx]Single Period!R163C13</stp>
        <stp>CRM US Equity</stp>
        <stp>CB_CF_OTHR_NONCSH_ITEMS/1M</stp>
        <stp>FPR=2022Y</stp>
        <stp>FPT=A</stp>
        <stp>FA_ACT_EST_DATA=E, EST_SOURCE=BCA</stp>
        <stp>ACT_EST_MAPPING=PRECISE</stp>
        <stp>FS=MRC</stp>
        <stp>CURRENCY=USD</stp>
        <stp>XLFILL=b</stp>
        <tr r="M163" s="2"/>
      </tp>
      <tp t="s">
        <v/>
        <stp/>
        <stp>##V3_BQLV12</stp>
        <stp>[MODL_CRM_US1.xlsx]Single Period!R86C56</stp>
        <stp>CRM US Equity</stp>
        <stp>IS_GENERAL_AND_ADMIN_GAAP/1M</stp>
        <stp>FPR=2022Y</stp>
        <stp>FPT=A</stp>
        <stp>FA_ACT_EST_DATA=E, EST_SOURCE=DIR</stp>
        <stp>ACT_EST_MAPPING=PRECISE</stp>
        <stp>FS=MRC</stp>
        <stp>CURRENCY=USD</stp>
        <stp>XLFILL=b</stp>
        <tr r="BD86" s="2"/>
      </tp>
      <tp t="s">
        <v/>
        <stp/>
        <stp>##V3_BQLV12</stp>
        <stp>[MODL_CRM_US1.xlsx]Single Period!R158C50</stp>
        <stp>CRM US Equity</stp>
        <stp>IS_SBC_NON_GAAP/1M</stp>
        <stp>FPR=2022Y</stp>
        <stp>FPT=A</stp>
        <stp>FA_ACT_EST_DATA=E, EST_SOURCE=MZS</stp>
        <stp>ACT_EST_MAPPING=PRECISE</stp>
        <stp>FS=MRC</stp>
        <stp>CURRENCY=USD</stp>
        <stp>XLFILL=b</stp>
        <tr r="AX158" s="2"/>
      </tp>
      <tp>
        <v>1235</v>
        <stp/>
        <stp>##V3_BQLV12</stp>
        <stp>[MODL_CRM_US1.xlsx]Single Period!R155C11</stp>
        <stp>CRM US Equity</stp>
        <stp>IS_COMP_NET_INCOME_GAAP/1M</stp>
        <stp>FPR=2022Y</stp>
        <stp>FPT=A</stp>
        <stp>FA_ACT_EST_DATA=E, EST_SOURCE=WBL</stp>
        <stp>ACT_EST_MAPPING=PRECISE</stp>
        <stp>FS=MRC</stp>
        <stp>CURRENCY=USD</stp>
        <stp>XLFILL=b</stp>
        <tr r="K155" s="2"/>
      </tp>
      <tp t="s">
        <v/>
        <stp/>
        <stp>##V3_BQLV12</stp>
        <stp>[MODL_CRM_US1.xlsx]Single Period!R133C46</stp>
        <stp>CRM US Equity</stp>
        <stp>BS_LONG_TERM_BORROWINGS/1M</stp>
        <stp>FPR=2022Y</stp>
        <stp>FPT=A</stp>
        <stp>FA_ACT_EST_DATA=E, EST_SOURCE=CTI</stp>
        <stp>ACT_EST_MAPPING=PRECISE</stp>
        <stp>FS=MRC</stp>
        <stp>CURRENCY=USD</stp>
        <stp>XLFILL=b</stp>
        <tr r="AT133" s="2"/>
      </tp>
      <tp t="s">
        <v/>
        <stp/>
        <stp>##V3_BQLV12</stp>
        <stp>[MODL_CRM_US1.xlsx]Single Period!R155C31</stp>
        <stp>CRM US Equity</stp>
        <stp>IS_COMP_NET_INCOME_GAAP/1M</stp>
        <stp>FPR=2022Y</stp>
        <stp>FPT=A</stp>
        <stp>FA_ACT_EST_DATA=E, EST_SOURCE=RBC</stp>
        <stp>ACT_EST_MAPPING=PRECISE</stp>
        <stp>FS=MRC</stp>
        <stp>CURRENCY=USD</stp>
        <stp>XLFILL=b</stp>
        <tr r="AE155" s="2"/>
      </tp>
      <tp t="s">
        <v/>
        <stp/>
        <stp>##V3_BQLV12</stp>
        <stp>[MODL_CRM_US1.xlsx]Single Period!R163C51</stp>
        <stp>CRM US Equity</stp>
        <stp>CB_CF_OTHR_NONCSH_ITEMS/1M</stp>
        <stp>FPR=2022Y</stp>
        <stp>FPT=A</stp>
        <stp>FA_ACT_EST_DATA=E, EST_SOURCE=RCP</stp>
        <stp>ACT_EST_MAPPING=PRECISE</stp>
        <stp>FS=MRC</stp>
        <stp>CURRENCY=USD</stp>
        <stp>XLFILL=b</stp>
        <tr r="AY163" s="2"/>
      </tp>
      <tp t="s">
        <v/>
        <stp/>
        <stp>##V3_BQLV12</stp>
        <stp>[MODL_CRM_US1.xlsx]Single Period!R133C35</stp>
        <stp>CRM US Equity</stp>
        <stp>BS_LONG_TERM_BORROWINGS/1M</stp>
        <stp>FPR=2022Y</stp>
        <stp>FPT=A</stp>
        <stp>FA_ACT_EST_DATA=E, EST_SOURCE=ATL</stp>
        <stp>ACT_EST_MAPPING=PRECISE</stp>
        <stp>FS=MRC</stp>
        <stp>CURRENCY=USD</stp>
        <stp>XLFILL=b</stp>
        <tr r="AI133" s="2"/>
      </tp>
      <tp>
        <v>810</v>
        <stp/>
        <stp>##V3_BQLV12</stp>
        <stp>[MODL_CRM_US1.xlsx]Single Period!R155C24</stp>
        <stp>CRM US Equity</stp>
        <stp>IS_COMP_NET_INCOME_GAAP/1M</stp>
        <stp>FPR=2022Y</stp>
        <stp>FPT=A</stp>
        <stp>FA_ACT_EST_DATA=E, EST_SOURCE=FBC</stp>
        <stp>ACT_EST_MAPPING=PRECISE</stp>
        <stp>FS=MRC</stp>
        <stp>CURRENCY=USD</stp>
        <stp>XLFILL=b</stp>
        <tr r="X155" s="2"/>
      </tp>
      <tp>
        <v>1244</v>
        <stp/>
        <stp>##V3_BQLV12</stp>
        <stp>[MODL_CRM_US1.xlsx]Single Period!R155C16</stp>
        <stp>CRM US Equity</stp>
        <stp>IS_COMP_NET_INCOME_GAAP/1M</stp>
        <stp>FPR=2022Y</stp>
        <stp>FPT=A</stp>
        <stp>FA_ACT_EST_DATA=E, EST_SOURCE=DBG</stp>
        <stp>ACT_EST_MAPPING=PRECISE</stp>
        <stp>FS=MRC</stp>
        <stp>CURRENCY=USD</stp>
        <stp>XLFILL=b</stp>
        <tr r="P155" s="2"/>
      </tp>
      <tp t="s">
        <v/>
        <stp/>
        <stp>##V3_BQLV12</stp>
        <stp>[MODL_CRM_US1.xlsx]Single Period!R171C42</stp>
        <stp>CRM US Equity</stp>
        <stp>CF_PURCHASE_OF_FIXED_PROD_ASSETS/1M</stp>
        <stp>FPR=2022Y</stp>
        <stp>FPT=A</stp>
        <stp>FA_ACT_EST_DATA=E, EST_SOURCE=PSG</stp>
        <stp>ACT_EST_MAPPING=PRECISE</stp>
        <stp>FS=MRC</stp>
        <stp>CURRENCY=USD</stp>
        <stp>XLFILL=b</stp>
        <tr r="AP171" s="2"/>
      </tp>
      <tp t="s">
        <v/>
        <stp/>
        <stp>##V3_BQLV12</stp>
        <stp>[MODL_CRM_US1.xlsx]Single Period!R111C48</stp>
        <stp>CRM US Equity</stp>
        <stp>BS_CASH_CASH_EQUIVALENTS_AND_STI/1M</stp>
        <stp>FPR=2022Y</stp>
        <stp>FPT=A</stp>
        <stp>FA_ACT_EST_DATA=E, EST_SOURCE=PJE</stp>
        <stp>ACT_EST_MAPPING=PRECISE</stp>
        <stp>FS=MRC</stp>
        <stp>CURRENCY=USD</stp>
        <stp>XLFILL=b</stp>
        <tr r="AV111" s="2"/>
      </tp>
      <tp t="s">
        <v/>
        <stp/>
        <stp>##V3_BQLV12</stp>
        <stp>[MODL_CRM_US1.xlsx]Single Period!R171C54</stp>
        <stp>CRM US Equity</stp>
        <stp>CF_PURCHASE_OF_FIXED_PROD_ASSETS/1M</stp>
        <stp>FPR=2022Y</stp>
        <stp>FPT=A</stp>
        <stp>FA_ACT_EST_DATA=E, EST_SOURCE=ARE</stp>
        <stp>ACT_EST_MAPPING=PRECISE</stp>
        <stp>FS=MRC</stp>
        <stp>CURRENCY=USD</stp>
        <stp>XLFILL=b</stp>
        <tr r="BB171" s="2"/>
      </tp>
      <tp t="s">
        <v/>
        <stp/>
        <stp>##V3_BQLV12</stp>
        <stp>[MODL_CRM_US1.xlsx]Single Period!R150C49</stp>
        <stp>CRM US Equity</stp>
        <stp>CURRENT_FUTURE_REV_UNDER_CONTRACT/1M</stp>
        <stp>FPR=2022Y</stp>
        <stp>FPT=A</stp>
        <stp>FA_ACT_EST_DATA=E, EST_SOURCE=SGE</stp>
        <stp>ACT_EST_MAPPING=PRECISE</stp>
        <stp>FS=MRC</stp>
        <stp>CURRENCY=USD</stp>
        <stp>XLFILL=b</stp>
        <tr r="AW150" s="2"/>
      </tp>
      <tp t="s">
        <v/>
        <stp/>
        <stp>##V3_BQLV12</stp>
        <stp>[MODL_CRM_US1.xlsx]Single Period!R150C39</stp>
        <stp>CRM US Equity</stp>
        <stp>CURRENT_FUTURE_REV_UNDER_CONTRACT/1M</stp>
        <stp>FPR=2022Y</stp>
        <stp>FPT=A</stp>
        <stp>FA_ACT_EST_DATA=E, EST_SOURCE=KGI</stp>
        <stp>ACT_EST_MAPPING=PRECISE</stp>
        <stp>FS=MRC</stp>
        <stp>CURRENCY=USD</stp>
        <stp>XLFILL=b</stp>
        <tr r="AM150" s="2"/>
      </tp>
      <tp t="s">
        <v/>
        <stp/>
        <stp>##V3_BQLV12</stp>
        <stp>[MODL_CRM_US1.xlsx]Single Period!R177C52</stp>
        <stp>CRM US Equity</stp>
        <stp>CB_CF_OTHER_FINANCING_ACTIVITIES/1M</stp>
        <stp>FPR=2022Y</stp>
        <stp>FPT=A</stp>
        <stp>FA_ACT_EST_DATA=E, EST_SOURCE=WFR</stp>
        <stp>ACT_EST_MAPPING=PRECISE</stp>
        <stp>FS=MRC</stp>
        <stp>CURRENCY=USD</stp>
        <stp>XLFILL=b</stp>
        <tr r="AZ177" s="2"/>
      </tp>
      <tp t="s">
        <v/>
        <stp/>
        <stp>##V3_BQLV12</stp>
        <stp>[MODL_CRM_US1.xlsx]Single Period!R141C36</stp>
        <stp>CRM US Equity</stp>
        <stp>BS_PURE_RETAINED_EARNINGS/1M</stp>
        <stp>FPR=2022Y</stp>
        <stp>FPT=A</stp>
        <stp>FA_ACT_EST_DATA=E, EST_SOURCE=MAC</stp>
        <stp>ACT_EST_MAPPING=PRECISE</stp>
        <stp>FS=MRC</stp>
        <stp>CURRENCY=USD</stp>
        <stp>XLFILL=b</stp>
        <tr r="AJ141" s="2"/>
      </tp>
      <tp t="s">
        <v/>
        <stp/>
        <stp>##V3_BQLV12</stp>
        <stp>[MODL_CRM_US1.xlsx]Single Period!R171C35</stp>
        <stp>CRM US Equity</stp>
        <stp>CF_PURCHASE_OF_FIXED_PROD_ASSETS/1M</stp>
        <stp>FPR=2022Y</stp>
        <stp>FPT=A</stp>
        <stp>FA_ACT_EST_DATA=E, EST_SOURCE=ATL</stp>
        <stp>ACT_EST_MAPPING=PRECISE</stp>
        <stp>FS=MRC</stp>
        <stp>CURRENCY=USD</stp>
        <stp>XLFILL=b</stp>
        <tr r="AI171" s="2"/>
      </tp>
      <tp t="s">
        <v/>
        <stp/>
        <stp>##V3_BQLV12</stp>
        <stp>[MODL_CRM_US1.xlsx]Single Period!R177C11</stp>
        <stp>CRM US Equity</stp>
        <stp>CB_CF_OTHER_FINANCING_ACTIVITIES/1M</stp>
        <stp>FPR=2022Y</stp>
        <stp>FPT=A</stp>
        <stp>FA_ACT_EST_DATA=E, EST_SOURCE=WBL</stp>
        <stp>ACT_EST_MAPPING=PRECISE</stp>
        <stp>FS=MRC</stp>
        <stp>CURRENCY=USD</stp>
        <stp>XLFILL=b</stp>
        <tr r="K177" s="2"/>
      </tp>
      <tp t="s">
        <v/>
        <stp/>
        <stp>##V3_BQLV12</stp>
        <stp>[MODL_CRM_US1.xlsx]Single Period!R177C49</stp>
        <stp>CRM US Equity</stp>
        <stp>CB_CF_OTHER_FINANCING_ACTIVITIES/1M</stp>
        <stp>FPR=2022Y</stp>
        <stp>FPT=A</stp>
        <stp>FA_ACT_EST_DATA=E, EST_SOURCE=SGE</stp>
        <stp>ACT_EST_MAPPING=PRECISE</stp>
        <stp>FS=MRC</stp>
        <stp>CURRENCY=USD</stp>
        <stp>XLFILL=b</stp>
        <tr r="AW177" s="2"/>
      </tp>
      <tp t="s">
        <v/>
        <stp/>
        <stp>##V3_BQLV12</stp>
        <stp>[MODL_CRM_US1.xlsx]Single Period!R34C30</stp>
        <stp>SEG0000269227 Segment</stp>
        <stp>IS_COGS_TO_FE_AND_PP_AND_G/1M</stp>
        <stp>FPR=2022Y</stp>
        <stp>FPT=A</stp>
        <stp>FA_ACT_EST_DATA=E, EST_SOURCE=BAM</stp>
        <stp>ACT_EST_MAPPING=PRECISE</stp>
        <stp>FS=MRC</stp>
        <stp>CURRENCY=USD</stp>
        <stp>XLFILL=b</stp>
        <tr r="AD34" s="2"/>
      </tp>
      <tp t="s">
        <v/>
        <stp/>
        <stp>##V3_BQLV12</stp>
        <stp>[MODL_CRM_US1.xlsx]Single Period!R171C41</stp>
        <stp>CRM US Equity</stp>
        <stp>CF_PURCHASE_OF_FIXED_PROD_ASSETS/1M</stp>
        <stp>FPR=2022Y</stp>
        <stp>FPT=A</stp>
        <stp>FA_ACT_EST_DATA=E, EST_SOURCE=GSR</stp>
        <stp>ACT_EST_MAPPING=PRECISE</stp>
        <stp>FS=MRC</stp>
        <stp>CURRENCY=USD</stp>
        <stp>XLFILL=b</stp>
        <tr r="AO171" s="2"/>
      </tp>
      <tp t="s">
        <v/>
        <stp/>
        <stp>##V3_BQLV12</stp>
        <stp>[MODL_CRM_US1.xlsx]Single Period!R34C18</stp>
        <stp>SEG0000269227 Segment</stp>
        <stp>IS_COGS_TO_FE_AND_PP_AND_G/1M</stp>
        <stp>FPR=2022Y</stp>
        <stp>FPT=A</stp>
        <stp>FA_ACT_EST_DATA=E, EST_SOURCE=CAN</stp>
        <stp>ACT_EST_MAPPING=PRECISE</stp>
        <stp>FS=MRC</stp>
        <stp>CURRENCY=USD</stp>
        <stp>XLFILL=b</stp>
        <tr r="R34" s="2"/>
      </tp>
      <tp t="s">
        <v/>
        <stp/>
        <stp>##V3_BQLV12</stp>
        <stp>[MODL_CRM_US1.xlsx]Single Period!R34C36</stp>
        <stp>SEG0000269227 Segment</stp>
        <stp>IS_COGS_TO_FE_AND_PP_AND_G/1M</stp>
        <stp>FPR=2022Y</stp>
        <stp>FPT=A</stp>
        <stp>FA_ACT_EST_DATA=E, EST_SOURCE=MAC</stp>
        <stp>ACT_EST_MAPPING=PRECISE</stp>
        <stp>FS=MRC</stp>
        <stp>CURRENCY=USD</stp>
        <stp>XLFILL=b</stp>
        <tr r="AJ34" s="2"/>
      </tp>
      <tp>
        <v>-118</v>
        <stp/>
        <stp>##V3_BQLV12</stp>
        <stp>[MODL_CRM_US1.xlsx]Single Period!R177C16</stp>
        <stp>CRM US Equity</stp>
        <stp>CB_CF_OTHER_FINANCING_ACTIVITIES/1M</stp>
        <stp>FPR=2022Y</stp>
        <stp>FPT=A</stp>
        <stp>FA_ACT_EST_DATA=E, EST_SOURCE=DBG</stp>
        <stp>ACT_EST_MAPPING=PRECISE</stp>
        <stp>FS=MRC</stp>
        <stp>CURRENCY=USD</stp>
        <stp>XLFILL=b</stp>
        <tr r="P177" s="2"/>
      </tp>
      <tp t="s">
        <v/>
        <stp/>
        <stp>##V3_BQLV12</stp>
        <stp>[MODL_CRM_US1.xlsx]Single Period!R141C29</stp>
        <stp>CRM US Equity</stp>
        <stp>BS_PURE_RETAINED_EARNINGS/1M</stp>
        <stp>FPR=2022Y</stp>
        <stp>FPT=A</stp>
        <stp>FA_ACT_EST_DATA=E, EST_SOURCE=BNS</stp>
        <stp>ACT_EST_MAPPING=PRECISE</stp>
        <stp>FS=MRC</stp>
        <stp>CURRENCY=USD</stp>
        <stp>XLFILL=b</stp>
        <tr r="AC141" s="2"/>
      </tp>
      <tp t="s">
        <v/>
        <stp/>
        <stp>##V3_BQLV12</stp>
        <stp>[MODL_CRM_US1.xlsx]Single Period!R30C17</stp>
        <stp>SEG0000269238 Segment</stp>
        <stp>IS_COGS_TO_FE_AND_PP_AND_G/1M</stp>
        <stp>FPR=2022Y</stp>
        <stp>FPT=A</stp>
        <stp>FA_ACT_EST_DATA=E, EST_SOURCE=NDH</stp>
        <stp>ACT_EST_MAPPING=PRECISE</stp>
        <stp>FS=MRC</stp>
        <stp>CURRENCY=USD</stp>
        <stp>XLFILL=b</stp>
        <tr r="Q30" s="2"/>
      </tp>
      <tp t="s">
        <v/>
        <stp/>
        <stp>##V3_BQLV12</stp>
        <stp>[MODL_CRM_US1.xlsx]Single Period!R167C10</stp>
        <stp>CRM US Equity</stp>
        <stp>CB_CF_NET_CASH_OPERATING_ACT/1M</stp>
        <stp>FPR=2022Y</stp>
        <stp>FPT=A</stp>
        <stp>FA_ACT_EST_DATA=E, EST_SOURCE=CMPY</stp>
        <stp>ACT_EST_MAPPING=PRECISE</stp>
        <stp>FS=MRC</stp>
        <stp>CURRENCY=USD</stp>
        <stp>XLFILL=b</stp>
        <tr r="J167" s="2"/>
      </tp>
      <tp t="s">
        <v/>
        <stp/>
        <stp>##V3_BQLV12</stp>
        <stp>[MODL_CRM_US1.xlsx]Single Period!R184C44</stp>
        <stp>CRM US Equity</stp>
        <stp>CFO_TO_SALES</stp>
        <stp>FPR=2022Y</stp>
        <stp>FPT=A</stp>
        <stp>FA_ACT_EST_DATA=E, EST_SOURCE=RWB</stp>
        <stp>ACT_EST_MAPPING=PRECISE</stp>
        <stp>FS=MRC</stp>
        <stp>CURRENCY=USD</stp>
        <stp>XLFILL=b</stp>
        <tr r="AR184" s="2"/>
      </tp>
      <tp t="s">
        <v/>
        <stp/>
        <stp>##V3_BQLV12</stp>
        <stp>[MODL_CRM_US1.xlsx]Single Period!R184C23</stp>
        <stp>CRM US Equity</stp>
        <stp>CFO_TO_SALES</stp>
        <stp>FPR=2022Y</stp>
        <stp>FPT=A</stp>
        <stp>FA_ACT_EST_DATA=E, EST_SOURCE=JPM</stp>
        <stp>ACT_EST_MAPPING=PRECISE</stp>
        <stp>FS=MRC</stp>
        <stp>CURRENCY=USD</stp>
        <stp>XLFILL=b</stp>
        <tr r="W184" s="2"/>
      </tp>
      <tp t="s">
        <v/>
        <stp/>
        <stp>##V3_BQLV12</stp>
        <stp>[MODL_CRM_US1.xlsx]Single Period!R92C44</stp>
        <stp>CRM US Equity</stp>
        <stp>PROF_MARGIN</stp>
        <stp>FPR=2022Y</stp>
        <stp>FPT=A</stp>
        <stp>FA_ACT_EST_DATA=E, EST_SOURCE=RWB</stp>
        <stp>ACT_EST_MAPPING=PRECISE</stp>
        <stp>FS=MRC</stp>
        <stp>CURRENCY=USD</stp>
        <stp>XLFILL=b</stp>
        <tr r="AR92" s="2"/>
      </tp>
      <tp t="s">
        <v/>
        <stp/>
        <stp>##V3_BQLV12</stp>
        <stp>[MODL_CRM_US1.xlsx]Single Period!R92C43</stp>
        <stp>CRM US Equity</stp>
        <stp>PROF_MARGIN</stp>
        <stp>FPR=2022Y</stp>
        <stp>FPT=A</stp>
        <stp>FA_ACT_EST_DATA=E, EST_SOURCE=DWI</stp>
        <stp>ACT_EST_MAPPING=PRECISE</stp>
        <stp>FS=MRC</stp>
        <stp>CURRENCY=USD</stp>
        <stp>XLFILL=b</stp>
        <tr r="AQ92" s="2"/>
      </tp>
      <tp>
        <v>2696.45</v>
        <stp/>
        <stp>##V3_BQLV12</stp>
        <stp>[MODL_CRM_US1.xlsx]Single Period!R86C7</stp>
        <stp>CRM US Equity</stp>
        <stp>CONTRIBUTOR_STATS(IS_GENERAL_AND_ADMIN_GAAP, MAX)/1M</stp>
        <stp>FPR=2022Y</stp>
        <stp>FPT=A</stp>
        <stp>FA_ACT_EST_DATA=E</stp>
        <stp>ACT_EST_MAPPING=PRECISE</stp>
        <stp>FS=MRC</stp>
        <stp>CURRENCY=USD</stp>
        <stp>XLFILL=b</stp>
        <tr r="G86" s="2"/>
      </tp>
      <tp t="s">
        <v/>
        <stp/>
        <stp>##V3_BQLV12</stp>
        <stp>[MODL_CRM_US1.xlsx]Single Period!R103C21</stp>
        <stp>CRM US Equity</stp>
        <stp>IS_SBC_ATT_TO_GENL_AND_ADMIN_PRETX/1M</stp>
        <stp>FPR=2022Y</stp>
        <stp>FPT=A</stp>
        <stp>FA_ACT_EST_DATA=E, EST_SOURCE=RJA</stp>
        <stp>ACT_EST_MAPPING=PRECISE</stp>
        <stp>FS=MRC</stp>
        <stp>CURRENCY=USD</stp>
        <stp>XLFILL=b</stp>
        <tr r="U103" s="2"/>
      </tp>
      <tp>
        <v>18.577617496333719</v>
        <stp/>
        <stp>##V3_BQLV12</stp>
        <stp>[MODL_CRM_US1.xlsx]Single Period!R61C23</stp>
        <stp>CRM US Equity</stp>
        <stp>ADJ_OPERATING_MARGIN</stp>
        <stp>FPR=2022Y</stp>
        <stp>FPT=A</stp>
        <stp>FA_ACT_EST_DATA=E, EST_SOURCE=JPM</stp>
        <stp>ACT_EST_MAPPING=PRECISE</stp>
        <stp>FS=MRC</stp>
        <stp>CURRENCY=USD</stp>
        <stp>XLFILL=b</stp>
        <tr r="W61" s="2"/>
      </tp>
      <tp t="s">
        <v/>
        <stp/>
        <stp>##V3_BQLV12</stp>
        <stp>[MODL_CRM_US1.xlsx]Single Period!R145C12</stp>
        <stp>CRM US Equity</stp>
        <stp>CB_BS_LT_BORROWING/1M</stp>
        <stp>FPR=2022Y</stp>
        <stp>FPT=A</stp>
        <stp>FA_ACT_EST_DATA=E, EST_SOURCE=BMO</stp>
        <stp>ACT_EST_MAPPING=PRECISE</stp>
        <stp>FS=MRC</stp>
        <stp>CURRENCY=USD</stp>
        <stp>XLFILL=b</stp>
        <tr r="L145" s="2"/>
      </tp>
      <tp t="s">
        <v/>
        <stp/>
        <stp>##V3_BQLV12</stp>
        <stp>[MODL_CRM_US1.xlsx]Single Period!R103C48</stp>
        <stp>CRM US Equity</stp>
        <stp>IS_SBC_ATT_TO_GENL_AND_ADMIN_PRETX/1M</stp>
        <stp>FPR=2022Y</stp>
        <stp>FPT=A</stp>
        <stp>FA_ACT_EST_DATA=E, EST_SOURCE=PJE</stp>
        <stp>ACT_EST_MAPPING=PRECISE</stp>
        <stp>FS=MRC</stp>
        <stp>CURRENCY=USD</stp>
        <stp>XLFILL=b</stp>
        <tr r="AV103" s="2"/>
      </tp>
      <tp t="s">
        <v/>
        <stp/>
        <stp>##V3_BQLV12</stp>
        <stp>[MODL_CRM_US1.xlsx]Single Period!R139C37</stp>
        <stp>CRM US Equity</stp>
        <stp>BS_ADD_PAID_IN_CAP/1M</stp>
        <stp>FPR=2022Y</stp>
        <stp>FPT=A</stp>
        <stp>FA_ACT_EST_DATA=E, EST_SOURCE=EVR</stp>
        <stp>ACT_EST_MAPPING=PRECISE</stp>
        <stp>FS=MRC</stp>
        <stp>CURRENCY=USD</stp>
        <stp>XLFILL=b</stp>
        <tr r="AK139" s="2"/>
      </tp>
      <tp t="s">
        <v/>
        <stp/>
        <stp>##V3_BQLV12</stp>
        <stp>[MODL_CRM_US1.xlsx]Single Period!R61C44</stp>
        <stp>CRM US Equity</stp>
        <stp>ADJ_OPERATING_MARGIN</stp>
        <stp>FPR=2022Y</stp>
        <stp>FPT=A</stp>
        <stp>FA_ACT_EST_DATA=E, EST_SOURCE=RWB</stp>
        <stp>ACT_EST_MAPPING=PRECISE</stp>
        <stp>FS=MRC</stp>
        <stp>CURRENCY=USD</stp>
        <stp>XLFILL=b</stp>
        <tr r="AR61" s="2"/>
      </tp>
      <tp t="s">
        <v/>
        <stp/>
        <stp>##V3_BQLV12</stp>
        <stp>[MODL_CRM_US1.xlsx]Single Period!R118C50</stp>
        <stp>CRM US Equity</stp>
        <stp>CB_BS_PP_AND_E_NET/1M</stp>
        <stp>FPR=2022Y</stp>
        <stp>FPT=A</stp>
        <stp>FA_ACT_EST_DATA=E, EST_SOURCE=MZS</stp>
        <stp>ACT_EST_MAPPING=PRECISE</stp>
        <stp>FS=MRC</stp>
        <stp>CURRENCY=USD</stp>
        <stp>XLFILL=b</stp>
        <tr r="AX118" s="2"/>
      </tp>
      <tp t="s">
        <v/>
        <stp/>
        <stp>##V3_BQLV12</stp>
        <stp>[MODL_CRM_US1.xlsx]Single Period!R80C47</stp>
        <stp>CRM US Equity</stp>
        <stp>GROSS_MARGIN</stp>
        <stp>FPR=2022Y</stp>
        <stp>FPT=A</stp>
        <stp>FA_ACT_EST_DATA=E, EST_SOURCE=WFT</stp>
        <stp>ACT_EST_MAPPING=PRECISE</stp>
        <stp>FS=MRC</stp>
        <stp>CURRENCY=USD</stp>
        <stp>XLFILL=b</stp>
        <tr r="AU80" s="2"/>
      </tp>
      <tp t="s">
        <v/>
        <stp/>
        <stp>##V3_BQLV12</stp>
        <stp>[MODL_CRM_US1.xlsx]Single Period!R20C45</stp>
        <stp>CRM US Equity</stp>
        <stp>ADJ_OPERATING_MARGIN</stp>
        <stp>FPR=2022Y</stp>
        <stp>FPT=A</stp>
        <stp>FA_ACT_EST_DATA=E, EST_SOURCE=ARG</stp>
        <stp>ACT_EST_MAPPING=PRECISE</stp>
        <stp>FS=MRC</stp>
        <stp>CURRENCY=USD</stp>
        <stp>XLFILL=b</stp>
        <tr r="AS20" s="2"/>
      </tp>
      <tp t="s">
        <v/>
        <stp/>
        <stp>##V3_BQLV12</stp>
        <stp>[MODL_CRM_US1.xlsx]Single Period!R80C30</stp>
        <stp>CRM US Equity</stp>
        <stp>GROSS_MARGIN</stp>
        <stp>FPR=2022Y</stp>
        <stp>FPT=A</stp>
        <stp>FA_ACT_EST_DATA=E, EST_SOURCE=BAM</stp>
        <stp>ACT_EST_MAPPING=PRECISE</stp>
        <stp>FS=MRC</stp>
        <stp>CURRENCY=USD</stp>
        <stp>XLFILL=b</stp>
        <tr r="AD80" s="2"/>
      </tp>
      <tp t="s">
        <v/>
        <stp/>
        <stp>##V3_BQLV12</stp>
        <stp>[MODL_CRM_US1.xlsx]Single Period!R145C25</stp>
        <stp>CRM US Equity</stp>
        <stp>CB_BS_LT_BORROWING/1M</stp>
        <stp>FPR=2022Y</stp>
        <stp>FPT=A</stp>
        <stp>FA_ACT_EST_DATA=E, EST_SOURCE=WMS</stp>
        <stp>ACT_EST_MAPPING=PRECISE</stp>
        <stp>FS=MRC</stp>
        <stp>CURRENCY=USD</stp>
        <stp>XLFILL=b</stp>
        <tr r="Y145" s="2"/>
      </tp>
    </main>
    <main first="bloomberg.rtd">
      <tp t="s">
        <v/>
        <stp/>
        <stp>##V3_BQLV12</stp>
        <stp>[MODL_CRM_US1.xlsx]Single Period!R145C20</stp>
        <stp>CRM US Equity</stp>
        <stp>CB_BS_LT_BORROWING/1M</stp>
        <stp>FPR=2022Y</stp>
        <stp>FPT=A</stp>
        <stp>FA_ACT_EST_DATA=E, EST_SOURCE=JMP</stp>
        <stp>ACT_EST_MAPPING=PRECISE</stp>
        <stp>FS=MRC</stp>
        <stp>CURRENCY=USD</stp>
        <stp>XLFILL=b</stp>
        <tr r="T145" s="2"/>
      </tp>
      <tp t="s">
        <v/>
        <stp/>
        <stp>##V3_BQLV12</stp>
        <stp>[MODL_CRM_US1.xlsx]Single Period!R80C34</stp>
        <stp>CRM US Equity</stp>
        <stp>GROSS_MARGIN</stp>
        <stp>FPR=2022Y</stp>
        <stp>FPT=A</stp>
        <stp>FA_ACT_EST_DATA=E, EST_SOURCE=JEF</stp>
        <stp>ACT_EST_MAPPING=PRECISE</stp>
        <stp>FS=MRC</stp>
        <stp>CURRENCY=USD</stp>
        <stp>XLFILL=b</stp>
        <tr r="AH80" s="2"/>
      </tp>
      <tp t="s">
        <v/>
        <stp/>
        <stp>##V3_BQLV12</stp>
        <stp>[MODL_CRM_US1.xlsx]Single Period!R13C33</stp>
        <stp>CRM US Equity</stp>
        <stp>CURRENT_FUTURE_REV_UNDER_CONTRACT/1M</stp>
        <stp>FPR=2022Y</stp>
        <stp>FPT=A</stp>
        <stp>FA_ACT_EST_DATA=E, EST_SOURCE=RHR</stp>
        <stp>ACT_EST_MAPPING=PRECISE</stp>
        <stp>FS=MRC</stp>
        <stp>CURRENCY=USD</stp>
        <stp>XLFILL=b</stp>
        <tr r="AG13" s="2"/>
      </tp>
      <tp t="s">
        <v/>
        <stp/>
        <stp>##V3_BQLV12</stp>
        <stp>[MODL_CRM_US1.xlsx]Single Period!R147C44</stp>
        <stp>CRM US Equity</stp>
        <stp>BV_PER_WEIGHTED_DILUTED_SHARE</stp>
        <stp>FPR=2022Y</stp>
        <stp>FPT=A</stp>
        <stp>FA_ACT_EST_DATA=E, EST_SOURCE=RWB</stp>
        <stp>ACT_EST_MAPPING=PRECISE</stp>
        <stp>FS=MRC</stp>
        <stp>CURRENCY=USD</stp>
        <stp>XLFILL=b</stp>
        <tr r="AR147" s="2"/>
      </tp>
      <tp t="s">
        <v/>
        <stp/>
        <stp>##V3_BQLV12</stp>
        <stp>[MODL_CRM_US1.xlsx]Single Period!R147C28</stp>
        <stp>CRM US Equity</stp>
        <stp>BV_PER_WEIGHTED_DILUTED_SHARE</stp>
        <stp>FPR=2022Y</stp>
        <stp>FPT=A</stp>
        <stp>FA_ACT_EST_DATA=E, EST_SOURCE=CWN</stp>
        <stp>ACT_EST_MAPPING=PRECISE</stp>
        <stp>FS=MRC</stp>
        <stp>CURRENCY=USD</stp>
        <stp>XLFILL=b</stp>
        <tr r="AB147" s="2"/>
      </tp>
      <tp t="s">
        <v/>
        <stp/>
        <stp>##V3_BQLV12</stp>
        <stp>[MODL_CRM_US1.xlsx]Single Period!R147C43</stp>
        <stp>CRM US Equity</stp>
        <stp>BV_PER_WEIGHTED_DILUTED_SHARE</stp>
        <stp>FPR=2022Y</stp>
        <stp>FPT=A</stp>
        <stp>FA_ACT_EST_DATA=E, EST_SOURCE=DWI</stp>
        <stp>ACT_EST_MAPPING=PRECISE</stp>
        <stp>FS=MRC</stp>
        <stp>CURRENCY=USD</stp>
        <stp>XLFILL=b</stp>
        <tr r="AQ147" s="2"/>
      </tp>
      <tp t="s">
        <v/>
        <stp/>
        <stp>##V3_BQLV12</stp>
        <stp>[MODL_CRM_US1.xlsx]Single Period!R133C44</stp>
        <stp>CRM US Equity</stp>
        <stp>BS_LONG_TERM_BORROWINGS/1M</stp>
        <stp>FPR=2022Y</stp>
        <stp>FPT=A</stp>
        <stp>FA_ACT_EST_DATA=E, EST_SOURCE=RWB</stp>
        <stp>ACT_EST_MAPPING=PRECISE</stp>
        <stp>FS=MRC</stp>
        <stp>CURRENCY=USD</stp>
        <stp>XLFILL=b</stp>
        <tr r="AR133" s="2"/>
      </tp>
      <tp>
        <v>1235</v>
        <stp/>
        <stp>##V3_BQLV12</stp>
        <stp>[MODL_CRM_US1.xlsx]Single Period!R155C30</stp>
        <stp>CRM US Equity</stp>
        <stp>IS_COMP_NET_INCOME_GAAP/1M</stp>
        <stp>FPR=2022Y</stp>
        <stp>FPT=A</stp>
        <stp>FA_ACT_EST_DATA=E, EST_SOURCE=BAM</stp>
        <stp>ACT_EST_MAPPING=PRECISE</stp>
        <stp>FS=MRC</stp>
        <stp>CURRENCY=USD</stp>
        <stp>XLFILL=b</stp>
        <tr r="AD155" s="2"/>
      </tp>
      <tp>
        <v>1244</v>
        <stp/>
        <stp>##V3_BQLV12</stp>
        <stp>[MODL_CRM_US1.xlsx]Single Period!R155C18</stp>
        <stp>CRM US Equity</stp>
        <stp>IS_COMP_NET_INCOME_GAAP/1M</stp>
        <stp>FPR=2022Y</stp>
        <stp>FPT=A</stp>
        <stp>FA_ACT_EST_DATA=E, EST_SOURCE=CAN</stp>
        <stp>ACT_EST_MAPPING=PRECISE</stp>
        <stp>FS=MRC</stp>
        <stp>CURRENCY=USD</stp>
        <stp>XLFILL=b</stp>
        <tr r="R155" s="2"/>
      </tp>
      <tp t="s">
        <v/>
        <stp/>
        <stp>##V3_BQLV12</stp>
        <stp>[MODL_CRM_US1.xlsx]Single Period!R13C21</stp>
        <stp>CRM US Equity</stp>
        <stp>CURRENT_FUTURE_REV_UNDER_CONTRACT/1M</stp>
        <stp>FPR=2022Y</stp>
        <stp>FPT=A</stp>
        <stp>FA_ACT_EST_DATA=E, EST_SOURCE=RJA</stp>
        <stp>ACT_EST_MAPPING=PRECISE</stp>
        <stp>FS=MRC</stp>
        <stp>CURRENCY=USD</stp>
        <stp>XLFILL=b</stp>
        <tr r="U13" s="2"/>
      </tp>
      <tp>
        <v>1402.126670885428</v>
        <stp/>
        <stp>##V3_BQLV12</stp>
        <stp>[MODL_CRM_US1.xlsx]Single Period!R89C5</stp>
        <stp>CRM US Equity</stp>
        <stp>PRETAX_INC/1M</stp>
        <stp>FPR=2022Y</stp>
        <stp>FPT=A</stp>
        <stp>FA_ACT_EST_DATA=E</stp>
        <stp>ACT_EST_MAPPING=PRECISE</stp>
        <stp>FS=MRC</stp>
        <stp>CURRENCY=USD</stp>
        <stp>XLFILL=b</stp>
        <tr r="E89" s="2"/>
      </tp>
      <tp t="s">
        <v/>
        <stp/>
        <stp>##V3_BQLV12</stp>
        <stp>[MODL_CRM_US1.xlsx]Single Period!R133C28</stp>
        <stp>CRM US Equity</stp>
        <stp>BS_LONG_TERM_BORROWINGS/1M</stp>
        <stp>FPR=2022Y</stp>
        <stp>FPT=A</stp>
        <stp>FA_ACT_EST_DATA=E, EST_SOURCE=CWN</stp>
        <stp>ACT_EST_MAPPING=PRECISE</stp>
        <stp>FS=MRC</stp>
        <stp>CURRENCY=USD</stp>
        <stp>XLFILL=b</stp>
        <tr r="AB133" s="2"/>
      </tp>
      <tp t="s">
        <v/>
        <stp/>
        <stp>##V3_BQLV12</stp>
        <stp>[MODL_CRM_US1.xlsx]Single Period!R133C43</stp>
        <stp>CRM US Equity</stp>
        <stp>BS_LONG_TERM_BORROWINGS/1M</stp>
        <stp>FPR=2022Y</stp>
        <stp>FPT=A</stp>
        <stp>FA_ACT_EST_DATA=E, EST_SOURCE=DWI</stp>
        <stp>ACT_EST_MAPPING=PRECISE</stp>
        <stp>FS=MRC</stp>
        <stp>CURRENCY=USD</stp>
        <stp>XLFILL=b</stp>
        <tr r="AQ133" s="2"/>
      </tp>
      <tp t="s">
        <v/>
        <stp/>
        <stp>##V3_BQLV12</stp>
        <stp>[MODL_CRM_US1.xlsx]Single Period!R155C36</stp>
        <stp>CRM US Equity</stp>
        <stp>IS_COMP_NET_INCOME_GAAP/1M</stp>
        <stp>FPR=2022Y</stp>
        <stp>FPT=A</stp>
        <stp>FA_ACT_EST_DATA=E, EST_SOURCE=MAC</stp>
        <stp>ACT_EST_MAPPING=PRECISE</stp>
        <stp>FS=MRC</stp>
        <stp>CURRENCY=USD</stp>
        <stp>XLFILL=b</stp>
        <tr r="AJ155" s="2"/>
      </tp>
      <tp t="s">
        <v/>
        <stp/>
        <stp>##V3_BQLV12</stp>
        <stp>[MODL_CRM_US1.xlsx]Single Period!R141C27</stp>
        <stp>CRM US Equity</stp>
        <stp>BS_PURE_RETAINED_EARNINGS/1M</stp>
        <stp>FPR=2022Y</stp>
        <stp>FPT=A</stp>
        <stp>FA_ACT_EST_DATA=E, EST_SOURCE=LCM</stp>
        <stp>ACT_EST_MAPPING=PRECISE</stp>
        <stp>FS=MRC</stp>
        <stp>CURRENCY=USD</stp>
        <stp>XLFILL=b</stp>
        <tr r="AA141" s="2"/>
      </tp>
      <tp>
        <v>2660.8977601508377</v>
        <stp/>
        <stp>##V3_BQLV12</stp>
        <stp>[MODL_CRM_US1.xlsx]Single Period!R118C5</stp>
        <stp>CRM US Equity</stp>
        <stp>CB_BS_PP_AND_E_NET/1M</stp>
        <stp>FPR=2022Y</stp>
        <stp>FPT=A</stp>
        <stp>FA_ACT_EST_DATA=E</stp>
        <stp>ACT_EST_MAPPING=PRECISE</stp>
        <stp>FS=MRC</stp>
        <stp>CURRENCY=USD</stp>
        <stp>XLFILL=b</stp>
        <tr r="E118" s="2"/>
      </tp>
      <tp t="s">
        <v/>
        <stp/>
        <stp>##V3_BQLV12</stp>
        <stp>[MODL_CRM_US1.xlsx]Single Period!R141C16</stp>
        <stp>CRM US Equity</stp>
        <stp>BS_PURE_RETAINED_EARNINGS/1M</stp>
        <stp>FPR=2022Y</stp>
        <stp>FPT=A</stp>
        <stp>FA_ACT_EST_DATA=E, EST_SOURCE=DBG</stp>
        <stp>ACT_EST_MAPPING=PRECISE</stp>
        <stp>FS=MRC</stp>
        <stp>CURRENCY=USD</stp>
        <stp>XLFILL=b</stp>
        <tr r="P141" s="2"/>
      </tp>
      <tp t="s">
        <v/>
        <stp/>
        <stp>##V3_BQLV12</stp>
        <stp>[MODL_CRM_US1.xlsx]Single Period!R34C32</stp>
        <stp>SEG0000269227 Segment</stp>
        <stp>IS_COGS_TO_FE_AND_PP_AND_G/1M</stp>
        <stp>FPR=2022Y</stp>
        <stp>FPT=A</stp>
        <stp>FA_ACT_EST_DATA=E, EST_SOURCE=UBS</stp>
        <stp>ACT_EST_MAPPING=PRECISE</stp>
        <stp>FS=MRC</stp>
        <stp>CURRENCY=USD</stp>
        <stp>XLFILL=b</stp>
        <tr r="AF34" s="2"/>
      </tp>
      <tp t="s">
        <v/>
        <stp/>
        <stp>##V3_BQLV12</stp>
        <stp>[MODL_CRM_US1.xlsx]Single Period!R30C49</stp>
        <stp>SEG0000269238 Segment</stp>
        <stp>IS_COGS_TO_FE_AND_PP_AND_G/1M</stp>
        <stp>FPR=2022Y</stp>
        <stp>FPT=A</stp>
        <stp>FA_ACT_EST_DATA=E, EST_SOURCE=SGE</stp>
        <stp>ACT_EST_MAPPING=PRECISE</stp>
        <stp>FS=MRC</stp>
        <stp>CURRENCY=USD</stp>
        <stp>XLFILL=b</stp>
        <tr r="AW30" s="2"/>
      </tp>
      <tp t="s">
        <v/>
        <stp/>
        <stp>##V3_BQLV12</stp>
        <stp>[MODL_CRM_US1.xlsx]Single Period!R150C20</stp>
        <stp>CRM US Equity</stp>
        <stp>CURRENT_FUTURE_REV_UNDER_CONTRACT/1M</stp>
        <stp>FPR=2022Y</stp>
        <stp>FPT=A</stp>
        <stp>FA_ACT_EST_DATA=E, EST_SOURCE=JMP</stp>
        <stp>ACT_EST_MAPPING=PRECISE</stp>
        <stp>FS=MRC</stp>
        <stp>CURRENCY=USD</stp>
        <stp>XLFILL=b</stp>
        <tr r="T150" s="2"/>
      </tp>
      <tp t="s">
        <v/>
        <stp/>
        <stp>##V3_BQLV12</stp>
        <stp>[MODL_CRM_US1.xlsx]Single Period!R176C28</stp>
        <stp>CRM US Equity</stp>
        <stp>CF_INCR_CAP_STOCK/1M</stp>
        <stp>FPR=2022Y</stp>
        <stp>FPT=A</stp>
        <stp>FA_ACT_EST_DATA=E, EST_SOURCE=CWN</stp>
        <stp>ACT_EST_MAPPING=PRECISE</stp>
        <stp>FS=MRC</stp>
        <stp>CURRENCY=USD</stp>
        <stp>XLFILL=b</stp>
        <tr r="AB176" s="2"/>
      </tp>
      <tp t="s">
        <v/>
        <stp/>
        <stp>##V3_BQLV12</stp>
        <stp>[MODL_CRM_US1.xlsx]Single Period!R34C11</stp>
        <stp>SEG0000269227 Segment</stp>
        <stp>IS_COGS_TO_FE_AND_PP_AND_G/1M</stp>
        <stp>FPR=2022Y</stp>
        <stp>FPT=A</stp>
        <stp>FA_ACT_EST_DATA=E, EST_SOURCE=WBL</stp>
        <stp>ACT_EST_MAPPING=PRECISE</stp>
        <stp>FS=MRC</stp>
        <stp>CURRENCY=USD</stp>
        <stp>XLFILL=b</stp>
        <tr r="K34" s="2"/>
      </tp>
      <tp>
        <v>-73</v>
        <stp/>
        <stp>##V3_BQLV12</stp>
        <stp>[MODL_CRM_US1.xlsx]Single Period!R177C24</stp>
        <stp>CRM US Equity</stp>
        <stp>CB_CF_OTHER_FINANCING_ACTIVITIES/1M</stp>
        <stp>FPR=2022Y</stp>
        <stp>FPT=A</stp>
        <stp>FA_ACT_EST_DATA=E, EST_SOURCE=FBC</stp>
        <stp>ACT_EST_MAPPING=PRECISE</stp>
        <stp>FS=MRC</stp>
        <stp>CURRENCY=USD</stp>
        <stp>XLFILL=b</stp>
        <tr r="X177" s="2"/>
      </tp>
      <tp>
        <v>1979.320778795302</v>
        <stp/>
        <stp>##V3_BQLV12</stp>
        <stp>[MODL_CRM_US1.xlsx]Single Period!R34C24</stp>
        <stp>SEG0000269227 Segment</stp>
        <stp>IS_COGS_TO_FE_AND_PP_AND_G/1M</stp>
        <stp>FPR=2022Y</stp>
        <stp>FPT=A</stp>
        <stp>FA_ACT_EST_DATA=E, EST_SOURCE=FBC</stp>
        <stp>ACT_EST_MAPPING=PRECISE</stp>
        <stp>FS=MRC</stp>
        <stp>CURRENCY=USD</stp>
        <stp>XLFILL=b</stp>
        <tr r="X34" s="2"/>
      </tp>
      <tp t="s">
        <v/>
        <stp/>
        <stp>##V3_BQLV12</stp>
        <stp>[MODL_CRM_US1.xlsx]Single Period!R34C31</stp>
        <stp>SEG0000269227 Segment</stp>
        <stp>IS_COGS_TO_FE_AND_PP_AND_G/1M</stp>
        <stp>FPR=2022Y</stp>
        <stp>FPT=A</stp>
        <stp>FA_ACT_EST_DATA=E, EST_SOURCE=RBC</stp>
        <stp>ACT_EST_MAPPING=PRECISE</stp>
        <stp>FS=MRC</stp>
        <stp>CURRENCY=USD</stp>
        <stp>XLFILL=b</stp>
        <tr r="AE34" s="2"/>
      </tp>
      <tp t="s">
        <v/>
        <stp/>
        <stp>##V3_BQLV12</stp>
        <stp>[MODL_CRM_US1.xlsx]Single Period!R177C18</stp>
        <stp>CRM US Equity</stp>
        <stp>CB_CF_OTHER_FINANCING_ACTIVITIES/1M</stp>
        <stp>FPR=2022Y</stp>
        <stp>FPT=A</stp>
        <stp>FA_ACT_EST_DATA=E, EST_SOURCE=CAN</stp>
        <stp>ACT_EST_MAPPING=PRECISE</stp>
        <stp>FS=MRC</stp>
        <stp>CURRENCY=USD</stp>
        <stp>XLFILL=b</stp>
        <tr r="R177" s="2"/>
      </tp>
      <tp t="s">
        <v/>
        <stp/>
        <stp>##V3_BQLV12</stp>
        <stp>[MODL_CRM_US1.xlsx]Single Period!R177C55</stp>
        <stp>CRM US Equity</stp>
        <stp>CB_CF_OTHER_FINANCING_ACTIVITIES/1M</stp>
        <stp>FPR=2022Y</stp>
        <stp>FPT=A</stp>
        <stp>FA_ACT_EST_DATA=E, EST_SOURCE=RED</stp>
        <stp>ACT_EST_MAPPING=PRECISE</stp>
        <stp>FS=MRC</stp>
        <stp>CURRENCY=USD</stp>
        <stp>XLFILL=b</stp>
        <tr r="BC177" s="2"/>
      </tp>
      <tp t="s">
        <v/>
        <stp/>
        <stp>##V3_BQLV12</stp>
        <stp>[MODL_CRM_US1.xlsx]Single Period!R30C39</stp>
        <stp>SEG0000269238 Segment</stp>
        <stp>IS_COGS_TO_FE_AND_PP_AND_G/1M</stp>
        <stp>FPR=2022Y</stp>
        <stp>FPT=A</stp>
        <stp>FA_ACT_EST_DATA=E, EST_SOURCE=KGI</stp>
        <stp>ACT_EST_MAPPING=PRECISE</stp>
        <stp>FS=MRC</stp>
        <stp>CURRENCY=USD</stp>
        <stp>XLFILL=b</stp>
        <tr r="AM30" s="2"/>
      </tp>
      <tp>
        <v>1945.3108000673089</v>
        <stp/>
        <stp>##V3_BQLV12</stp>
        <stp>[MODL_CRM_US1.xlsx]Single Period!R34C16</stp>
        <stp>SEG0000269227 Segment</stp>
        <stp>IS_COGS_TO_FE_AND_PP_AND_G/1M</stp>
        <stp>FPR=2022Y</stp>
        <stp>FPT=A</stp>
        <stp>FA_ACT_EST_DATA=E, EST_SOURCE=DBG</stp>
        <stp>ACT_EST_MAPPING=PRECISE</stp>
        <stp>FS=MRC</stp>
        <stp>CURRENCY=USD</stp>
        <stp>XLFILL=b</stp>
        <tr r="P34" s="2"/>
      </tp>
      <tp t="s">
        <v/>
        <stp/>
        <stp>##V3_BQLV12</stp>
        <stp>[MODL_CRM_US1.xlsx]Single Period!R141C52</stp>
        <stp>CRM US Equity</stp>
        <stp>BS_PURE_RETAINED_EARNINGS/1M</stp>
        <stp>FPR=2022Y</stp>
        <stp>FPT=A</stp>
        <stp>FA_ACT_EST_DATA=E, EST_SOURCE=WFR</stp>
        <stp>ACT_EST_MAPPING=PRECISE</stp>
        <stp>FS=MRC</stp>
        <stp>CURRENCY=USD</stp>
        <stp>XLFILL=b</stp>
        <tr r="AZ141" s="2"/>
      </tp>
      <tp>
        <v>4.8899999999999997</v>
        <stp/>
        <stp>##V3_BQLV12</stp>
        <stp>[MODL_CRM_US1.xlsx]Single Period!R74C42</stp>
        <stp>CRM US Equity</stp>
        <stp>IS_COMP_EPS_EXCL_STOCK_COMP</stp>
        <stp>FPR=2022Y</stp>
        <stp>FPT=A</stp>
        <stp>FA_ACT_EST_DATA=E, EST_SOURCE=PSG</stp>
        <stp>ACT_EST_MAPPING=PRECISE</stp>
        <stp>FS=MRC</stp>
        <stp>CURRENCY=USD</stp>
        <stp>XLFILL=b</stp>
        <tr r="AP74" s="2"/>
      </tp>
      <tp t="s">
        <v/>
        <stp/>
        <stp>##V3_BQLV12</stp>
        <stp>[MODL_CRM_US1.xlsx]Single Period!R74C54</stp>
        <stp>CRM US Equity</stp>
        <stp>IS_COMP_EPS_EXCL_STOCK_COMP</stp>
        <stp>FPR=2022Y</stp>
        <stp>FPT=A</stp>
        <stp>FA_ACT_EST_DATA=E, EST_SOURCE=ARE</stp>
        <stp>ACT_EST_MAPPING=PRECISE</stp>
        <stp>FS=MRC</stp>
        <stp>CURRENCY=USD</stp>
        <stp>XLFILL=b</stp>
        <tr r="BB74" s="2"/>
      </tp>
      <tp>
        <v>4.78</v>
        <stp/>
        <stp>##V3_BQLV12</stp>
        <stp>[MODL_CRM_US1.xlsx]Single Period!R74C35</stp>
        <stp>CRM US Equity</stp>
        <stp>IS_COMP_EPS_EXCL_STOCK_COMP</stp>
        <stp>FPR=2022Y</stp>
        <stp>FPT=A</stp>
        <stp>FA_ACT_EST_DATA=E, EST_SOURCE=ATL</stp>
        <stp>ACT_EST_MAPPING=PRECISE</stp>
        <stp>FS=MRC</stp>
        <stp>CURRENCY=USD</stp>
        <stp>XLFILL=b</stp>
        <tr r="AI74" s="2"/>
      </tp>
      <tp t="s">
        <v/>
        <stp/>
        <stp>##V3_BQLV12</stp>
        <stp>[MODL_CRM_US1.xlsx]Single Period!R92C38</stp>
        <stp>CRM US Equity</stp>
        <stp>PROF_MARGIN</stp>
        <stp>FPR=2022Y</stp>
        <stp>FPT=A</stp>
        <stp>FA_ACT_EST_DATA=E, EST_SOURCE=MSR</stp>
        <stp>ACT_EST_MAPPING=PRECISE</stp>
        <stp>FS=MRC</stp>
        <stp>CURRENCY=USD</stp>
        <stp>XLFILL=b</stp>
        <tr r="AL92" s="2"/>
      </tp>
      <tp t="s">
        <v/>
        <stp/>
        <stp>##V3_BQLV12</stp>
        <stp>[MODL_CRM_US1.xlsx]Single Period!R125C10</stp>
        <stp>CRM US Equity</stp>
        <stp>BS_TOT_ASSET/1M</stp>
        <stp>FPR=2022Y</stp>
        <stp>FPT=A</stp>
        <stp>FA_ACT_EST_DATA=E, EST_SOURCE=CMPY</stp>
        <stp>ACT_EST_MAPPING=PRECISE</stp>
        <stp>FS=MRC</stp>
        <stp>CURRENCY=USD</stp>
        <stp>XLFILL=b</stp>
        <tr r="J125" s="2"/>
      </tp>
      <tp>
        <v>4.67</v>
        <stp/>
        <stp>##V3_BQLV12</stp>
        <stp>[MODL_CRM_US1.xlsx]Single Period!R74C41</stp>
        <stp>CRM US Equity</stp>
        <stp>IS_COMP_EPS_EXCL_STOCK_COMP</stp>
        <stp>FPR=2022Y</stp>
        <stp>FPT=A</stp>
        <stp>FA_ACT_EST_DATA=E, EST_SOURCE=GSR</stp>
        <stp>ACT_EST_MAPPING=PRECISE</stp>
        <stp>FS=MRC</stp>
        <stp>CURRENCY=USD</stp>
        <stp>XLFILL=b</stp>
        <tr r="AO74" s="2"/>
      </tp>
      <tp t="s">
        <v/>
        <stp/>
        <stp>##V3_BQLV12</stp>
        <stp>[MODL_CRM_US1.xlsx]Single Period!R92C46</stp>
        <stp>CRM US Equity</stp>
        <stp>PROF_MARGIN</stp>
        <stp>FPR=2022Y</stp>
        <stp>FPT=A</stp>
        <stp>FA_ACT_EST_DATA=E, EST_SOURCE=CTI</stp>
        <stp>ACT_EST_MAPPING=PRECISE</stp>
        <stp>FS=MRC</stp>
        <stp>CURRENCY=USD</stp>
        <stp>XLFILL=b</stp>
        <tr r="AT92" s="2"/>
      </tp>
      <tp t="s">
        <v/>
        <stp/>
        <stp>##V3_BQLV12</stp>
        <stp>[MODL_CRM_US1.xlsx]Single Period!R20C43</stp>
        <stp>CRM US Equity</stp>
        <stp>ADJ_OPERATING_MARGIN</stp>
        <stp>FPR=2022Y</stp>
        <stp>FPT=A</stp>
        <stp>FA_ACT_EST_DATA=E, EST_SOURCE=DWI</stp>
        <stp>ACT_EST_MAPPING=PRECISE</stp>
        <stp>FS=MRC</stp>
        <stp>CURRENCY=USD</stp>
        <stp>XLFILL=b</stp>
        <tr r="AQ20" s="2"/>
      </tp>
      <tp t="s">
        <v/>
        <stp/>
        <stp>##V3_BQLV12</stp>
        <stp>[MODL_CRM_US1.xlsx]Single Period!R115C50</stp>
        <stp>CRM US Equity</stp>
        <stp>CB_BS_OTHER_CURRENT_ASSETS/1M</stp>
        <stp>FPR=2022Y</stp>
        <stp>FPT=A</stp>
        <stp>FA_ACT_EST_DATA=E, EST_SOURCE=MZS</stp>
        <stp>ACT_EST_MAPPING=PRECISE</stp>
        <stp>FS=MRC</stp>
        <stp>CURRENCY=USD</stp>
        <stp>XLFILL=b</stp>
        <tr r="AX115" s="2"/>
      </tp>
      <tp t="s">
        <v/>
        <stp/>
        <stp>##V3_BQLV12</stp>
        <stp>[MODL_CRM_US1.xlsx]Single Period!R78C10</stp>
        <stp>CRM US Equity</stp>
        <stp>COGS_TO_NET_SALES</stp>
        <stp>FPR=2022Y</stp>
        <stp>FPT=A</stp>
        <stp>FA_ACT_EST_DATA=E, EST_SOURCE=CMPY</stp>
        <stp>ACT_EST_MAPPING=PRECISE</stp>
        <stp>FS=MRC</stp>
        <stp>CURRENCY=USD</stp>
        <stp>XLFILL=b</stp>
        <tr r="J78" s="2"/>
      </tp>
      <tp t="s">
        <v/>
        <stp/>
        <stp>##V3_BQLV12</stp>
        <stp>[MODL_CRM_US1.xlsx]Single Period!R64C10</stp>
        <stp>CRM US Equity</stp>
        <stp>IS_COMPARABLE_EBITDA/1M</stp>
        <stp>FPR=2022Y</stp>
        <stp>FPT=A</stp>
        <stp>FA_ACT_EST_DATA=E, EST_SOURCE=CMPY</stp>
        <stp>ACT_EST_MAPPING=PRECISE</stp>
        <stp>FS=MRC</stp>
        <stp>CURRENCY=USD</stp>
        <stp>XLFILL=b</stp>
        <tr r="J64" s="2"/>
      </tp>
      <tp t="s">
        <v/>
        <stp/>
        <stp>##V3_BQLV12</stp>
        <stp>[MODL_CRM_US1.xlsx]Single Period!R103C53</stp>
        <stp>CRM US Equity</stp>
        <stp>IS_SBC_ATT_TO_GENL_AND_ADMIN_PRETX/1M</stp>
        <stp>FPR=2022Y</stp>
        <stp>FPT=A</stp>
        <stp>FA_ACT_EST_DATA=E, EST_SOURCE=NIK</stp>
        <stp>ACT_EST_MAPPING=PRECISE</stp>
        <stp>FS=MRC</stp>
        <stp>CURRENCY=USD</stp>
        <stp>XLFILL=b</stp>
        <tr r="BA103" s="2"/>
      </tp>
      <tp t="s">
        <v/>
        <stp/>
        <stp>##V3_BQLV12</stp>
        <stp>[MODL_CRM_US1.xlsx]Single Period!R80C51</stp>
        <stp>CRM US Equity</stp>
        <stp>GROSS_MARGIN</stp>
        <stp>FPR=2022Y</stp>
        <stp>FPT=A</stp>
        <stp>FA_ACT_EST_DATA=E, EST_SOURCE=RCP</stp>
        <stp>ACT_EST_MAPPING=PRECISE</stp>
        <stp>FS=MRC</stp>
        <stp>CURRENCY=USD</stp>
        <stp>XLFILL=b</stp>
        <tr r="AY80" s="2"/>
      </tp>
      <tp t="s">
        <v/>
        <stp/>
        <stp>##V3_BQLV12</stp>
        <stp>[MODL_CRM_US1.xlsx]Single Period!R113C50</stp>
        <stp>CRM US Equity</stp>
        <stp>BS_MKT_SEC_OTHER_ST_INVEST/1M</stp>
        <stp>FPR=2022Y</stp>
        <stp>FPT=A</stp>
        <stp>FA_ACT_EST_DATA=E, EST_SOURCE=MZS</stp>
        <stp>ACT_EST_MAPPING=PRECISE</stp>
        <stp>FS=MRC</stp>
        <stp>CURRENCY=USD</stp>
        <stp>XLFILL=b</stp>
        <tr r="AX113" s="2"/>
      </tp>
      <tp t="s">
        <v/>
        <stp/>
        <stp>##V3_BQLV12</stp>
        <stp>[MODL_CRM_US1.xlsx]Single Period!R129C37</stp>
        <stp>CRM US Equity</stp>
        <stp>CB_BS_ACCT_PYBL_ACC_EXPNSS/1M</stp>
        <stp>FPR=2022Y</stp>
        <stp>FPT=A</stp>
        <stp>FA_ACT_EST_DATA=E, EST_SOURCE=EVR</stp>
        <stp>ACT_EST_MAPPING=PRECISE</stp>
        <stp>FS=MRC</stp>
        <stp>CURRENCY=USD</stp>
        <stp>XLFILL=b</stp>
        <tr r="AK129" s="2"/>
      </tp>
      <tp>
        <v>2540</v>
        <stp/>
        <stp>##V3_BQLV12</stp>
        <stp>[MODL_CRM_US1.xlsx]Single Period!R124C5</stp>
        <stp>CRM US Equity</stp>
        <stp>CAPITALIZED_SOFTWARE/1M</stp>
        <stp>FPR=2022Y</stp>
        <stp>FPT=A</stp>
        <stp>FA_ACT_EST_DATA=E</stp>
        <stp>ACT_EST_MAPPING=PRECISE</stp>
        <stp>FS=MRC</stp>
        <stp>CURRENCY=USD</stp>
        <stp>XLFILL=b</stp>
        <tr r="E124" s="2"/>
      </tp>
      <tp t="s">
        <v/>
        <stp/>
        <stp>##V3_BQLV12</stp>
        <stp>[MODL_CRM_US1.xlsx]Single Period!R103C56</stp>
        <stp>CRM US Equity</stp>
        <stp>IS_SBC_ATT_TO_GENL_AND_ADMIN_PRETX/1M</stp>
        <stp>FPR=2022Y</stp>
        <stp>FPT=A</stp>
        <stp>FA_ACT_EST_DATA=E, EST_SOURCE=DIR</stp>
        <stp>ACT_EST_MAPPING=PRECISE</stp>
        <stp>FS=MRC</stp>
        <stp>CURRENCY=USD</stp>
        <stp>XLFILL=b</stp>
        <tr r="BD103" s="2"/>
      </tp>
      <tp t="s">
        <v/>
        <stp/>
        <stp>##V3_BQLV12</stp>
        <stp>[MODL_CRM_US1.xlsx]Single Period!R145C29</stp>
        <stp>CRM US Equity</stp>
        <stp>CB_BS_LT_BORROWING/1M</stp>
        <stp>FPR=2022Y</stp>
        <stp>FPT=A</stp>
        <stp>FA_ACT_EST_DATA=E, EST_SOURCE=BNS</stp>
        <stp>ACT_EST_MAPPING=PRECISE</stp>
        <stp>FS=MRC</stp>
        <stp>CURRENCY=USD</stp>
        <stp>XLFILL=b</stp>
        <tr r="AC145" s="2"/>
      </tp>
      <tp t="s">
        <v/>
        <stp/>
        <stp>##V3_BQLV12</stp>
        <stp>[MODL_CRM_US1.xlsx]Single Period!R145C14</stp>
        <stp>CRM US Equity</stp>
        <stp>CB_BS_LT_BORROWING/1M</stp>
        <stp>FPR=2022Y</stp>
        <stp>FPT=A</stp>
        <stp>FA_ACT_EST_DATA=E, EST_SOURCE=SNR</stp>
        <stp>ACT_EST_MAPPING=PRECISE</stp>
        <stp>FS=MRC</stp>
        <stp>CURRENCY=USD</stp>
        <stp>XLFILL=b</stp>
        <tr r="N145" s="2"/>
      </tp>
      <tp>
        <v>1.810557588634865</v>
        <stp/>
        <stp>##V3_BQLV12</stp>
        <stp>[MODL_CRM_US1.xlsx]Single Period!R88C5</stp>
        <stp>CRM US Equity</stp>
        <stp>OPER_INC_TO_NET_SALES</stp>
        <stp>FPR=2022Y</stp>
        <stp>FPT=A</stp>
        <stp>FA_ACT_EST_DATA=E</stp>
        <stp>ACT_EST_MAPPING=PRECISE</stp>
        <stp>FS=MRC</stp>
        <stp>CURRENCY=USD</stp>
        <stp>XLFILL=b</stp>
        <tr r="E88" s="2"/>
      </tp>
      <tp t="s">
        <v/>
        <stp/>
        <stp>##V3_BQLV12</stp>
        <stp>[MODL_CRM_US1.xlsx]Single Period!R80C48</stp>
        <stp>CRM US Equity</stp>
        <stp>GROSS_MARGIN</stp>
        <stp>FPR=2022Y</stp>
        <stp>FPT=A</stp>
        <stp>FA_ACT_EST_DATA=E, EST_SOURCE=PJE</stp>
        <stp>ACT_EST_MAPPING=PRECISE</stp>
        <stp>FS=MRC</stp>
        <stp>CURRENCY=USD</stp>
        <stp>XLFILL=b</stp>
        <tr r="AV80" s="2"/>
      </tp>
      <tp t="s">
        <v/>
        <stp/>
        <stp>##V3_BQLV12</stp>
        <stp>[MODL_CRM_US1.xlsx]Single Period!R163C18</stp>
        <stp>CRM US Equity</stp>
        <stp>CB_CF_OTHR_NONCSH_ITEMS/1M</stp>
        <stp>FPR=2022Y</stp>
        <stp>FPT=A</stp>
        <stp>FA_ACT_EST_DATA=E, EST_SOURCE=CAN</stp>
        <stp>ACT_EST_MAPPING=PRECISE</stp>
        <stp>FS=MRC</stp>
        <stp>CURRENCY=USD</stp>
        <stp>XLFILL=b</stp>
        <tr r="R163" s="2"/>
      </tp>
      <tp t="s">
        <v/>
        <stp/>
        <stp>##V3_BQLV12</stp>
        <stp>[MODL_CRM_US1.xlsx]Single Period!R163C30</stp>
        <stp>CRM US Equity</stp>
        <stp>CB_CF_OTHR_NONCSH_ITEMS/1M</stp>
        <stp>FPR=2022Y</stp>
        <stp>FPT=A</stp>
        <stp>FA_ACT_EST_DATA=E, EST_SOURCE=BAM</stp>
        <stp>ACT_EST_MAPPING=PRECISE</stp>
        <stp>FS=MRC</stp>
        <stp>CURRENCY=USD</stp>
        <stp>XLFILL=b</stp>
        <tr r="AD163" s="2"/>
      </tp>
      <tp t="s">
        <v/>
        <stp/>
        <stp>##V3_BQLV12</stp>
        <stp>[MODL_CRM_US1.xlsx]Single Period!R133C37</stp>
        <stp>CRM US Equity</stp>
        <stp>BS_LONG_TERM_BORROWINGS/1M</stp>
        <stp>FPR=2022Y</stp>
        <stp>FPT=A</stp>
        <stp>FA_ACT_EST_DATA=E, EST_SOURCE=EVR</stp>
        <stp>ACT_EST_MAPPING=PRECISE</stp>
        <stp>FS=MRC</stp>
        <stp>CURRENCY=USD</stp>
        <stp>XLFILL=b</stp>
        <tr r="AK133" s="2"/>
      </tp>
      <tp t="s">
        <v/>
        <stp/>
        <stp>##V3_BQLV12</stp>
        <stp>[MODL_CRM_US1.xlsx]Single Period!R13C14</stp>
        <stp>CRM US Equity</stp>
        <stp>CURRENT_FUTURE_REV_UNDER_CONTRACT/1M</stp>
        <stp>FPR=2022Y</stp>
        <stp>FPT=A</stp>
        <stp>FA_ACT_EST_DATA=E, EST_SOURCE=SNR</stp>
        <stp>ACT_EST_MAPPING=PRECISE</stp>
        <stp>FS=MRC</stp>
        <stp>CURRENCY=USD</stp>
        <stp>XLFILL=b</stp>
        <tr r="N13" s="2"/>
      </tp>
      <tp t="s">
        <v/>
        <stp/>
        <stp>##V3_BQLV12</stp>
        <stp>[MODL_CRM_US1.xlsx]Single Period!R159C12</stp>
        <stp>CRM US Equity</stp>
        <stp>SBC_NON_GAAP_TO_SALES</stp>
        <stp>FPR=2022Y</stp>
        <stp>FPT=A</stp>
        <stp>FA_ACT_EST_DATA=E, EST_SOURCE=BMO</stp>
        <stp>ACT_EST_MAPPING=PRECISE</stp>
        <stp>FS=MRC</stp>
        <stp>CURRENCY=USD</stp>
        <stp>XLFILL=b</stp>
        <tr r="L159" s="2"/>
      </tp>
      <tp t="s">
        <v/>
        <stp/>
        <stp>##V3_BQLV12</stp>
        <stp>[MODL_CRM_US1.xlsx]Single Period!R163C36</stp>
        <stp>CRM US Equity</stp>
        <stp>CB_CF_OTHR_NONCSH_ITEMS/1M</stp>
        <stp>FPR=2022Y</stp>
        <stp>FPT=A</stp>
        <stp>FA_ACT_EST_DATA=E, EST_SOURCE=MAC</stp>
        <stp>ACT_EST_MAPPING=PRECISE</stp>
        <stp>FS=MRC</stp>
        <stp>CURRENCY=USD</stp>
        <stp>XLFILL=b</stp>
        <tr r="AJ163" s="2"/>
      </tp>
      <tp>
        <v>10.630398545234129</v>
        <stp/>
        <stp>##V3_BQLV12</stp>
        <stp>[MODL_CRM_US1.xlsx]Single Period!R159C20</stp>
        <stp>CRM US Equity</stp>
        <stp>SBC_NON_GAAP_TO_SALES</stp>
        <stp>FPR=2022Y</stp>
        <stp>FPT=A</stp>
        <stp>FA_ACT_EST_DATA=E, EST_SOURCE=JMP</stp>
        <stp>ACT_EST_MAPPING=PRECISE</stp>
        <stp>FS=MRC</stp>
        <stp>CURRENCY=USD</stp>
        <stp>XLFILL=b</stp>
        <tr r="T159" s="2"/>
      </tp>
      <tp t="s">
        <v/>
        <stp/>
        <stp>##V3_BQLV12</stp>
        <stp>[MODL_CRM_US1.xlsx]Single Period!R116C35</stp>
        <stp>CRM US Equity</stp>
        <stp>PREPAID_EXPNSS_AND_OTHR/1M</stp>
        <stp>FPR=2022Y</stp>
        <stp>FPT=A</stp>
        <stp>FA_ACT_EST_DATA=E, EST_SOURCE=ATL</stp>
        <stp>ACT_EST_MAPPING=PRECISE</stp>
        <stp>FS=MRC</stp>
        <stp>CURRENCY=USD</stp>
        <stp>XLFILL=b</stp>
        <tr r="AI116" s="2"/>
      </tp>
      <tp t="s">
        <v/>
        <stp/>
        <stp>##V3_BQLV12</stp>
        <stp>[MODL_CRM_US1.xlsx]Single Period!R116C46</stp>
        <stp>CRM US Equity</stp>
        <stp>PREPAID_EXPNSS_AND_OTHR/1M</stp>
        <stp>FPR=2022Y</stp>
        <stp>FPT=A</stp>
        <stp>FA_ACT_EST_DATA=E, EST_SOURCE=CTI</stp>
        <stp>ACT_EST_MAPPING=PRECISE</stp>
        <stp>FS=MRC</stp>
        <stp>CURRENCY=USD</stp>
        <stp>XLFILL=b</stp>
        <tr r="AT116" s="2"/>
      </tp>
      <tp t="s">
        <v/>
        <stp/>
        <stp>##V3_BQLV12</stp>
        <stp>[MODL_CRM_US1.xlsx]Single Period!R159C25</stp>
        <stp>CRM US Equity</stp>
        <stp>SBC_NON_GAAP_TO_SALES</stp>
        <stp>FPR=2022Y</stp>
        <stp>FPT=A</stp>
        <stp>FA_ACT_EST_DATA=E, EST_SOURCE=WMS</stp>
        <stp>ACT_EST_MAPPING=PRECISE</stp>
        <stp>FS=MRC</stp>
        <stp>CURRENCY=USD</stp>
        <stp>XLFILL=b</stp>
        <tr r="Y159" s="2"/>
      </tp>
      <tp>
        <v>2696.45</v>
        <stp/>
        <stp>##V3_BQLV12</stp>
        <stp>[MODL_CRM_US1.xlsx]Single Period!R86C20</stp>
        <stp>CRM US Equity</stp>
        <stp>IS_GENERAL_AND_ADMIN_GAAP/1M</stp>
        <stp>FPR=2022Y</stp>
        <stp>FPT=A</stp>
        <stp>FA_ACT_EST_DATA=E, EST_SOURCE=JMP</stp>
        <stp>ACT_EST_MAPPING=PRECISE</stp>
        <stp>FS=MRC</stp>
        <stp>CURRENCY=USD</stp>
        <stp>XLFILL=b</stp>
        <tr r="T86" s="2"/>
      </tp>
      <tp t="s">
        <v/>
        <stp/>
        <stp>##V3_BQLV12</stp>
        <stp>[MODL_CRM_US1.xlsx]Single Period!R13C19</stp>
        <stp>CRM US Equity</stp>
        <stp>CURRENT_FUTURE_REV_UNDER_CONTRACT/1M</stp>
        <stp>FPR=2022Y</stp>
        <stp>FPT=A</stp>
        <stp>FA_ACT_EST_DATA=E, EST_SOURCE=SCB</stp>
        <stp>ACT_EST_MAPPING=PRECISE</stp>
        <stp>FS=MRC</stp>
        <stp>CURRENCY=USD</stp>
        <stp>XLFILL=b</stp>
        <tr r="S13" s="2"/>
      </tp>
      <tp t="s">
        <v/>
        <stp/>
        <stp>##V3_BQLV12</stp>
        <stp>[MODL_CRM_US1.xlsx]Single Period!R147C37</stp>
        <stp>CRM US Equity</stp>
        <stp>BV_PER_WEIGHTED_DILUTED_SHARE</stp>
        <stp>FPR=2022Y</stp>
        <stp>FPT=A</stp>
        <stp>FA_ACT_EST_DATA=E, EST_SOURCE=EVR</stp>
        <stp>ACT_EST_MAPPING=PRECISE</stp>
        <stp>FS=MRC</stp>
        <stp>CURRENCY=USD</stp>
        <stp>XLFILL=b</stp>
        <tr r="AK147" s="2"/>
      </tp>
      <tp t="s">
        <v/>
        <stp/>
        <stp>##V3_BQLV12</stp>
        <stp>[MODL_CRM_US1.xlsx]Single Period!R192C35</stp>
        <stp>CRM US Equity</stp>
        <stp>FREE_CASH_FLOW_MARGIN</stp>
        <stp>FPR=2022Y</stp>
        <stp>FPT=A</stp>
        <stp>FA_ACT_EST_DATA=E, EST_SOURCE=ATL</stp>
        <stp>ACT_EST_MAPPING=PRECISE</stp>
        <stp>FS=MRC</stp>
        <stp>CURRENCY=USD</stp>
        <stp>XLFILL=b</stp>
        <tr r="AI192" s="2"/>
      </tp>
      <tp t="s">
        <v/>
        <stp/>
        <stp>##V3_BQLV12</stp>
        <stp>[MODL_CRM_US1.xlsx]Single Period!R192C46</stp>
        <stp>CRM US Equity</stp>
        <stp>FREE_CASH_FLOW_MARGIN</stp>
        <stp>FPR=2022Y</stp>
        <stp>FPT=A</stp>
        <stp>FA_ACT_EST_DATA=E, EST_SOURCE=CTI</stp>
        <stp>ACT_EST_MAPPING=PRECISE</stp>
        <stp>FS=MRC</stp>
        <stp>CURRENCY=USD</stp>
        <stp>XLFILL=b</stp>
        <tr r="AT192" s="2"/>
      </tp>
      <tp t="s">
        <v/>
        <stp/>
        <stp>##V3_BQLV12</stp>
        <stp>[MODL_CRM_US1.xlsx]Single Period!R13C53</stp>
        <stp>CRM US Equity</stp>
        <stp>CURRENT_FUTURE_REV_UNDER_CONTRACT/1M</stp>
        <stp>FPR=2022Y</stp>
        <stp>FPT=A</stp>
        <stp>FA_ACT_EST_DATA=E, EST_SOURCE=NIK</stp>
        <stp>ACT_EST_MAPPING=PRECISE</stp>
        <stp>FS=MRC</stp>
        <stp>CURRENCY=USD</stp>
        <stp>XLFILL=b</stp>
        <tr r="BA13" s="2"/>
      </tp>
      <tp t="s">
        <v/>
        <stp/>
        <stp>##V3_BQLV12</stp>
        <stp>[MODL_CRM_US1.xlsx]Single Period!R171C28</stp>
        <stp>CRM US Equity</stp>
        <stp>CF_PURCHASE_OF_FIXED_PROD_ASSETS/1M</stp>
        <stp>FPR=2022Y</stp>
        <stp>FPT=A</stp>
        <stp>FA_ACT_EST_DATA=E, EST_SOURCE=CWN</stp>
        <stp>ACT_EST_MAPPING=PRECISE</stp>
        <stp>FS=MRC</stp>
        <stp>CURRENCY=USD</stp>
        <stp>XLFILL=b</stp>
        <tr r="AB171" s="2"/>
      </tp>
      <tp t="s">
        <v/>
        <stp/>
        <stp>##V3_BQLV12</stp>
        <stp>[MODL_CRM_US1.xlsx]Single Period!R111C53</stp>
        <stp>CRM US Equity</stp>
        <stp>BS_CASH_CASH_EQUIVALENTS_AND_STI/1M</stp>
        <stp>FPR=2022Y</stp>
        <stp>FPT=A</stp>
        <stp>FA_ACT_EST_DATA=E, EST_SOURCE=NIK</stp>
        <stp>ACT_EST_MAPPING=PRECISE</stp>
        <stp>FS=MRC</stp>
        <stp>CURRENCY=USD</stp>
        <stp>XLFILL=b</stp>
        <tr r="BA111" s="2"/>
      </tp>
      <tp t="s">
        <v/>
        <stp/>
        <stp>##V3_BQLV12</stp>
        <stp>[MODL_CRM_US1.xlsx]Single Period!R30C47</stp>
        <stp>SEG0000269238 Segment</stp>
        <stp>IS_COGS_TO_FE_AND_PP_AND_G/1M</stp>
        <stp>FPR=2022Y</stp>
        <stp>FPT=A</stp>
        <stp>FA_ACT_EST_DATA=E, EST_SOURCE=WFT</stp>
        <stp>ACT_EST_MAPPING=PRECISE</stp>
        <stp>FS=MRC</stp>
        <stp>CURRENCY=USD</stp>
        <stp>XLFILL=b</stp>
        <tr r="AU30" s="2"/>
      </tp>
      <tp t="s">
        <v/>
        <stp/>
        <stp>##V3_BQLV12</stp>
        <stp>[MODL_CRM_US1.xlsx]Single Period!R30C52</stp>
        <stp>SEG0000269238 Segment</stp>
        <stp>IS_COGS_TO_FE_AND_PP_AND_G/1M</stp>
        <stp>FPR=2022Y</stp>
        <stp>FPT=A</stp>
        <stp>FA_ACT_EST_DATA=E, EST_SOURCE=WFR</stp>
        <stp>ACT_EST_MAPPING=PRECISE</stp>
        <stp>FS=MRC</stp>
        <stp>CURRENCY=USD</stp>
        <stp>XLFILL=b</stp>
        <tr r="AZ30" s="2"/>
      </tp>
      <tp>
        <v>2623.7876768177339</v>
        <stp/>
        <stp>##V3_BQLV12</stp>
        <stp>[MODL_CRM_US1.xlsx]Single Period!R86C9</stp>
        <stp>CRM US Equity</stp>
        <stp>CONTRIBUTOR_STATS(IS_GENERAL_AND_ADMIN_GAAP, MEDIAN)/1M</stp>
        <stp>FPR=2022Y</stp>
        <stp>FPT=A</stp>
        <stp>FA_ACT_EST_DATA=E</stp>
        <stp>ACT_EST_MAPPING=PRECISE</stp>
        <stp>FS=MRC</stp>
        <stp>CURRENCY=USD</stp>
        <stp>XLFILL=b</stp>
        <tr r="I86" s="2"/>
      </tp>
      <tp t="s">
        <v/>
        <stp/>
        <stp>##V3_BQLV12</stp>
        <stp>[MODL_CRM_US1.xlsx]Single Period!R157C50</stp>
        <stp>CRM US Equity</stp>
        <stp>CF_AMORTIZATN_OF_DEFRRD_COMPNSTN/1M</stp>
        <stp>FPR=2022Y</stp>
        <stp>FPT=A</stp>
        <stp>FA_ACT_EST_DATA=E, EST_SOURCE=MZS</stp>
        <stp>ACT_EST_MAPPING=PRECISE</stp>
        <stp>FS=MRC</stp>
        <stp>CURRENCY=USD</stp>
        <stp>XLFILL=b</stp>
        <tr r="AX157" s="2"/>
      </tp>
      <tp t="s">
        <v/>
        <stp/>
        <stp>##V3_BQLV12</stp>
        <stp>[MODL_CRM_US1.xlsx]Single Period!R111C12</stp>
        <stp>CRM US Equity</stp>
        <stp>BS_CASH_CASH_EQUIVALENTS_AND_STI/1M</stp>
        <stp>FPR=2022Y</stp>
        <stp>FPT=A</stp>
        <stp>FA_ACT_EST_DATA=E, EST_SOURCE=BMO</stp>
        <stp>ACT_EST_MAPPING=PRECISE</stp>
        <stp>FS=MRC</stp>
        <stp>CURRENCY=USD</stp>
        <stp>XLFILL=b</stp>
        <tr r="L111" s="2"/>
      </tp>
      <tp t="s">
        <v/>
        <stp/>
        <stp>##V3_BQLV12</stp>
        <stp>[MODL_CRM_US1.xlsx]Single Period!R34C51</stp>
        <stp>SEG0000269227 Segment</stp>
        <stp>IS_COGS_TO_FE_AND_PP_AND_G/1M</stp>
        <stp>FPR=2022Y</stp>
        <stp>FPT=A</stp>
        <stp>FA_ACT_EST_DATA=E, EST_SOURCE=RCP</stp>
        <stp>ACT_EST_MAPPING=PRECISE</stp>
        <stp>FS=MRC</stp>
        <stp>CURRENCY=USD</stp>
        <stp>XLFILL=b</stp>
        <tr r="AY34" s="2"/>
      </tp>
      <tp t="s">
        <v/>
        <stp/>
        <stp>##V3_BQLV12</stp>
        <stp>[MODL_CRM_US1.xlsx]Single Period!R177C32</stp>
        <stp>CRM US Equity</stp>
        <stp>CB_CF_OTHER_FINANCING_ACTIVITIES/1M</stp>
        <stp>FPR=2022Y</stp>
        <stp>FPT=A</stp>
        <stp>FA_ACT_EST_DATA=E, EST_SOURCE=UBS</stp>
        <stp>ACT_EST_MAPPING=PRECISE</stp>
        <stp>FS=MRC</stp>
        <stp>CURRENCY=USD</stp>
        <stp>XLFILL=b</stp>
        <tr r="AF177" s="2"/>
      </tp>
      <tp t="s">
        <v/>
        <stp/>
        <stp>##V3_BQLV12</stp>
        <stp>[MODL_CRM_US1.xlsx]Single Period!R111C29</stp>
        <stp>CRM US Equity</stp>
        <stp>BS_CASH_CASH_EQUIVALENTS_AND_STI/1M</stp>
        <stp>FPR=2022Y</stp>
        <stp>FPT=A</stp>
        <stp>FA_ACT_EST_DATA=E, EST_SOURCE=BNS</stp>
        <stp>ACT_EST_MAPPING=PRECISE</stp>
        <stp>FS=MRC</stp>
        <stp>CURRENCY=USD</stp>
        <stp>XLFILL=b</stp>
        <tr r="AC111" s="2"/>
      </tp>
      <tp t="s">
        <v/>
        <stp/>
        <stp>##V3_BQLV12</stp>
        <stp>[MODL_CRM_US1.xlsx]Single Period!R171C37</stp>
        <stp>CRM US Equity</stp>
        <stp>CF_PURCHASE_OF_FIXED_PROD_ASSETS/1M</stp>
        <stp>FPR=2022Y</stp>
        <stp>FPT=A</stp>
        <stp>FA_ACT_EST_DATA=E, EST_SOURCE=EVR</stp>
        <stp>ACT_EST_MAPPING=PRECISE</stp>
        <stp>FS=MRC</stp>
        <stp>CURRENCY=USD</stp>
        <stp>XLFILL=b</stp>
        <tr r="AK171" s="2"/>
      </tp>
      <tp t="s">
        <v/>
        <stp/>
        <stp>##V3_BQLV12</stp>
        <stp>[MODL_CRM_US1.xlsx]Single Period!R34C27</stp>
        <stp>SEG0000269227 Segment</stp>
        <stp>IS_COGS_TO_FE_AND_PP_AND_G/1M</stp>
        <stp>FPR=2022Y</stp>
        <stp>FPT=A</stp>
        <stp>FA_ACT_EST_DATA=E, EST_SOURCE=LCM</stp>
        <stp>ACT_EST_MAPPING=PRECISE</stp>
        <stp>FS=MRC</stp>
        <stp>CURRENCY=USD</stp>
        <stp>XLFILL=b</stp>
        <tr r="AA34" s="2"/>
      </tp>
      <tp t="s">
        <v/>
        <stp/>
        <stp>##V3_BQLV12</stp>
        <stp>[MODL_CRM_US1.xlsx]Single Period!R177C27</stp>
        <stp>CRM US Equity</stp>
        <stp>CB_CF_OTHER_FINANCING_ACTIVITIES/1M</stp>
        <stp>FPR=2022Y</stp>
        <stp>FPT=A</stp>
        <stp>FA_ACT_EST_DATA=E, EST_SOURCE=LCM</stp>
        <stp>ACT_EST_MAPPING=PRECISE</stp>
        <stp>FS=MRC</stp>
        <stp>CURRENCY=USD</stp>
        <stp>XLFILL=b</stp>
        <tr r="AA177" s="2"/>
      </tp>
      <tp>
        <v>1820.8086499999999</v>
        <stp/>
        <stp>##V3_BQLV12</stp>
        <stp>[MODL_CRM_US1.xlsx]Single Period!R34C13</stp>
        <stp>SEG0000269227 Segment</stp>
        <stp>IS_COGS_TO_FE_AND_PP_AND_G/1M</stp>
        <stp>FPR=2022Y</stp>
        <stp>FPT=A</stp>
        <stp>FA_ACT_EST_DATA=E, EST_SOURCE=BCA</stp>
        <stp>ACT_EST_MAPPING=PRECISE</stp>
        <stp>FS=MRC</stp>
        <stp>CURRENCY=USD</stp>
        <stp>XLFILL=b</stp>
        <tr r="M34" s="2"/>
      </tp>
      <tp t="s">
        <v/>
        <stp/>
        <stp>##V3_BQLV12</stp>
        <stp>[MODL_CRM_US1.xlsx]Single Period!R34C19</stp>
        <stp>SEG0000269227 Segment</stp>
        <stp>IS_COGS_TO_FE_AND_PP_AND_G/1M</stp>
        <stp>FPR=2022Y</stp>
        <stp>FPT=A</stp>
        <stp>FA_ACT_EST_DATA=E, EST_SOURCE=SCB</stp>
        <stp>ACT_EST_MAPPING=PRECISE</stp>
        <stp>FS=MRC</stp>
        <stp>CURRENCY=USD</stp>
        <stp>XLFILL=b</stp>
        <tr r="S34" s="2"/>
      </tp>
      <tp t="s">
        <v/>
        <stp/>
        <stp>##V3_BQLV12</stp>
        <stp>[MODL_CRM_US1.xlsx]Single Period!R34C40</stp>
        <stp>SEG0000269227 Segment</stp>
        <stp>IS_COGS_TO_FE_AND_PP_AND_G/1M</stp>
        <stp>FPR=2022Y</stp>
        <stp>FPT=A</stp>
        <stp>FA_ACT_EST_DATA=E, EST_SOURCE=ACC</stp>
        <stp>ACT_EST_MAPPING=PRECISE</stp>
        <stp>FS=MRC</stp>
        <stp>CURRENCY=USD</stp>
        <stp>XLFILL=b</stp>
        <tr r="AN34" s="2"/>
      </tp>
      <tp t="s">
        <v/>
        <stp/>
        <stp>##V3_BQLV12</stp>
        <stp>[MODL_CRM_US1.xlsx]Single Period!R111C56</stp>
        <stp>CRM US Equity</stp>
        <stp>BS_CASH_CASH_EQUIVALENTS_AND_STI/1M</stp>
        <stp>FPR=2022Y</stp>
        <stp>FPT=A</stp>
        <stp>FA_ACT_EST_DATA=E, EST_SOURCE=DIR</stp>
        <stp>ACT_EST_MAPPING=PRECISE</stp>
        <stp>FS=MRC</stp>
        <stp>CURRENCY=USD</stp>
        <stp>XLFILL=b</stp>
        <tr r="BD111" s="2"/>
      </tp>
      <tp t="s">
        <v/>
        <stp/>
        <stp>##V3_BQLV12</stp>
        <stp>[MODL_CRM_US1.xlsx]Single Period!R177C31</stp>
        <stp>CRM US Equity</stp>
        <stp>CB_CF_OTHER_FINANCING_ACTIVITIES/1M</stp>
        <stp>FPR=2022Y</stp>
        <stp>FPT=A</stp>
        <stp>FA_ACT_EST_DATA=E, EST_SOURCE=RBC</stp>
        <stp>ACT_EST_MAPPING=PRECISE</stp>
        <stp>FS=MRC</stp>
        <stp>CURRENCY=USD</stp>
        <stp>XLFILL=b</stp>
        <tr r="AE177" s="2"/>
      </tp>
      <tp t="s">
        <v/>
        <stp/>
        <stp>##V3_BQLV12</stp>
        <stp>[MODL_CRM_US1.xlsx]Single Period!R184C42</stp>
        <stp>CRM US Equity</stp>
        <stp>CFO_TO_SALES</stp>
        <stp>FPR=2022Y</stp>
        <stp>FPT=A</stp>
        <stp>FA_ACT_EST_DATA=E, EST_SOURCE=PSG</stp>
        <stp>ACT_EST_MAPPING=PRECISE</stp>
        <stp>FS=MRC</stp>
        <stp>CURRENCY=USD</stp>
        <stp>XLFILL=b</stp>
        <tr r="AP184" s="2"/>
      </tp>
      <tp t="s">
        <v/>
        <stp/>
        <stp>##V3_BQLV12</stp>
        <stp>[MODL_CRM_US1.xlsx]Single Period!R40C10</stp>
        <stp>SEG0000269228 Segment</stp>
        <stp>REVENUE_GROWTH_CC_1_YR</stp>
        <stp>FPR=2022Y</stp>
        <stp>FPT=A</stp>
        <stp>FA_ACT_EST_DATA=E, EST_SOURCE=CMPY</stp>
        <stp>ACT_EST_MAPPING=PRECISE</stp>
        <stp>FS=MRC</stp>
        <stp>CURRENCY=USD</stp>
        <stp>XLFILL=b</stp>
        <tr r="J40" s="2"/>
      </tp>
      <tp t="s">
        <v/>
        <stp/>
        <stp>##V3_BQLV12</stp>
        <stp>[MODL_CRM_US1.xlsx]Single Period!R45C10</stp>
        <stp>SEG0000269240 Segment</stp>
        <stp>REVENUE_GROWTH_CC_1_YR</stp>
        <stp>FPR=2022Y</stp>
        <stp>FPT=A</stp>
        <stp>FA_ACT_EST_DATA=E, EST_SOURCE=CMPY</stp>
        <stp>ACT_EST_MAPPING=PRECISE</stp>
        <stp>FS=MRC</stp>
        <stp>CURRENCY=USD</stp>
        <stp>XLFILL=b</stp>
        <tr r="J45" s="2"/>
      </tp>
      <tp>
        <v>4.75</v>
        <stp/>
        <stp>##V3_BQLV12</stp>
        <stp>[MODL_CRM_US1.xlsx]Single Period!R74C45</stp>
        <stp>CRM US Equity</stp>
        <stp>IS_COMP_EPS_EXCL_STOCK_COMP</stp>
        <stp>FPR=2022Y</stp>
        <stp>FPT=A</stp>
        <stp>FA_ACT_EST_DATA=E, EST_SOURCE=ARG</stp>
        <stp>ACT_EST_MAPPING=PRECISE</stp>
        <stp>FS=MRC</stp>
        <stp>CURRENCY=USD</stp>
        <stp>XLFILL=b</stp>
        <tr r="AS74" s="2"/>
      </tp>
      <tp t="s">
        <v/>
        <stp/>
        <stp>##V3_BQLV12</stp>
        <stp>[MODL_CRM_US1.xlsx]Single Period!R184C35</stp>
        <stp>CRM US Equity</stp>
        <stp>CFO_TO_SALES</stp>
        <stp>FPR=2022Y</stp>
        <stp>FPT=A</stp>
        <stp>FA_ACT_EST_DATA=E, EST_SOURCE=ATL</stp>
        <stp>ACT_EST_MAPPING=PRECISE</stp>
        <stp>FS=MRC</stp>
        <stp>CURRENCY=USD</stp>
        <stp>XLFILL=b</stp>
        <tr r="AI184" s="2"/>
      </tp>
      <tp>
        <v>16.98594100705472</v>
        <stp/>
        <stp>##V3_BQLV12</stp>
        <stp>[MODL_CRM_US1.xlsx]Single Period!R84C5</stp>
        <stp>CRM US Equity</stp>
        <stp>RD_EXPEND_TO_NET_SALES</stp>
        <stp>FPR=2022Y</stp>
        <stp>FPT=A</stp>
        <stp>FA_ACT_EST_DATA=E</stp>
        <stp>ACT_EST_MAPPING=PRECISE</stp>
        <stp>FS=MRC</stp>
        <stp>CURRENCY=USD</stp>
        <stp>XLFILL=b</stp>
        <tr r="E84" s="2"/>
      </tp>
      <tp t="s">
        <v/>
        <stp/>
        <stp>##V3_BQLV12</stp>
        <stp>[MODL_CRM_US1.xlsx]Single Period!R184C37</stp>
        <stp>CRM US Equity</stp>
        <stp>CFO_TO_SALES</stp>
        <stp>FPR=2022Y</stp>
        <stp>FPT=A</stp>
        <stp>FA_ACT_EST_DATA=E, EST_SOURCE=EVR</stp>
        <stp>ACT_EST_MAPPING=PRECISE</stp>
        <stp>FS=MRC</stp>
        <stp>CURRENCY=USD</stp>
        <stp>XLFILL=b</stp>
        <tr r="AK184" s="2"/>
      </tp>
      <tp t="s">
        <v/>
        <stp/>
        <stp>##V3_BQLV12</stp>
        <stp>[MODL_CRM_US1.xlsx]Single Period!R80C26</stp>
        <stp>CRM US Equity</stp>
        <stp>GROSS_MARGIN</stp>
        <stp>FPR=2022Y</stp>
        <stp>FPT=A</stp>
        <stp>FA_ACT_EST_DATA=E, EST_SOURCE=KEY</stp>
        <stp>ACT_EST_MAPPING=PRECISE</stp>
        <stp>FS=MRC</stp>
        <stp>CURRENCY=USD</stp>
        <stp>XLFILL=b</stp>
        <tr r="Z80" s="2"/>
      </tp>
      <tp t="s">
        <v/>
        <stp/>
        <stp>##V3_BQLV12</stp>
        <stp>[MODL_CRM_US1.xlsx]Single Period!R61C35</stp>
        <stp>CRM US Equity</stp>
        <stp>ADJ_OPERATING_MARGIN</stp>
        <stp>FPR=2022Y</stp>
        <stp>FPT=A</stp>
        <stp>FA_ACT_EST_DATA=E, EST_SOURCE=ATL</stp>
        <stp>ACT_EST_MAPPING=PRECISE</stp>
        <stp>FS=MRC</stp>
        <stp>CURRENCY=USD</stp>
        <stp>XLFILL=b</stp>
        <tr r="AI61" s="2"/>
      </tp>
      <tp t="s">
        <v/>
        <stp/>
        <stp>##V3_BQLV12</stp>
        <stp>[MODL_CRM_US1.xlsx]Single Period!R61C42</stp>
        <stp>CRM US Equity</stp>
        <stp>ADJ_OPERATING_MARGIN</stp>
        <stp>FPR=2022Y</stp>
        <stp>FPT=A</stp>
        <stp>FA_ACT_EST_DATA=E, EST_SOURCE=PSG</stp>
        <stp>ACT_EST_MAPPING=PRECISE</stp>
        <stp>FS=MRC</stp>
        <stp>CURRENCY=USD</stp>
        <stp>XLFILL=b</stp>
        <tr r="AP61" s="2"/>
      </tp>
      <tp t="s">
        <v/>
        <stp/>
        <stp>##V3_BQLV12</stp>
        <stp>[MODL_CRM_US1.xlsx]Single Period!R129C28</stp>
        <stp>CRM US Equity</stp>
        <stp>CB_BS_ACCT_PYBL_ACC_EXPNSS/1M</stp>
        <stp>FPR=2022Y</stp>
        <stp>FPT=A</stp>
        <stp>FA_ACT_EST_DATA=E, EST_SOURCE=CWN</stp>
        <stp>ACT_EST_MAPPING=PRECISE</stp>
        <stp>FS=MRC</stp>
        <stp>CURRENCY=USD</stp>
        <stp>XLFILL=b</stp>
        <tr r="AB129" s="2"/>
      </tp>
      <tp t="s">
        <v/>
        <stp/>
        <stp>##V3_BQLV12</stp>
        <stp>[MODL_CRM_US1.xlsx]Single Period!R103C33</stp>
        <stp>CRM US Equity</stp>
        <stp>IS_SBC_ATT_TO_GENL_AND_ADMIN_PRETX/1M</stp>
        <stp>FPR=2022Y</stp>
        <stp>FPT=A</stp>
        <stp>FA_ACT_EST_DATA=E, EST_SOURCE=RHR</stp>
        <stp>ACT_EST_MAPPING=PRECISE</stp>
        <stp>FS=MRC</stp>
        <stp>CURRENCY=USD</stp>
        <stp>XLFILL=b</stp>
        <tr r="AG103" s="2"/>
      </tp>
      <tp t="s">
        <v/>
        <stp/>
        <stp>##V3_BQLV12</stp>
        <stp>[MODL_CRM_US1.xlsx]Single Period!R80C17</stp>
        <stp>CRM US Equity</stp>
        <stp>GROSS_MARGIN</stp>
        <stp>FPR=2022Y</stp>
        <stp>FPT=A</stp>
        <stp>FA_ACT_EST_DATA=E, EST_SOURCE=NDH</stp>
        <stp>ACT_EST_MAPPING=PRECISE</stp>
        <stp>FS=MRC</stp>
        <stp>CURRENCY=USD</stp>
        <stp>XLFILL=b</stp>
        <tr r="Q80" s="2"/>
      </tp>
      <tp t="s">
        <v/>
        <stp/>
        <stp>##V3_BQLV12</stp>
        <stp>[MODL_CRM_US1.xlsx]Single Period!R139C46</stp>
        <stp>CRM US Equity</stp>
        <stp>BS_ADD_PAID_IN_CAP/1M</stp>
        <stp>FPR=2022Y</stp>
        <stp>FPT=A</stp>
        <stp>FA_ACT_EST_DATA=E, EST_SOURCE=CTI</stp>
        <stp>ACT_EST_MAPPING=PRECISE</stp>
        <stp>FS=MRC</stp>
        <stp>CURRENCY=USD</stp>
        <stp>XLFILL=b</stp>
        <tr r="AT139" s="2"/>
      </tp>
      <tp t="s">
        <v/>
        <stp/>
        <stp>##V3_BQLV12</stp>
        <stp>[MODL_CRM_US1.xlsx]Single Period!R80C11</stp>
        <stp>CRM US Equity</stp>
        <stp>GROSS_MARGIN</stp>
        <stp>FPR=2022Y</stp>
        <stp>FPT=A</stp>
        <stp>FA_ACT_EST_DATA=E, EST_SOURCE=WBL</stp>
        <stp>ACT_EST_MAPPING=PRECISE</stp>
        <stp>FS=MRC</stp>
        <stp>CURRENCY=USD</stp>
        <stp>XLFILL=b</stp>
        <tr r="K80" s="2"/>
      </tp>
      <tp t="s">
        <v/>
        <stp/>
        <stp>##V3_BQLV12</stp>
        <stp>[MODL_CRM_US1.xlsx]Single Period!R129C43</stp>
        <stp>CRM US Equity</stp>
        <stp>CB_BS_ACCT_PYBL_ACC_EXPNSS/1M</stp>
        <stp>FPR=2022Y</stp>
        <stp>FPT=A</stp>
        <stp>FA_ACT_EST_DATA=E, EST_SOURCE=DWI</stp>
        <stp>ACT_EST_MAPPING=PRECISE</stp>
        <stp>FS=MRC</stp>
        <stp>CURRENCY=USD</stp>
        <stp>XLFILL=b</stp>
        <tr r="AQ129" s="2"/>
      </tp>
      <tp t="s">
        <v/>
        <stp/>
        <stp>##V3_BQLV12</stp>
        <stp>[MODL_CRM_US1.xlsx]Single Period!R139C35</stp>
        <stp>CRM US Equity</stp>
        <stp>BS_ADD_PAID_IN_CAP/1M</stp>
        <stp>FPR=2022Y</stp>
        <stp>FPT=A</stp>
        <stp>FA_ACT_EST_DATA=E, EST_SOURCE=ATL</stp>
        <stp>ACT_EST_MAPPING=PRECISE</stp>
        <stp>FS=MRC</stp>
        <stp>CURRENCY=USD</stp>
        <stp>XLFILL=b</stp>
        <tr r="AI139" s="2"/>
      </tp>
      <tp t="s">
        <v/>
        <stp/>
        <stp>##V3_BQLV12</stp>
        <stp>[MODL_CRM_US1.xlsx]Single Period!R80C40</stp>
        <stp>CRM US Equity</stp>
        <stp>GROSS_MARGIN</stp>
        <stp>FPR=2022Y</stp>
        <stp>FPT=A</stp>
        <stp>FA_ACT_EST_DATA=E, EST_SOURCE=ACC</stp>
        <stp>ACT_EST_MAPPING=PRECISE</stp>
        <stp>FS=MRC</stp>
        <stp>CURRENCY=USD</stp>
        <stp>XLFILL=b</stp>
        <tr r="AN80" s="2"/>
      </tp>
      <tp t="s">
        <v/>
        <stp/>
        <stp>##V3_BQLV12</stp>
        <stp>[MODL_CRM_US1.xlsx]Single Period!R80C31</stp>
        <stp>CRM US Equity</stp>
        <stp>GROSS_MARGIN</stp>
        <stp>FPR=2022Y</stp>
        <stp>FPT=A</stp>
        <stp>FA_ACT_EST_DATA=E, EST_SOURCE=RBC</stp>
        <stp>ACT_EST_MAPPING=PRECISE</stp>
        <stp>FS=MRC</stp>
        <stp>CURRENCY=USD</stp>
        <stp>XLFILL=b</stp>
        <tr r="AE80" s="2"/>
      </tp>
      <tp t="s">
        <v/>
        <stp/>
        <stp>##V3_BQLV12</stp>
        <stp>[MODL_CRM_US1.xlsx]Single Period!R61C37</stp>
        <stp>CRM US Equity</stp>
        <stp>ADJ_OPERATING_MARGIN</stp>
        <stp>FPR=2022Y</stp>
        <stp>FPT=A</stp>
        <stp>FA_ACT_EST_DATA=E, EST_SOURCE=EVR</stp>
        <stp>ACT_EST_MAPPING=PRECISE</stp>
        <stp>FS=MRC</stp>
        <stp>CURRENCY=USD</stp>
        <stp>XLFILL=b</stp>
        <tr r="AK61" s="2"/>
      </tp>
      <tp t="s">
        <v/>
        <stp/>
        <stp>##V3_BQLV12</stp>
        <stp>[MODL_CRM_US1.xlsx]Single Period!R129C44</stp>
        <stp>CRM US Equity</stp>
        <stp>CB_BS_ACCT_PYBL_ACC_EXPNSS/1M</stp>
        <stp>FPR=2022Y</stp>
        <stp>FPT=A</stp>
        <stp>FA_ACT_EST_DATA=E, EST_SOURCE=RWB</stp>
        <stp>ACT_EST_MAPPING=PRECISE</stp>
        <stp>FS=MRC</stp>
        <stp>CURRENCY=USD</stp>
        <stp>XLFILL=b</stp>
        <tr r="AR129" s="2"/>
      </tp>
      <tp t="s">
        <v/>
        <stp/>
        <stp>##V3_BQLV12</stp>
        <stp>[MODL_CRM_US1.xlsx]Single Period!R159C21</stp>
        <stp>CRM US Equity</stp>
        <stp>SBC_NON_GAAP_TO_SALES</stp>
        <stp>FPR=2022Y</stp>
        <stp>FPT=A</stp>
        <stp>FA_ACT_EST_DATA=E, EST_SOURCE=RJA</stp>
        <stp>ACT_EST_MAPPING=PRECISE</stp>
        <stp>FS=MRC</stp>
        <stp>CURRENCY=USD</stp>
        <stp>XLFILL=b</stp>
        <tr r="U159" s="2"/>
      </tp>
      <tp>
        <v>23.761365270790261</v>
        <stp/>
        <stp>##V3_BQLV12</stp>
        <stp>[MODL_CRM_US1.xlsx]Single Period!R192C15</stp>
        <stp>CRM US Equity</stp>
        <stp>FREE_CASH_FLOW_MARGIN</stp>
        <stp>FPR=2022Y</stp>
        <stp>FPT=A</stp>
        <stp>FA_ACT_EST_DATA=E, EST_SOURCE=MSV</stp>
        <stp>ACT_EST_MAPPING=PRECISE</stp>
        <stp>FS=MRC</stp>
        <stp>CURRENCY=USD</stp>
        <stp>XLFILL=b</stp>
        <tr r="O192" s="2"/>
      </tp>
      <tp t="s">
        <v/>
        <stp/>
        <stp>##V3_BQLV12</stp>
        <stp>[MODL_CRM_US1.xlsx]Single Period!R86C19</stp>
        <stp>CRM US Equity</stp>
        <stp>IS_GENERAL_AND_ADMIN_GAAP/1M</stp>
        <stp>FPR=2022Y</stp>
        <stp>FPT=A</stp>
        <stp>FA_ACT_EST_DATA=E, EST_SOURCE=SCB</stp>
        <stp>ACT_EST_MAPPING=PRECISE</stp>
        <stp>FS=MRC</stp>
        <stp>CURRENCY=USD</stp>
        <stp>XLFILL=b</stp>
        <tr r="S86" s="2"/>
      </tp>
      <tp t="s">
        <v/>
        <stp/>
        <stp>##V3_BQLV12</stp>
        <stp>[MODL_CRM_US1.xlsx]Single Period!R13C20</stp>
        <stp>CRM US Equity</stp>
        <stp>CURRENT_FUTURE_REV_UNDER_CONTRACT/1M</stp>
        <stp>FPR=2022Y</stp>
        <stp>FPT=A</stp>
        <stp>FA_ACT_EST_DATA=E, EST_SOURCE=JMP</stp>
        <stp>ACT_EST_MAPPING=PRECISE</stp>
        <stp>FS=MRC</stp>
        <stp>CURRENCY=USD</stp>
        <stp>XLFILL=b</stp>
        <tr r="T13" s="2"/>
      </tp>
      <tp t="s">
        <v/>
        <stp/>
        <stp>##V3_BQLV12</stp>
        <stp>[MODL_CRM_US1.xlsx]Single Period!R159C48</stp>
        <stp>CRM US Equity</stp>
        <stp>SBC_NON_GAAP_TO_SALES</stp>
        <stp>FPR=2022Y</stp>
        <stp>FPT=A</stp>
        <stp>FA_ACT_EST_DATA=E, EST_SOURCE=PJE</stp>
        <stp>ACT_EST_MAPPING=PRECISE</stp>
        <stp>FS=MRC</stp>
        <stp>CURRENCY=USD</stp>
        <stp>XLFILL=b</stp>
        <tr r="AV159" s="2"/>
      </tp>
      <tp t="s">
        <v/>
        <stp/>
        <stp>##V3_BQLV12</stp>
        <stp>[MODL_CRM_US1.xlsx]Single Period!R192C38</stp>
        <stp>CRM US Equity</stp>
        <stp>FREE_CASH_FLOW_MARGIN</stp>
        <stp>FPR=2022Y</stp>
        <stp>FPT=A</stp>
        <stp>FA_ACT_EST_DATA=E, EST_SOURCE=MSR</stp>
        <stp>ACT_EST_MAPPING=PRECISE</stp>
        <stp>FS=MRC</stp>
        <stp>CURRENCY=USD</stp>
        <stp>XLFILL=b</stp>
        <tr r="AL192" s="2"/>
      </tp>
      <tp t="s">
        <v/>
        <stp/>
        <stp>##V3_BQLV12</stp>
        <stp>[MODL_CRM_US1.xlsx]Single Period!R192C41</stp>
        <stp>CRM US Equity</stp>
        <stp>FREE_CASH_FLOW_MARGIN</stp>
        <stp>FPR=2022Y</stp>
        <stp>FPT=A</stp>
        <stp>FA_ACT_EST_DATA=E, EST_SOURCE=GSR</stp>
        <stp>ACT_EST_MAPPING=PRECISE</stp>
        <stp>FS=MRC</stp>
        <stp>CURRENCY=USD</stp>
        <stp>XLFILL=b</stp>
        <tr r="AO192" s="2"/>
      </tp>
      <tp t="s">
        <v/>
        <stp/>
        <stp>##V3_BQLV12</stp>
        <stp>[MODL_CRM_US1.xlsx]Single Period!R116C41</stp>
        <stp>CRM US Equity</stp>
        <stp>PREPAID_EXPNSS_AND_OTHR/1M</stp>
        <stp>FPR=2022Y</stp>
        <stp>FPT=A</stp>
        <stp>FA_ACT_EST_DATA=E, EST_SOURCE=GSR</stp>
        <stp>ACT_EST_MAPPING=PRECISE</stp>
        <stp>FS=MRC</stp>
        <stp>CURRENCY=USD</stp>
        <stp>XLFILL=b</stp>
        <tr r="AO116" s="2"/>
      </tp>
      <tp t="s">
        <v/>
        <stp/>
        <stp>##V3_BQLV12</stp>
        <stp>[MODL_CRM_US1.xlsx]Single Period!R116C15</stp>
        <stp>CRM US Equity</stp>
        <stp>PREPAID_EXPNSS_AND_OTHR/1M</stp>
        <stp>FPR=2022Y</stp>
        <stp>FPT=A</stp>
        <stp>FA_ACT_EST_DATA=E, EST_SOURCE=MSV</stp>
        <stp>ACT_EST_MAPPING=PRECISE</stp>
        <stp>FS=MRC</stp>
        <stp>CURRENCY=USD</stp>
        <stp>XLFILL=b</stp>
        <tr r="O116" s="2"/>
      </tp>
      <tp>
        <v>0.15346615431085389</v>
        <stp/>
        <stp>##V3_BQLV12</stp>
        <stp>[MODL_CRM_US1.xlsx]Single Period!R20C8</stp>
        <stp>CRM US Equity</stp>
        <stp>CONTRIBUTOR_STATS(ADJ_OPERATING_MARGIN, STD)</stp>
        <stp>FPR=2022Y</stp>
        <stp>FPT=A</stp>
        <stp>FA_ACT_EST_DATA=E</stp>
        <stp>ACT_EST_MAPPING=PRECISE</stp>
        <stp>FS=MRC</stp>
        <stp>CURRENCY=USD</stp>
        <stp>XLFILL=b</stp>
        <tr r="H20" s="2"/>
      </tp>
      <tp t="s">
        <v/>
        <stp/>
        <stp>##V3_BQLV12</stp>
        <stp>[MODL_CRM_US1.xlsx]Single Period!R86C53</stp>
        <stp>CRM US Equity</stp>
        <stp>IS_GENERAL_AND_ADMIN_GAAP/1M</stp>
        <stp>FPR=2022Y</stp>
        <stp>FPT=A</stp>
        <stp>FA_ACT_EST_DATA=E, EST_SOURCE=NIK</stp>
        <stp>ACT_EST_MAPPING=PRECISE</stp>
        <stp>FS=MRC</stp>
        <stp>CURRENCY=USD</stp>
        <stp>XLFILL=b</stp>
        <tr r="BA86" s="2"/>
      </tp>
      <tp>
        <v>0.15346615431085389</v>
        <stp/>
        <stp>##V3_BQLV12</stp>
        <stp>[MODL_CRM_US1.xlsx]Single Period!R61C8</stp>
        <stp>CRM US Equity</stp>
        <stp>CONTRIBUTOR_STATS(ADJ_OPERATING_MARGIN, STD)</stp>
        <stp>FPR=2022Y</stp>
        <stp>FPT=A</stp>
        <stp>FA_ACT_EST_DATA=E</stp>
        <stp>ACT_EST_MAPPING=PRECISE</stp>
        <stp>FS=MRC</stp>
        <stp>CURRENCY=USD</stp>
        <stp>XLFILL=b</stp>
        <tr r="H61" s="2"/>
      </tp>
      <tp t="s">
        <v/>
        <stp/>
        <stp>##V3_BQLV12</stp>
        <stp>[MODL_CRM_US1.xlsx]Single Period!R116C38</stp>
        <stp>CRM US Equity</stp>
        <stp>PREPAID_EXPNSS_AND_OTHR/1M</stp>
        <stp>FPR=2022Y</stp>
        <stp>FPT=A</stp>
        <stp>FA_ACT_EST_DATA=E, EST_SOURCE=MSR</stp>
        <stp>ACT_EST_MAPPING=PRECISE</stp>
        <stp>FS=MRC</stp>
        <stp>CURRENCY=USD</stp>
        <stp>XLFILL=b</stp>
        <tr r="AL116" s="2"/>
      </tp>
      <tp t="s">
        <v/>
        <stp/>
        <stp>##V3_BQLV12</stp>
        <stp>[MODL_CRM_US1.xlsx]Single Period!R155C39</stp>
        <stp>CRM US Equity</stp>
        <stp>IS_COMP_NET_INCOME_GAAP/1M</stp>
        <stp>FPR=2022Y</stp>
        <stp>FPT=A</stp>
        <stp>FA_ACT_EST_DATA=E, EST_SOURCE=KGI</stp>
        <stp>ACT_EST_MAPPING=PRECISE</stp>
        <stp>FS=MRC</stp>
        <stp>CURRENCY=USD</stp>
        <stp>XLFILL=b</stp>
        <tr r="AM155" s="2"/>
      </tp>
      <tp t="s">
        <v/>
        <stp/>
        <stp>##V3_BQLV12</stp>
        <stp>[MODL_CRM_US1.xlsx]Single Period!R192C42</stp>
        <stp>CRM US Equity</stp>
        <stp>FREE_CASH_FLOW_MARGIN</stp>
        <stp>FPR=2022Y</stp>
        <stp>FPT=A</stp>
        <stp>FA_ACT_EST_DATA=E, EST_SOURCE=PSG</stp>
        <stp>ACT_EST_MAPPING=PRECISE</stp>
        <stp>FS=MRC</stp>
        <stp>CURRENCY=USD</stp>
        <stp>XLFILL=b</stp>
        <tr r="AP192" s="2"/>
      </tp>
      <tp t="s">
        <v/>
        <stp/>
        <stp>##V3_BQLV12</stp>
        <stp>[MODL_CRM_US1.xlsx]Single Period!R86C14</stp>
        <stp>CRM US Equity</stp>
        <stp>IS_GENERAL_AND_ADMIN_GAAP/1M</stp>
        <stp>FPR=2022Y</stp>
        <stp>FPT=A</stp>
        <stp>FA_ACT_EST_DATA=E, EST_SOURCE=SNR</stp>
        <stp>ACT_EST_MAPPING=PRECISE</stp>
        <stp>FS=MRC</stp>
        <stp>CURRENCY=USD</stp>
        <stp>XLFILL=b</stp>
        <tr r="N86" s="2"/>
      </tp>
      <tp t="s">
        <v/>
        <stp/>
        <stp>##V3_BQLV12</stp>
        <stp>[MODL_CRM_US1.xlsx]Single Period!R138C50</stp>
        <stp>CRM US Equity</stp>
        <stp>BS_COMMON_STOCK/1M</stp>
        <stp>FPR=2022Y</stp>
        <stp>FPT=A</stp>
        <stp>FA_ACT_EST_DATA=E, EST_SOURCE=MZS</stp>
        <stp>ACT_EST_MAPPING=PRECISE</stp>
        <stp>FS=MRC</stp>
        <stp>CURRENCY=USD</stp>
        <stp>XLFILL=b</stp>
        <tr r="AX138" s="2"/>
      </tp>
      <tp t="s">
        <v/>
        <stp/>
        <stp>##V3_BQLV12</stp>
        <stp>[MODL_CRM_US1.xlsx]Single Period!R163C52</stp>
        <stp>CRM US Equity</stp>
        <stp>CB_CF_OTHR_NONCSH_ITEMS/1M</stp>
        <stp>FPR=2022Y</stp>
        <stp>FPT=A</stp>
        <stp>FA_ACT_EST_DATA=E, EST_SOURCE=WFR</stp>
        <stp>ACT_EST_MAPPING=PRECISE</stp>
        <stp>FS=MRC</stp>
        <stp>CURRENCY=USD</stp>
        <stp>XLFILL=b</stp>
        <tr r="AZ163" s="2"/>
      </tp>
      <tp t="s">
        <v/>
        <stp/>
        <stp>##V3_BQLV12</stp>
        <stp>[MODL_CRM_US1.xlsx]Single Period!R155C49</stp>
        <stp>CRM US Equity</stp>
        <stp>IS_COMP_NET_INCOME_GAAP/1M</stp>
        <stp>FPR=2022Y</stp>
        <stp>FPT=A</stp>
        <stp>FA_ACT_EST_DATA=E, EST_SOURCE=SGE</stp>
        <stp>ACT_EST_MAPPING=PRECISE</stp>
        <stp>FS=MRC</stp>
        <stp>CURRENCY=USD</stp>
        <stp>XLFILL=b</stp>
        <tr r="AW155" s="2"/>
      </tp>
      <tp t="s">
        <v/>
        <stp/>
        <stp>##V3_BQLV12</stp>
        <stp>[MODL_CRM_US1.xlsx]Single Period!R116C42</stp>
        <stp>CRM US Equity</stp>
        <stp>PREPAID_EXPNSS_AND_OTHR/1M</stp>
        <stp>FPR=2022Y</stp>
        <stp>FPT=A</stp>
        <stp>FA_ACT_EST_DATA=E, EST_SOURCE=PSG</stp>
        <stp>ACT_EST_MAPPING=PRECISE</stp>
        <stp>FS=MRC</stp>
        <stp>CURRENCY=USD</stp>
        <stp>XLFILL=b</stp>
        <tr r="AP116" s="2"/>
      </tp>
      <tp t="s">
        <v/>
        <stp/>
        <stp>##V3_BQLV12</stp>
        <stp>[MODL_CRM_US1.xlsx]Single Period!R163C47</stp>
        <stp>CRM US Equity</stp>
        <stp>CB_CF_OTHR_NONCSH_ITEMS/1M</stp>
        <stp>FPR=2022Y</stp>
        <stp>FPT=A</stp>
        <stp>FA_ACT_EST_DATA=E, EST_SOURCE=WFT</stp>
        <stp>ACT_EST_MAPPING=PRECISE</stp>
        <stp>FS=MRC</stp>
        <stp>CURRENCY=USD</stp>
        <stp>XLFILL=b</stp>
        <tr r="AU163" s="2"/>
      </tp>
      <tp t="s">
        <v/>
        <stp/>
        <stp>##V3_BQLV12</stp>
        <stp>[MODL_CRM_US1.xlsx]Single Period!R170C50</stp>
        <stp>CRM US Equity</stp>
        <stp>CF_CASH_FOR_ACQUIS_SUBSIDIARIES/1M</stp>
        <stp>FPR=2022Y</stp>
        <stp>FPT=A</stp>
        <stp>FA_ACT_EST_DATA=E, EST_SOURCE=MZS</stp>
        <stp>ACT_EST_MAPPING=PRECISE</stp>
        <stp>FS=MRC</stp>
        <stp>CURRENCY=USD</stp>
        <stp>XLFILL=b</stp>
        <tr r="AX170" s="2"/>
      </tp>
      <tp t="s">
        <v/>
        <stp/>
        <stp>##V3_BQLV12</stp>
        <stp>[MODL_CRM_US1.xlsx]Single Period!R150C21</stp>
        <stp>CRM US Equity</stp>
        <stp>CURRENT_FUTURE_REV_UNDER_CONTRACT/1M</stp>
        <stp>FPR=2022Y</stp>
        <stp>FPT=A</stp>
        <stp>FA_ACT_EST_DATA=E, EST_SOURCE=RJA</stp>
        <stp>ACT_EST_MAPPING=PRECISE</stp>
        <stp>FS=MRC</stp>
        <stp>CURRENCY=USD</stp>
        <stp>XLFILL=b</stp>
        <tr r="U150" s="2"/>
      </tp>
      <tp t="s">
        <v/>
        <stp/>
        <stp>##V3_BQLV12</stp>
        <stp>[MODL_CRM_US1.xlsx]Single Period!R171C23</stp>
        <stp>CRM US Equity</stp>
        <stp>CF_PURCHASE_OF_FIXED_PROD_ASSETS/1M</stp>
        <stp>FPR=2022Y</stp>
        <stp>FPT=A</stp>
        <stp>FA_ACT_EST_DATA=E, EST_SOURCE=JPM</stp>
        <stp>ACT_EST_MAPPING=PRECISE</stp>
        <stp>FS=MRC</stp>
        <stp>CURRENCY=USD</stp>
        <stp>XLFILL=b</stp>
        <tr r="W171" s="2"/>
      </tp>
      <tp t="s">
        <v/>
        <stp/>
        <stp>##V3_BQLV12</stp>
        <stp>[MODL_CRM_US1.xlsx]Single Period!R141C48</stp>
        <stp>CRM US Equity</stp>
        <stp>BS_PURE_RETAINED_EARNINGS/1M</stp>
        <stp>FPR=2022Y</stp>
        <stp>FPT=A</stp>
        <stp>FA_ACT_EST_DATA=E, EST_SOURCE=PJE</stp>
        <stp>ACT_EST_MAPPING=PRECISE</stp>
        <stp>FS=MRC</stp>
        <stp>CURRENCY=USD</stp>
        <stp>XLFILL=b</stp>
        <tr r="AV141" s="2"/>
      </tp>
      <tp t="s">
        <v/>
        <stp/>
        <stp>##V3_BQLV12</stp>
        <stp>[MODL_CRM_US1.xlsx]Single Period!R177C51</stp>
        <stp>CRM US Equity</stp>
        <stp>CB_CF_OTHER_FINANCING_ACTIVITIES/1M</stp>
        <stp>FPR=2022Y</stp>
        <stp>FPT=A</stp>
        <stp>FA_ACT_EST_DATA=E, EST_SOURCE=RCP</stp>
        <stp>ACT_EST_MAPPING=PRECISE</stp>
        <stp>FS=MRC</stp>
        <stp>CURRENCY=USD</stp>
        <stp>XLFILL=b</stp>
        <tr r="AY177" s="2"/>
      </tp>
      <tp>
        <v>1943.0060000000001</v>
        <stp/>
        <stp>##V3_BQLV12</stp>
        <stp>[MODL_CRM_US1.xlsx]Single Period!R34C17</stp>
        <stp>SEG0000269227 Segment</stp>
        <stp>IS_COGS_TO_FE_AND_PP_AND_G/1M</stp>
        <stp>FPR=2022Y</stp>
        <stp>FPT=A</stp>
        <stp>FA_ACT_EST_DATA=E, EST_SOURCE=NDH</stp>
        <stp>ACT_EST_MAPPING=PRECISE</stp>
        <stp>FS=MRC</stp>
        <stp>CURRENCY=USD</stp>
        <stp>XLFILL=b</stp>
        <tr r="Q34" s="2"/>
      </tp>
      <tp t="s">
        <v/>
        <stp/>
        <stp>##V3_BQLV12</stp>
        <stp>[MODL_CRM_US1.xlsx]Single Period!R150C33</stp>
        <stp>CRM US Equity</stp>
        <stp>CURRENT_FUTURE_REV_UNDER_CONTRACT/1M</stp>
        <stp>FPR=2022Y</stp>
        <stp>FPT=A</stp>
        <stp>FA_ACT_EST_DATA=E, EST_SOURCE=RHR</stp>
        <stp>ACT_EST_MAPPING=PRECISE</stp>
        <stp>FS=MRC</stp>
        <stp>CURRENCY=USD</stp>
        <stp>XLFILL=b</stp>
        <tr r="AG150" s="2"/>
      </tp>
      <tp t="s">
        <v/>
        <stp/>
        <stp>##V3_BQLV12</stp>
        <stp>[MODL_CRM_US1.xlsx]Single Period!R30C36</stp>
        <stp>SEG0000269238 Segment</stp>
        <stp>IS_COGS_TO_FE_AND_PP_AND_G/1M</stp>
        <stp>FPR=2022Y</stp>
        <stp>FPT=A</stp>
        <stp>FA_ACT_EST_DATA=E, EST_SOURCE=MAC</stp>
        <stp>ACT_EST_MAPPING=PRECISE</stp>
        <stp>FS=MRC</stp>
        <stp>CURRENCY=USD</stp>
        <stp>XLFILL=b</stp>
        <tr r="AJ30" s="2"/>
      </tp>
      <tp>
        <v>-791.72361000000001</v>
        <stp/>
        <stp>##V3_BQLV12</stp>
        <stp>[MODL_CRM_US1.xlsx]Single Period!R171C15</stp>
        <stp>CRM US Equity</stp>
        <stp>CF_PURCHASE_OF_FIXED_PROD_ASSETS/1M</stp>
        <stp>FPR=2022Y</stp>
        <stp>FPT=A</stp>
        <stp>FA_ACT_EST_DATA=E, EST_SOURCE=MSV</stp>
        <stp>ACT_EST_MAPPING=PRECISE</stp>
        <stp>FS=MRC</stp>
        <stp>CURRENCY=USD</stp>
        <stp>XLFILL=b</stp>
        <tr r="O171" s="2"/>
      </tp>
      <tp t="s">
        <v/>
        <stp/>
        <stp>##V3_BQLV12</stp>
        <stp>[MODL_CRM_US1.xlsx]Single Period!R30C18</stp>
        <stp>SEG0000269238 Segment</stp>
        <stp>IS_COGS_TO_FE_AND_PP_AND_G/1M</stp>
        <stp>FPR=2022Y</stp>
        <stp>FPT=A</stp>
        <stp>FA_ACT_EST_DATA=E, EST_SOURCE=CAN</stp>
        <stp>ACT_EST_MAPPING=PRECISE</stp>
        <stp>FS=MRC</stp>
        <stp>CURRENCY=USD</stp>
        <stp>XLFILL=b</stp>
        <tr r="R30" s="2"/>
      </tp>
      <tp t="s">
        <v/>
        <stp/>
        <stp>##V3_BQLV12</stp>
        <stp>[MODL_CRM_US1.xlsx]Single Period!R30C30</stp>
        <stp>SEG0000269238 Segment</stp>
        <stp>IS_COGS_TO_FE_AND_PP_AND_G/1M</stp>
        <stp>FPR=2022Y</stp>
        <stp>FPT=A</stp>
        <stp>FA_ACT_EST_DATA=E, EST_SOURCE=BAM</stp>
        <stp>ACT_EST_MAPPING=PRECISE</stp>
        <stp>FS=MRC</stp>
        <stp>CURRENCY=USD</stp>
        <stp>XLFILL=b</stp>
        <tr r="AD30" s="2"/>
      </tp>
      <tp t="s">
        <v/>
        <stp/>
        <stp>##V3_BQLV12</stp>
        <stp>[MODL_CRM_US1.xlsx]Single Period!R111C33</stp>
        <stp>CRM US Equity</stp>
        <stp>BS_CASH_CASH_EQUIVALENTS_AND_STI/1M</stp>
        <stp>FPR=2022Y</stp>
        <stp>FPT=A</stp>
        <stp>FA_ACT_EST_DATA=E, EST_SOURCE=RHR</stp>
        <stp>ACT_EST_MAPPING=PRECISE</stp>
        <stp>FS=MRC</stp>
        <stp>CURRENCY=USD</stp>
        <stp>XLFILL=b</stp>
        <tr r="AG111" s="2"/>
      </tp>
      <tp t="s">
        <v/>
        <stp/>
        <stp>##V3_BQLV12</stp>
        <stp>[MODL_CRM_US1.xlsx]Single Period!R171C22</stp>
        <stp>CRM US Equity</stp>
        <stp>CF_PURCHASE_OF_FIXED_PROD_ASSETS/1M</stp>
        <stp>FPR=2022Y</stp>
        <stp>FPT=A</stp>
        <stp>FA_ACT_EST_DATA=E, EST_SOURCE=OPY</stp>
        <stp>ACT_EST_MAPPING=PRECISE</stp>
        <stp>FS=MRC</stp>
        <stp>CURRENCY=USD</stp>
        <stp>XLFILL=b</stp>
        <tr r="V171" s="2"/>
      </tp>
      <tp t="s">
        <v/>
        <stp/>
        <stp>##V3_BQLV12</stp>
        <stp>[MODL_CRM_US1.xlsx]Single Period!R191C38</stp>
        <stp>CRM US Equity</stp>
        <stp>CF_FREE_CASH_FLOW/1M</stp>
        <stp>FPR=2022Y</stp>
        <stp>FPT=A</stp>
        <stp>FA_ACT_EST_DATA=E, EST_SOURCE=MSR</stp>
        <stp>ACT_EST_MAPPING=PRECISE</stp>
        <stp>FS=MRC</stp>
        <stp>CURRENCY=USD</stp>
        <stp>XLFILL=b</stp>
        <tr r="AL191" s="2"/>
      </tp>
      <tp t="s">
        <v/>
        <stp/>
        <stp>##V3_BQLV12</stp>
        <stp>[MODL_CRM_US1.xlsx]Single Period!R141C51</stp>
        <stp>CRM US Equity</stp>
        <stp>BS_PURE_RETAINED_EARNINGS/1M</stp>
        <stp>FPR=2022Y</stp>
        <stp>FPT=A</stp>
        <stp>FA_ACT_EST_DATA=E, EST_SOURCE=RCP</stp>
        <stp>ACT_EST_MAPPING=PRECISE</stp>
        <stp>FS=MRC</stp>
        <stp>CURRENCY=USD</stp>
        <stp>XLFILL=b</stp>
        <tr r="AY141" s="2"/>
      </tp>
      <tp t="s">
        <v/>
        <stp/>
        <stp>##V3_BQLV12</stp>
        <stp>[MODL_CRM_US1.xlsx]Single Period!R177C34</stp>
        <stp>CRM US Equity</stp>
        <stp>CB_CF_OTHER_FINANCING_ACTIVITIES/1M</stp>
        <stp>FPR=2022Y</stp>
        <stp>FPT=A</stp>
        <stp>FA_ACT_EST_DATA=E, EST_SOURCE=JEF</stp>
        <stp>ACT_EST_MAPPING=PRECISE</stp>
        <stp>FS=MRC</stp>
        <stp>CURRENCY=USD</stp>
        <stp>XLFILL=b</stp>
        <tr r="AH177" s="2"/>
      </tp>
      <tp t="s">
        <v/>
        <stp/>
        <stp>##V3_BQLV12</stp>
        <stp>[MODL_CRM_US1.xlsx]Single Period!R184C54</stp>
        <stp>CRM US Equity</stp>
        <stp>CFO_TO_SALES</stp>
        <stp>FPR=2022Y</stp>
        <stp>FPT=A</stp>
        <stp>FA_ACT_EST_DATA=E, EST_SOURCE=ARE</stp>
        <stp>ACT_EST_MAPPING=PRECISE</stp>
        <stp>FS=MRC</stp>
        <stp>CURRENCY=USD</stp>
        <stp>XLFILL=b</stp>
        <tr r="BB184" s="2"/>
      </tp>
      <tp>
        <v>100.9029003837034</v>
        <stp/>
        <stp>##V3_BQLV12</stp>
        <stp>[MODL_CRM_US1.xlsx]Single Period!R65C8</stp>
        <stp>CRM US Equity</stp>
        <stp>CONTRIBUTOR_STATS(IS_AMORT_OF_TOT_INTANG_PRETX, STD)/1M</stp>
        <stp>FPR=2022Y</stp>
        <stp>FPT=A</stp>
        <stp>FA_ACT_EST_DATA=E</stp>
        <stp>ACT_EST_MAPPING=PRECISE</stp>
        <stp>FS=MRC</stp>
        <stp>CURRENCY=USD</stp>
        <stp>XLFILL=b</stp>
        <tr r="H65" s="2"/>
      </tp>
      <tp t="s">
        <v/>
        <stp/>
        <stp>##V3_BQLV12</stp>
        <stp>[MODL_CRM_US1.xlsx]Single Period!R106C10</stp>
        <stp>CRM US Equity</stp>
        <stp>IS_AMORT_ACQD_INTANG_S_AND_M/1M</stp>
        <stp>FPR=2022Y</stp>
        <stp>FPT=A</stp>
        <stp>FA_ACT_EST_DATA=E, EST_SOURCE=CMPY</stp>
        <stp>ACT_EST_MAPPING=PRECISE</stp>
        <stp>FS=MRC</stp>
        <stp>CURRENCY=USD</stp>
        <stp>XLFILL=b</stp>
        <tr r="J106" s="2"/>
      </tp>
      <tp>
        <v>37.33270323376216</v>
        <stp/>
        <stp>##V3_BQLV12</stp>
        <stp>[MODL_CRM_US1.xlsx]Single Period!R184C15</stp>
        <stp>CRM US Equity</stp>
        <stp>CFO_TO_SALES</stp>
        <stp>FPR=2022Y</stp>
        <stp>FPT=A</stp>
        <stp>FA_ACT_EST_DATA=E, EST_SOURCE=MSV</stp>
        <stp>ACT_EST_MAPPING=PRECISE</stp>
        <stp>FS=MRC</stp>
        <stp>CURRENCY=USD</stp>
        <stp>XLFILL=b</stp>
        <tr r="O184" s="2"/>
      </tp>
      <tp t="s">
        <v/>
        <stp/>
        <stp>##V3_BQLV12</stp>
        <stp>[MODL_CRM_US1.xlsx]Single Period!R142C10</stp>
        <stp>CRM US Equity</stp>
        <stp>BS_TOT_ASSET/1M</stp>
        <stp>FPR=2022Y</stp>
        <stp>FPT=A</stp>
        <stp>FA_ACT_EST_DATA=E, EST_SOURCE=CMPY</stp>
        <stp>ACT_EST_MAPPING=PRECISE</stp>
        <stp>FS=MRC</stp>
        <stp>CURRENCY=USD</stp>
        <stp>XLFILL=b</stp>
        <tr r="J142" s="2"/>
      </tp>
      <tp t="s">
        <v/>
        <stp/>
        <stp>##V3_BQLV12</stp>
        <stp>[MODL_CRM_US1.xlsx]Single Period!R104C10</stp>
        <stp>CRM US Equity</stp>
        <stp>IS_AMORT_OF_TOT_INTANG_PRETX/1M</stp>
        <stp>FPR=2022Y</stp>
        <stp>FPT=A</stp>
        <stp>FA_ACT_EST_DATA=E, EST_SOURCE=CMPY</stp>
        <stp>ACT_EST_MAPPING=PRECISE</stp>
        <stp>FS=MRC</stp>
        <stp>CURRENCY=USD</stp>
        <stp>XLFILL=b</stp>
        <tr r="J104" s="2"/>
      </tp>
      <tp t="s">
        <v/>
        <stp/>
        <stp>##V3_BQLV12</stp>
        <stp>[MODL_CRM_US1.xlsx]Single Period!R92C45</stp>
        <stp>CRM US Equity</stp>
        <stp>PROF_MARGIN</stp>
        <stp>FPR=2022Y</stp>
        <stp>FPT=A</stp>
        <stp>FA_ACT_EST_DATA=E, EST_SOURCE=ARG</stp>
        <stp>ACT_EST_MAPPING=PRECISE</stp>
        <stp>FS=MRC</stp>
        <stp>CURRENCY=USD</stp>
        <stp>XLFILL=b</stp>
        <tr r="AS92" s="2"/>
      </tp>
      <tp>
        <v>1242</v>
        <stp/>
        <stp>##V3_BQLV12</stp>
        <stp>[MODL_CRM_US1.xlsx]Single Period!R65C6</stp>
        <stp>CRM US Equity</stp>
        <stp>CONTRIBUTOR_STATS(IS_AMORT_OF_TOT_INTANG_PRETX, MIN)/1M</stp>
        <stp>FPR=2022Y</stp>
        <stp>FPT=A</stp>
        <stp>FA_ACT_EST_DATA=E</stp>
        <stp>ACT_EST_MAPPING=PRECISE</stp>
        <stp>FS=MRC</stp>
        <stp>CURRENCY=USD</stp>
        <stp>XLFILL=b</stp>
        <tr r="F65" s="2"/>
      </tp>
      <tp>
        <v>1665</v>
        <stp/>
        <stp>##V3_BQLV12</stp>
        <stp>[MODL_CRM_US1.xlsx]Single Period!R65C7</stp>
        <stp>CRM US Equity</stp>
        <stp>CONTRIBUTOR_STATS(IS_AMORT_OF_TOT_INTANG_PRETX, MAX)/1M</stp>
        <stp>FPR=2022Y</stp>
        <stp>FPT=A</stp>
        <stp>FA_ACT_EST_DATA=E</stp>
        <stp>ACT_EST_MAPPING=PRECISE</stp>
        <stp>FS=MRC</stp>
        <stp>CURRENCY=USD</stp>
        <stp>XLFILL=b</stp>
        <tr r="G65" s="2"/>
      </tp>
      <tp t="s">
        <v/>
        <stp/>
        <stp>##V3_BQLV12</stp>
        <stp>[MODL_CRM_US1.xlsx]Single Period!R20C46</stp>
        <stp>CRM US Equity</stp>
        <stp>ADJ_OPERATING_MARGIN</stp>
        <stp>FPR=2022Y</stp>
        <stp>FPT=A</stp>
        <stp>FA_ACT_EST_DATA=E, EST_SOURCE=CTI</stp>
        <stp>ACT_EST_MAPPING=PRECISE</stp>
        <stp>FS=MRC</stp>
        <stp>CURRENCY=USD</stp>
        <stp>XLFILL=b</stp>
        <tr r="AT20" s="2"/>
      </tp>
      <tp t="s">
        <v/>
        <stp/>
        <stp>##V3_BQLV12</stp>
        <stp>[MODL_CRM_US1.xlsx]Single Period!R129C22</stp>
        <stp>CRM US Equity</stp>
        <stp>CB_BS_ACCT_PYBL_ACC_EXPNSS/1M</stp>
        <stp>FPR=2022Y</stp>
        <stp>FPT=A</stp>
        <stp>FA_ACT_EST_DATA=E, EST_SOURCE=OPY</stp>
        <stp>ACT_EST_MAPPING=PRECISE</stp>
        <stp>FS=MRC</stp>
        <stp>CURRENCY=USD</stp>
        <stp>XLFILL=b</stp>
        <tr r="V129" s="2"/>
      </tp>
      <tp t="s">
        <v/>
        <stp/>
        <stp>##V3_BQLV12</stp>
        <stp>[MODL_CRM_US1.xlsx]Single Period!R80C52</stp>
        <stp>CRM US Equity</stp>
        <stp>GROSS_MARGIN</stp>
        <stp>FPR=2022Y</stp>
        <stp>FPT=A</stp>
        <stp>FA_ACT_EST_DATA=E, EST_SOURCE=WFR</stp>
        <stp>ACT_EST_MAPPING=PRECISE</stp>
        <stp>FS=MRC</stp>
        <stp>CURRENCY=USD</stp>
        <stp>XLFILL=b</stp>
        <tr r="AZ80" s="2"/>
      </tp>
      <tp t="s">
        <v/>
        <stp/>
        <stp>##V3_BQLV12</stp>
        <stp>[MODL_CRM_US1.xlsx]Single Period!R139C38</stp>
        <stp>CRM US Equity</stp>
        <stp>BS_ADD_PAID_IN_CAP/1M</stp>
        <stp>FPR=2022Y</stp>
        <stp>FPT=A</stp>
        <stp>FA_ACT_EST_DATA=E, EST_SOURCE=MSR</stp>
        <stp>ACT_EST_MAPPING=PRECISE</stp>
        <stp>FS=MRC</stp>
        <stp>CURRENCY=USD</stp>
        <stp>XLFILL=b</stp>
        <tr r="AL139" s="2"/>
      </tp>
      <tp t="s">
        <v/>
        <stp/>
        <stp>##V3_BQLV12</stp>
        <stp>[MODL_CRM_US1.xlsx]Single Period!R139C41</stp>
        <stp>CRM US Equity</stp>
        <stp>BS_ADD_PAID_IN_CAP/1M</stp>
        <stp>FPR=2022Y</stp>
        <stp>FPT=A</stp>
        <stp>FA_ACT_EST_DATA=E, EST_SOURCE=GSR</stp>
        <stp>ACT_EST_MAPPING=PRECISE</stp>
        <stp>FS=MRC</stp>
        <stp>CURRENCY=USD</stp>
        <stp>XLFILL=b</stp>
        <tr r="AO139" s="2"/>
      </tp>
      <tp t="s">
        <v/>
        <stp/>
        <stp>##V3_BQLV12</stp>
        <stp>[MODL_CRM_US1.xlsx]Single Period!R61C54</stp>
        <stp>CRM US Equity</stp>
        <stp>ADJ_OPERATING_MARGIN</stp>
        <stp>FPR=2022Y</stp>
        <stp>FPT=A</stp>
        <stp>FA_ACT_EST_DATA=E, EST_SOURCE=ARE</stp>
        <stp>ACT_EST_MAPPING=PRECISE</stp>
        <stp>FS=MRC</stp>
        <stp>CURRENCY=USD</stp>
        <stp>XLFILL=b</stp>
        <tr r="BB61" s="2"/>
      </tp>
      <tp>
        <v>35601.57</v>
        <stp/>
        <stp>##V3_BQLV12</stp>
        <stp>[MODL_CRM_US1.xlsx]Single Period!R139C15</stp>
        <stp>CRM US Equity</stp>
        <stp>BS_ADD_PAID_IN_CAP/1M</stp>
        <stp>FPR=2022Y</stp>
        <stp>FPT=A</stp>
        <stp>FA_ACT_EST_DATA=E, EST_SOURCE=MSV</stp>
        <stp>ACT_EST_MAPPING=PRECISE</stp>
        <stp>FS=MRC</stp>
        <stp>CURRENCY=USD</stp>
        <stp>XLFILL=b</stp>
        <tr r="O139" s="2"/>
      </tp>
      <tp t="s">
        <v/>
        <stp/>
        <stp>##V3_BQLV12</stp>
        <stp>[MODL_CRM_US1.xlsx]Single Period!R20C22</stp>
        <stp>CRM US Equity</stp>
        <stp>ADJ_OPERATING_MARGIN</stp>
        <stp>FPR=2022Y</stp>
        <stp>FPT=A</stp>
        <stp>FA_ACT_EST_DATA=E, EST_SOURCE=OPY</stp>
        <stp>ACT_EST_MAPPING=PRECISE</stp>
        <stp>FS=MRC</stp>
        <stp>CURRENCY=USD</stp>
        <stp>XLFILL=b</stp>
        <tr r="V20" s="2"/>
      </tp>
      <tp t="s">
        <v/>
        <stp/>
        <stp>##V3_BQLV12</stp>
        <stp>[MODL_CRM_US1.xlsx]Single Period!R129C23</stp>
        <stp>CRM US Equity</stp>
        <stp>CB_BS_ACCT_PYBL_ACC_EXPNSS/1M</stp>
        <stp>FPR=2022Y</stp>
        <stp>FPT=A</stp>
        <stp>FA_ACT_EST_DATA=E, EST_SOURCE=JPM</stp>
        <stp>ACT_EST_MAPPING=PRECISE</stp>
        <stp>FS=MRC</stp>
        <stp>CURRENCY=USD</stp>
        <stp>XLFILL=b</stp>
        <tr r="W129" s="2"/>
      </tp>
      <tp t="s">
        <v/>
        <stp/>
        <stp>##V3_BQLV12</stp>
        <stp>[MODL_CRM_US1.xlsx]Single Period!R80C27</stp>
        <stp>CRM US Equity</stp>
        <stp>GROSS_MARGIN</stp>
        <stp>FPR=2022Y</stp>
        <stp>FPT=A</stp>
        <stp>FA_ACT_EST_DATA=E, EST_SOURCE=LCM</stp>
        <stp>ACT_EST_MAPPING=PRECISE</stp>
        <stp>FS=MRC</stp>
        <stp>CURRENCY=USD</stp>
        <stp>XLFILL=b</stp>
        <tr r="AA80" s="2"/>
      </tp>
      <tp t="s">
        <v/>
        <stp/>
        <stp>##V3_BQLV12</stp>
        <stp>[MODL_CRM_US1.xlsx]Single Period!R145C33</stp>
        <stp>CRM US Equity</stp>
        <stp>CB_BS_LT_BORROWING/1M</stp>
        <stp>FPR=2022Y</stp>
        <stp>FPT=A</stp>
        <stp>FA_ACT_EST_DATA=E, EST_SOURCE=RHR</stp>
        <stp>ACT_EST_MAPPING=PRECISE</stp>
        <stp>FS=MRC</stp>
        <stp>CURRENCY=USD</stp>
        <stp>XLFILL=b</stp>
        <tr r="AG145" s="2"/>
      </tp>
      <tp t="s">
        <v/>
        <stp/>
        <stp>##V3_BQLV12</stp>
        <stp>[MODL_CRM_US1.xlsx]Single Period!R20C41</stp>
        <stp>CRM US Equity</stp>
        <stp>ADJ_OPERATING_MARGIN</stp>
        <stp>FPR=2022Y</stp>
        <stp>FPT=A</stp>
        <stp>FA_ACT_EST_DATA=E, EST_SOURCE=GSR</stp>
        <stp>ACT_EST_MAPPING=PRECISE</stp>
        <stp>FS=MRC</stp>
        <stp>CURRENCY=USD</stp>
        <stp>XLFILL=b</stp>
        <tr r="AO20" s="2"/>
      </tp>
      <tp t="s">
        <v/>
        <stp/>
        <stp>##V3_BQLV12</stp>
        <stp>[MODL_CRM_US1.xlsx]Single Period!R139C42</stp>
        <stp>CRM US Equity</stp>
        <stp>BS_ADD_PAID_IN_CAP/1M</stp>
        <stp>FPR=2022Y</stp>
        <stp>FPT=A</stp>
        <stp>FA_ACT_EST_DATA=E, EST_SOURCE=PSG</stp>
        <stp>ACT_EST_MAPPING=PRECISE</stp>
        <stp>FS=MRC</stp>
        <stp>CURRENCY=USD</stp>
        <stp>XLFILL=b</stp>
        <tr r="AP139" s="2"/>
      </tp>
      <tp t="s">
        <v/>
        <stp/>
        <stp>##V3_BQLV12</stp>
        <stp>[MODL_CRM_US1.xlsx]Single Period!R80C16</stp>
        <stp>CRM US Equity</stp>
        <stp>GROSS_MARGIN</stp>
        <stp>FPR=2022Y</stp>
        <stp>FPT=A</stp>
        <stp>FA_ACT_EST_DATA=E, EST_SOURCE=DBG</stp>
        <stp>ACT_EST_MAPPING=PRECISE</stp>
        <stp>FS=MRC</stp>
        <stp>CURRENCY=USD</stp>
        <stp>XLFILL=b</stp>
        <tr r="P80" s="2"/>
      </tp>
      <tp>
        <v>18.555220369630401</v>
        <stp/>
        <stp>##V3_BQLV12</stp>
        <stp>[MODL_CRM_US1.xlsx]Single Period!R61C15</stp>
        <stp>CRM US Equity</stp>
        <stp>ADJ_OPERATING_MARGIN</stp>
        <stp>FPR=2022Y</stp>
        <stp>FPT=A</stp>
        <stp>FA_ACT_EST_DATA=E, EST_SOURCE=MSV</stp>
        <stp>ACT_EST_MAPPING=PRECISE</stp>
        <stp>FS=MRC</stp>
        <stp>CURRENCY=USD</stp>
        <stp>XLFILL=b</stp>
        <tr r="O61" s="2"/>
      </tp>
      <tp t="s">
        <v/>
        <stp/>
        <stp>##V3_BQLV12</stp>
        <stp>[MODL_CRM_US1.xlsx]Single Period!R163C39</stp>
        <stp>CRM US Equity</stp>
        <stp>CB_CF_OTHR_NONCSH_ITEMS/1M</stp>
        <stp>FPR=2022Y</stp>
        <stp>FPT=A</stp>
        <stp>FA_ACT_EST_DATA=E, EST_SOURCE=KGI</stp>
        <stp>ACT_EST_MAPPING=PRECISE</stp>
        <stp>FS=MRC</stp>
        <stp>CURRENCY=USD</stp>
        <stp>XLFILL=b</stp>
        <tr r="AM163" s="2"/>
      </tp>
      <tp t="s">
        <v/>
        <stp/>
        <stp>##V3_BQLV12</stp>
        <stp>[MODL_CRM_US1.xlsx]Single Period!R86C21</stp>
        <stp>CRM US Equity</stp>
        <stp>IS_GENERAL_AND_ADMIN_GAAP/1M</stp>
        <stp>FPR=2022Y</stp>
        <stp>FPT=A</stp>
        <stp>FA_ACT_EST_DATA=E, EST_SOURCE=RJA</stp>
        <stp>ACT_EST_MAPPING=PRECISE</stp>
        <stp>FS=MRC</stp>
        <stp>CURRENCY=USD</stp>
        <stp>XLFILL=b</stp>
        <tr r="U86" s="2"/>
      </tp>
      <tp t="s">
        <v/>
        <stp/>
        <stp>##V3_BQLV12</stp>
        <stp>[MODL_CRM_US1.xlsx]Single Period!R147C23</stp>
        <stp>CRM US Equity</stp>
        <stp>BV_PER_WEIGHTED_DILUTED_SHARE</stp>
        <stp>FPR=2022Y</stp>
        <stp>FPT=A</stp>
        <stp>FA_ACT_EST_DATA=E, EST_SOURCE=JPM</stp>
        <stp>ACT_EST_MAPPING=PRECISE</stp>
        <stp>FS=MRC</stp>
        <stp>CURRENCY=USD</stp>
        <stp>XLFILL=b</stp>
        <tr r="W147" s="2"/>
      </tp>
      <tp t="s">
        <v/>
        <stp/>
        <stp>##V3_BQLV12</stp>
        <stp>[MODL_CRM_US1.xlsx]Single Period!R155C47</stp>
        <stp>CRM US Equity</stp>
        <stp>IS_COMP_NET_INCOME_GAAP/1M</stp>
        <stp>FPR=2022Y</stp>
        <stp>FPT=A</stp>
        <stp>FA_ACT_EST_DATA=E, EST_SOURCE=WFT</stp>
        <stp>ACT_EST_MAPPING=PRECISE</stp>
        <stp>FS=MRC</stp>
        <stp>CURRENCY=USD</stp>
        <stp>XLFILL=b</stp>
        <tr r="AU155" s="2"/>
      </tp>
      <tp t="s">
        <v/>
        <stp/>
        <stp>##V3_BQLV12</stp>
        <stp>[MODL_CRM_US1.xlsx]Single Period!R155C52</stp>
        <stp>CRM US Equity</stp>
        <stp>IS_COMP_NET_INCOME_GAAP/1M</stp>
        <stp>FPR=2022Y</stp>
        <stp>FPT=A</stp>
        <stp>FA_ACT_EST_DATA=E, EST_SOURCE=WFR</stp>
        <stp>ACT_EST_MAPPING=PRECISE</stp>
        <stp>FS=MRC</stp>
        <stp>CURRENCY=USD</stp>
        <stp>XLFILL=b</stp>
        <tr r="AZ155" s="2"/>
      </tp>
      <tp t="s">
        <v/>
        <stp/>
        <stp>##V3_BQLV12</stp>
        <stp>[MODL_CRM_US1.xlsx]Single Period!R163C49</stp>
        <stp>CRM US Equity</stp>
        <stp>CB_CF_OTHR_NONCSH_ITEMS/1M</stp>
        <stp>FPR=2022Y</stp>
        <stp>FPT=A</stp>
        <stp>FA_ACT_EST_DATA=E, EST_SOURCE=SGE</stp>
        <stp>ACT_EST_MAPPING=PRECISE</stp>
        <stp>FS=MRC</stp>
        <stp>CURRENCY=USD</stp>
        <stp>XLFILL=b</stp>
        <tr r="AW163" s="2"/>
      </tp>
      <tp t="s">
        <v/>
        <stp/>
        <stp>##V3_BQLV12</stp>
        <stp>[MODL_CRM_US1.xlsx]Single Period!R133C22</stp>
        <stp>CRM US Equity</stp>
        <stp>BS_LONG_TERM_BORROWINGS/1M</stp>
        <stp>FPR=2022Y</stp>
        <stp>FPT=A</stp>
        <stp>FA_ACT_EST_DATA=E, EST_SOURCE=OPY</stp>
        <stp>ACT_EST_MAPPING=PRECISE</stp>
        <stp>FS=MRC</stp>
        <stp>CURRENCY=USD</stp>
        <stp>XLFILL=b</stp>
        <tr r="V133" s="2"/>
      </tp>
      <tp t="s">
        <v/>
        <stp/>
        <stp>##V3_BQLV12</stp>
        <stp>[MODL_CRM_US1.xlsx]Single Period!R192C54</stp>
        <stp>CRM US Equity</stp>
        <stp>FREE_CASH_FLOW_MARGIN</stp>
        <stp>FPR=2022Y</stp>
        <stp>FPT=A</stp>
        <stp>FA_ACT_EST_DATA=E, EST_SOURCE=ARE</stp>
        <stp>ACT_EST_MAPPING=PRECISE</stp>
        <stp>FS=MRC</stp>
        <stp>CURRENCY=USD</stp>
        <stp>XLFILL=b</stp>
        <tr r="BB192" s="2"/>
      </tp>
      <tp t="s">
        <v/>
        <stp/>
        <stp>##V3_BQLV12</stp>
        <stp>[MODL_CRM_US1.xlsx]Single Period!R192C45</stp>
        <stp>CRM US Equity</stp>
        <stp>FREE_CASH_FLOW_MARGIN</stp>
        <stp>FPR=2022Y</stp>
        <stp>FPT=A</stp>
        <stp>FA_ACT_EST_DATA=E, EST_SOURCE=ARG</stp>
        <stp>ACT_EST_MAPPING=PRECISE</stp>
        <stp>FS=MRC</stp>
        <stp>CURRENCY=USD</stp>
        <stp>XLFILL=b</stp>
        <tr r="AS192" s="2"/>
      </tp>
      <tp t="s">
        <v/>
        <stp/>
        <stp>##V3_BQLV12</stp>
        <stp>[MODL_CRM_US1.xlsx]Single Period!R86C33</stp>
        <stp>CRM US Equity</stp>
        <stp>IS_GENERAL_AND_ADMIN_GAAP/1M</stp>
        <stp>FPR=2022Y</stp>
        <stp>FPT=A</stp>
        <stp>FA_ACT_EST_DATA=E, EST_SOURCE=RHR</stp>
        <stp>ACT_EST_MAPPING=PRECISE</stp>
        <stp>FS=MRC</stp>
        <stp>CURRENCY=USD</stp>
        <stp>XLFILL=b</stp>
        <tr r="AG86" s="2"/>
      </tp>
      <tp t="s">
        <v/>
        <stp/>
        <stp>##V3_BQLV12</stp>
        <stp>[MODL_CRM_US1.xlsx]Single Period!R178C50</stp>
        <stp>CRM US Equity</stp>
        <stp>CB_CF_REPAYMENT_LT_DEBT/1M</stp>
        <stp>FPR=2022Y</stp>
        <stp>FPT=A</stp>
        <stp>FA_ACT_EST_DATA=E, EST_SOURCE=MZS</stp>
        <stp>ACT_EST_MAPPING=PRECISE</stp>
        <stp>FS=MRC</stp>
        <stp>CURRENCY=USD</stp>
        <stp>XLFILL=b</stp>
        <tr r="AX178" s="2"/>
      </tp>
      <tp t="s">
        <v/>
        <stp/>
        <stp>##V3_BQLV12</stp>
        <stp>[MODL_CRM_US1.xlsx]Single Period!R133C23</stp>
        <stp>CRM US Equity</stp>
        <stp>BS_LONG_TERM_BORROWINGS/1M</stp>
        <stp>FPR=2022Y</stp>
        <stp>FPT=A</stp>
        <stp>FA_ACT_EST_DATA=E, EST_SOURCE=JPM</stp>
        <stp>ACT_EST_MAPPING=PRECISE</stp>
        <stp>FS=MRC</stp>
        <stp>CURRENCY=USD</stp>
        <stp>XLFILL=b</stp>
        <tr r="W133" s="2"/>
      </tp>
      <tp t="s">
        <v/>
        <stp/>
        <stp>##V3_BQLV12</stp>
        <stp>[MODL_CRM_US1.xlsx]Single Period!R147C22</stp>
        <stp>CRM US Equity</stp>
        <stp>BV_PER_WEIGHTED_DILUTED_SHARE</stp>
        <stp>FPR=2022Y</stp>
        <stp>FPT=A</stp>
        <stp>FA_ACT_EST_DATA=E, EST_SOURCE=OPY</stp>
        <stp>ACT_EST_MAPPING=PRECISE</stp>
        <stp>FS=MRC</stp>
        <stp>CURRENCY=USD</stp>
        <stp>XLFILL=b</stp>
        <tr r="V147" s="2"/>
      </tp>
      <tp t="s">
        <v/>
        <stp/>
        <stp>##V3_BQLV12</stp>
        <stp>[MODL_CRM_US1.xlsx]Single Period!R116C45</stp>
        <stp>CRM US Equity</stp>
        <stp>PREPAID_EXPNSS_AND_OTHR/1M</stp>
        <stp>FPR=2022Y</stp>
        <stp>FPT=A</stp>
        <stp>FA_ACT_EST_DATA=E, EST_SOURCE=ARG</stp>
        <stp>ACT_EST_MAPPING=PRECISE</stp>
        <stp>FS=MRC</stp>
        <stp>CURRENCY=USD</stp>
        <stp>XLFILL=b</stp>
        <tr r="AS116" s="2"/>
      </tp>
      <tp t="s">
        <v/>
        <stp/>
        <stp>##V3_BQLV12</stp>
        <stp>[MODL_CRM_US1.xlsx]Single Period!R116C54</stp>
        <stp>CRM US Equity</stp>
        <stp>PREPAID_EXPNSS_AND_OTHR/1M</stp>
        <stp>FPR=2022Y</stp>
        <stp>FPT=A</stp>
        <stp>FA_ACT_EST_DATA=E, EST_SOURCE=ARE</stp>
        <stp>ACT_EST_MAPPING=PRECISE</stp>
        <stp>FS=MRC</stp>
        <stp>CURRENCY=USD</stp>
        <stp>XLFILL=b</stp>
        <tr r="BB116" s="2"/>
      </tp>
      <tp t="s">
        <v/>
        <stp/>
        <stp>##V3_BQLV12</stp>
        <stp>[MODL_CRM_US1.xlsx]Single Period!R171C44</stp>
        <stp>CRM US Equity</stp>
        <stp>CF_PURCHASE_OF_FIXED_PROD_ASSETS/1M</stp>
        <stp>FPR=2022Y</stp>
        <stp>FPT=A</stp>
        <stp>FA_ACT_EST_DATA=E, EST_SOURCE=RWB</stp>
        <stp>ACT_EST_MAPPING=PRECISE</stp>
        <stp>FS=MRC</stp>
        <stp>CURRENCY=USD</stp>
        <stp>XLFILL=b</stp>
        <tr r="AR171" s="2"/>
      </tp>
      <tp t="s">
        <v/>
        <stp/>
        <stp>##V3_BQLV12</stp>
        <stp>[MODL_CRM_US1.xlsx]Single Period!R150C19</stp>
        <stp>CRM US Equity</stp>
        <stp>CURRENT_FUTURE_REV_UNDER_CONTRACT/1M</stp>
        <stp>FPR=2022Y</stp>
        <stp>FPT=A</stp>
        <stp>FA_ACT_EST_DATA=E, EST_SOURCE=SCB</stp>
        <stp>ACT_EST_MAPPING=PRECISE</stp>
        <stp>FS=MRC</stp>
        <stp>CURRENCY=USD</stp>
        <stp>XLFILL=b</stp>
        <tr r="S150" s="2"/>
      </tp>
      <tp>
        <v>1788.7946999999999</v>
        <stp/>
        <stp>##V3_BQLV12</stp>
        <stp>[MODL_CRM_US1.xlsx]Single Period!R34C26</stp>
        <stp>SEG0000269227 Segment</stp>
        <stp>IS_COGS_TO_FE_AND_PP_AND_G/1M</stp>
        <stp>FPR=2022Y</stp>
        <stp>FPT=A</stp>
        <stp>FA_ACT_EST_DATA=E, EST_SOURCE=KEY</stp>
        <stp>ACT_EST_MAPPING=PRECISE</stp>
        <stp>FS=MRC</stp>
        <stp>CURRENCY=USD</stp>
        <stp>XLFILL=b</stp>
        <tr r="Z34" s="2"/>
      </tp>
      <tp t="s">
        <v/>
        <stp/>
        <stp>##V3_BQLV12</stp>
        <stp>[MODL_CRM_US1.xlsx]Single Period!R141C11</stp>
        <stp>CRM US Equity</stp>
        <stp>BS_PURE_RETAINED_EARNINGS/1M</stp>
        <stp>FPR=2022Y</stp>
        <stp>FPT=A</stp>
        <stp>FA_ACT_EST_DATA=E, EST_SOURCE=WBL</stp>
        <stp>ACT_EST_MAPPING=PRECISE</stp>
        <stp>FS=MRC</stp>
        <stp>CURRENCY=USD</stp>
        <stp>XLFILL=b</stp>
        <tr r="K141" s="2"/>
      </tp>
      <tp>
        <v>-73</v>
        <stp/>
        <stp>##V3_BQLV12</stp>
        <stp>[MODL_CRM_US1.xlsx]Single Period!R177C26</stp>
        <stp>CRM US Equity</stp>
        <stp>CB_CF_OTHER_FINANCING_ACTIVITIES/1M</stp>
        <stp>FPR=2022Y</stp>
        <stp>FPT=A</stp>
        <stp>FA_ACT_EST_DATA=E, EST_SOURCE=KEY</stp>
        <stp>ACT_EST_MAPPING=PRECISE</stp>
        <stp>FS=MRC</stp>
        <stp>CURRENCY=USD</stp>
        <stp>XLFILL=b</stp>
        <tr r="Z177" s="2"/>
      </tp>
      <tp t="s">
        <v/>
        <stp/>
        <stp>##V3_BQLV12</stp>
        <stp>[MODL_CRM_US1.xlsx]Single Period!R141C17</stp>
        <stp>CRM US Equity</stp>
        <stp>BS_PURE_RETAINED_EARNINGS/1M</stp>
        <stp>FPR=2022Y</stp>
        <stp>FPT=A</stp>
        <stp>FA_ACT_EST_DATA=E, EST_SOURCE=NDH</stp>
        <stp>ACT_EST_MAPPING=PRECISE</stp>
        <stp>FS=MRC</stp>
        <stp>CURRENCY=USD</stp>
        <stp>XLFILL=b</stp>
        <tr r="Q141" s="2"/>
      </tp>
      <tp t="s">
        <v/>
        <stp/>
        <stp>##V3_BQLV12</stp>
        <stp>[MODL_CRM_US1.xlsx]Single Period!R150C53</stp>
        <stp>CRM US Equity</stp>
        <stp>CURRENT_FUTURE_REV_UNDER_CONTRACT/1M</stp>
        <stp>FPR=2022Y</stp>
        <stp>FPT=A</stp>
        <stp>FA_ACT_EST_DATA=E, EST_SOURCE=NIK</stp>
        <stp>ACT_EST_MAPPING=PRECISE</stp>
        <stp>FS=MRC</stp>
        <stp>CURRENCY=USD</stp>
        <stp>XLFILL=b</stp>
        <tr r="BA150" s="2"/>
      </tp>
      <tp t="s">
        <v/>
        <stp/>
        <stp>##V3_BQLV12</stp>
        <stp>[MODL_CRM_US1.xlsx]Single Period!R171C43</stp>
        <stp>CRM US Equity</stp>
        <stp>CF_PURCHASE_OF_FIXED_PROD_ASSETS/1M</stp>
        <stp>FPR=2022Y</stp>
        <stp>FPT=A</stp>
        <stp>FA_ACT_EST_DATA=E, EST_SOURCE=DWI</stp>
        <stp>ACT_EST_MAPPING=PRECISE</stp>
        <stp>FS=MRC</stp>
        <stp>CURRENCY=USD</stp>
        <stp>XLFILL=b</stp>
        <tr r="AQ171" s="2"/>
      </tp>
      <tp t="s">
        <v/>
        <stp/>
        <stp>##V3_BQLV12</stp>
        <stp>[MODL_CRM_US1.xlsx]Single Period!R141C40</stp>
        <stp>CRM US Equity</stp>
        <stp>BS_PURE_RETAINED_EARNINGS/1M</stp>
        <stp>FPR=2022Y</stp>
        <stp>FPT=A</stp>
        <stp>FA_ACT_EST_DATA=E, EST_SOURCE=ACC</stp>
        <stp>ACT_EST_MAPPING=PRECISE</stp>
        <stp>FS=MRC</stp>
        <stp>CURRENCY=USD</stp>
        <stp>XLFILL=b</stp>
        <tr r="AN141" s="2"/>
      </tp>
      <tp t="s">
        <v/>
        <stp/>
        <stp>##V3_BQLV12</stp>
        <stp>[MODL_CRM_US1.xlsx]Single Period!R141C31</stp>
        <stp>CRM US Equity</stp>
        <stp>BS_PURE_RETAINED_EARNINGS/1M</stp>
        <stp>FPR=2022Y</stp>
        <stp>FPT=A</stp>
        <stp>FA_ACT_EST_DATA=E, EST_SOURCE=RBC</stp>
        <stp>ACT_EST_MAPPING=PRECISE</stp>
        <stp>FS=MRC</stp>
        <stp>CURRENCY=USD</stp>
        <stp>XLFILL=b</stp>
        <tr r="AE141" s="2"/>
      </tp>
      <tp t="s">
        <v/>
        <stp/>
        <stp>##V3_BQLV12</stp>
        <stp>[MODL_CRM_US1.xlsx]Single Period!R150C14</stp>
        <stp>CRM US Equity</stp>
        <stp>CURRENT_FUTURE_REV_UNDER_CONTRACT/1M</stp>
        <stp>FPR=2022Y</stp>
        <stp>FPT=A</stp>
        <stp>FA_ACT_EST_DATA=E, EST_SOURCE=SNR</stp>
        <stp>ACT_EST_MAPPING=PRECISE</stp>
        <stp>FS=MRC</stp>
        <stp>CURRENCY=USD</stp>
        <stp>XLFILL=b</stp>
        <tr r="N150" s="2"/>
      </tp>
      <tp t="s">
        <v/>
        <stp/>
        <stp>##V3_BQLV12</stp>
        <stp>[MODL_CRM_US1.xlsx]Single Period!R141C26</stp>
        <stp>CRM US Equity</stp>
        <stp>BS_PURE_RETAINED_EARNINGS/1M</stp>
        <stp>FPR=2022Y</stp>
        <stp>FPT=A</stp>
        <stp>FA_ACT_EST_DATA=E, EST_SOURCE=KEY</stp>
        <stp>ACT_EST_MAPPING=PRECISE</stp>
        <stp>FS=MRC</stp>
        <stp>CURRENCY=USD</stp>
        <stp>XLFILL=b</stp>
        <tr r="Z141" s="2"/>
      </tp>
      <tp t="s">
        <v/>
        <stp/>
        <stp>##V3_BQLV12</stp>
        <stp>[MODL_CRM_US1.xlsx]Single Period!R34C55</stp>
        <stp>SEG0000269227 Segment</stp>
        <stp>IS_COGS_TO_FE_AND_PP_AND_G/1M</stp>
        <stp>FPR=2022Y</stp>
        <stp>FPT=A</stp>
        <stp>FA_ACT_EST_DATA=E, EST_SOURCE=RED</stp>
        <stp>ACT_EST_MAPPING=PRECISE</stp>
        <stp>FS=MRC</stp>
        <stp>CURRENCY=USD</stp>
        <stp>XLFILL=b</stp>
        <tr r="BC34" s="2"/>
      </tp>
      <tp t="s">
        <v/>
        <stp/>
        <stp>##V3_BQLV12</stp>
        <stp>[MODL_CRM_US1.xlsx]Single Period!R191C50</stp>
        <stp>CRM US Equity</stp>
        <stp>CF_FREE_CASH_FLOW/1M</stp>
        <stp>FPR=2022Y</stp>
        <stp>FPT=A</stp>
        <stp>FA_ACT_EST_DATA=E, EST_SOURCE=MZS</stp>
        <stp>ACT_EST_MAPPING=PRECISE</stp>
        <stp>FS=MRC</stp>
        <stp>CURRENCY=USD</stp>
        <stp>XLFILL=b</stp>
        <tr r="AX191" s="2"/>
      </tp>
      <tp t="s">
        <v/>
        <stp/>
        <stp>##V3_BQLV12</stp>
        <stp>[MODL_CRM_US1.xlsx]Single Period!R34C34</stp>
        <stp>SEG0000269227 Segment</stp>
        <stp>IS_COGS_TO_FE_AND_PP_AND_G/1M</stp>
        <stp>FPR=2022Y</stp>
        <stp>FPT=A</stp>
        <stp>FA_ACT_EST_DATA=E, EST_SOURCE=JEF</stp>
        <stp>ACT_EST_MAPPING=PRECISE</stp>
        <stp>FS=MRC</stp>
        <stp>CURRENCY=USD</stp>
        <stp>XLFILL=b</stp>
        <tr r="AH34" s="2"/>
      </tp>
      <tp t="s">
        <v/>
        <stp/>
        <stp>##V3_BQLV12</stp>
        <stp>[MODL_CRM_US1.xlsx]Single Period!R177C40</stp>
        <stp>CRM US Equity</stp>
        <stp>CB_CF_OTHER_FINANCING_ACTIVITIES/1M</stp>
        <stp>FPR=2022Y</stp>
        <stp>FPT=A</stp>
        <stp>FA_ACT_EST_DATA=E, EST_SOURCE=ACC</stp>
        <stp>ACT_EST_MAPPING=PRECISE</stp>
        <stp>FS=MRC</stp>
        <stp>CURRENCY=USD</stp>
        <stp>XLFILL=b</stp>
        <tr r="AN177" s="2"/>
      </tp>
      <tp t="s">
        <v/>
        <stp/>
        <stp>##V3_BQLV12</stp>
        <stp>[MODL_CRM_US1.xlsx]Single Period!R184C45</stp>
        <stp>CRM US Equity</stp>
        <stp>CFO_TO_SALES</stp>
        <stp>FPR=2022Y</stp>
        <stp>FPT=A</stp>
        <stp>FA_ACT_EST_DATA=E, EST_SOURCE=ARG</stp>
        <stp>ACT_EST_MAPPING=PRECISE</stp>
        <stp>FS=MRC</stp>
        <stp>CURRENCY=USD</stp>
        <stp>XLFILL=b</stp>
        <tr r="AS184" s="2"/>
      </tp>
      <tp t="s">
        <v/>
        <stp/>
        <stp>##V3_BQLV12</stp>
        <stp>[MODL_CRM_US1.xlsx]Single Period!R92C41</stp>
        <stp>CRM US Equity</stp>
        <stp>PROF_MARGIN</stp>
        <stp>FPR=2022Y</stp>
        <stp>FPT=A</stp>
        <stp>FA_ACT_EST_DATA=E, EST_SOURCE=GSR</stp>
        <stp>ACT_EST_MAPPING=PRECISE</stp>
        <stp>FS=MRC</stp>
        <stp>CURRENCY=USD</stp>
        <stp>XLFILL=b</stp>
        <tr r="AO92" s="2"/>
      </tp>
      <tp>
        <v>4.67</v>
        <stp/>
        <stp>##V3_BQLV12</stp>
        <stp>[MODL_CRM_US1.xlsx]Single Period!R74C46</stp>
        <stp>CRM US Equity</stp>
        <stp>IS_COMP_EPS_EXCL_STOCK_COMP</stp>
        <stp>FPR=2022Y</stp>
        <stp>FPT=A</stp>
        <stp>FA_ACT_EST_DATA=E, EST_SOURCE=CTI</stp>
        <stp>ACT_EST_MAPPING=PRECISE</stp>
        <stp>FS=MRC</stp>
        <stp>CURRENCY=USD</stp>
        <stp>XLFILL=b</stp>
        <tr r="AT74" s="2"/>
      </tp>
      <tp t="s">
        <v/>
        <stp/>
        <stp>##V3_BQLV12</stp>
        <stp>[MODL_CRM_US1.xlsx]Single Period!R103C10</stp>
        <stp>CRM US Equity</stp>
        <stp>IS_SBC_ATT_TO_GENL_AND_ADMIN_PRETX/1M</stp>
        <stp>FPR=2022Y</stp>
        <stp>FPT=A</stp>
        <stp>FA_ACT_EST_DATA=E, EST_SOURCE=CMPY</stp>
        <stp>ACT_EST_MAPPING=PRECISE</stp>
        <stp>FS=MRC</stp>
        <stp>CURRENCY=USD</stp>
        <stp>XLFILL=b</stp>
        <tr r="J103" s="2"/>
      </tp>
      <tp t="s">
        <v/>
        <stp/>
        <stp>##V3_BQLV12</stp>
        <stp>[MODL_CRM_US1.xlsx]Single Period!R92C42</stp>
        <stp>CRM US Equity</stp>
        <stp>PROF_MARGIN</stp>
        <stp>FPR=2022Y</stp>
        <stp>FPT=A</stp>
        <stp>FA_ACT_EST_DATA=E, EST_SOURCE=PSG</stp>
        <stp>ACT_EST_MAPPING=PRECISE</stp>
        <stp>FS=MRC</stp>
        <stp>CURRENCY=USD</stp>
        <stp>XLFILL=b</stp>
        <tr r="AP92" s="2"/>
      </tp>
      <tp t="s">
        <v/>
        <stp/>
        <stp>##V3_BQLV12</stp>
        <stp>[MODL_CRM_US1.xlsx]Single Period!R92C54</stp>
        <stp>CRM US Equity</stp>
        <stp>PROF_MARGIN</stp>
        <stp>FPR=2022Y</stp>
        <stp>FPT=A</stp>
        <stp>FA_ACT_EST_DATA=E, EST_SOURCE=ARE</stp>
        <stp>ACT_EST_MAPPING=PRECISE</stp>
        <stp>FS=MRC</stp>
        <stp>CURRENCY=USD</stp>
        <stp>XLFILL=b</stp>
        <tr r="BB92" s="2"/>
      </tp>
      <tp>
        <v>59.342808200922157</v>
        <stp/>
        <stp>##V3_BQLV12</stp>
        <stp>[MODL_CRM_US1.xlsx]Single Period!R147C9</stp>
        <stp>CRM US Equity</stp>
        <stp>CONTRIBUTOR_STATS(BV_PER_WEIGHTED_DILUTED_SHARE, MEDIAN)</stp>
        <stp>FPR=2022Y</stp>
        <stp>FPT=A</stp>
        <stp>FA_ACT_EST_DATA=E</stp>
        <stp>ACT_EST_MAPPING=PRECISE</stp>
        <stp>FS=MRC</stp>
        <stp>CURRENCY=USD</stp>
        <stp>XLFILL=b</stp>
        <tr r="I147" s="2"/>
      </tp>
      <tp>
        <v>4.68</v>
        <stp/>
        <stp>##V3_BQLV12</stp>
        <stp>[MODL_CRM_US1.xlsx]Single Period!R74C38</stp>
        <stp>CRM US Equity</stp>
        <stp>IS_COMP_EPS_EXCL_STOCK_COMP</stp>
        <stp>FPR=2022Y</stp>
        <stp>FPT=A</stp>
        <stp>FA_ACT_EST_DATA=E, EST_SOURCE=MSR</stp>
        <stp>ACT_EST_MAPPING=PRECISE</stp>
        <stp>FS=MRC</stp>
        <stp>CURRENCY=USD</stp>
        <stp>XLFILL=b</stp>
        <tr r="AL74" s="2"/>
      </tp>
      <tp t="s">
        <v/>
        <stp/>
        <stp>##V3_BQLV12</stp>
        <stp>[MODL_CRM_US1.xlsx]Single Period!R92C35</stp>
        <stp>CRM US Equity</stp>
        <stp>PROF_MARGIN</stp>
        <stp>FPR=2022Y</stp>
        <stp>FPT=A</stp>
        <stp>FA_ACT_EST_DATA=E, EST_SOURCE=ATL</stp>
        <stp>ACT_EST_MAPPING=PRECISE</stp>
        <stp>FS=MRC</stp>
        <stp>CURRENCY=USD</stp>
        <stp>XLFILL=b</stp>
        <tr r="AI92" s="2"/>
      </tp>
      <tp t="s">
        <v/>
        <stp/>
        <stp>##V3_BQLV12</stp>
        <stp>[MODL_CRM_US1.xlsx]Single Period!R145C53</stp>
        <stp>CRM US Equity</stp>
        <stp>CB_BS_LT_BORROWING/1M</stp>
        <stp>FPR=2022Y</stp>
        <stp>FPT=A</stp>
        <stp>FA_ACT_EST_DATA=E, EST_SOURCE=NIK</stp>
        <stp>ACT_EST_MAPPING=PRECISE</stp>
        <stp>FS=MRC</stp>
        <stp>CURRENCY=USD</stp>
        <stp>XLFILL=b</stp>
        <tr r="BA145" s="2"/>
      </tp>
      <tp>
        <v>18.577617496333719</v>
        <stp/>
        <stp>##V3_BQLV12</stp>
        <stp>[MODL_CRM_US1.xlsx]Single Period!R20C23</stp>
        <stp>CRM US Equity</stp>
        <stp>ADJ_OPERATING_MARGIN</stp>
        <stp>FPR=2022Y</stp>
        <stp>FPT=A</stp>
        <stp>FA_ACT_EST_DATA=E, EST_SOURCE=JPM</stp>
        <stp>ACT_EST_MAPPING=PRECISE</stp>
        <stp>FS=MRC</stp>
        <stp>CURRENCY=USD</stp>
        <stp>XLFILL=b</stp>
        <tr r="W20" s="2"/>
      </tp>
      <tp t="s">
        <v/>
        <stp/>
        <stp>##V3_BQLV12</stp>
        <stp>[MODL_CRM_US1.xlsx]Single Period!R20C44</stp>
        <stp>CRM US Equity</stp>
        <stp>ADJ_OPERATING_MARGIN</stp>
        <stp>FPR=2022Y</stp>
        <stp>FPT=A</stp>
        <stp>FA_ACT_EST_DATA=E, EST_SOURCE=RWB</stp>
        <stp>ACT_EST_MAPPING=PRECISE</stp>
        <stp>FS=MRC</stp>
        <stp>CURRENCY=USD</stp>
        <stp>XLFILL=b</stp>
        <tr r="AR20" s="2"/>
      </tp>
      <tp>
        <v>31.022243018594931</v>
        <stp/>
        <stp>##V3_BQLV12</stp>
        <stp>[MODL_CRM_US1.xlsx]Single Period!R13C8</stp>
        <stp>CRM US Equity</stp>
        <stp>CONTRIBUTOR_STATS(CURRENT_FUTURE_REV_UNDER_CONTRACT, STD)/1M</stp>
        <stp>FPR=2022Y</stp>
        <stp>FPT=A</stp>
        <stp>FA_ACT_EST_DATA=E</stp>
        <stp>ACT_EST_MAPPING=PRECISE</stp>
        <stp>FS=MRC</stp>
        <stp>CURRENCY=USD</stp>
        <stp>XLFILL=b</stp>
        <tr r="H13" s="2"/>
      </tp>
      <tp t="s">
        <v/>
        <stp/>
        <stp>##V3_BQLV12</stp>
        <stp>[MODL_CRM_US1.xlsx]Single Period!R61C45</stp>
        <stp>CRM US Equity</stp>
        <stp>ADJ_OPERATING_MARGIN</stp>
        <stp>FPR=2022Y</stp>
        <stp>FPT=A</stp>
        <stp>FA_ACT_EST_DATA=E, EST_SOURCE=ARG</stp>
        <stp>ACT_EST_MAPPING=PRECISE</stp>
        <stp>FS=MRC</stp>
        <stp>CURRENCY=USD</stp>
        <stp>XLFILL=b</stp>
        <tr r="AS61" s="2"/>
      </tp>
      <tp t="s">
        <v/>
        <stp/>
        <stp>##V3_BQLV12</stp>
        <stp>[MODL_CRM_US1.xlsx]Single Period!R103C29</stp>
        <stp>CRM US Equity</stp>
        <stp>IS_SBC_ATT_TO_GENL_AND_ADMIN_PRETX/1M</stp>
        <stp>FPR=2022Y</stp>
        <stp>FPT=A</stp>
        <stp>FA_ACT_EST_DATA=E, EST_SOURCE=BNS</stp>
        <stp>ACT_EST_MAPPING=PRECISE</stp>
        <stp>FS=MRC</stp>
        <stp>CURRENCY=USD</stp>
        <stp>XLFILL=b</stp>
        <tr r="AC103" s="2"/>
      </tp>
      <tp t="s">
        <v/>
        <stp/>
        <stp>##V3_BQLV12</stp>
        <stp>[MODL_CRM_US1.xlsx]Single Period!R103C14</stp>
        <stp>CRM US Equity</stp>
        <stp>IS_SBC_ATT_TO_GENL_AND_ADMIN_PRETX/1M</stp>
        <stp>FPR=2022Y</stp>
        <stp>FPT=A</stp>
        <stp>FA_ACT_EST_DATA=E, EST_SOURCE=SNR</stp>
        <stp>ACT_EST_MAPPING=PRECISE</stp>
        <stp>FS=MRC</stp>
        <stp>CURRENCY=USD</stp>
        <stp>XLFILL=b</stp>
        <tr r="N103" s="2"/>
      </tp>
      <tp t="s">
        <v/>
        <stp/>
        <stp>##V3_BQLV12</stp>
        <stp>[MODL_CRM_US1.xlsx]Single Period!R145C56</stp>
        <stp>CRM US Equity</stp>
        <stp>CB_BS_LT_BORROWING/1M</stp>
        <stp>FPR=2022Y</stp>
        <stp>FPT=A</stp>
        <stp>FA_ACT_EST_DATA=E, EST_SOURCE=DIR</stp>
        <stp>ACT_EST_MAPPING=PRECISE</stp>
        <stp>FS=MRC</stp>
        <stp>CURRENCY=USD</stp>
        <stp>XLFILL=b</stp>
        <tr r="BD145" s="2"/>
      </tp>
      <tp t="s">
        <v/>
        <stp/>
        <stp>##V3_BQLV12</stp>
        <stp>[MODL_CRM_US1.xlsx]Single Period!R139C45</stp>
        <stp>CRM US Equity</stp>
        <stp>BS_ADD_PAID_IN_CAP/1M</stp>
        <stp>FPR=2022Y</stp>
        <stp>FPT=A</stp>
        <stp>FA_ACT_EST_DATA=E, EST_SOURCE=ARG</stp>
        <stp>ACT_EST_MAPPING=PRECISE</stp>
        <stp>FS=MRC</stp>
        <stp>CURRENCY=USD</stp>
        <stp>XLFILL=b</stp>
        <tr r="AS139" s="2"/>
      </tp>
      <tp>
        <v>721.84903058923885</v>
        <stp/>
        <stp>##V3_BQLV12</stp>
        <stp>[MODL_CRM_US1.xlsx]Single Period!R106C5</stp>
        <stp>CRM US Equity</stp>
        <stp>IS_AMORT_ACQD_INTANG_S_AND_M/1M</stp>
        <stp>FPR=2022Y</stp>
        <stp>FPT=A</stp>
        <stp>FA_ACT_EST_DATA=E</stp>
        <stp>ACT_EST_MAPPING=PRECISE</stp>
        <stp>FS=MRC</stp>
        <stp>CURRENCY=USD</stp>
        <stp>XLFILL=b</stp>
        <tr r="E106" s="2"/>
      </tp>
      <tp t="s">
        <v/>
        <stp/>
        <stp>##V3_BQLV12</stp>
        <stp>[MODL_CRM_US1.xlsx]Single Period!R139C54</stp>
        <stp>CRM US Equity</stp>
        <stp>BS_ADD_PAID_IN_CAP/1M</stp>
        <stp>FPR=2022Y</stp>
        <stp>FPT=A</stp>
        <stp>FA_ACT_EST_DATA=E, EST_SOURCE=ARE</stp>
        <stp>ACT_EST_MAPPING=PRECISE</stp>
        <stp>FS=MRC</stp>
        <stp>CURRENCY=USD</stp>
        <stp>XLFILL=b</stp>
        <tr r="BB139" s="2"/>
      </tp>
      <tp>
        <v>821</v>
        <stp/>
        <stp>##V3_BQLV12</stp>
        <stp>[MODL_CRM_US1.xlsx]Single Period!R155C26</stp>
        <stp>CRM US Equity</stp>
        <stp>IS_COMP_NET_INCOME_GAAP/1M</stp>
        <stp>FPR=2022Y</stp>
        <stp>FPT=A</stp>
        <stp>FA_ACT_EST_DATA=E, EST_SOURCE=KEY</stp>
        <stp>ACT_EST_MAPPING=PRECISE</stp>
        <stp>FS=MRC</stp>
        <stp>CURRENCY=USD</stp>
        <stp>XLFILL=b</stp>
        <tr r="Z155" s="2"/>
      </tp>
      <tp t="s">
        <v/>
        <stp/>
        <stp>##V3_BQLV12</stp>
        <stp>[MODL_CRM_US1.xlsx]Single Period!R147C42</stp>
        <stp>CRM US Equity</stp>
        <stp>BV_PER_WEIGHTED_DILUTED_SHARE</stp>
        <stp>FPR=2022Y</stp>
        <stp>FPT=A</stp>
        <stp>FA_ACT_EST_DATA=E, EST_SOURCE=PSG</stp>
        <stp>ACT_EST_MAPPING=PRECISE</stp>
        <stp>FS=MRC</stp>
        <stp>CURRENCY=USD</stp>
        <stp>XLFILL=b</stp>
        <tr r="AP147" s="2"/>
      </tp>
      <tp t="s">
        <v/>
        <stp/>
        <stp>##V3_BQLV12</stp>
        <stp>[MODL_CRM_US1.xlsx]Single Period!R133C41</stp>
        <stp>CRM US Equity</stp>
        <stp>BS_LONG_TERM_BORROWINGS/1M</stp>
        <stp>FPR=2022Y</stp>
        <stp>FPT=A</stp>
        <stp>FA_ACT_EST_DATA=E, EST_SOURCE=GSR</stp>
        <stp>ACT_EST_MAPPING=PRECISE</stp>
        <stp>FS=MRC</stp>
        <stp>CURRENCY=USD</stp>
        <stp>XLFILL=b</stp>
        <tr r="AO133" s="2"/>
      </tp>
      <tp>
        <v>20673</v>
        <stp/>
        <stp>##V3_BQLV12</stp>
        <stp>[MODL_CRM_US1.xlsx]Single Period!R133C15</stp>
        <stp>CRM US Equity</stp>
        <stp>BS_LONG_TERM_BORROWINGS/1M</stp>
        <stp>FPR=2022Y</stp>
        <stp>FPT=A</stp>
        <stp>FA_ACT_EST_DATA=E, EST_SOURCE=MSV</stp>
        <stp>ACT_EST_MAPPING=PRECISE</stp>
        <stp>FS=MRC</stp>
        <stp>CURRENCY=USD</stp>
        <stp>XLFILL=b</stp>
        <tr r="O133" s="2"/>
      </tp>
      <tp t="s">
        <v/>
        <stp/>
        <stp>##V3_BQLV12</stp>
        <stp>[MODL_CRM_US1.xlsx]Single Period!R133C38</stp>
        <stp>CRM US Equity</stp>
        <stp>BS_LONG_TERM_BORROWINGS/1M</stp>
        <stp>FPR=2022Y</stp>
        <stp>FPT=A</stp>
        <stp>FA_ACT_EST_DATA=E, EST_SOURCE=MSR</stp>
        <stp>ACT_EST_MAPPING=PRECISE</stp>
        <stp>FS=MRC</stp>
        <stp>CURRENCY=USD</stp>
        <stp>XLFILL=b</stp>
        <tr r="AL133" s="2"/>
      </tp>
      <tp>
        <v>-1746.89</v>
        <stp/>
        <stp>##V3_BQLV12</stp>
        <stp>[MODL_CRM_US1.xlsx]Single Period!R163C17</stp>
        <stp>CRM US Equity</stp>
        <stp>CB_CF_OTHR_NONCSH_ITEMS/1M</stp>
        <stp>FPR=2022Y</stp>
        <stp>FPT=A</stp>
        <stp>FA_ACT_EST_DATA=E, EST_SOURCE=NDH</stp>
        <stp>ACT_EST_MAPPING=PRECISE</stp>
        <stp>FS=MRC</stp>
        <stp>CURRENCY=USD</stp>
        <stp>XLFILL=b</stp>
        <tr r="Q163" s="2"/>
      </tp>
      <tp t="s">
        <v/>
        <stp/>
        <stp>##V3_BQLV12</stp>
        <stp>[MODL_CRM_US1.xlsx]Single Period!R13C56</stp>
        <stp>CRM US Equity</stp>
        <stp>CURRENT_FUTURE_REV_UNDER_CONTRACT/1M</stp>
        <stp>FPR=2022Y</stp>
        <stp>FPT=A</stp>
        <stp>FA_ACT_EST_DATA=E, EST_SOURCE=DIR</stp>
        <stp>ACT_EST_MAPPING=PRECISE</stp>
        <stp>FS=MRC</stp>
        <stp>CURRENCY=USD</stp>
        <stp>XLFILL=b</stp>
        <tr r="BD13" s="2"/>
      </tp>
      <tp t="s">
        <v/>
        <stp/>
        <stp>##V3_BQLV12</stp>
        <stp>[MODL_CRM_US1.xlsx]Single Period!R159C33</stp>
        <stp>CRM US Equity</stp>
        <stp>SBC_NON_GAAP_TO_SALES</stp>
        <stp>FPR=2022Y</stp>
        <stp>FPT=A</stp>
        <stp>FA_ACT_EST_DATA=E, EST_SOURCE=RHR</stp>
        <stp>ACT_EST_MAPPING=PRECISE</stp>
        <stp>FS=MRC</stp>
        <stp>CURRENCY=USD</stp>
        <stp>XLFILL=b</stp>
        <tr r="AG159" s="2"/>
      </tp>
      <tp t="s">
        <v/>
        <stp/>
        <stp>##V3_BQLV12</stp>
        <stp>[MODL_CRM_US1.xlsx]Single Period!R147C15</stp>
        <stp>CRM US Equity</stp>
        <stp>BV_PER_WEIGHTED_DILUTED_SHARE</stp>
        <stp>FPR=2022Y</stp>
        <stp>FPT=A</stp>
        <stp>FA_ACT_EST_DATA=E, EST_SOURCE=MSV</stp>
        <stp>ACT_EST_MAPPING=PRECISE</stp>
        <stp>FS=MRC</stp>
        <stp>CURRENCY=USD</stp>
        <stp>XLFILL=b</stp>
        <tr r="O147" s="2"/>
      </tp>
      <tp>
        <v>559</v>
        <stp/>
        <stp>##V3_BQLV12</stp>
        <stp>[MODL_CRM_US1.xlsx]Single Period!R86C25</stp>
        <stp>CRM US Equity</stp>
        <stp>IS_GENERAL_AND_ADMIN_GAAP/1M</stp>
        <stp>FPR=2022Y</stp>
        <stp>FPT=A</stp>
        <stp>FA_ACT_EST_DATA=E, EST_SOURCE=WMS</stp>
        <stp>ACT_EST_MAPPING=PRECISE</stp>
        <stp>FS=MRC</stp>
        <stp>CURRENCY=USD</stp>
        <stp>XLFILL=b</stp>
        <tr r="Y86" s="2"/>
      </tp>
      <tp t="s">
        <v/>
        <stp/>
        <stp>##V3_BQLV12</stp>
        <stp>[MODL_CRM_US1.xlsx]Single Period!R147C41</stp>
        <stp>CRM US Equity</stp>
        <stp>BV_PER_WEIGHTED_DILUTED_SHARE</stp>
        <stp>FPR=2022Y</stp>
        <stp>FPT=A</stp>
        <stp>FA_ACT_EST_DATA=E, EST_SOURCE=GSR</stp>
        <stp>ACT_EST_MAPPING=PRECISE</stp>
        <stp>FS=MRC</stp>
        <stp>CURRENCY=USD</stp>
        <stp>XLFILL=b</stp>
        <tr r="AO147" s="2"/>
      </tp>
      <tp t="s">
        <v/>
        <stp/>
        <stp>##V3_BQLV12</stp>
        <stp>[MODL_CRM_US1.xlsx]Single Period!R147C38</stp>
        <stp>CRM US Equity</stp>
        <stp>BV_PER_WEIGHTED_DILUTED_SHARE</stp>
        <stp>FPR=2022Y</stp>
        <stp>FPT=A</stp>
        <stp>FA_ACT_EST_DATA=E, EST_SOURCE=MSR</stp>
        <stp>ACT_EST_MAPPING=PRECISE</stp>
        <stp>FS=MRC</stp>
        <stp>CURRENCY=USD</stp>
        <stp>XLFILL=b</stp>
        <tr r="AL147" s="2"/>
      </tp>
      <tp t="s">
        <v/>
        <stp/>
        <stp>##V3_BQLV12</stp>
        <stp>[MODL_CRM_US1.xlsx]Single Period!R133C42</stp>
        <stp>CRM US Equity</stp>
        <stp>BS_LONG_TERM_BORROWINGS/1M</stp>
        <stp>FPR=2022Y</stp>
        <stp>FPT=A</stp>
        <stp>FA_ACT_EST_DATA=E, EST_SOURCE=PSG</stp>
        <stp>ACT_EST_MAPPING=PRECISE</stp>
        <stp>FS=MRC</stp>
        <stp>CURRENCY=USD</stp>
        <stp>XLFILL=b</stp>
        <tr r="AP133" s="2"/>
      </tp>
      <tp t="s">
        <v/>
        <stp/>
        <stp>##V3_BQLV12</stp>
        <stp>[MODL_CRM_US1.xlsx]Single Period!R155C55</stp>
        <stp>CRM US Equity</stp>
        <stp>IS_COMP_NET_INCOME_GAAP/1M</stp>
        <stp>FPR=2022Y</stp>
        <stp>FPT=A</stp>
        <stp>FA_ACT_EST_DATA=E, EST_SOURCE=RED</stp>
        <stp>ACT_EST_MAPPING=PRECISE</stp>
        <stp>FS=MRC</stp>
        <stp>CURRENCY=USD</stp>
        <stp>XLFILL=b</stp>
        <tr r="BC155" s="2"/>
      </tp>
      <tp t="s">
        <v/>
        <stp/>
        <stp>##V3_BQLV12</stp>
        <stp>[MODL_CRM_US1.xlsx]Single Period!R13C12</stp>
        <stp>CRM US Equity</stp>
        <stp>CURRENT_FUTURE_REV_UNDER_CONTRACT/1M</stp>
        <stp>FPR=2022Y</stp>
        <stp>FPT=A</stp>
        <stp>FA_ACT_EST_DATA=E, EST_SOURCE=BMO</stp>
        <stp>ACT_EST_MAPPING=PRECISE</stp>
        <stp>FS=MRC</stp>
        <stp>CURRENCY=USD</stp>
        <stp>XLFILL=b</stp>
        <tr r="L13" s="2"/>
      </tp>
      <tp>
        <v>366</v>
        <stp/>
        <stp>##V3_BQLV12</stp>
        <stp>[MODL_CRM_US1.xlsx]Single Period!R155C34</stp>
        <stp>CRM US Equity</stp>
        <stp>IS_COMP_NET_INCOME_GAAP/1M</stp>
        <stp>FPR=2022Y</stp>
        <stp>FPT=A</stp>
        <stp>FA_ACT_EST_DATA=E, EST_SOURCE=JEF</stp>
        <stp>ACT_EST_MAPPING=PRECISE</stp>
        <stp>FS=MRC</stp>
        <stp>CURRENCY=USD</stp>
        <stp>XLFILL=b</stp>
        <tr r="AH155" s="2"/>
      </tp>
      <tp t="s">
        <v/>
        <stp/>
        <stp>##V3_BQLV12</stp>
        <stp>[MODL_CRM_US1.xlsx]Single Period!R164C50</stp>
        <stp>CRM US Equity</stp>
        <stp>CHG_IN_ACCT_PYBL_AND_ACC_EXPNSS/1M</stp>
        <stp>FPR=2022Y</stp>
        <stp>FPT=A</stp>
        <stp>FA_ACT_EST_DATA=E, EST_SOURCE=MZS</stp>
        <stp>ACT_EST_MAPPING=PRECISE</stp>
        <stp>FS=MRC</stp>
        <stp>CURRENCY=USD</stp>
        <stp>XLFILL=b</stp>
        <tr r="AX164" s="2"/>
      </tp>
      <tp t="s">
        <v/>
        <stp/>
        <stp>##V3_BQLV12</stp>
        <stp>[MODL_CRM_US1.xlsx]Single Period!R30C51</stp>
        <stp>SEG0000269238 Segment</stp>
        <stp>IS_COGS_TO_FE_AND_PP_AND_G/1M</stp>
        <stp>FPR=2022Y</stp>
        <stp>FPT=A</stp>
        <stp>FA_ACT_EST_DATA=E, EST_SOURCE=RCP</stp>
        <stp>ACT_EST_MAPPING=PRECISE</stp>
        <stp>FS=MRC</stp>
        <stp>CURRENCY=USD</stp>
        <stp>XLFILL=b</stp>
        <tr r="AY30" s="2"/>
      </tp>
      <tp t="s">
        <v/>
        <stp/>
        <stp>##V3_BQLV12</stp>
        <stp>[MODL_CRM_US1.xlsx]Single Period!R171C46</stp>
        <stp>CRM US Equity</stp>
        <stp>CF_PURCHASE_OF_FIXED_PROD_ASSETS/1M</stp>
        <stp>FPR=2022Y</stp>
        <stp>FPT=A</stp>
        <stp>FA_ACT_EST_DATA=E, EST_SOURCE=CTI</stp>
        <stp>ACT_EST_MAPPING=PRECISE</stp>
        <stp>FS=MRC</stp>
        <stp>CURRENCY=USD</stp>
        <stp>XLFILL=b</stp>
        <tr r="AT171" s="2"/>
      </tp>
      <tp t="s">
        <v/>
        <stp/>
        <stp>##V3_BQLV12</stp>
        <stp>[MODL_CRM_US1.xlsx]Single Period!R141C55</stp>
        <stp>CRM US Equity</stp>
        <stp>BS_PURE_RETAINED_EARNINGS/1M</stp>
        <stp>FPR=2022Y</stp>
        <stp>FPT=A</stp>
        <stp>FA_ACT_EST_DATA=E, EST_SOURCE=RED</stp>
        <stp>ACT_EST_MAPPING=PRECISE</stp>
        <stp>FS=MRC</stp>
        <stp>CURRENCY=USD</stp>
        <stp>XLFILL=b</stp>
        <tr r="BC141" s="2"/>
      </tp>
      <tp t="s">
        <v/>
        <stp/>
        <stp>##V3_BQLV12</stp>
        <stp>[MODL_CRM_US1.xlsx]Single Period!R34C52</stp>
        <stp>SEG0000269227 Segment</stp>
        <stp>IS_COGS_TO_FE_AND_PP_AND_G/1M</stp>
        <stp>FPR=2022Y</stp>
        <stp>FPT=A</stp>
        <stp>FA_ACT_EST_DATA=E, EST_SOURCE=WFR</stp>
        <stp>ACT_EST_MAPPING=PRECISE</stp>
        <stp>FS=MRC</stp>
        <stp>CURRENCY=USD</stp>
        <stp>XLFILL=b</stp>
        <tr r="AZ34" s="2"/>
      </tp>
      <tp t="s">
        <v/>
        <stp/>
        <stp>##V3_BQLV12</stp>
        <stp>[MODL_CRM_US1.xlsx]Single Period!R34C47</stp>
        <stp>SEG0000269227 Segment</stp>
        <stp>IS_COGS_TO_FE_AND_PP_AND_G/1M</stp>
        <stp>FPR=2022Y</stp>
        <stp>FPT=A</stp>
        <stp>FA_ACT_EST_DATA=E, EST_SOURCE=WFT</stp>
        <stp>ACT_EST_MAPPING=PRECISE</stp>
        <stp>FS=MRC</stp>
        <stp>CURRENCY=USD</stp>
        <stp>XLFILL=b</stp>
        <tr r="AU34" s="2"/>
      </tp>
      <tp>
        <v>7174.7939114782512</v>
        <stp/>
        <stp>##V3_BQLV12</stp>
        <stp>[MODL_CRM_US1.xlsx]Single Period!R141C13</stp>
        <stp>CRM US Equity</stp>
        <stp>BS_PURE_RETAINED_EARNINGS/1M</stp>
        <stp>FPR=2022Y</stp>
        <stp>FPT=A</stp>
        <stp>FA_ACT_EST_DATA=E, EST_SOURCE=BCA</stp>
        <stp>ACT_EST_MAPPING=PRECISE</stp>
        <stp>FS=MRC</stp>
        <stp>CURRENCY=USD</stp>
        <stp>XLFILL=b</stp>
        <tr r="M141" s="2"/>
      </tp>
      <tp t="s">
        <v/>
        <stp/>
        <stp>##V3_BQLV12</stp>
        <stp>[MODL_CRM_US1.xlsx]Single Period!R150C18</stp>
        <stp>CRM US Equity</stp>
        <stp>CURRENT_FUTURE_REV_UNDER_CONTRACT/1M</stp>
        <stp>FPR=2022Y</stp>
        <stp>FPT=A</stp>
        <stp>FA_ACT_EST_DATA=E, EST_SOURCE=CAN</stp>
        <stp>ACT_EST_MAPPING=PRECISE</stp>
        <stp>FS=MRC</stp>
        <stp>CURRENCY=USD</stp>
        <stp>XLFILL=b</stp>
        <tr r="R150" s="2"/>
      </tp>
      <tp t="s">
        <v/>
        <stp/>
        <stp>##V3_BQLV12</stp>
        <stp>[MODL_CRM_US1.xlsx]Single Period!R176C38</stp>
        <stp>CRM US Equity</stp>
        <stp>CF_INCR_CAP_STOCK/1M</stp>
        <stp>FPR=2022Y</stp>
        <stp>FPT=A</stp>
        <stp>FA_ACT_EST_DATA=E, EST_SOURCE=MSR</stp>
        <stp>ACT_EST_MAPPING=PRECISE</stp>
        <stp>FS=MRC</stp>
        <stp>CURRENCY=USD</stp>
        <stp>XLFILL=b</stp>
        <tr r="AL176" s="2"/>
      </tp>
      <tp>
        <v>0.47642143537411258</v>
        <stp/>
        <stp>##V3_BQLV12</stp>
        <stp>[MODL_CRM_US1.xlsx]Single Period!R82C8</stp>
        <stp>CRM US Equity</stp>
        <stp>CONTRIBUTOR_STATS(OPERATING_EXPENSES_TO_NET_SALES, STD)</stp>
        <stp>FPR=2022Y</stp>
        <stp>FPT=A</stp>
        <stp>FA_ACT_EST_DATA=E</stp>
        <stp>ACT_EST_MAPPING=PRECISE</stp>
        <stp>FS=MRC</stp>
        <stp>CURRENCY=USD</stp>
        <stp>XLFILL=b</stp>
        <tr r="H82" s="2"/>
      </tp>
      <tp t="s">
        <v/>
        <stp/>
        <stp>##V3_BQLV12</stp>
        <stp>[MODL_CRM_US1.xlsx]Single Period!R30C40</stp>
        <stp>SEG0000269238 Segment</stp>
        <stp>IS_COGS_TO_FE_AND_PP_AND_G/1M</stp>
        <stp>FPR=2022Y</stp>
        <stp>FPT=A</stp>
        <stp>FA_ACT_EST_DATA=E, EST_SOURCE=ACC</stp>
        <stp>ACT_EST_MAPPING=PRECISE</stp>
        <stp>FS=MRC</stp>
        <stp>CURRENCY=USD</stp>
        <stp>XLFILL=b</stp>
        <tr r="AN30" s="2"/>
      </tp>
      <tp t="s">
        <v/>
        <stp/>
        <stp>##V3_BQLV12</stp>
        <stp>[MODL_CRM_US1.xlsx]Single Period!R30C19</stp>
        <stp>SEG0000269238 Segment</stp>
        <stp>IS_COGS_TO_FE_AND_PP_AND_G/1M</stp>
        <stp>FPR=2022Y</stp>
        <stp>FPT=A</stp>
        <stp>FA_ACT_EST_DATA=E, EST_SOURCE=SCB</stp>
        <stp>ACT_EST_MAPPING=PRECISE</stp>
        <stp>FS=MRC</stp>
        <stp>CURRENCY=USD</stp>
        <stp>XLFILL=b</stp>
        <tr r="S30" s="2"/>
      </tp>
      <tp>
        <v>5063.65482763419</v>
        <stp/>
        <stp>##V3_BQLV12</stp>
        <stp>[MODL_CRM_US1.xlsx]Single Period!R30C13</stp>
        <stp>SEG0000269238 Segment</stp>
        <stp>IS_COGS_TO_FE_AND_PP_AND_G/1M</stp>
        <stp>FPR=2022Y</stp>
        <stp>FPT=A</stp>
        <stp>FA_ACT_EST_DATA=E, EST_SOURCE=BCA</stp>
        <stp>ACT_EST_MAPPING=PRECISE</stp>
        <stp>FS=MRC</stp>
        <stp>CURRENCY=USD</stp>
        <stp>XLFILL=b</stp>
        <tr r="M30" s="2"/>
      </tp>
      <tp t="s">
        <v/>
        <stp/>
        <stp>##V3_BQLV12</stp>
        <stp>[MODL_CRM_US1.xlsx]Single Period!R30C27</stp>
        <stp>SEG0000269238 Segment</stp>
        <stp>IS_COGS_TO_FE_AND_PP_AND_G/1M</stp>
        <stp>FPR=2022Y</stp>
        <stp>FPT=A</stp>
        <stp>FA_ACT_EST_DATA=E, EST_SOURCE=LCM</stp>
        <stp>ACT_EST_MAPPING=PRECISE</stp>
        <stp>FS=MRC</stp>
        <stp>CURRENCY=USD</stp>
        <stp>XLFILL=b</stp>
        <tr r="AA30" s="2"/>
      </tp>
      <tp t="s">
        <v/>
        <stp/>
        <stp>##V3_BQLV12</stp>
        <stp>[MODL_CRM_US1.xlsx]Single Period!R171C38</stp>
        <stp>CRM US Equity</stp>
        <stp>CF_PURCHASE_OF_FIXED_PROD_ASSETS/1M</stp>
        <stp>FPR=2022Y</stp>
        <stp>FPT=A</stp>
        <stp>FA_ACT_EST_DATA=E, EST_SOURCE=MSR</stp>
        <stp>ACT_EST_MAPPING=PRECISE</stp>
        <stp>FS=MRC</stp>
        <stp>CURRENCY=USD</stp>
        <stp>XLFILL=b</stp>
        <tr r="AL171" s="2"/>
      </tp>
      <tp t="s">
        <v/>
        <stp/>
        <stp>##V3_BQLV12</stp>
        <stp>[MODL_CRM_US1.xlsx]Single Period!R177C39</stp>
        <stp>CRM US Equity</stp>
        <stp>CB_CF_OTHER_FINANCING_ACTIVITIES/1M</stp>
        <stp>FPR=2022Y</stp>
        <stp>FPT=A</stp>
        <stp>FA_ACT_EST_DATA=E, EST_SOURCE=KGI</stp>
        <stp>ACT_EST_MAPPING=PRECISE</stp>
        <stp>FS=MRC</stp>
        <stp>CURRENCY=USD</stp>
        <stp>XLFILL=b</stp>
        <tr r="AM177" s="2"/>
      </tp>
      <tp t="s">
        <v/>
        <stp/>
        <stp>##V3_BQLV12</stp>
        <stp>[MODL_CRM_US1.xlsx]Single Period!R141C32</stp>
        <stp>CRM US Equity</stp>
        <stp>BS_PURE_RETAINED_EARNINGS/1M</stp>
        <stp>FPR=2022Y</stp>
        <stp>FPT=A</stp>
        <stp>FA_ACT_EST_DATA=E, EST_SOURCE=UBS</stp>
        <stp>ACT_EST_MAPPING=PRECISE</stp>
        <stp>FS=MRC</stp>
        <stp>CURRENCY=USD</stp>
        <stp>XLFILL=b</stp>
        <tr r="AF141" s="2"/>
      </tp>
      <tp>
        <v>4.67</v>
        <stp/>
        <stp>##V3_BQLV12</stp>
        <stp>[MODL_CRM_US1.xlsx]Single Period!R74C44</stp>
        <stp>CRM US Equity</stp>
        <stp>IS_COMP_EPS_EXCL_STOCK_COMP</stp>
        <stp>FPR=2022Y</stp>
        <stp>FPT=A</stp>
        <stp>FA_ACT_EST_DATA=E, EST_SOURCE=RWB</stp>
        <stp>ACT_EST_MAPPING=PRECISE</stp>
        <stp>FS=MRC</stp>
        <stp>CURRENCY=USD</stp>
        <stp>XLFILL=b</stp>
        <tr r="AR74" s="2"/>
      </tp>
      <tp t="s">
        <v/>
        <stp/>
        <stp>##V3_BQLV12</stp>
        <stp>[MODL_CRM_US1.xlsx]Single Period!R184C43</stp>
        <stp>CRM US Equity</stp>
        <stp>CFO_TO_SALES</stp>
        <stp>FPR=2022Y</stp>
        <stp>FPT=A</stp>
        <stp>FA_ACT_EST_DATA=E, EST_SOURCE=DWI</stp>
        <stp>ACT_EST_MAPPING=PRECISE</stp>
        <stp>FS=MRC</stp>
        <stp>CURRENCY=USD</stp>
        <stp>XLFILL=b</stp>
        <tr r="AQ184" s="2"/>
      </tp>
      <tp>
        <v>0.85</v>
        <stp/>
        <stp>##V3_BQLV12</stp>
        <stp>[MODL_CRM_US1.xlsx]Single Period!R74C43</stp>
        <stp>CRM US Equity</stp>
        <stp>IS_COMP_EPS_EXCL_STOCK_COMP</stp>
        <stp>FPR=2022Y</stp>
        <stp>FPT=A</stp>
        <stp>FA_ACT_EST_DATA=E, EST_SOURCE=DWI</stp>
        <stp>ACT_EST_MAPPING=PRECISE</stp>
        <stp>FS=MRC</stp>
        <stp>CURRENCY=USD</stp>
        <stp>XLFILL=b</stp>
        <tr r="AQ74" s="2"/>
      </tp>
      <tp>
        <v>55.344174619014836</v>
        <stp/>
        <stp>##V3_BQLV12</stp>
        <stp>[MODL_CRM_US1.xlsx]Single Period!R147C5</stp>
        <stp>CRM US Equity</stp>
        <stp>BV_PER_WEIGHTED_DILUTED_SHARE</stp>
        <stp>FPR=2022Y</stp>
        <stp>FPT=A</stp>
        <stp>FA_ACT_EST_DATA=E</stp>
        <stp>ACT_EST_MAPPING=PRECISE</stp>
        <stp>FS=MRC</stp>
        <stp>CURRENCY=USD</stp>
        <stp>XLFILL=b</stp>
        <tr r="E147" s="2"/>
      </tp>
      <tp t="s">
        <v/>
        <stp/>
        <stp>##V3_BQLV12</stp>
        <stp>[MODL_CRM_US1.xlsx]Single Period!R61C43</stp>
        <stp>CRM US Equity</stp>
        <stp>ADJ_OPERATING_MARGIN</stp>
        <stp>FPR=2022Y</stp>
        <stp>FPT=A</stp>
        <stp>FA_ACT_EST_DATA=E, EST_SOURCE=DWI</stp>
        <stp>ACT_EST_MAPPING=PRECISE</stp>
        <stp>FS=MRC</stp>
        <stp>CURRENCY=USD</stp>
        <stp>XLFILL=b</stp>
        <tr r="AQ61" s="2"/>
      </tp>
      <tp t="s">
        <v/>
        <stp/>
        <stp>##V3_BQLV12</stp>
        <stp>[MODL_CRM_US1.xlsx]Single Period!R145C21</stp>
        <stp>CRM US Equity</stp>
        <stp>CB_BS_LT_BORROWING/1M</stp>
        <stp>FPR=2022Y</stp>
        <stp>FPT=A</stp>
        <stp>FA_ACT_EST_DATA=E, EST_SOURCE=RJA</stp>
        <stp>ACT_EST_MAPPING=PRECISE</stp>
        <stp>FS=MRC</stp>
        <stp>CURRENCY=USD</stp>
        <stp>XLFILL=b</stp>
        <tr r="U145" s="2"/>
      </tp>
      <tp t="s">
        <v/>
        <stp/>
        <stp>##V3_BQLV12</stp>
        <stp>[MODL_CRM_US1.xlsx]Single Period!R103C12</stp>
        <stp>CRM US Equity</stp>
        <stp>IS_SBC_ATT_TO_GENL_AND_ADMIN_PRETX/1M</stp>
        <stp>FPR=2022Y</stp>
        <stp>FPT=A</stp>
        <stp>FA_ACT_EST_DATA=E, EST_SOURCE=BMO</stp>
        <stp>ACT_EST_MAPPING=PRECISE</stp>
        <stp>FS=MRC</stp>
        <stp>CURRENCY=USD</stp>
        <stp>XLFILL=b</stp>
        <tr r="L103" s="2"/>
      </tp>
      <tp t="s">
        <v/>
        <stp/>
        <stp>##V3_BQLV12</stp>
        <stp>[MODL_CRM_US1.xlsx]Single Period!R145C48</stp>
        <stp>CRM US Equity</stp>
        <stp>CB_BS_LT_BORROWING/1M</stp>
        <stp>FPR=2022Y</stp>
        <stp>FPT=A</stp>
        <stp>FA_ACT_EST_DATA=E, EST_SOURCE=PJE</stp>
        <stp>ACT_EST_MAPPING=PRECISE</stp>
        <stp>FS=MRC</stp>
        <stp>CURRENCY=USD</stp>
        <stp>XLFILL=b</stp>
        <tr r="AV145" s="2"/>
      </tp>
      <tp t="s">
        <v/>
        <stp/>
        <stp>##V3_BQLV12</stp>
        <stp>[MODL_CRM_US1.xlsx]Single Period!R103C25</stp>
        <stp>CRM US Equity</stp>
        <stp>IS_SBC_ATT_TO_GENL_AND_ADMIN_PRETX/1M</stp>
        <stp>FPR=2022Y</stp>
        <stp>FPT=A</stp>
        <stp>FA_ACT_EST_DATA=E, EST_SOURCE=WMS</stp>
        <stp>ACT_EST_MAPPING=PRECISE</stp>
        <stp>FS=MRC</stp>
        <stp>CURRENCY=USD</stp>
        <stp>XLFILL=b</stp>
        <tr r="Y103" s="2"/>
      </tp>
      <tp>
        <v>398</v>
        <stp/>
        <stp>##V3_BQLV12</stp>
        <stp>[MODL_CRM_US1.xlsx]Single Period!R103C20</stp>
        <stp>CRM US Equity</stp>
        <stp>IS_SBC_ATT_TO_GENL_AND_ADMIN_PRETX/1M</stp>
        <stp>FPR=2022Y</stp>
        <stp>FPT=A</stp>
        <stp>FA_ACT_EST_DATA=E, EST_SOURCE=JMP</stp>
        <stp>ACT_EST_MAPPING=PRECISE</stp>
        <stp>FS=MRC</stp>
        <stp>CURRENCY=USD</stp>
        <stp>XLFILL=b</stp>
        <tr r="T103" s="2"/>
      </tp>
      <tp>
        <v>73.712100324543059</v>
        <stp/>
        <stp>##V3_BQLV12</stp>
        <stp>[MODL_CRM_US1.xlsx]Single Period!R80C24</stp>
        <stp>CRM US Equity</stp>
        <stp>GROSS_MARGIN</stp>
        <stp>FPR=2022Y</stp>
        <stp>FPT=A</stp>
        <stp>FA_ACT_EST_DATA=E, EST_SOURCE=FBC</stp>
        <stp>ACT_EST_MAPPING=PRECISE</stp>
        <stp>FS=MRC</stp>
        <stp>CURRENCY=USD</stp>
        <stp>XLFILL=b</stp>
        <tr r="X80" s="2"/>
      </tp>
      <tp t="s">
        <v/>
        <stp/>
        <stp>##V3_BQLV12</stp>
        <stp>[MODL_CRM_US1.xlsx]Single Period!R129C45</stp>
        <stp>CRM US Equity</stp>
        <stp>CB_BS_ACCT_PYBL_ACC_EXPNSS/1M</stp>
        <stp>FPR=2022Y</stp>
        <stp>FPT=A</stp>
        <stp>FA_ACT_EST_DATA=E, EST_SOURCE=ARG</stp>
        <stp>ACT_EST_MAPPING=PRECISE</stp>
        <stp>FS=MRC</stp>
        <stp>CURRENCY=USD</stp>
        <stp>XLFILL=b</stp>
        <tr r="AS129" s="2"/>
      </tp>
      <tp t="s">
        <v/>
        <stp/>
        <stp>##V3_BQLV12</stp>
        <stp>[MODL_CRM_US1.xlsx]Single Period!R129C54</stp>
        <stp>CRM US Equity</stp>
        <stp>CB_BS_ACCT_PYBL_ACC_EXPNSS/1M</stp>
        <stp>FPR=2022Y</stp>
        <stp>FPT=A</stp>
        <stp>FA_ACT_EST_DATA=E, EST_SOURCE=ARE</stp>
        <stp>ACT_EST_MAPPING=PRECISE</stp>
        <stp>FS=MRC</stp>
        <stp>CURRENCY=USD</stp>
        <stp>XLFILL=b</stp>
        <tr r="BB129" s="2"/>
      </tp>
      <tp t="s">
        <v/>
        <stp/>
        <stp>##V3_BQLV12</stp>
        <stp>[MODL_CRM_US1.xlsx]Single Period!R147C54</stp>
        <stp>CRM US Equity</stp>
        <stp>BV_PER_WEIGHTED_DILUTED_SHARE</stp>
        <stp>FPR=2022Y</stp>
        <stp>FPT=A</stp>
        <stp>FA_ACT_EST_DATA=E, EST_SOURCE=ARE</stp>
        <stp>ACT_EST_MAPPING=PRECISE</stp>
        <stp>FS=MRC</stp>
        <stp>CURRENCY=USD</stp>
        <stp>XLFILL=b</stp>
        <tr r="BB147" s="2"/>
      </tp>
      <tp t="s">
        <v/>
        <stp/>
        <stp>##V3_BQLV12</stp>
        <stp>[MODL_CRM_US1.xlsx]Single Period!R147C45</stp>
        <stp>CRM US Equity</stp>
        <stp>BV_PER_WEIGHTED_DILUTED_SHARE</stp>
        <stp>FPR=2022Y</stp>
        <stp>FPT=A</stp>
        <stp>FA_ACT_EST_DATA=E, EST_SOURCE=ARG</stp>
        <stp>ACT_EST_MAPPING=PRECISE</stp>
        <stp>FS=MRC</stp>
        <stp>CURRENCY=USD</stp>
        <stp>XLFILL=b</stp>
        <tr r="AS147" s="2"/>
      </tp>
      <tp>
        <v>35.510056011026776</v>
        <stp/>
        <stp>##V3_BQLV12</stp>
        <stp>[MODL_CRM_US1.xlsx]Single Period!R87C8</stp>
        <stp>CRM US Equity</stp>
        <stp>CONTRIBUTOR_STATS(IS_EBIT_AS_REPORTED, STD)/1M</stp>
        <stp>FPR=2022Y</stp>
        <stp>FPT=A</stp>
        <stp>FA_ACT_EST_DATA=E</stp>
        <stp>ACT_EST_MAPPING=PRECISE</stp>
        <stp>FS=MRC</stp>
        <stp>CURRENCY=USD</stp>
        <stp>XLFILL=b</stp>
        <tr r="H87" s="2"/>
      </tp>
      <tp t="s">
        <v/>
        <stp/>
        <stp>##V3_BQLV12</stp>
        <stp>[MODL_CRM_US1.xlsx]Single Period!R116C22</stp>
        <stp>CRM US Equity</stp>
        <stp>PREPAID_EXPNSS_AND_OTHR/1M</stp>
        <stp>FPR=2022Y</stp>
        <stp>FPT=A</stp>
        <stp>FA_ACT_EST_DATA=E, EST_SOURCE=OPY</stp>
        <stp>ACT_EST_MAPPING=PRECISE</stp>
        <stp>FS=MRC</stp>
        <stp>CURRENCY=USD</stp>
        <stp>XLFILL=b</stp>
        <tr r="V116" s="2"/>
      </tp>
      <tp t="s">
        <v/>
        <stp/>
        <stp>##V3_BQLV12</stp>
        <stp>[MODL_CRM_US1.xlsx]Single Period!R53C50</stp>
        <stp>CRM US Equity</stp>
        <stp>REVENUE_GROWTH_CC_1_YR</stp>
        <stp>FPR=2022Y</stp>
        <stp>FPT=A</stp>
        <stp>FA_ACT_EST_DATA=E, EST_SOURCE=MZS</stp>
        <stp>ACT_EST_MAPPING=PRECISE</stp>
        <stp>FS=MRC</stp>
        <stp>CURRENCY=USD</stp>
        <stp>XLFILL=b</stp>
        <tr r="AX53" s="2"/>
      </tp>
      <tp t="s">
        <v/>
        <stp/>
        <stp>##V3_BQLV12</stp>
        <stp>[MODL_CRM_US1.xlsx]Single Period!R86C18</stp>
        <stp>CRM US Equity</stp>
        <stp>IS_GENERAL_AND_ADMIN_GAAP/1M</stp>
        <stp>FPR=2022Y</stp>
        <stp>FPT=A</stp>
        <stp>FA_ACT_EST_DATA=E, EST_SOURCE=CAN</stp>
        <stp>ACT_EST_MAPPING=PRECISE</stp>
        <stp>FS=MRC</stp>
        <stp>CURRENCY=USD</stp>
        <stp>XLFILL=b</stp>
        <tr r="R86" s="2"/>
      </tp>
      <tp t="s">
        <v/>
        <stp/>
        <stp>##V3_BQLV12</stp>
        <stp>[MODL_CRM_US1.xlsx]Single Period!R163C34</stp>
        <stp>CRM US Equity</stp>
        <stp>CB_CF_OTHR_NONCSH_ITEMS/1M</stp>
        <stp>FPR=2022Y</stp>
        <stp>FPT=A</stp>
        <stp>FA_ACT_EST_DATA=E, EST_SOURCE=JEF</stp>
        <stp>ACT_EST_MAPPING=PRECISE</stp>
        <stp>FS=MRC</stp>
        <stp>CURRENCY=USD</stp>
        <stp>XLFILL=b</stp>
        <tr r="AH163" s="2"/>
      </tp>
      <tp t="s">
        <v/>
        <stp/>
        <stp>##V3_BQLV12</stp>
        <stp>[MODL_CRM_US1.xlsx]Single Period!R159C53</stp>
        <stp>CRM US Equity</stp>
        <stp>SBC_NON_GAAP_TO_SALES</stp>
        <stp>FPR=2022Y</stp>
        <stp>FPT=A</stp>
        <stp>FA_ACT_EST_DATA=E, EST_SOURCE=NIK</stp>
        <stp>ACT_EST_MAPPING=PRECISE</stp>
        <stp>FS=MRC</stp>
        <stp>CURRENCY=USD</stp>
        <stp>XLFILL=b</stp>
        <tr r="BA159" s="2"/>
      </tp>
      <tp t="s">
        <v/>
        <stp/>
        <stp>##V3_BQLV12</stp>
        <stp>[MODL_CRM_US1.xlsx]Single Period!R119C10</stp>
        <stp>CRM US Equity</stp>
        <stp>CB_BS_OTHER_NONCURRENT_ASSETS/1M</stp>
        <stp>FPR=2022Y</stp>
        <stp>FPT=A</stp>
        <stp>FA_ACT_EST_DATA=E, EST_SOURCE=CMPY</stp>
        <stp>ACT_EST_MAPPING=PRECISE</stp>
        <stp>FS=MRC</stp>
        <stp>CURRENCY=USD</stp>
        <stp>XLFILL=b</stp>
        <tr r="J119" s="2"/>
      </tp>
      <tp t="s">
        <v/>
        <stp/>
        <stp>##V3_BQLV12</stp>
        <stp>[MODL_CRM_US1.xlsx]Single Period!R192C22</stp>
        <stp>CRM US Equity</stp>
        <stp>FREE_CASH_FLOW_MARGIN</stp>
        <stp>FPR=2022Y</stp>
        <stp>FPT=A</stp>
        <stp>FA_ACT_EST_DATA=E, EST_SOURCE=OPY</stp>
        <stp>ACT_EST_MAPPING=PRECISE</stp>
        <stp>FS=MRC</stp>
        <stp>CURRENCY=USD</stp>
        <stp>XLFILL=b</stp>
        <tr r="V192" s="2"/>
      </tp>
      <tp t="s">
        <v/>
        <stp/>
        <stp>##V3_BQLV12</stp>
        <stp>[MODL_CRM_US1.xlsx]Single Period!R163C55</stp>
        <stp>CRM US Equity</stp>
        <stp>CB_CF_OTHR_NONCSH_ITEMS/1M</stp>
        <stp>FPR=2022Y</stp>
        <stp>FPT=A</stp>
        <stp>FA_ACT_EST_DATA=E, EST_SOURCE=RED</stp>
        <stp>ACT_EST_MAPPING=PRECISE</stp>
        <stp>FS=MRC</stp>
        <stp>CURRENCY=USD</stp>
        <stp>XLFILL=b</stp>
        <tr r="BC163" s="2"/>
      </tp>
      <tp t="s">
        <v/>
        <stp/>
        <stp>##V3_BQLV12</stp>
        <stp>[MODL_CRM_US1.xlsx]Single Period!R116C23</stp>
        <stp>CRM US Equity</stp>
        <stp>PREPAID_EXPNSS_AND_OTHR/1M</stp>
        <stp>FPR=2022Y</stp>
        <stp>FPT=A</stp>
        <stp>FA_ACT_EST_DATA=E, EST_SOURCE=JPM</stp>
        <stp>ACT_EST_MAPPING=PRECISE</stp>
        <stp>FS=MRC</stp>
        <stp>CURRENCY=USD</stp>
        <stp>XLFILL=b</stp>
        <tr r="W116" s="2"/>
      </tp>
      <tp t="s">
        <v/>
        <stp/>
        <stp>##V3_BQLV12</stp>
        <stp>[MODL_CRM_US1.xlsx]Single Period!R13C49</stp>
        <stp>CRM US Equity</stp>
        <stp>CURRENT_FUTURE_REV_UNDER_CONTRACT/1M</stp>
        <stp>FPR=2022Y</stp>
        <stp>FPT=A</stp>
        <stp>FA_ACT_EST_DATA=E, EST_SOURCE=SGE</stp>
        <stp>ACT_EST_MAPPING=PRECISE</stp>
        <stp>FS=MRC</stp>
        <stp>CURRENCY=USD</stp>
        <stp>XLFILL=b</stp>
        <tr r="AW13" s="2"/>
      </tp>
      <tp t="s">
        <v/>
        <stp/>
        <stp>##V3_BQLV12</stp>
        <stp>[MODL_CRM_US1.xlsx]Single Period!R159C56</stp>
        <stp>CRM US Equity</stp>
        <stp>SBC_NON_GAAP_TO_SALES</stp>
        <stp>FPR=2022Y</stp>
        <stp>FPT=A</stp>
        <stp>FA_ACT_EST_DATA=E, EST_SOURCE=DIR</stp>
        <stp>ACT_EST_MAPPING=PRECISE</stp>
        <stp>FS=MRC</stp>
        <stp>CURRENCY=USD</stp>
        <stp>XLFILL=b</stp>
        <tr r="BD159" s="2"/>
      </tp>
      <tp>
        <v>1229</v>
        <stp/>
        <stp>##V3_BQLV12</stp>
        <stp>[MODL_CRM_US1.xlsx]Single Period!R155C17</stp>
        <stp>CRM US Equity</stp>
        <stp>IS_COMP_NET_INCOME_GAAP/1M</stp>
        <stp>FPR=2022Y</stp>
        <stp>FPT=A</stp>
        <stp>FA_ACT_EST_DATA=E, EST_SOURCE=NDH</stp>
        <stp>ACT_EST_MAPPING=PRECISE</stp>
        <stp>FS=MRC</stp>
        <stp>CURRENCY=USD</stp>
        <stp>XLFILL=b</stp>
        <tr r="Q155" s="2"/>
      </tp>
      <tp t="s">
        <v/>
        <stp/>
        <stp>##V3_BQLV12</stp>
        <stp>[MODL_CRM_US1.xlsx]Single Period!R133C54</stp>
        <stp>CRM US Equity</stp>
        <stp>BS_LONG_TERM_BORROWINGS/1M</stp>
        <stp>FPR=2022Y</stp>
        <stp>FPT=A</stp>
        <stp>FA_ACT_EST_DATA=E, EST_SOURCE=ARE</stp>
        <stp>ACT_EST_MAPPING=PRECISE</stp>
        <stp>FS=MRC</stp>
        <stp>CURRENCY=USD</stp>
        <stp>XLFILL=b</stp>
        <tr r="BB133" s="2"/>
      </tp>
      <tp>
        <v>-1623.7775524036231</v>
        <stp/>
        <stp>##V3_BQLV12</stp>
        <stp>[MODL_CRM_US1.xlsx]Single Period!R163C26</stp>
        <stp>CRM US Equity</stp>
        <stp>CB_CF_OTHR_NONCSH_ITEMS/1M</stp>
        <stp>FPR=2022Y</stp>
        <stp>FPT=A</stp>
        <stp>FA_ACT_EST_DATA=E, EST_SOURCE=KEY</stp>
        <stp>ACT_EST_MAPPING=PRECISE</stp>
        <stp>FS=MRC</stp>
        <stp>CURRENCY=USD</stp>
        <stp>XLFILL=b</stp>
        <tr r="Z163" s="2"/>
      </tp>
      <tp t="s">
        <v/>
        <stp/>
        <stp>##V3_BQLV12</stp>
        <stp>[MODL_CRM_US1.xlsx]Single Period!R133C45</stp>
        <stp>CRM US Equity</stp>
        <stp>BS_LONG_TERM_BORROWINGS/1M</stp>
        <stp>FPR=2022Y</stp>
        <stp>FPT=A</stp>
        <stp>FA_ACT_EST_DATA=E, EST_SOURCE=ARG</stp>
        <stp>ACT_EST_MAPPING=PRECISE</stp>
        <stp>FS=MRC</stp>
        <stp>CURRENCY=USD</stp>
        <stp>XLFILL=b</stp>
        <tr r="AS133" s="2"/>
      </tp>
      <tp t="s">
        <v/>
        <stp/>
        <stp>##V3_BQLV12</stp>
        <stp>[MODL_CRM_US1.xlsx]Single Period!R192C23</stp>
        <stp>CRM US Equity</stp>
        <stp>FREE_CASH_FLOW_MARGIN</stp>
        <stp>FPR=2022Y</stp>
        <stp>FPT=A</stp>
        <stp>FA_ACT_EST_DATA=E, EST_SOURCE=JPM</stp>
        <stp>ACT_EST_MAPPING=PRECISE</stp>
        <stp>FS=MRC</stp>
        <stp>CURRENCY=USD</stp>
        <stp>XLFILL=b</stp>
        <tr r="W192" s="2"/>
      </tp>
      <tp>
        <v>409.54508892166712</v>
        <stp/>
        <stp>##V3_BQLV12</stp>
        <stp>[MODL_CRM_US1.xlsx]Single Period!R87C6</stp>
        <stp>CRM US Equity</stp>
        <stp>CONTRIBUTOR_STATS(IS_EBIT_AS_REPORTED, MIN)/1M</stp>
        <stp>FPR=2022Y</stp>
        <stp>FPT=A</stp>
        <stp>FA_ACT_EST_DATA=E</stp>
        <stp>ACT_EST_MAPPING=PRECISE</stp>
        <stp>FS=MRC</stp>
        <stp>CURRENCY=USD</stp>
        <stp>XLFILL=b</stp>
        <tr r="F87" s="2"/>
      </tp>
      <tp t="s">
        <v/>
        <stp/>
        <stp>##V3_BQLV12</stp>
        <stp>[MODL_CRM_US1.xlsx]Single Period!R13C39</stp>
        <stp>CRM US Equity</stp>
        <stp>CURRENT_FUTURE_REV_UNDER_CONTRACT/1M</stp>
        <stp>FPR=2022Y</stp>
        <stp>FPT=A</stp>
        <stp>FA_ACT_EST_DATA=E, EST_SOURCE=KGI</stp>
        <stp>ACT_EST_MAPPING=PRECISE</stp>
        <stp>FS=MRC</stp>
        <stp>CURRENCY=USD</stp>
        <stp>XLFILL=b</stp>
        <tr r="AM13" s="2"/>
      </tp>
      <tp>
        <v>535.92795999999862</v>
        <stp/>
        <stp>##V3_BQLV12</stp>
        <stp>[MODL_CRM_US1.xlsx]Single Period!R87C7</stp>
        <stp>CRM US Equity</stp>
        <stp>CONTRIBUTOR_STATS(IS_EBIT_AS_REPORTED, MAX)/1M</stp>
        <stp>FPR=2022Y</stp>
        <stp>FPT=A</stp>
        <stp>FA_ACT_EST_DATA=E</stp>
        <stp>ACT_EST_MAPPING=PRECISE</stp>
        <stp>FS=MRC</stp>
        <stp>CURRENCY=USD</stp>
        <stp>XLFILL=b</stp>
        <tr r="G87" s="2"/>
      </tp>
      <tp t="s">
        <v/>
        <stp/>
        <stp>##V3_BQLV12</stp>
        <stp>[MODL_CRM_US1.xlsx]Single Period!R141C30</stp>
        <stp>CRM US Equity</stp>
        <stp>BS_PURE_RETAINED_EARNINGS/1M</stp>
        <stp>FPR=2022Y</stp>
        <stp>FPT=A</stp>
        <stp>FA_ACT_EST_DATA=E, EST_SOURCE=BAM</stp>
        <stp>ACT_EST_MAPPING=PRECISE</stp>
        <stp>FS=MRC</stp>
        <stp>CURRENCY=USD</stp>
        <stp>XLFILL=b</stp>
        <tr r="AD141" s="2"/>
      </tp>
      <tp t="s">
        <v/>
        <stp/>
        <stp>##V3_BQLV12</stp>
        <stp>[MODL_CRM_US1.xlsx]Single Period!R30C32</stp>
        <stp>SEG0000269238 Segment</stp>
        <stp>IS_COGS_TO_FE_AND_PP_AND_G/1M</stp>
        <stp>FPR=2022Y</stp>
        <stp>FPT=A</stp>
        <stp>FA_ACT_EST_DATA=E, EST_SOURCE=UBS</stp>
        <stp>ACT_EST_MAPPING=PRECISE</stp>
        <stp>FS=MRC</stp>
        <stp>CURRENCY=USD</stp>
        <stp>XLFILL=b</stp>
        <tr r="AF30" s="2"/>
      </tp>
      <tp t="s">
        <v/>
        <stp/>
        <stp>##V3_BQLV12</stp>
        <stp>[MODL_CRM_US1.xlsx]Single Period!R111C21</stp>
        <stp>CRM US Equity</stp>
        <stp>BS_CASH_CASH_EQUIVALENTS_AND_STI/1M</stp>
        <stp>FPR=2022Y</stp>
        <stp>FPT=A</stp>
        <stp>FA_ACT_EST_DATA=E, EST_SOURCE=RJA</stp>
        <stp>ACT_EST_MAPPING=PRECISE</stp>
        <stp>FS=MRC</stp>
        <stp>CURRENCY=USD</stp>
        <stp>XLFILL=b</stp>
        <tr r="U111" s="2"/>
      </tp>
      <tp t="s">
        <v/>
        <stp/>
        <stp>##V3_BQLV12</stp>
        <stp>[MODL_CRM_US1.xlsx]Single Period!R141C34</stp>
        <stp>CRM US Equity</stp>
        <stp>BS_PURE_RETAINED_EARNINGS/1M</stp>
        <stp>FPR=2022Y</stp>
        <stp>FPT=A</stp>
        <stp>FA_ACT_EST_DATA=E, EST_SOURCE=JEF</stp>
        <stp>ACT_EST_MAPPING=PRECISE</stp>
        <stp>FS=MRC</stp>
        <stp>CURRENCY=USD</stp>
        <stp>XLFILL=b</stp>
        <tr r="AH141" s="2"/>
      </tp>
      <tp t="s">
        <v/>
        <stp/>
        <stp>##V3_BQLV12</stp>
        <stp>[MODL_CRM_US1.xlsx]Single Period!R176C50</stp>
        <stp>CRM US Equity</stp>
        <stp>CF_INCR_CAP_STOCK/1M</stp>
        <stp>FPR=2022Y</stp>
        <stp>FPT=A</stp>
        <stp>FA_ACT_EST_DATA=E, EST_SOURCE=MZS</stp>
        <stp>ACT_EST_MAPPING=PRECISE</stp>
        <stp>FS=MRC</stp>
        <stp>CURRENCY=USD</stp>
        <stp>XLFILL=b</stp>
        <tr r="AX176" s="2"/>
      </tp>
      <tp t="s">
        <v/>
        <stp/>
        <stp>##V3_BQLV12</stp>
        <stp>[MODL_CRM_US1.xlsx]Single Period!R30C16</stp>
        <stp>SEG0000269238 Segment</stp>
        <stp>IS_COGS_TO_FE_AND_PP_AND_G/1M</stp>
        <stp>FPR=2022Y</stp>
        <stp>FPT=A</stp>
        <stp>FA_ACT_EST_DATA=E, EST_SOURCE=DBG</stp>
        <stp>ACT_EST_MAPPING=PRECISE</stp>
        <stp>FS=MRC</stp>
        <stp>CURRENCY=USD</stp>
        <stp>XLFILL=b</stp>
        <tr r="P30" s="2"/>
      </tp>
      <tp t="s">
        <v/>
        <stp/>
        <stp>##V3_BQLV12</stp>
        <stp>[MODL_CRM_US1.xlsx]Single Period!R34C39</stp>
        <stp>SEG0000269227 Segment</stp>
        <stp>IS_COGS_TO_FE_AND_PP_AND_G/1M</stp>
        <stp>FPR=2022Y</stp>
        <stp>FPT=A</stp>
        <stp>FA_ACT_EST_DATA=E, EST_SOURCE=KGI</stp>
        <stp>ACT_EST_MAPPING=PRECISE</stp>
        <stp>FS=MRC</stp>
        <stp>CURRENCY=USD</stp>
        <stp>XLFILL=b</stp>
        <tr r="AM34" s="2"/>
      </tp>
      <tp t="s">
        <v/>
        <stp/>
        <stp>##V3_BQLV12</stp>
        <stp>[MODL_CRM_US1.xlsx]Single Period!R150C25</stp>
        <stp>CRM US Equity</stp>
        <stp>CURRENT_FUTURE_REV_UNDER_CONTRACT/1M</stp>
        <stp>FPR=2022Y</stp>
        <stp>FPT=A</stp>
        <stp>FA_ACT_EST_DATA=E, EST_SOURCE=WMS</stp>
        <stp>ACT_EST_MAPPING=PRECISE</stp>
        <stp>FS=MRC</stp>
        <stp>CURRENCY=USD</stp>
        <stp>XLFILL=b</stp>
        <tr r="Y150" s="2"/>
      </tp>
      <tp>
        <v>-118</v>
        <stp/>
        <stp>##V3_BQLV12</stp>
        <stp>[MODL_CRM_US1.xlsx]Single Period!R177C17</stp>
        <stp>CRM US Equity</stp>
        <stp>CB_CF_OTHER_FINANCING_ACTIVITIES/1M</stp>
        <stp>FPR=2022Y</stp>
        <stp>FPT=A</stp>
        <stp>FA_ACT_EST_DATA=E, EST_SOURCE=NDH</stp>
        <stp>ACT_EST_MAPPING=PRECISE</stp>
        <stp>FS=MRC</stp>
        <stp>CURRENCY=USD</stp>
        <stp>XLFILL=b</stp>
        <tr r="Q177" s="2"/>
      </tp>
      <tp>
        <v>4916.6115899345095</v>
        <stp/>
        <stp>##V3_BQLV12</stp>
        <stp>[MODL_CRM_US1.xlsx]Single Period!R30C24</stp>
        <stp>SEG0000269238 Segment</stp>
        <stp>IS_COGS_TO_FE_AND_PP_AND_G/1M</stp>
        <stp>FPR=2022Y</stp>
        <stp>FPT=A</stp>
        <stp>FA_ACT_EST_DATA=E, EST_SOURCE=FBC</stp>
        <stp>ACT_EST_MAPPING=PRECISE</stp>
        <stp>FS=MRC</stp>
        <stp>CURRENCY=USD</stp>
        <stp>XLFILL=b</stp>
        <tr r="X30" s="2"/>
      </tp>
      <tp t="s">
        <v/>
        <stp/>
        <stp>##V3_BQLV12</stp>
        <stp>[MODL_CRM_US1.xlsx]Single Period!R30C31</stp>
        <stp>SEG0000269238 Segment</stp>
        <stp>IS_COGS_TO_FE_AND_PP_AND_G/1M</stp>
        <stp>FPR=2022Y</stp>
        <stp>FPT=A</stp>
        <stp>FA_ACT_EST_DATA=E, EST_SOURCE=RBC</stp>
        <stp>ACT_EST_MAPPING=PRECISE</stp>
        <stp>FS=MRC</stp>
        <stp>CURRENCY=USD</stp>
        <stp>XLFILL=b</stp>
        <tr r="AE30" s="2"/>
      </tp>
      <tp t="s">
        <v/>
        <stp/>
        <stp>##V3_BQLV12</stp>
        <stp>[MODL_CRM_US1.xlsx]Single Period!R141C47</stp>
        <stp>CRM US Equity</stp>
        <stp>BS_PURE_RETAINED_EARNINGS/1M</stp>
        <stp>FPR=2022Y</stp>
        <stp>FPT=A</stp>
        <stp>FA_ACT_EST_DATA=E, EST_SOURCE=WFT</stp>
        <stp>ACT_EST_MAPPING=PRECISE</stp>
        <stp>FS=MRC</stp>
        <stp>CURRENCY=USD</stp>
        <stp>XLFILL=b</stp>
        <tr r="AU141" s="2"/>
      </tp>
      <tp t="s">
        <v/>
        <stp/>
        <stp>##V3_BQLV12</stp>
        <stp>[MODL_CRM_US1.xlsx]Single Period!R30C11</stp>
        <stp>SEG0000269238 Segment</stp>
        <stp>IS_COGS_TO_FE_AND_PP_AND_G/1M</stp>
        <stp>FPR=2022Y</stp>
        <stp>FPT=A</stp>
        <stp>FA_ACT_EST_DATA=E, EST_SOURCE=WBL</stp>
        <stp>ACT_EST_MAPPING=PRECISE</stp>
        <stp>FS=MRC</stp>
        <stp>CURRENCY=USD</stp>
        <stp>XLFILL=b</stp>
        <tr r="K30" s="2"/>
      </tp>
      <tp t="s">
        <v/>
        <stp/>
        <stp>##V3_BQLV12</stp>
        <stp>[MODL_CRM_US1.xlsx]Single Period!R34C49</stp>
        <stp>SEG0000269227 Segment</stp>
        <stp>IS_COGS_TO_FE_AND_PP_AND_G/1M</stp>
        <stp>FPR=2022Y</stp>
        <stp>FPT=A</stp>
        <stp>FA_ACT_EST_DATA=E, EST_SOURCE=SGE</stp>
        <stp>ACT_EST_MAPPING=PRECISE</stp>
        <stp>FS=MRC</stp>
        <stp>CURRENCY=USD</stp>
        <stp>XLFILL=b</stp>
        <tr r="AW34" s="2"/>
      </tp>
      <tp t="s">
        <v/>
        <stp/>
        <stp>##V3_BQLV12</stp>
        <stp>[MODL_CRM_US1.xlsx]Single Period!R92C37</stp>
        <stp>CRM US Equity</stp>
        <stp>PROF_MARGIN</stp>
        <stp>FPR=2022Y</stp>
        <stp>FPT=A</stp>
        <stp>FA_ACT_EST_DATA=E, EST_SOURCE=EVR</stp>
        <stp>ACT_EST_MAPPING=PRECISE</stp>
        <stp>FS=MRC</stp>
        <stp>CURRENCY=USD</stp>
        <stp>XLFILL=b</stp>
        <tr r="AK92" s="2"/>
      </tp>
      <tp>
        <v>4.7</v>
        <stp/>
        <stp>##V3_BQLV12</stp>
        <stp>[MODL_CRM_US1.xlsx]Single Period!R74C23</stp>
        <stp>CRM US Equity</stp>
        <stp>IS_COMP_EPS_EXCL_STOCK_COMP</stp>
        <stp>FPR=2022Y</stp>
        <stp>FPT=A</stp>
        <stp>FA_ACT_EST_DATA=E, EST_SOURCE=JPM</stp>
        <stp>ACT_EST_MAPPING=PRECISE</stp>
        <stp>FS=MRC</stp>
        <stp>CURRENCY=USD</stp>
        <stp>XLFILL=b</stp>
        <tr r="W74" s="2"/>
      </tp>
      <tp t="s">
        <v/>
        <stp/>
        <stp>##V3_BQLV12</stp>
        <stp>[MODL_CRM_US1.xlsx]Single Period!R101C10</stp>
        <stp>CRM US Equity</stp>
        <stp>IS_SBC_ATTRIBUTABLE_TO_R_AND_D_PRETX/1M</stp>
        <stp>FPR=2022Y</stp>
        <stp>FPT=A</stp>
        <stp>FA_ACT_EST_DATA=E, EST_SOURCE=CMPY</stp>
        <stp>ACT_EST_MAPPING=PRECISE</stp>
        <stp>FS=MRC</stp>
        <stp>CURRENCY=USD</stp>
        <stp>XLFILL=b</stp>
        <tr r="J101" s="2"/>
      </tp>
      <tp t="s">
        <v/>
        <stp/>
        <stp>##V3_BQLV12</stp>
        <stp>[MODL_CRM_US1.xlsx]Single Period!R92C28</stp>
        <stp>CRM US Equity</stp>
        <stp>PROF_MARGIN</stp>
        <stp>FPR=2022Y</stp>
        <stp>FPT=A</stp>
        <stp>FA_ACT_EST_DATA=E, EST_SOURCE=CWN</stp>
        <stp>ACT_EST_MAPPING=PRECISE</stp>
        <stp>FS=MRC</stp>
        <stp>CURRENCY=USD</stp>
        <stp>XLFILL=b</stp>
        <tr r="AB92" s="2"/>
      </tp>
      <tp>
        <v>4.75</v>
        <stp/>
        <stp>##V3_BQLV12</stp>
        <stp>[MODL_CRM_US1.xlsx]Single Period!R74C15</stp>
        <stp>CRM US Equity</stp>
        <stp>IS_COMP_EPS_EXCL_STOCK_COMP</stp>
        <stp>FPR=2022Y</stp>
        <stp>FPT=A</stp>
        <stp>FA_ACT_EST_DATA=E, EST_SOURCE=MSV</stp>
        <stp>ACT_EST_MAPPING=PRECISE</stp>
        <stp>FS=MRC</stp>
        <stp>CURRENCY=USD</stp>
        <stp>XLFILL=b</stp>
        <tr r="O74" s="2"/>
      </tp>
      <tp>
        <v>4.6900000000000004</v>
        <stp/>
        <stp>##V3_BQLV12</stp>
        <stp>[MODL_CRM_US1.xlsx]Single Period!R74C22</stp>
        <stp>CRM US Equity</stp>
        <stp>IS_COMP_EPS_EXCL_STOCK_COMP</stp>
        <stp>FPR=2022Y</stp>
        <stp>FPT=A</stp>
        <stp>FA_ACT_EST_DATA=E, EST_SOURCE=OPY</stp>
        <stp>ACT_EST_MAPPING=PRECISE</stp>
        <stp>FS=MRC</stp>
        <stp>CURRENCY=USD</stp>
        <stp>XLFILL=b</stp>
        <tr r="V74" s="2"/>
      </tp>
      <tp t="s">
        <v/>
        <stp/>
        <stp>##V3_BQLV12</stp>
        <stp>[MODL_CRM_US1.xlsx]Single Period!R139C22</stp>
        <stp>CRM US Equity</stp>
        <stp>BS_ADD_PAID_IN_CAP/1M</stp>
        <stp>FPR=2022Y</stp>
        <stp>FPT=A</stp>
        <stp>FA_ACT_EST_DATA=E, EST_SOURCE=OPY</stp>
        <stp>ACT_EST_MAPPING=PRECISE</stp>
        <stp>FS=MRC</stp>
        <stp>CURRENCY=USD</stp>
        <stp>XLFILL=b</stp>
        <tr r="V139" s="2"/>
      </tp>
      <tp t="s">
        <v/>
        <stp/>
        <stp>##V3_BQLV12</stp>
        <stp>[MODL_CRM_US1.xlsx]Single Period!R20C35</stp>
        <stp>CRM US Equity</stp>
        <stp>ADJ_OPERATING_MARGIN</stp>
        <stp>FPR=2022Y</stp>
        <stp>FPT=A</stp>
        <stp>FA_ACT_EST_DATA=E, EST_SOURCE=ATL</stp>
        <stp>ACT_EST_MAPPING=PRECISE</stp>
        <stp>FS=MRC</stp>
        <stp>CURRENCY=USD</stp>
        <stp>XLFILL=b</stp>
        <tr r="AI20" s="2"/>
      </tp>
      <tp>
        <v>5541.8293235541541</v>
        <stp/>
        <stp>##V3_BQLV12</stp>
        <stp>[MODL_CRM_US1.xlsx]Single Period!R129C15</stp>
        <stp>CRM US Equity</stp>
        <stp>CB_BS_ACCT_PYBL_ACC_EXPNSS/1M</stp>
        <stp>FPR=2022Y</stp>
        <stp>FPT=A</stp>
        <stp>FA_ACT_EST_DATA=E, EST_SOURCE=MSV</stp>
        <stp>ACT_EST_MAPPING=PRECISE</stp>
        <stp>FS=MRC</stp>
        <stp>CURRENCY=USD</stp>
        <stp>XLFILL=b</stp>
        <tr r="O129" s="2"/>
      </tp>
      <tp t="s">
        <v/>
        <stp/>
        <stp>##V3_BQLV12</stp>
        <stp>[MODL_CRM_US1.xlsx]Single Period!R80C29</stp>
        <stp>CRM US Equity</stp>
        <stp>GROSS_MARGIN</stp>
        <stp>FPR=2022Y</stp>
        <stp>FPT=A</stp>
        <stp>FA_ACT_EST_DATA=E, EST_SOURCE=BNS</stp>
        <stp>ACT_EST_MAPPING=PRECISE</stp>
        <stp>FS=MRC</stp>
        <stp>CURRENCY=USD</stp>
        <stp>XLFILL=b</stp>
        <tr r="AC80" s="2"/>
      </tp>
      <tp t="s">
        <v/>
        <stp/>
        <stp>##V3_BQLV12</stp>
        <stp>[MODL_CRM_US1.xlsx]Single Period!R129C38</stp>
        <stp>CRM US Equity</stp>
        <stp>CB_BS_ACCT_PYBL_ACC_EXPNSS/1M</stp>
        <stp>FPR=2022Y</stp>
        <stp>FPT=A</stp>
        <stp>FA_ACT_EST_DATA=E, EST_SOURCE=MSR</stp>
        <stp>ACT_EST_MAPPING=PRECISE</stp>
        <stp>FS=MRC</stp>
        <stp>CURRENCY=USD</stp>
        <stp>XLFILL=b</stp>
        <tr r="AL129" s="2"/>
      </tp>
      <tp t="s">
        <v/>
        <stp/>
        <stp>##V3_BQLV12</stp>
        <stp>[MODL_CRM_US1.xlsx]Single Period!R129C41</stp>
        <stp>CRM US Equity</stp>
        <stp>CB_BS_ACCT_PYBL_ACC_EXPNSS/1M</stp>
        <stp>FPR=2022Y</stp>
        <stp>FPT=A</stp>
        <stp>FA_ACT_EST_DATA=E, EST_SOURCE=GSR</stp>
        <stp>ACT_EST_MAPPING=PRECISE</stp>
        <stp>FS=MRC</stp>
        <stp>CURRENCY=USD</stp>
        <stp>XLFILL=b</stp>
        <tr r="AO129" s="2"/>
      </tp>
      <tp t="s">
        <v/>
        <stp/>
        <stp>##V3_BQLV12</stp>
        <stp>[MODL_CRM_US1.xlsx]Single Period!R20C42</stp>
        <stp>CRM US Equity</stp>
        <stp>ADJ_OPERATING_MARGIN</stp>
        <stp>FPR=2022Y</stp>
        <stp>FPT=A</stp>
        <stp>FA_ACT_EST_DATA=E, EST_SOURCE=PSG</stp>
        <stp>ACT_EST_MAPPING=PRECISE</stp>
        <stp>FS=MRC</stp>
        <stp>CURRENCY=USD</stp>
        <stp>XLFILL=b</stp>
        <tr r="AP20" s="2"/>
      </tp>
      <tp t="s">
        <v/>
        <stp/>
        <stp>##V3_BQLV12</stp>
        <stp>[MODL_CRM_US1.xlsx]Single Period!R139C23</stp>
        <stp>CRM US Equity</stp>
        <stp>BS_ADD_PAID_IN_CAP/1M</stp>
        <stp>FPR=2022Y</stp>
        <stp>FPT=A</stp>
        <stp>FA_ACT_EST_DATA=E, EST_SOURCE=JPM</stp>
        <stp>ACT_EST_MAPPING=PRECISE</stp>
        <stp>FS=MRC</stp>
        <stp>CURRENCY=USD</stp>
        <stp>XLFILL=b</stp>
        <tr r="W139" s="2"/>
      </tp>
      <tp t="s">
        <v/>
        <stp/>
        <stp>##V3_BQLV12</stp>
        <stp>[MODL_CRM_US1.xlsx]Single Period!R80C36</stp>
        <stp>CRM US Equity</stp>
        <stp>GROSS_MARGIN</stp>
        <stp>FPR=2022Y</stp>
        <stp>FPT=A</stp>
        <stp>FA_ACT_EST_DATA=E, EST_SOURCE=MAC</stp>
        <stp>ACT_EST_MAPPING=PRECISE</stp>
        <stp>FS=MRC</stp>
        <stp>CURRENCY=USD</stp>
        <stp>XLFILL=b</stp>
        <tr r="AJ80" s="2"/>
      </tp>
      <tp t="s">
        <v/>
        <stp/>
        <stp>##V3_BQLV12</stp>
        <stp>[MODL_CRM_US1.xlsx]Single Period!R129C42</stp>
        <stp>CRM US Equity</stp>
        <stp>CB_BS_ACCT_PYBL_ACC_EXPNSS/1M</stp>
        <stp>FPR=2022Y</stp>
        <stp>FPT=A</stp>
        <stp>FA_ACT_EST_DATA=E, EST_SOURCE=PSG</stp>
        <stp>ACT_EST_MAPPING=PRECISE</stp>
        <stp>FS=MRC</stp>
        <stp>CURRENCY=USD</stp>
        <stp>XLFILL=b</stp>
        <tr r="AP129" s="2"/>
      </tp>
      <tp t="s">
        <v/>
        <stp/>
        <stp>##V3_BQLV12</stp>
        <stp>[MODL_CRM_US1.xlsx]Single Period!R20C37</stp>
        <stp>CRM US Equity</stp>
        <stp>ADJ_OPERATING_MARGIN</stp>
        <stp>FPR=2022Y</stp>
        <stp>FPT=A</stp>
        <stp>FA_ACT_EST_DATA=E, EST_SOURCE=EVR</stp>
        <stp>ACT_EST_MAPPING=PRECISE</stp>
        <stp>FS=MRC</stp>
        <stp>CURRENCY=USD</stp>
        <stp>XLFILL=b</stp>
        <tr r="AK20" s="2"/>
      </tp>
      <tp>
        <v>18.639690654329922</v>
        <stp/>
        <stp>##V3_BQLV12</stp>
        <stp>[MODL_CRM_US1.xlsx]Single Period!R61C5</stp>
        <stp>CRM US Equity</stp>
        <stp>ADJ_OPERATING_MARGIN</stp>
        <stp>FPR=2022Y</stp>
        <stp>FPT=A</stp>
        <stp>FA_ACT_EST_DATA=E</stp>
        <stp>ACT_EST_MAPPING=PRECISE</stp>
        <stp>FS=MRC</stp>
        <stp>CURRENCY=USD</stp>
        <stp>XLFILL=b</stp>
        <tr r="E61" s="2"/>
      </tp>
      <tp>
        <v>18.639690654329922</v>
        <stp/>
        <stp>##V3_BQLV12</stp>
        <stp>[MODL_CRM_US1.xlsx]Single Period!R20C5</stp>
        <stp>CRM US Equity</stp>
        <stp>ADJ_OPERATING_MARGIN</stp>
        <stp>FPR=2022Y</stp>
        <stp>FPT=A</stp>
        <stp>FA_ACT_EST_DATA=E</stp>
        <stp>ACT_EST_MAPPING=PRECISE</stp>
        <stp>FS=MRC</stp>
        <stp>CURRENCY=USD</stp>
        <stp>XLFILL=b</stp>
        <tr r="E20" s="2"/>
      </tp>
      <tp t="s">
        <v/>
        <stp/>
        <stp>##V3_BQLV12</stp>
        <stp>[MODL_CRM_US1.xlsx]Single Period!R178C49</stp>
        <stp>CRM US Equity</stp>
        <stp>CB_CF_REPAYMENT_LT_DEBT/1M</stp>
        <stp>FPR=2022Y</stp>
        <stp>FPT=A</stp>
        <stp>FA_ACT_EST_DATA=E, EST_SOURCE=SGE</stp>
        <stp>ACT_EST_MAPPING=PRECISE</stp>
        <stp>FS=MRC</stp>
        <stp>CURRENCY=USD</stp>
        <stp>XLFILL=b</stp>
        <tr r="AW178" s="2"/>
      </tp>
      <tp t="s">
        <v/>
        <stp/>
        <stp>##V3_BQLV12</stp>
        <stp>[MODL_CRM_US1.xlsx]Single Period!R158C19</stp>
        <stp>CRM US Equity</stp>
        <stp>IS_SBC_NON_GAAP/1M</stp>
        <stp>FPR=2022Y</stp>
        <stp>FPT=A</stp>
        <stp>FA_ACT_EST_DATA=E, EST_SOURCE=SCB</stp>
        <stp>ACT_EST_MAPPING=PRECISE</stp>
        <stp>FS=MRC</stp>
        <stp>CURRENCY=USD</stp>
        <stp>XLFILL=b</stp>
        <tr r="S158" s="2"/>
      </tp>
      <tp>
        <v>2831</v>
        <stp/>
        <stp>##V3_BQLV12</stp>
        <stp>[MODL_CRM_US1.xlsx]Single Period!R158C13</stp>
        <stp>CRM US Equity</stp>
        <stp>IS_SBC_NON_GAAP/1M</stp>
        <stp>FPR=2022Y</stp>
        <stp>FPT=A</stp>
        <stp>FA_ACT_EST_DATA=E, EST_SOURCE=BCA</stp>
        <stp>ACT_EST_MAPPING=PRECISE</stp>
        <stp>FS=MRC</stp>
        <stp>CURRENCY=USD</stp>
        <stp>XLFILL=b</stp>
        <tr r="M158" s="2"/>
      </tp>
      <tp t="s">
        <v/>
        <stp/>
        <stp>##V3_BQLV12</stp>
        <stp>[MODL_CRM_US1.xlsx]Single Period!R86C54</stp>
        <stp>CRM US Equity</stp>
        <stp>IS_GENERAL_AND_ADMIN_GAAP/1M</stp>
        <stp>FPR=2022Y</stp>
        <stp>FPT=A</stp>
        <stp>FA_ACT_EST_DATA=E, EST_SOURCE=ARE</stp>
        <stp>ACT_EST_MAPPING=PRECISE</stp>
        <stp>FS=MRC</stp>
        <stp>CURRENCY=USD</stp>
        <stp>XLFILL=b</stp>
        <tr r="BB86" s="2"/>
      </tp>
      <tp t="s">
        <v/>
        <stp/>
        <stp>##V3_BQLV12</stp>
        <stp>[MODL_CRM_US1.xlsx]Single Period!R158C40</stp>
        <stp>CRM US Equity</stp>
        <stp>IS_SBC_NON_GAAP/1M</stp>
        <stp>FPR=2022Y</stp>
        <stp>FPT=A</stp>
        <stp>FA_ACT_EST_DATA=E, EST_SOURCE=ACC</stp>
        <stp>ACT_EST_MAPPING=PRECISE</stp>
        <stp>FS=MRC</stp>
        <stp>CURRENCY=USD</stp>
        <stp>XLFILL=b</stp>
        <tr r="AN158" s="2"/>
      </tp>
      <tp t="s">
        <v/>
        <stp/>
        <stp>##V3_BQLV12</stp>
        <stp>[MODL_CRM_US1.xlsx]Single Period!R133C25</stp>
        <stp>CRM US Equity</stp>
        <stp>BS_LONG_TERM_BORROWINGS/1M</stp>
        <stp>FPR=2022Y</stp>
        <stp>FPT=A</stp>
        <stp>FA_ACT_EST_DATA=E, EST_SOURCE=WMS</stp>
        <stp>ACT_EST_MAPPING=PRECISE</stp>
        <stp>FS=MRC</stp>
        <stp>CURRENCY=USD</stp>
        <stp>XLFILL=b</stp>
        <tr r="Y133" s="2"/>
      </tp>
      <tp t="s">
        <v/>
        <stp/>
        <stp>##V3_BQLV12</stp>
        <stp>[MODL_CRM_US1.xlsx]Single Period!R133C20</stp>
        <stp>CRM US Equity</stp>
        <stp>BS_LONG_TERM_BORROWINGS/1M</stp>
        <stp>FPR=2022Y</stp>
        <stp>FPT=A</stp>
        <stp>FA_ACT_EST_DATA=E, EST_SOURCE=JMP</stp>
        <stp>ACT_EST_MAPPING=PRECISE</stp>
        <stp>FS=MRC</stp>
        <stp>CURRENCY=USD</stp>
        <stp>XLFILL=b</stp>
        <tr r="T133" s="2"/>
      </tp>
      <tp t="s">
        <v/>
        <stp/>
        <stp>##V3_BQLV12</stp>
        <stp>[MODL_CRM_US1.xlsx]Single Period!R13C37</stp>
        <stp>CRM US Equity</stp>
        <stp>CURRENT_FUTURE_REV_UNDER_CONTRACT/1M</stp>
        <stp>FPR=2022Y</stp>
        <stp>FPT=A</stp>
        <stp>FA_ACT_EST_DATA=E, EST_SOURCE=EVR</stp>
        <stp>ACT_EST_MAPPING=PRECISE</stp>
        <stp>FS=MRC</stp>
        <stp>CURRENCY=USD</stp>
        <stp>XLFILL=b</stp>
        <tr r="AK13" s="2"/>
      </tp>
      <tp>
        <v>17.63419604452012</v>
        <stp/>
        <stp>##V3_BQLV12</stp>
        <stp>[MODL_CRM_US1.xlsx]Single Period!R53C26</stp>
        <stp>CRM US Equity</stp>
        <stp>REVENUE_GROWTH_CC_1_YR</stp>
        <stp>FPR=2022Y</stp>
        <stp>FPT=A</stp>
        <stp>FA_ACT_EST_DATA=E, EST_SOURCE=KEY</stp>
        <stp>ACT_EST_MAPPING=PRECISE</stp>
        <stp>FS=MRC</stp>
        <stp>CURRENCY=USD</stp>
        <stp>XLFILL=b</stp>
        <tr r="Z53" s="2"/>
      </tp>
      <tp t="s">
        <v/>
        <stp/>
        <stp>##V3_BQLV12</stp>
        <stp>[MODL_CRM_US1.xlsx]Single Period!R147C12</stp>
        <stp>CRM US Equity</stp>
        <stp>BV_PER_WEIGHTED_DILUTED_SHARE</stp>
        <stp>FPR=2022Y</stp>
        <stp>FPT=A</stp>
        <stp>FA_ACT_EST_DATA=E, EST_SOURCE=BMO</stp>
        <stp>ACT_EST_MAPPING=PRECISE</stp>
        <stp>FS=MRC</stp>
        <stp>CURRENCY=USD</stp>
        <stp>XLFILL=b</stp>
        <tr r="L147" s="2"/>
      </tp>
      <tp t="s">
        <v/>
        <stp/>
        <stp>##V3_BQLV12</stp>
        <stp>[MODL_CRM_US1.xlsx]Single Period!R178C39</stp>
        <stp>CRM US Equity</stp>
        <stp>CB_CF_REPAYMENT_LT_DEBT/1M</stp>
        <stp>FPR=2022Y</stp>
        <stp>FPT=A</stp>
        <stp>FA_ACT_EST_DATA=E, EST_SOURCE=KGI</stp>
        <stp>ACT_EST_MAPPING=PRECISE</stp>
        <stp>FS=MRC</stp>
        <stp>CURRENCY=USD</stp>
        <stp>XLFILL=b</stp>
        <tr r="AM178" s="2"/>
      </tp>
      <tp t="s">
        <v/>
        <stp/>
        <stp>##V3_BQLV12</stp>
        <stp>[MODL_CRM_US1.xlsx]Single Period!R158C27</stp>
        <stp>CRM US Equity</stp>
        <stp>IS_SBC_NON_GAAP/1M</stp>
        <stp>FPR=2022Y</stp>
        <stp>FPT=A</stp>
        <stp>FA_ACT_EST_DATA=E, EST_SOURCE=LCM</stp>
        <stp>ACT_EST_MAPPING=PRECISE</stp>
        <stp>FS=MRC</stp>
        <stp>CURRENCY=USD</stp>
        <stp>XLFILL=b</stp>
        <tr r="AA158" s="2"/>
      </tp>
      <tp t="s">
        <v/>
        <stp/>
        <stp>##V3_BQLV12</stp>
        <stp>[MODL_CRM_US1.xlsx]Single Period!R53C55</stp>
        <stp>CRM US Equity</stp>
        <stp>REVENUE_GROWTH_CC_1_YR</stp>
        <stp>FPR=2022Y</stp>
        <stp>FPT=A</stp>
        <stp>FA_ACT_EST_DATA=E, EST_SOURCE=RED</stp>
        <stp>ACT_EST_MAPPING=PRECISE</stp>
        <stp>FS=MRC</stp>
        <stp>CURRENCY=USD</stp>
        <stp>XLFILL=b</stp>
        <tr r="BC53" s="2"/>
      </tp>
      <tp>
        <v>2647.3289960000002</v>
        <stp/>
        <stp>##V3_BQLV12</stp>
        <stp>[MODL_CRM_US1.xlsx]Single Period!R86C15</stp>
        <stp>CRM US Equity</stp>
        <stp>IS_GENERAL_AND_ADMIN_GAAP/1M</stp>
        <stp>FPR=2022Y</stp>
        <stp>FPT=A</stp>
        <stp>FA_ACT_EST_DATA=E, EST_SOURCE=MSV</stp>
        <stp>ACT_EST_MAPPING=PRECISE</stp>
        <stp>FS=MRC</stp>
        <stp>CURRENCY=USD</stp>
        <stp>XLFILL=b</stp>
        <tr r="O86" s="2"/>
      </tp>
      <tp t="s">
        <v/>
        <stp/>
        <stp>##V3_BQLV12</stp>
        <stp>[MODL_CRM_US1.xlsx]Single Period!R138C47</stp>
        <stp>CRM US Equity</stp>
        <stp>BS_COMMON_STOCK/1M</stp>
        <stp>FPR=2022Y</stp>
        <stp>FPT=A</stp>
        <stp>FA_ACT_EST_DATA=E, EST_SOURCE=WFT</stp>
        <stp>ACT_EST_MAPPING=PRECISE</stp>
        <stp>FS=MRC</stp>
        <stp>CURRENCY=USD</stp>
        <stp>XLFILL=b</stp>
        <tr r="AU138" s="2"/>
      </tp>
      <tp t="s">
        <v/>
        <stp/>
        <stp>##V3_BQLV12</stp>
        <stp>[MODL_CRM_US1.xlsx]Single Period!R159C37</stp>
        <stp>CRM US Equity</stp>
        <stp>SBC_NON_GAAP_TO_SALES</stp>
        <stp>FPR=2022Y</stp>
        <stp>FPT=A</stp>
        <stp>FA_ACT_EST_DATA=E, EST_SOURCE=EVR</stp>
        <stp>ACT_EST_MAPPING=PRECISE</stp>
        <stp>FS=MRC</stp>
        <stp>CURRENCY=USD</stp>
        <stp>XLFILL=b</stp>
        <tr r="AK159" s="2"/>
      </tp>
      <tp t="s">
        <v/>
        <stp/>
        <stp>##V3_BQLV12</stp>
        <stp>[MODL_CRM_US1.xlsx]Single Period!R13C42</stp>
        <stp>CRM US Equity</stp>
        <stp>CURRENT_FUTURE_REV_UNDER_CONTRACT/1M</stp>
        <stp>FPR=2022Y</stp>
        <stp>FPT=A</stp>
        <stp>FA_ACT_EST_DATA=E, EST_SOURCE=PSG</stp>
        <stp>ACT_EST_MAPPING=PRECISE</stp>
        <stp>FS=MRC</stp>
        <stp>CURRENCY=USD</stp>
        <stp>XLFILL=b</stp>
        <tr r="AP13" s="2"/>
      </tp>
      <tp t="s">
        <v/>
        <stp/>
        <stp>##V3_BQLV12</stp>
        <stp>[MODL_CRM_US1.xlsx]Single Period!R53C34</stp>
        <stp>CRM US Equity</stp>
        <stp>REVENUE_GROWTH_CC_1_YR</stp>
        <stp>FPR=2022Y</stp>
        <stp>FPT=A</stp>
        <stp>FA_ACT_EST_DATA=E, EST_SOURCE=JEF</stp>
        <stp>ACT_EST_MAPPING=PRECISE</stp>
        <stp>FS=MRC</stp>
        <stp>CURRENCY=USD</stp>
        <stp>XLFILL=b</stp>
        <tr r="AH53" s="2"/>
      </tp>
      <tp t="s">
        <v/>
        <stp/>
        <stp>##V3_BQLV12</stp>
        <stp>[MODL_CRM_US1.xlsx]Single Period!R147C20</stp>
        <stp>CRM US Equity</stp>
        <stp>BV_PER_WEIGHTED_DILUTED_SHARE</stp>
        <stp>FPR=2022Y</stp>
        <stp>FPT=A</stp>
        <stp>FA_ACT_EST_DATA=E, EST_SOURCE=JMP</stp>
        <stp>ACT_EST_MAPPING=PRECISE</stp>
        <stp>FS=MRC</stp>
        <stp>CURRENCY=USD</stp>
        <stp>XLFILL=b</stp>
        <tr r="T147" s="2"/>
      </tp>
      <tp t="s">
        <v/>
        <stp/>
        <stp>##V3_BQLV12</stp>
        <stp>[MODL_CRM_US1.xlsx]Single Period!R147C25</stp>
        <stp>CRM US Equity</stp>
        <stp>BV_PER_WEIGHTED_DILUTED_SHARE</stp>
        <stp>FPR=2022Y</stp>
        <stp>FPT=A</stp>
        <stp>FA_ACT_EST_DATA=E, EST_SOURCE=WMS</stp>
        <stp>ACT_EST_MAPPING=PRECISE</stp>
        <stp>FS=MRC</stp>
        <stp>CURRENCY=USD</stp>
        <stp>XLFILL=b</stp>
        <tr r="Y147" s="2"/>
      </tp>
      <tp t="s">
        <v/>
        <stp/>
        <stp>##V3_BQLV12</stp>
        <stp>[MODL_CRM_US1.xlsx]Single Period!R158C51</stp>
        <stp>CRM US Equity</stp>
        <stp>IS_SBC_NON_GAAP/1M</stp>
        <stp>FPR=2022Y</stp>
        <stp>FPT=A</stp>
        <stp>FA_ACT_EST_DATA=E, EST_SOURCE=RCP</stp>
        <stp>ACT_EST_MAPPING=PRECISE</stp>
        <stp>FS=MRC</stp>
        <stp>CURRENCY=USD</stp>
        <stp>XLFILL=b</stp>
        <tr r="AY158" s="2"/>
      </tp>
      <tp t="s">
        <v/>
        <stp/>
        <stp>##V3_BQLV12</stp>
        <stp>[MODL_CRM_US1.xlsx]Single Period!R138C52</stp>
        <stp>CRM US Equity</stp>
        <stp>BS_COMMON_STOCK/1M</stp>
        <stp>FPR=2022Y</stp>
        <stp>FPT=A</stp>
        <stp>FA_ACT_EST_DATA=E, EST_SOURCE=WFR</stp>
        <stp>ACT_EST_MAPPING=PRECISE</stp>
        <stp>FS=MRC</stp>
        <stp>CURRENCY=USD</stp>
        <stp>XLFILL=b</stp>
        <tr r="AZ138" s="2"/>
      </tp>
      <tp t="s">
        <v/>
        <stp/>
        <stp>##V3_BQLV12</stp>
        <stp>[MODL_CRM_US1.xlsx]Single Period!R13C35</stp>
        <stp>CRM US Equity</stp>
        <stp>CURRENT_FUTURE_REV_UNDER_CONTRACT/1M</stp>
        <stp>FPR=2022Y</stp>
        <stp>FPT=A</stp>
        <stp>FA_ACT_EST_DATA=E, EST_SOURCE=ATL</stp>
        <stp>ACT_EST_MAPPING=PRECISE</stp>
        <stp>FS=MRC</stp>
        <stp>CURRENCY=USD</stp>
        <stp>XLFILL=b</stp>
        <tr r="AI13" s="2"/>
      </tp>
      <tp t="s">
        <v/>
        <stp/>
        <stp>##V3_BQLV12</stp>
        <stp>[MODL_CRM_US1.xlsx]Single Period!R163C50</stp>
        <stp>CRM US Equity</stp>
        <stp>CB_CF_OTHR_NONCSH_ITEMS/1M</stp>
        <stp>FPR=2022Y</stp>
        <stp>FPT=A</stp>
        <stp>FA_ACT_EST_DATA=E, EST_SOURCE=MZS</stp>
        <stp>ACT_EST_MAPPING=PRECISE</stp>
        <stp>FS=MRC</stp>
        <stp>CURRENCY=USD</stp>
        <stp>XLFILL=b</stp>
        <tr r="AX163" s="2"/>
      </tp>
      <tp t="s">
        <v/>
        <stp/>
        <stp>##V3_BQLV12</stp>
        <stp>[MODL_CRM_US1.xlsx]Single Period!R133C12</stp>
        <stp>CRM US Equity</stp>
        <stp>BS_LONG_TERM_BORROWINGS/1M</stp>
        <stp>FPR=2022Y</stp>
        <stp>FPT=A</stp>
        <stp>FA_ACT_EST_DATA=E, EST_SOURCE=BMO</stp>
        <stp>ACT_EST_MAPPING=PRECISE</stp>
        <stp>FS=MRC</stp>
        <stp>CURRENCY=USD</stp>
        <stp>XLFILL=b</stp>
        <tr r="L133" s="2"/>
      </tp>
      <tp t="s">
        <v/>
        <stp/>
        <stp>##V3_BQLV12</stp>
        <stp>[MODL_CRM_US1.xlsx]Single Period!R170C52</stp>
        <stp>CRM US Equity</stp>
        <stp>CF_CASH_FOR_ACQUIS_SUBSIDIARIES/1M</stp>
        <stp>FPR=2022Y</stp>
        <stp>FPT=A</stp>
        <stp>FA_ACT_EST_DATA=E, EST_SOURCE=WFR</stp>
        <stp>ACT_EST_MAPPING=PRECISE</stp>
        <stp>FS=MRC</stp>
        <stp>CURRENCY=USD</stp>
        <stp>XLFILL=b</stp>
        <tr r="AZ170" s="2"/>
      </tp>
      <tp>
        <v>71.477086646206729</v>
        <stp/>
        <stp>##V3_BQLV12</stp>
        <stp>[MODL_CRM_US1.xlsx]Single Period!R82C6</stp>
        <stp>CRM US Equity</stp>
        <stp>CONTRIBUTOR_STATS(OPERATING_EXPENSES_TO_NET_SALES, MIN)</stp>
        <stp>FPR=2022Y</stp>
        <stp>FPT=A</stp>
        <stp>FA_ACT_EST_DATA=E</stp>
        <stp>ACT_EST_MAPPING=PRECISE</stp>
        <stp>FS=MRC</stp>
        <stp>CURRENCY=USD</stp>
        <stp>XLFILL=b</stp>
        <tr r="F82" s="2"/>
      </tp>
      <tp t="s">
        <v/>
        <stp/>
        <stp>##V3_BQLV12</stp>
        <stp>[MODL_CRM_US1.xlsx]Single Period!R111C35</stp>
        <stp>CRM US Equity</stp>
        <stp>BS_CASH_CASH_EQUIVALENTS_AND_STI/1M</stp>
        <stp>FPR=2022Y</stp>
        <stp>FPT=A</stp>
        <stp>FA_ACT_EST_DATA=E, EST_SOURCE=ATL</stp>
        <stp>ACT_EST_MAPPING=PRECISE</stp>
        <stp>FS=MRC</stp>
        <stp>CURRENCY=USD</stp>
        <stp>XLFILL=b</stp>
        <tr r="AI111" s="2"/>
      </tp>
      <tp t="s">
        <v/>
        <stp/>
        <stp>##V3_BQLV12</stp>
        <stp>[MODL_CRM_US1.xlsx]Single Period!R150C45</stp>
        <stp>CRM US Equity</stp>
        <stp>CURRENT_FUTURE_REV_UNDER_CONTRACT/1M</stp>
        <stp>FPR=2022Y</stp>
        <stp>FPT=A</stp>
        <stp>FA_ACT_EST_DATA=E, EST_SOURCE=ARG</stp>
        <stp>ACT_EST_MAPPING=PRECISE</stp>
        <stp>FS=MRC</stp>
        <stp>CURRENCY=USD</stp>
        <stp>XLFILL=b</stp>
        <tr r="AS150" s="2"/>
      </tp>
      <tp t="s">
        <v/>
        <stp/>
        <stp>##V3_BQLV12</stp>
        <stp>[MODL_CRM_US1.xlsx]Single Period!R170C47</stp>
        <stp>CRM US Equity</stp>
        <stp>CF_CASH_FOR_ACQUIS_SUBSIDIARIES/1M</stp>
        <stp>FPR=2022Y</stp>
        <stp>FPT=A</stp>
        <stp>FA_ACT_EST_DATA=E, EST_SOURCE=WFT</stp>
        <stp>ACT_EST_MAPPING=PRECISE</stp>
        <stp>FS=MRC</stp>
        <stp>CURRENCY=USD</stp>
        <stp>XLFILL=b</stp>
        <tr r="AU170" s="2"/>
      </tp>
      <tp>
        <v>72.411097378407476</v>
        <stp/>
        <stp>##V3_BQLV12</stp>
        <stp>[MODL_CRM_US1.xlsx]Single Period!R82C7</stp>
        <stp>CRM US Equity</stp>
        <stp>CONTRIBUTOR_STATS(OPERATING_EXPENSES_TO_NET_SALES, MAX)</stp>
        <stp>FPR=2022Y</stp>
        <stp>FPT=A</stp>
        <stp>FA_ACT_EST_DATA=E</stp>
        <stp>ACT_EST_MAPPING=PRECISE</stp>
        <stp>FS=MRC</stp>
        <stp>CURRENCY=USD</stp>
        <stp>XLFILL=b</stp>
        <tr r="G82" s="2"/>
      </tp>
      <tp t="s">
        <v/>
        <stp/>
        <stp>##V3_BQLV12</stp>
        <stp>[MODL_CRM_US1.xlsx]Single Period!R111C54</stp>
        <stp>CRM US Equity</stp>
        <stp>BS_CASH_CASH_EQUIVALENTS_AND_STI/1M</stp>
        <stp>FPR=2022Y</stp>
        <stp>FPT=A</stp>
        <stp>FA_ACT_EST_DATA=E, EST_SOURCE=ARE</stp>
        <stp>ACT_EST_MAPPING=PRECISE</stp>
        <stp>FS=MRC</stp>
        <stp>CURRENCY=USD</stp>
        <stp>XLFILL=b</stp>
        <tr r="BB111" s="2"/>
      </tp>
      <tp t="s">
        <v/>
        <stp/>
        <stp>##V3_BQLV12</stp>
        <stp>[MODL_CRM_US1.xlsx]Single Period!R171C48</stp>
        <stp>CRM US Equity</stp>
        <stp>CF_PURCHASE_OF_FIXED_PROD_ASSETS/1M</stp>
        <stp>FPR=2022Y</stp>
        <stp>FPT=A</stp>
        <stp>FA_ACT_EST_DATA=E, EST_SOURCE=PJE</stp>
        <stp>ACT_EST_MAPPING=PRECISE</stp>
        <stp>FS=MRC</stp>
        <stp>CURRENCY=USD</stp>
        <stp>XLFILL=b</stp>
        <tr r="AV171" s="2"/>
      </tp>
      <tp t="s">
        <v/>
        <stp/>
        <stp>##V3_BQLV12</stp>
        <stp>[MODL_CRM_US1.xlsx]Single Period!R191C36</stp>
        <stp>CRM US Equity</stp>
        <stp>CF_FREE_CASH_FLOW/1M</stp>
        <stp>FPR=2022Y</stp>
        <stp>FPT=A</stp>
        <stp>FA_ACT_EST_DATA=E, EST_SOURCE=MAC</stp>
        <stp>ACT_EST_MAPPING=PRECISE</stp>
        <stp>FS=MRC</stp>
        <stp>CURRENCY=USD</stp>
        <stp>XLFILL=b</stp>
        <tr r="AJ191" s="2"/>
      </tp>
      <tp>
        <v>34.760042400347395</v>
        <stp/>
        <stp>##V3_BQLV12</stp>
        <stp>[MODL_CRM_US1.xlsx]Single Period!R10C8</stp>
        <stp>SEG0000269238 Segment</stp>
        <stp>CONTRIBUTOR_STATS(SALES_REV_TURN, STD)/1M</stp>
        <stp>FPR=2022Y</stp>
        <stp>FPT=A</stp>
        <stp>FA_ACT_EST_DATA=E</stp>
        <stp>ACT_EST_MAPPING=PRECISE</stp>
        <stp>FS=MRC</stp>
        <stp>CURRENCY=USD</stp>
        <stp>XLFILL=b</stp>
        <tr r="H10" s="2"/>
      </tp>
      <tp t="s">
        <v/>
        <stp/>
        <stp>##V3_BQLV12</stp>
        <stp>[MODL_CRM_US1.xlsx]Single Period!R111C42</stp>
        <stp>CRM US Equity</stp>
        <stp>BS_CASH_CASH_EQUIVALENTS_AND_STI/1M</stp>
        <stp>FPR=2022Y</stp>
        <stp>FPT=A</stp>
        <stp>FA_ACT_EST_DATA=E, EST_SOURCE=PSG</stp>
        <stp>ACT_EST_MAPPING=PRECISE</stp>
        <stp>FS=MRC</stp>
        <stp>CURRENCY=USD</stp>
        <stp>XLFILL=b</stp>
        <tr r="AP111" s="2"/>
      </tp>
      <tp>
        <v>383.00121990610404</v>
        <stp/>
        <stp>##V3_BQLV12</stp>
        <stp>[MODL_CRM_US1.xlsx]Single Period!R103C5</stp>
        <stp>CRM US Equity</stp>
        <stp>IS_SBC_ATT_TO_GENL_AND_ADMIN_PRETX/1M</stp>
        <stp>FPR=2022Y</stp>
        <stp>FPT=A</stp>
        <stp>FA_ACT_EST_DATA=E</stp>
        <stp>ACT_EST_MAPPING=PRECISE</stp>
        <stp>FS=MRC</stp>
        <stp>CURRENCY=USD</stp>
        <stp>XLFILL=b</stp>
        <tr r="E103" s="2"/>
      </tp>
      <tp>
        <v>24659.339284424703</v>
        <stp/>
        <stp>##V3_BQLV12</stp>
        <stp>[MODL_CRM_US1.xlsx]Single Period!R10C7</stp>
        <stp>SEG0000269238 Segment</stp>
        <stp>CONTRIBUTOR_STATS(SALES_REV_TURN, MAX)/1M</stp>
        <stp>FPR=2022Y</stp>
        <stp>FPT=A</stp>
        <stp>FA_ACT_EST_DATA=E</stp>
        <stp>ACT_EST_MAPPING=PRECISE</stp>
        <stp>FS=MRC</stp>
        <stp>CURRENCY=USD</stp>
        <stp>XLFILL=b</stp>
        <tr r="G10" s="2"/>
      </tp>
      <tp>
        <v>24540.075000000001</v>
        <stp/>
        <stp>##V3_BQLV12</stp>
        <stp>[MODL_CRM_US1.xlsx]Single Period!R10C6</stp>
        <stp>SEG0000269238 Segment</stp>
        <stp>CONTRIBUTOR_STATS(SALES_REV_TURN, MIN)/1M</stp>
        <stp>FPR=2022Y</stp>
        <stp>FPT=A</stp>
        <stp>FA_ACT_EST_DATA=E</stp>
        <stp>ACT_EST_MAPPING=PRECISE</stp>
        <stp>FS=MRC</stp>
        <stp>CURRENCY=USD</stp>
        <stp>XLFILL=b</stp>
        <tr r="F10" s="2"/>
      </tp>
      <tp t="s">
        <v/>
        <stp/>
        <stp>##V3_BQLV12</stp>
        <stp>[MODL_CRM_US1.xlsx]Single Period!R157C39</stp>
        <stp>CRM US Equity</stp>
        <stp>CF_AMORTIZATN_OF_DEFRRD_COMPNSTN/1M</stp>
        <stp>FPR=2022Y</stp>
        <stp>FPT=A</stp>
        <stp>FA_ACT_EST_DATA=E, EST_SOURCE=KGI</stp>
        <stp>ACT_EST_MAPPING=PRECISE</stp>
        <stp>FS=MRC</stp>
        <stp>CURRENCY=USD</stp>
        <stp>XLFILL=b</stp>
        <tr r="AM157" s="2"/>
      </tp>
      <tp t="s">
        <v/>
        <stp/>
        <stp>##V3_BQLV12</stp>
        <stp>[MODL_CRM_US1.xlsx]Single Period!R111C41</stp>
        <stp>CRM US Equity</stp>
        <stp>BS_CASH_CASH_EQUIVALENTS_AND_STI/1M</stp>
        <stp>FPR=2022Y</stp>
        <stp>FPT=A</stp>
        <stp>FA_ACT_EST_DATA=E, EST_SOURCE=GSR</stp>
        <stp>ACT_EST_MAPPING=PRECISE</stp>
        <stp>FS=MRC</stp>
        <stp>CURRENCY=USD</stp>
        <stp>XLFILL=b</stp>
        <tr r="AO111" s="2"/>
      </tp>
      <tp t="s">
        <v/>
        <stp/>
        <stp>##V3_BQLV12</stp>
        <stp>[MODL_CRM_US1.xlsx]Single Period!R164C17</stp>
        <stp>CRM US Equity</stp>
        <stp>CHG_IN_ACCT_PYBL_AND_ACC_EXPNSS/1M</stp>
        <stp>FPR=2022Y</stp>
        <stp>FPT=A</stp>
        <stp>FA_ACT_EST_DATA=E, EST_SOURCE=NDH</stp>
        <stp>ACT_EST_MAPPING=PRECISE</stp>
        <stp>FS=MRC</stp>
        <stp>CURRENCY=USD</stp>
        <stp>XLFILL=b</stp>
        <tr r="Q164" s="2"/>
      </tp>
      <tp t="s">
        <v/>
        <stp/>
        <stp>##V3_BQLV12</stp>
        <stp>[MODL_CRM_US1.xlsx]Single Period!R191C29</stp>
        <stp>CRM US Equity</stp>
        <stp>CF_FREE_CASH_FLOW/1M</stp>
        <stp>FPR=2022Y</stp>
        <stp>FPT=A</stp>
        <stp>FA_ACT_EST_DATA=E, EST_SOURCE=BNS</stp>
        <stp>ACT_EST_MAPPING=PRECISE</stp>
        <stp>FS=MRC</stp>
        <stp>CURRENCY=USD</stp>
        <stp>XLFILL=b</stp>
        <tr r="AC191" s="2"/>
      </tp>
      <tp>
        <v>589.08367565489118</v>
        <stp/>
        <stp>##V3_BQLV12</stp>
        <stp>[MODL_CRM_US1.xlsx]Single Period!R64C8</stp>
        <stp>CRM US Equity</stp>
        <stp>CONTRIBUTOR_STATS(IS_COMPARABLE_EBITDA, STD)/1M</stp>
        <stp>FPR=2022Y</stp>
        <stp>FPT=A</stp>
        <stp>FA_ACT_EST_DATA=E</stp>
        <stp>ACT_EST_MAPPING=PRECISE</stp>
        <stp>FS=MRC</stp>
        <stp>CURRENCY=USD</stp>
        <stp>XLFILL=b</stp>
        <tr r="H64" s="2"/>
      </tp>
      <tp t="s">
        <v/>
        <stp/>
        <stp>##V3_BQLV12</stp>
        <stp>[MODL_CRM_US1.xlsx]Single Period!R184C19</stp>
        <stp>CRM US Equity</stp>
        <stp>CFO_TO_SALES</stp>
        <stp>FPR=2022Y</stp>
        <stp>FPT=A</stp>
        <stp>FA_ACT_EST_DATA=E, EST_SOURCE=SCB</stp>
        <stp>ACT_EST_MAPPING=PRECISE</stp>
        <stp>FS=MRC</stp>
        <stp>CURRENCY=USD</stp>
        <stp>XLFILL=b</stp>
        <tr r="S184" s="2"/>
      </tp>
      <tp t="s">
        <v/>
        <stp/>
        <stp>##V3_BQLV12</stp>
        <stp>[MODL_CRM_US1.xlsx]Single Period!R184C53</stp>
        <stp>CRM US Equity</stp>
        <stp>CFO_TO_SALES</stp>
        <stp>FPR=2022Y</stp>
        <stp>FPT=A</stp>
        <stp>FA_ACT_EST_DATA=E, EST_SOURCE=NIK</stp>
        <stp>ACT_EST_MAPPING=PRECISE</stp>
        <stp>FS=MRC</stp>
        <stp>CURRENCY=USD</stp>
        <stp>XLFILL=b</stp>
        <tr r="BA184" s="2"/>
      </tp>
      <tp>
        <v>6680</v>
        <stp/>
        <stp>##V3_BQLV12</stp>
        <stp>[MODL_CRM_US1.xlsx]Single Period!R64C6</stp>
        <stp>CRM US Equity</stp>
        <stp>CONTRIBUTOR_STATS(IS_COMPARABLE_EBITDA, MIN)/1M</stp>
        <stp>FPR=2022Y</stp>
        <stp>FPT=A</stp>
        <stp>FA_ACT_EST_DATA=E</stp>
        <stp>ACT_EST_MAPPING=PRECISE</stp>
        <stp>FS=MRC</stp>
        <stp>CURRENCY=USD</stp>
        <stp>XLFILL=b</stp>
        <tr r="F64" s="2"/>
      </tp>
      <tp>
        <v>8977</v>
        <stp/>
        <stp>##V3_BQLV12</stp>
        <stp>[MODL_CRM_US1.xlsx]Single Period!R64C7</stp>
        <stp>CRM US Equity</stp>
        <stp>CONTRIBUTOR_STATS(IS_COMPARABLE_EBITDA, MAX)/1M</stp>
        <stp>FPR=2022Y</stp>
        <stp>FPT=A</stp>
        <stp>FA_ACT_EST_DATA=E</stp>
        <stp>ACT_EST_MAPPING=PRECISE</stp>
        <stp>FS=MRC</stp>
        <stp>CURRENCY=USD</stp>
        <stp>XLFILL=b</stp>
        <tr r="G64" s="2"/>
      </tp>
      <tp t="s">
        <v/>
        <stp/>
        <stp>##V3_BQLV12</stp>
        <stp>[MODL_CRM_US1.xlsx]Single Period!R184C14</stp>
        <stp>CRM US Equity</stp>
        <stp>CFO_TO_SALES</stp>
        <stp>FPR=2022Y</stp>
        <stp>FPT=A</stp>
        <stp>FA_ACT_EST_DATA=E, EST_SOURCE=SNR</stp>
        <stp>ACT_EST_MAPPING=PRECISE</stp>
        <stp>FS=MRC</stp>
        <stp>CURRENCY=USD</stp>
        <stp>XLFILL=b</stp>
        <tr r="N184" s="2"/>
      </tp>
      <tp t="s">
        <v/>
        <stp/>
        <stp>##V3_BQLV12</stp>
        <stp>[MODL_CRM_US1.xlsx]Single Period!R129C10</stp>
        <stp>CRM US Equity</stp>
        <stp>CB_BS_ACCT_PYBL_ACC_EXPNSS/1M</stp>
        <stp>FPR=2022Y</stp>
        <stp>FPT=A</stp>
        <stp>FA_ACT_EST_DATA=E, EST_SOURCE=CMPY</stp>
        <stp>ACT_EST_MAPPING=PRECISE</stp>
        <stp>FS=MRC</stp>
        <stp>CURRENCY=USD</stp>
        <stp>XLFILL=b</stp>
        <tr r="J129" s="2"/>
      </tp>
      <tp t="s">
        <v/>
        <stp/>
        <stp>##V3_BQLV12</stp>
        <stp>[MODL_CRM_US1.xlsx]Single Period!R20C39</stp>
        <stp>CRM US Equity</stp>
        <stp>ADJ_OPERATING_MARGIN</stp>
        <stp>FPR=2022Y</stp>
        <stp>FPT=A</stp>
        <stp>FA_ACT_EST_DATA=E, EST_SOURCE=KGI</stp>
        <stp>ACT_EST_MAPPING=PRECISE</stp>
        <stp>FS=MRC</stp>
        <stp>CURRENCY=USD</stp>
        <stp>XLFILL=b</stp>
        <tr r="AM20" s="2"/>
      </tp>
      <tp t="s">
        <v/>
        <stp/>
        <stp>##V3_BQLV12</stp>
        <stp>[MODL_CRM_US1.xlsx]Single Period!R26C10</stp>
        <stp>SEG0000269247 Segment</stp>
        <stp>SALES_REV_TURN/1M</stp>
        <stp>FPR=2022Y</stp>
        <stp>FPT=A</stp>
        <stp>FA_ACT_EST_DATA=E, EST_SOURCE=CMPY</stp>
        <stp>ACT_EST_MAPPING=PRECISE</stp>
        <stp>FS=MRC</stp>
        <stp>CURRENCY=USD</stp>
        <stp>XLFILL=b</stp>
        <tr r="J26" s="2"/>
      </tp>
      <tp t="s">
        <v/>
        <stp/>
        <stp>##V3_BQLV12</stp>
        <stp>[MODL_CRM_US1.xlsx]Single Period!R32C10</stp>
        <stp>SEG0000269227 Segment</stp>
        <stp>SALES_REV_TURN/1M</stp>
        <stp>FPR=2022Y</stp>
        <stp>FPT=A</stp>
        <stp>FA_ACT_EST_DATA=E, EST_SOURCE=CMPY</stp>
        <stp>ACT_EST_MAPPING=PRECISE</stp>
        <stp>FS=MRC</stp>
        <stp>CURRENCY=USD</stp>
        <stp>XLFILL=b</stp>
        <tr r="J32" s="2"/>
      </tp>
      <tp t="s">
        <v/>
        <stp/>
        <stp>##V3_BQLV12</stp>
        <stp>[MODL_CRM_US1.xlsx]Single Period!R61C53</stp>
        <stp>CRM US Equity</stp>
        <stp>ADJ_OPERATING_MARGIN</stp>
        <stp>FPR=2022Y</stp>
        <stp>FPT=A</stp>
        <stp>FA_ACT_EST_DATA=E, EST_SOURCE=NIK</stp>
        <stp>ACT_EST_MAPPING=PRECISE</stp>
        <stp>FS=MRC</stp>
        <stp>CURRENCY=USD</stp>
        <stp>XLFILL=b</stp>
        <tr r="BA61" s="2"/>
      </tp>
      <tp t="s">
        <v/>
        <stp/>
        <stp>##V3_BQLV12</stp>
        <stp>[MODL_CRM_US1.xlsx]Single Period!R145C46</stp>
        <stp>CRM US Equity</stp>
        <stp>CB_BS_LT_BORROWING/1M</stp>
        <stp>FPR=2022Y</stp>
        <stp>FPT=A</stp>
        <stp>FA_ACT_EST_DATA=E, EST_SOURCE=CTI</stp>
        <stp>ACT_EST_MAPPING=PRECISE</stp>
        <stp>FS=MRC</stp>
        <stp>CURRENCY=USD</stp>
        <stp>XLFILL=b</stp>
        <tr r="AT145" s="2"/>
      </tp>
      <tp t="s">
        <v/>
        <stp/>
        <stp>##V3_BQLV12</stp>
        <stp>[MODL_CRM_US1.xlsx]Single Period!R103C42</stp>
        <stp>CRM US Equity</stp>
        <stp>IS_SBC_ATT_TO_GENL_AND_ADMIN_PRETX/1M</stp>
        <stp>FPR=2022Y</stp>
        <stp>FPT=A</stp>
        <stp>FA_ACT_EST_DATA=E, EST_SOURCE=PSG</stp>
        <stp>ACT_EST_MAPPING=PRECISE</stp>
        <stp>FS=MRC</stp>
        <stp>CURRENCY=USD</stp>
        <stp>XLFILL=b</stp>
        <tr r="AP103" s="2"/>
      </tp>
      <tp t="s">
        <v/>
        <stp/>
        <stp>##V3_BQLV12</stp>
        <stp>[MODL_CRM_US1.xlsx]Single Period!R145C35</stp>
        <stp>CRM US Equity</stp>
        <stp>CB_BS_LT_BORROWING/1M</stp>
        <stp>FPR=2022Y</stp>
        <stp>FPT=A</stp>
        <stp>FA_ACT_EST_DATA=E, EST_SOURCE=ATL</stp>
        <stp>ACT_EST_MAPPING=PRECISE</stp>
        <stp>FS=MRC</stp>
        <stp>CURRENCY=USD</stp>
        <stp>XLFILL=b</stp>
        <tr r="AI145" s="2"/>
      </tp>
      <tp t="s">
        <v/>
        <stp/>
        <stp>##V3_BQLV12</stp>
        <stp>[MODL_CRM_US1.xlsx]Single Period!R61C19</stp>
        <stp>CRM US Equity</stp>
        <stp>ADJ_OPERATING_MARGIN</stp>
        <stp>FPR=2022Y</stp>
        <stp>FPT=A</stp>
        <stp>FA_ACT_EST_DATA=E, EST_SOURCE=SCB</stp>
        <stp>ACT_EST_MAPPING=PRECISE</stp>
        <stp>FS=MRC</stp>
        <stp>CURRENCY=USD</stp>
        <stp>XLFILL=b</stp>
        <tr r="S61" s="2"/>
      </tp>
      <tp t="s">
        <v/>
        <stp/>
        <stp>##V3_BQLV12</stp>
        <stp>[MODL_CRM_US1.xlsx]Single Period!R20C49</stp>
        <stp>CRM US Equity</stp>
        <stp>ADJ_OPERATING_MARGIN</stp>
        <stp>FPR=2022Y</stp>
        <stp>FPT=A</stp>
        <stp>FA_ACT_EST_DATA=E, EST_SOURCE=SGE</stp>
        <stp>ACT_EST_MAPPING=PRECISE</stp>
        <stp>FS=MRC</stp>
        <stp>CURRENCY=USD</stp>
        <stp>XLFILL=b</stp>
        <tr r="AW20" s="2"/>
      </tp>
      <tp t="s">
        <v/>
        <stp/>
        <stp>##V3_BQLV12</stp>
        <stp>[MODL_CRM_US1.xlsx]Single Period!R118C51</stp>
        <stp>CRM US Equity</stp>
        <stp>CB_BS_PP_AND_E_NET/1M</stp>
        <stp>FPR=2022Y</stp>
        <stp>FPT=A</stp>
        <stp>FA_ACT_EST_DATA=E, EST_SOURCE=RCP</stp>
        <stp>ACT_EST_MAPPING=PRECISE</stp>
        <stp>FS=MRC</stp>
        <stp>CURRENCY=USD</stp>
        <stp>XLFILL=b</stp>
        <tr r="AY118" s="2"/>
      </tp>
      <tp t="s">
        <v/>
        <stp/>
        <stp>##V3_BQLV12</stp>
        <stp>[MODL_CRM_US1.xlsx]Single Period!R118C10</stp>
        <stp>CRM US Equity</stp>
        <stp>CB_BS_PP_AND_E_NET/1M</stp>
        <stp>FPR=2022Y</stp>
        <stp>FPT=A</stp>
        <stp>FA_ACT_EST_DATA=E, EST_SOURCE=CMPY</stp>
        <stp>ACT_EST_MAPPING=PRECISE</stp>
        <stp>FS=MRC</stp>
        <stp>CURRENCY=USD</stp>
        <stp>XLFILL=b</stp>
        <tr r="J118" s="2"/>
      </tp>
      <tp>
        <v>7800.4235619828605</v>
        <stp/>
        <stp>##V3_BQLV12</stp>
        <stp>[MODL_CRM_US1.xlsx]Single Period!R179C5</stp>
        <stp>CRM US Equity</stp>
        <stp>CB_CF_NET_CASH_FINANCING_ACT/1M</stp>
        <stp>FPR=2022Y</stp>
        <stp>FPT=A</stp>
        <stp>FA_ACT_EST_DATA=E</stp>
        <stp>ACT_EST_MAPPING=PRECISE</stp>
        <stp>FS=MRC</stp>
        <stp>CURRENCY=USD</stp>
        <stp>XLFILL=b</stp>
        <tr r="E179" s="2"/>
      </tp>
      <tp t="s">
        <v/>
        <stp/>
        <stp>##V3_BQLV12</stp>
        <stp>[MODL_CRM_US1.xlsx]Single Period!R103C41</stp>
        <stp>CRM US Equity</stp>
        <stp>IS_SBC_ATT_TO_GENL_AND_ADMIN_PRETX/1M</stp>
        <stp>FPR=2022Y</stp>
        <stp>FPT=A</stp>
        <stp>FA_ACT_EST_DATA=E, EST_SOURCE=GSR</stp>
        <stp>ACT_EST_MAPPING=PRECISE</stp>
        <stp>FS=MRC</stp>
        <stp>CURRENCY=USD</stp>
        <stp>XLFILL=b</stp>
        <tr r="AO103" s="2"/>
      </tp>
      <tp t="s">
        <v/>
        <stp/>
        <stp>##V3_BQLV12</stp>
        <stp>[MODL_CRM_US1.xlsx]Single Period!R103C38</stp>
        <stp>CRM US Equity</stp>
        <stp>IS_SBC_ATT_TO_GENL_AND_ADMIN_PRETX/1M</stp>
        <stp>FPR=2022Y</stp>
        <stp>FPT=A</stp>
        <stp>FA_ACT_EST_DATA=E, EST_SOURCE=MSR</stp>
        <stp>ACT_EST_MAPPING=PRECISE</stp>
        <stp>FS=MRC</stp>
        <stp>CURRENCY=USD</stp>
        <stp>XLFILL=b</stp>
        <tr r="AL103" s="2"/>
      </tp>
      <tp t="s">
        <v/>
        <stp/>
        <stp>##V3_BQLV12</stp>
        <stp>[MODL_CRM_US1.xlsx]Single Period!R118C27</stp>
        <stp>CRM US Equity</stp>
        <stp>CB_BS_PP_AND_E_NET/1M</stp>
        <stp>FPR=2022Y</stp>
        <stp>FPT=A</stp>
        <stp>FA_ACT_EST_DATA=E, EST_SOURCE=LCM</stp>
        <stp>ACT_EST_MAPPING=PRECISE</stp>
        <stp>FS=MRC</stp>
        <stp>CURRENCY=USD</stp>
        <stp>XLFILL=b</stp>
        <tr r="AA118" s="2"/>
      </tp>
      <tp>
        <v>233.77578383031471</v>
        <stp/>
        <stp>##V3_BQLV12</stp>
        <stp>[MODL_CRM_US1.xlsx]Single Period!R103C15</stp>
        <stp>CRM US Equity</stp>
        <stp>IS_SBC_ATT_TO_GENL_AND_ADMIN_PRETX/1M</stp>
        <stp>FPR=2022Y</stp>
        <stp>FPT=A</stp>
        <stp>FA_ACT_EST_DATA=E, EST_SOURCE=MSV</stp>
        <stp>ACT_EST_MAPPING=PRECISE</stp>
        <stp>FS=MRC</stp>
        <stp>CURRENCY=USD</stp>
        <stp>XLFILL=b</stp>
        <tr r="O103" s="2"/>
      </tp>
      <tp t="s">
        <v/>
        <stp/>
        <stp>##V3_BQLV12</stp>
        <stp>[MODL_CRM_US1.xlsx]Single Period!R61C14</stp>
        <stp>CRM US Equity</stp>
        <stp>ADJ_OPERATING_MARGIN</stp>
        <stp>FPR=2022Y</stp>
        <stp>FPT=A</stp>
        <stp>FA_ACT_EST_DATA=E, EST_SOURCE=SNR</stp>
        <stp>ACT_EST_MAPPING=PRECISE</stp>
        <stp>FS=MRC</stp>
        <stp>CURRENCY=USD</stp>
        <stp>XLFILL=b</stp>
        <tr r="N61" s="2"/>
      </tp>
      <tp t="s">
        <v/>
        <stp/>
        <stp>##V3_BQLV12</stp>
        <stp>[MODL_CRM_US1.xlsx]Single Period!R118C19</stp>
        <stp>CRM US Equity</stp>
        <stp>CB_BS_PP_AND_E_NET/1M</stp>
        <stp>FPR=2022Y</stp>
        <stp>FPT=A</stp>
        <stp>FA_ACT_EST_DATA=E, EST_SOURCE=SCB</stp>
        <stp>ACT_EST_MAPPING=PRECISE</stp>
        <stp>FS=MRC</stp>
        <stp>CURRENCY=USD</stp>
        <stp>XLFILL=b</stp>
        <tr r="S118" s="2"/>
      </tp>
      <tp t="s">
        <v/>
        <stp/>
        <stp>##V3_BQLV12</stp>
        <stp>[MODL_CRM_US1.xlsx]Single Period!R118C40</stp>
        <stp>CRM US Equity</stp>
        <stp>CB_BS_PP_AND_E_NET/1M</stp>
        <stp>FPR=2022Y</stp>
        <stp>FPT=A</stp>
        <stp>FA_ACT_EST_DATA=E, EST_SOURCE=ACC</stp>
        <stp>ACT_EST_MAPPING=PRECISE</stp>
        <stp>FS=MRC</stp>
        <stp>CURRENCY=USD</stp>
        <stp>XLFILL=b</stp>
        <tr r="AN118" s="2"/>
      </tp>
      <tp>
        <v>1599.4896765333331</v>
        <stp/>
        <stp>##V3_BQLV12</stp>
        <stp>[MODL_CRM_US1.xlsx]Single Period!R104C5</stp>
        <stp>CRM US Equity</stp>
        <stp>IS_AMORT_OF_TOT_INTANG_PRETX/1M</stp>
        <stp>FPR=2022Y</stp>
        <stp>FPT=A</stp>
        <stp>FA_ACT_EST_DATA=E</stp>
        <stp>ACT_EST_MAPPING=PRECISE</stp>
        <stp>FS=MRC</stp>
        <stp>CURRENCY=USD</stp>
        <stp>XLFILL=b</stp>
        <tr r="E104" s="2"/>
      </tp>
      <tp>
        <v>2845.1547243631949</v>
        <stp/>
        <stp>##V3_BQLV12</stp>
        <stp>[MODL_CRM_US1.xlsx]Single Period!R118C13</stp>
        <stp>CRM US Equity</stp>
        <stp>CB_BS_PP_AND_E_NET/1M</stp>
        <stp>FPR=2022Y</stp>
        <stp>FPT=A</stp>
        <stp>FA_ACT_EST_DATA=E, EST_SOURCE=BCA</stp>
        <stp>ACT_EST_MAPPING=PRECISE</stp>
        <stp>FS=MRC</stp>
        <stp>CURRENCY=USD</stp>
        <stp>XLFILL=b</stp>
        <tr r="M118" s="2"/>
      </tp>
      <tp t="s">
        <v/>
        <stp/>
        <stp>##V3_BQLV12</stp>
        <stp>[MODL_CRM_US1.xlsx]Single Period!R138C49</stp>
        <stp>CRM US Equity</stp>
        <stp>BS_COMMON_STOCK/1M</stp>
        <stp>FPR=2022Y</stp>
        <stp>FPT=A</stp>
        <stp>FA_ACT_EST_DATA=E, EST_SOURCE=SGE</stp>
        <stp>ACT_EST_MAPPING=PRECISE</stp>
        <stp>FS=MRC</stp>
        <stp>CURRENCY=USD</stp>
        <stp>XLFILL=b</stp>
        <tr r="AW138" s="2"/>
      </tp>
      <tp t="s">
        <v/>
        <stp/>
        <stp>##V3_BQLV12</stp>
        <stp>[MODL_CRM_US1.xlsx]Single Period!R86C45</stp>
        <stp>CRM US Equity</stp>
        <stp>IS_GENERAL_AND_ADMIN_GAAP/1M</stp>
        <stp>FPR=2022Y</stp>
        <stp>FPT=A</stp>
        <stp>FA_ACT_EST_DATA=E, EST_SOURCE=ARG</stp>
        <stp>ACT_EST_MAPPING=PRECISE</stp>
        <stp>FS=MRC</stp>
        <stp>CURRENCY=USD</stp>
        <stp>XLFILL=b</stp>
        <tr r="AS86" s="2"/>
      </tp>
      <tp t="s">
        <v/>
        <stp/>
        <stp>##V3_BQLV12</stp>
        <stp>[MODL_CRM_US1.xlsx]Single Period!R159C44</stp>
        <stp>CRM US Equity</stp>
        <stp>SBC_NON_GAAP_TO_SALES</stp>
        <stp>FPR=2022Y</stp>
        <stp>FPT=A</stp>
        <stp>FA_ACT_EST_DATA=E, EST_SOURCE=RWB</stp>
        <stp>ACT_EST_MAPPING=PRECISE</stp>
        <stp>FS=MRC</stp>
        <stp>CURRENCY=USD</stp>
        <stp>XLFILL=b</stp>
        <tr r="AR159" s="2"/>
      </tp>
      <tp>
        <v>2747.8719999999998</v>
        <stp/>
        <stp>##V3_BQLV12</stp>
        <stp>[MODL_CRM_US1.xlsx]Single Period!R158C24</stp>
        <stp>CRM US Equity</stp>
        <stp>IS_SBC_NON_GAAP/1M</stp>
        <stp>FPR=2022Y</stp>
        <stp>FPT=A</stp>
        <stp>FA_ACT_EST_DATA=E, EST_SOURCE=FBC</stp>
        <stp>ACT_EST_MAPPING=PRECISE</stp>
        <stp>FS=MRC</stp>
        <stp>CURRENCY=USD</stp>
        <stp>XLFILL=b</stp>
        <tr r="X158" s="2"/>
      </tp>
      <tp t="s">
        <v/>
        <stp/>
        <stp>##V3_BQLV12</stp>
        <stp>[MODL_CRM_US1.xlsx]Single Period!R149C10</stp>
        <stp>CRM US Equity</stp>
        <stp>TOT_FUTURE_REV_UNDER_CONTRACT/1M</stp>
        <stp>FPR=2022Y</stp>
        <stp>FPT=A</stp>
        <stp>FA_ACT_EST_DATA=E, EST_SOURCE=CMPY</stp>
        <stp>ACT_EST_MAPPING=PRECISE</stp>
        <stp>FS=MRC</stp>
        <stp>CURRENCY=USD</stp>
        <stp>XLFILL=b</stp>
        <tr r="J149" s="2"/>
      </tp>
      <tp t="s">
        <v/>
        <stp/>
        <stp>##V3_BQLV12</stp>
        <stp>[MODL_CRM_US1.xlsx]Single Period!R158C31</stp>
        <stp>CRM US Equity</stp>
        <stp>IS_SBC_NON_GAAP/1M</stp>
        <stp>FPR=2022Y</stp>
        <stp>FPT=A</stp>
        <stp>FA_ACT_EST_DATA=E, EST_SOURCE=RBC</stp>
        <stp>ACT_EST_MAPPING=PRECISE</stp>
        <stp>FS=MRC</stp>
        <stp>CURRENCY=USD</stp>
        <stp>XLFILL=b</stp>
        <tr r="AE158" s="2"/>
      </tp>
      <tp>
        <v>2828</v>
        <stp/>
        <stp>##V3_BQLV12</stp>
        <stp>[MODL_CRM_US1.xlsx]Single Period!R158C16</stp>
        <stp>CRM US Equity</stp>
        <stp>IS_SBC_NON_GAAP/1M</stp>
        <stp>FPR=2022Y</stp>
        <stp>FPT=A</stp>
        <stp>FA_ACT_EST_DATA=E, EST_SOURCE=DBG</stp>
        <stp>ACT_EST_MAPPING=PRECISE</stp>
        <stp>FS=MRC</stp>
        <stp>CURRENCY=USD</stp>
        <stp>XLFILL=b</stp>
        <tr r="P158" s="2"/>
      </tp>
      <tp t="s">
        <v/>
        <stp/>
        <stp>##V3_BQLV12</stp>
        <stp>[MODL_CRM_US1.xlsx]Single Period!R192C29</stp>
        <stp>CRM US Equity</stp>
        <stp>FREE_CASH_FLOW_MARGIN</stp>
        <stp>FPR=2022Y</stp>
        <stp>FPT=A</stp>
        <stp>FA_ACT_EST_DATA=E, EST_SOURCE=BNS</stp>
        <stp>ACT_EST_MAPPING=PRECISE</stp>
        <stp>FS=MRC</stp>
        <stp>CURRENCY=USD</stp>
        <stp>XLFILL=b</stp>
        <tr r="AC192" s="2"/>
      </tp>
      <tp t="s">
        <v/>
        <stp/>
        <stp>##V3_BQLV12</stp>
        <stp>[MODL_CRM_US1.xlsx]Single Period!R192C14</stp>
        <stp>CRM US Equity</stp>
        <stp>FREE_CASH_FLOW_MARGIN</stp>
        <stp>FPR=2022Y</stp>
        <stp>FPT=A</stp>
        <stp>FA_ACT_EST_DATA=E, EST_SOURCE=SNR</stp>
        <stp>ACT_EST_MAPPING=PRECISE</stp>
        <stp>FS=MRC</stp>
        <stp>CURRENCY=USD</stp>
        <stp>XLFILL=b</stp>
        <tr r="N192" s="2"/>
      </tp>
      <tp t="s">
        <v/>
        <stp/>
        <stp>##V3_BQLV12</stp>
        <stp>[MODL_CRM_US1.xlsx]Single Period!R159C43</stp>
        <stp>CRM US Equity</stp>
        <stp>SBC_NON_GAAP_TO_SALES</stp>
        <stp>FPR=2022Y</stp>
        <stp>FPT=A</stp>
        <stp>FA_ACT_EST_DATA=E, EST_SOURCE=DWI</stp>
        <stp>ACT_EST_MAPPING=PRECISE</stp>
        <stp>FS=MRC</stp>
        <stp>CURRENCY=USD</stp>
        <stp>XLFILL=b</stp>
        <tr r="AQ159" s="2"/>
      </tp>
      <tp t="s">
        <v/>
        <stp/>
        <stp>##V3_BQLV12</stp>
        <stp>[MODL_CRM_US1.xlsx]Single Period!R138C39</stp>
        <stp>CRM US Equity</stp>
        <stp>BS_COMMON_STOCK/1M</stp>
        <stp>FPR=2022Y</stp>
        <stp>FPT=A</stp>
        <stp>FA_ACT_EST_DATA=E, EST_SOURCE=KGI</stp>
        <stp>ACT_EST_MAPPING=PRECISE</stp>
        <stp>FS=MRC</stp>
        <stp>CURRENCY=USD</stp>
        <stp>XLFILL=b</stp>
        <tr r="AM138" s="2"/>
      </tp>
      <tp t="s">
        <v/>
        <stp/>
        <stp>##V3_BQLV12</stp>
        <stp>[MODL_CRM_US1.xlsx]Single Period!R155C50</stp>
        <stp>CRM US Equity</stp>
        <stp>IS_COMP_NET_INCOME_GAAP/1M</stp>
        <stp>FPR=2022Y</stp>
        <stp>FPT=A</stp>
        <stp>FA_ACT_EST_DATA=E, EST_SOURCE=MZS</stp>
        <stp>ACT_EST_MAPPING=PRECISE</stp>
        <stp>FS=MRC</stp>
        <stp>CURRENCY=USD</stp>
        <stp>XLFILL=b</stp>
        <tr r="AX155" s="2"/>
      </tp>
      <tp t="s">
        <v/>
        <stp/>
        <stp>##V3_BQLV12</stp>
        <stp>[MODL_CRM_US1.xlsx]Single Period!R116C14</stp>
        <stp>CRM US Equity</stp>
        <stp>PREPAID_EXPNSS_AND_OTHR/1M</stp>
        <stp>FPR=2022Y</stp>
        <stp>FPT=A</stp>
        <stp>FA_ACT_EST_DATA=E, EST_SOURCE=SNR</stp>
        <stp>ACT_EST_MAPPING=PRECISE</stp>
        <stp>FS=MRC</stp>
        <stp>CURRENCY=USD</stp>
        <stp>XLFILL=b</stp>
        <tr r="N116" s="2"/>
      </tp>
      <tp t="s">
        <v/>
        <stp/>
        <stp>##V3_BQLV12</stp>
        <stp>[MODL_CRM_US1.xlsx]Single Period!R159C28</stp>
        <stp>CRM US Equity</stp>
        <stp>SBC_NON_GAAP_TO_SALES</stp>
        <stp>FPR=2022Y</stp>
        <stp>FPT=A</stp>
        <stp>FA_ACT_EST_DATA=E, EST_SOURCE=CWN</stp>
        <stp>ACT_EST_MAPPING=PRECISE</stp>
        <stp>FS=MRC</stp>
        <stp>CURRENCY=USD</stp>
        <stp>XLFILL=b</stp>
        <tr r="AB159" s="2"/>
      </tp>
      <tp t="s">
        <v/>
        <stp/>
        <stp>##V3_BQLV12</stp>
        <stp>[MODL_CRM_US1.xlsx]Single Period!R158C11</stp>
        <stp>CRM US Equity</stp>
        <stp>IS_SBC_NON_GAAP/1M</stp>
        <stp>FPR=2022Y</stp>
        <stp>FPT=A</stp>
        <stp>FA_ACT_EST_DATA=E, EST_SOURCE=WBL</stp>
        <stp>ACT_EST_MAPPING=PRECISE</stp>
        <stp>FS=MRC</stp>
        <stp>CURRENCY=USD</stp>
        <stp>XLFILL=b</stp>
        <tr r="K158" s="2"/>
      </tp>
      <tp>
        <v>6919.6859819313777</v>
        <stp/>
        <stp>##V3_BQLV12</stp>
        <stp>[MODL_CRM_US1.xlsx]Single Period!R77C5</stp>
        <stp>CRM US Equity</stp>
        <stp>IS_COGS_TO_FE_AND_PP_AND_G/1M</stp>
        <stp>FPR=2022Y</stp>
        <stp>FPT=A</stp>
        <stp>FA_ACT_EST_DATA=E</stp>
        <stp>ACT_EST_MAPPING=PRECISE</stp>
        <stp>FS=MRC</stp>
        <stp>CURRENCY=USD</stp>
        <stp>XLFILL=b</stp>
        <tr r="E77" s="2"/>
      </tp>
      <tp t="s">
        <v/>
        <stp/>
        <stp>##V3_BQLV12</stp>
        <stp>[MODL_CRM_US1.xlsx]Single Period!R116C29</stp>
        <stp>CRM US Equity</stp>
        <stp>PREPAID_EXPNSS_AND_OTHR/1M</stp>
        <stp>FPR=2022Y</stp>
        <stp>FPT=A</stp>
        <stp>FA_ACT_EST_DATA=E, EST_SOURCE=BNS</stp>
        <stp>ACT_EST_MAPPING=PRECISE</stp>
        <stp>FS=MRC</stp>
        <stp>CURRENCY=USD</stp>
        <stp>XLFILL=b</stp>
        <tr r="AC116" s="2"/>
      </tp>
      <tp t="s">
        <v/>
        <stp/>
        <stp>##V3_BQLV12</stp>
        <stp>[MODL_CRM_US1.xlsx]Single Period!R178C47</stp>
        <stp>CRM US Equity</stp>
        <stp>CB_CF_REPAYMENT_LT_DEBT/1M</stp>
        <stp>FPR=2022Y</stp>
        <stp>FPT=A</stp>
        <stp>FA_ACT_EST_DATA=E, EST_SOURCE=WFT</stp>
        <stp>ACT_EST_MAPPING=PRECISE</stp>
        <stp>FS=MRC</stp>
        <stp>CURRENCY=USD</stp>
        <stp>XLFILL=b</stp>
        <tr r="AU178" s="2"/>
      </tp>
      <tp t="s">
        <v/>
        <stp/>
        <stp>##V3_BQLV12</stp>
        <stp>[MODL_CRM_US1.xlsx]Single Period!R158C32</stp>
        <stp>CRM US Equity</stp>
        <stp>IS_SBC_NON_GAAP/1M</stp>
        <stp>FPR=2022Y</stp>
        <stp>FPT=A</stp>
        <stp>FA_ACT_EST_DATA=E, EST_SOURCE=UBS</stp>
        <stp>ACT_EST_MAPPING=PRECISE</stp>
        <stp>FS=MRC</stp>
        <stp>CURRENCY=USD</stp>
        <stp>XLFILL=b</stp>
        <tr r="AF158" s="2"/>
      </tp>
      <tp t="s">
        <v/>
        <stp/>
        <stp>##V3_BQLV12</stp>
        <stp>[MODL_CRM_US1.xlsx]Single Period!R178C52</stp>
        <stp>CRM US Equity</stp>
        <stp>CB_CF_REPAYMENT_LT_DEBT/1M</stp>
        <stp>FPR=2022Y</stp>
        <stp>FPT=A</stp>
        <stp>FA_ACT_EST_DATA=E, EST_SOURCE=WFR</stp>
        <stp>ACT_EST_MAPPING=PRECISE</stp>
        <stp>FS=MRC</stp>
        <stp>CURRENCY=USD</stp>
        <stp>XLFILL=b</stp>
        <tr r="AZ178" s="2"/>
      </tp>
      <tp t="s">
        <v/>
        <stp/>
        <stp>##V3_BQLV12</stp>
        <stp>[MODL_CRM_US1.xlsx]Single Period!R53C17</stp>
        <stp>CRM US Equity</stp>
        <stp>REVENUE_GROWTH_CC_1_YR</stp>
        <stp>FPR=2022Y</stp>
        <stp>FPT=A</stp>
        <stp>FA_ACT_EST_DATA=E, EST_SOURCE=NDH</stp>
        <stp>ACT_EST_MAPPING=PRECISE</stp>
        <stp>FS=MRC</stp>
        <stp>CURRENCY=USD</stp>
        <stp>XLFILL=b</stp>
        <tr r="Q53" s="2"/>
      </tp>
      <tp t="s">
        <v/>
        <stp/>
        <stp>##V3_BQLV12</stp>
        <stp>[MODL_CRM_US1.xlsx]Single Period!R141C28</stp>
        <stp>CRM US Equity</stp>
        <stp>BS_PURE_RETAINED_EARNINGS/1M</stp>
        <stp>FPR=2022Y</stp>
        <stp>FPT=A</stp>
        <stp>FA_ACT_EST_DATA=E, EST_SOURCE=CWN</stp>
        <stp>ACT_EST_MAPPING=PRECISE</stp>
        <stp>FS=MRC</stp>
        <stp>CURRENCY=USD</stp>
        <stp>XLFILL=b</stp>
        <tr r="AB141" s="2"/>
      </tp>
      <tp t="s">
        <v/>
        <stp/>
        <stp>##V3_BQLV12</stp>
        <stp>[MODL_CRM_US1.xlsx]Single Period!R150C54</stp>
        <stp>CRM US Equity</stp>
        <stp>CURRENT_FUTURE_REV_UNDER_CONTRACT/1M</stp>
        <stp>FPR=2022Y</stp>
        <stp>FPT=A</stp>
        <stp>FA_ACT_EST_DATA=E, EST_SOURCE=ARE</stp>
        <stp>ACT_EST_MAPPING=PRECISE</stp>
        <stp>FS=MRC</stp>
        <stp>CURRENCY=USD</stp>
        <stp>XLFILL=b</stp>
        <tr r="BB150" s="2"/>
      </tp>
      <tp t="s">
        <v/>
        <stp/>
        <stp>##V3_BQLV12</stp>
        <stp>[MODL_CRM_US1.xlsx]Single Period!R111C45</stp>
        <stp>CRM US Equity</stp>
        <stp>BS_CASH_CASH_EQUIVALENTS_AND_STI/1M</stp>
        <stp>FPR=2022Y</stp>
        <stp>FPT=A</stp>
        <stp>FA_ACT_EST_DATA=E, EST_SOURCE=ARG</stp>
        <stp>ACT_EST_MAPPING=PRECISE</stp>
        <stp>FS=MRC</stp>
        <stp>CURRENCY=USD</stp>
        <stp>XLFILL=b</stp>
        <tr r="AS111" s="2"/>
      </tp>
      <tp t="s">
        <v/>
        <stp/>
        <stp>##V3_BQLV12</stp>
        <stp>[MODL_CRM_US1.xlsx]Single Period!R164C26</stp>
        <stp>CRM US Equity</stp>
        <stp>CHG_IN_ACCT_PYBL_AND_ACC_EXPNSS/1M</stp>
        <stp>FPR=2022Y</stp>
        <stp>FPT=A</stp>
        <stp>FA_ACT_EST_DATA=E, EST_SOURCE=KEY</stp>
        <stp>ACT_EST_MAPPING=PRECISE</stp>
        <stp>FS=MRC</stp>
        <stp>CURRENCY=USD</stp>
        <stp>XLFILL=b</stp>
        <tr r="Z164" s="2"/>
      </tp>
      <tp>
        <v>4760.492776251911</v>
        <stp/>
        <stp>##V3_BQLV12</stp>
        <stp>[MODL_CRM_US1.xlsx]Single Period!R191C24</stp>
        <stp>CRM US Equity</stp>
        <stp>CF_FREE_CASH_FLOW/1M</stp>
        <stp>FPR=2022Y</stp>
        <stp>FPT=A</stp>
        <stp>FA_ACT_EST_DATA=E, EST_SOURCE=FBC</stp>
        <stp>ACT_EST_MAPPING=PRECISE</stp>
        <stp>FS=MRC</stp>
        <stp>CURRENCY=USD</stp>
        <stp>XLFILL=b</stp>
        <tr r="X191" s="2"/>
      </tp>
      <tp t="s">
        <v/>
        <stp/>
        <stp>##V3_BQLV12</stp>
        <stp>[MODL_CRM_US1.xlsx]Single Period!R176C52</stp>
        <stp>CRM US Equity</stp>
        <stp>CF_INCR_CAP_STOCK/1M</stp>
        <stp>FPR=2022Y</stp>
        <stp>FPT=A</stp>
        <stp>FA_ACT_EST_DATA=E, EST_SOURCE=WFR</stp>
        <stp>ACT_EST_MAPPING=PRECISE</stp>
        <stp>FS=MRC</stp>
        <stp>CURRENCY=USD</stp>
        <stp>XLFILL=b</stp>
        <tr r="AZ176" s="2"/>
      </tp>
      <tp>
        <v>-600</v>
        <stp/>
        <stp>##V3_BQLV12</stp>
        <stp>[MODL_CRM_US1.xlsx]Single Period!R171C25</stp>
        <stp>CRM US Equity</stp>
        <stp>CF_PURCHASE_OF_FIXED_PROD_ASSETS/1M</stp>
        <stp>FPR=2022Y</stp>
        <stp>FPT=A</stp>
        <stp>FA_ACT_EST_DATA=E, EST_SOURCE=WMS</stp>
        <stp>ACT_EST_MAPPING=PRECISE</stp>
        <stp>FS=MRC</stp>
        <stp>CURRENCY=USD</stp>
        <stp>XLFILL=b</stp>
        <tr r="Y171" s="2"/>
      </tp>
      <tp t="s">
        <v/>
        <stp/>
        <stp>##V3_BQLV12</stp>
        <stp>[MODL_CRM_US1.xlsx]Single Period!R171C14</stp>
        <stp>CRM US Equity</stp>
        <stp>CF_PURCHASE_OF_FIXED_PROD_ASSETS/1M</stp>
        <stp>FPR=2022Y</stp>
        <stp>FPT=A</stp>
        <stp>FA_ACT_EST_DATA=E, EST_SOURCE=SNR</stp>
        <stp>ACT_EST_MAPPING=PRECISE</stp>
        <stp>FS=MRC</stp>
        <stp>CURRENCY=USD</stp>
        <stp>XLFILL=b</stp>
        <tr r="N171" s="2"/>
      </tp>
      <tp t="s">
        <v/>
        <stp/>
        <stp>##V3_BQLV12</stp>
        <stp>[MODL_CRM_US1.xlsx]Single Period!R176C27</stp>
        <stp>CRM US Equity</stp>
        <stp>CF_INCR_CAP_STOCK/1M</stp>
        <stp>FPR=2022Y</stp>
        <stp>FPT=A</stp>
        <stp>FA_ACT_EST_DATA=E, EST_SOURCE=LCM</stp>
        <stp>ACT_EST_MAPPING=PRECISE</stp>
        <stp>FS=MRC</stp>
        <stp>CURRENCY=USD</stp>
        <stp>XLFILL=b</stp>
        <tr r="AA176" s="2"/>
      </tp>
      <tp t="s">
        <v/>
        <stp/>
        <stp>##V3_BQLV12</stp>
        <stp>[MODL_CRM_US1.xlsx]Single Period!R164C55</stp>
        <stp>CRM US Equity</stp>
        <stp>CHG_IN_ACCT_PYBL_AND_ACC_EXPNSS/1M</stp>
        <stp>FPR=2022Y</stp>
        <stp>FPT=A</stp>
        <stp>FA_ACT_EST_DATA=E, EST_SOURCE=RED</stp>
        <stp>ACT_EST_MAPPING=PRECISE</stp>
        <stp>FS=MRC</stp>
        <stp>CURRENCY=USD</stp>
        <stp>XLFILL=b</stp>
        <tr r="BC164" s="2"/>
      </tp>
      <tp t="s">
        <v/>
        <stp/>
        <stp>##V3_BQLV12</stp>
        <stp>[MODL_CRM_US1.xlsx]Single Period!R150C15</stp>
        <stp>CRM US Equity</stp>
        <stp>CURRENT_FUTURE_REV_UNDER_CONTRACT/1M</stp>
        <stp>FPR=2022Y</stp>
        <stp>FPT=A</stp>
        <stp>FA_ACT_EST_DATA=E, EST_SOURCE=MSV</stp>
        <stp>ACT_EST_MAPPING=PRECISE</stp>
        <stp>FS=MRC</stp>
        <stp>CURRENCY=USD</stp>
        <stp>XLFILL=b</stp>
        <tr r="O150" s="2"/>
      </tp>
      <tp t="s">
        <v/>
        <stp/>
        <stp>##V3_BQLV12</stp>
        <stp>[MODL_CRM_US1.xlsx]Single Period!R170C49</stp>
        <stp>CRM US Equity</stp>
        <stp>CF_CASH_FOR_ACQUIS_SUBSIDIARIES/1M</stp>
        <stp>FPR=2022Y</stp>
        <stp>FPT=A</stp>
        <stp>FA_ACT_EST_DATA=E, EST_SOURCE=SGE</stp>
        <stp>ACT_EST_MAPPING=PRECISE</stp>
        <stp>FS=MRC</stp>
        <stp>CURRENCY=USD</stp>
        <stp>XLFILL=b</stp>
        <tr r="AW170" s="2"/>
      </tp>
      <tp>
        <v>-781.36</v>
        <stp/>
        <stp>##V3_BQLV12</stp>
        <stp>[MODL_CRM_US1.xlsx]Single Period!R171C20</stp>
        <stp>CRM US Equity</stp>
        <stp>CF_PURCHASE_OF_FIXED_PROD_ASSETS/1M</stp>
        <stp>FPR=2022Y</stp>
        <stp>FPT=A</stp>
        <stp>FA_ACT_EST_DATA=E, EST_SOURCE=JMP</stp>
        <stp>ACT_EST_MAPPING=PRECISE</stp>
        <stp>FS=MRC</stp>
        <stp>CURRENCY=USD</stp>
        <stp>XLFILL=b</stp>
        <tr r="T171" s="2"/>
      </tp>
      <tp t="s">
        <v/>
        <stp/>
        <stp>##V3_BQLV12</stp>
        <stp>[MODL_CRM_US1.xlsx]Single Period!R164C34</stp>
        <stp>CRM US Equity</stp>
        <stp>CHG_IN_ACCT_PYBL_AND_ACC_EXPNSS/1M</stp>
        <stp>FPR=2022Y</stp>
        <stp>FPT=A</stp>
        <stp>FA_ACT_EST_DATA=E, EST_SOURCE=JEF</stp>
        <stp>ACT_EST_MAPPING=PRECISE</stp>
        <stp>FS=MRC</stp>
        <stp>CURRENCY=USD</stp>
        <stp>XLFILL=b</stp>
        <tr r="AH164" s="2"/>
      </tp>
      <tp>
        <v>1312</v>
        <stp/>
        <stp>##V3_BQLV12</stp>
        <stp>[MODL_CRM_US1.xlsx]Single Period!R157C17</stp>
        <stp>CRM US Equity</stp>
        <stp>CF_AMORTIZATN_OF_DEFRRD_COMPNSTN/1M</stp>
        <stp>FPR=2022Y</stp>
        <stp>FPT=A</stp>
        <stp>FA_ACT_EST_DATA=E, EST_SOURCE=NDH</stp>
        <stp>ACT_EST_MAPPING=PRECISE</stp>
        <stp>FS=MRC</stp>
        <stp>CURRENCY=USD</stp>
        <stp>XLFILL=b</stp>
        <tr r="Q157" s="2"/>
      </tp>
      <tp>
        <v>1030</v>
        <stp/>
        <stp>##V3_BQLV12</stp>
        <stp>[MODL_CRM_US1.xlsx]Single Period!R176C16</stp>
        <stp>CRM US Equity</stp>
        <stp>CF_INCR_CAP_STOCK/1M</stp>
        <stp>FPR=2022Y</stp>
        <stp>FPT=A</stp>
        <stp>FA_ACT_EST_DATA=E, EST_SOURCE=DBG</stp>
        <stp>ACT_EST_MAPPING=PRECISE</stp>
        <stp>FS=MRC</stp>
        <stp>CURRENCY=USD</stp>
        <stp>XLFILL=b</stp>
        <tr r="P176" s="2"/>
      </tp>
      <tp t="s">
        <v/>
        <stp/>
        <stp>##V3_BQLV12</stp>
        <stp>[MODL_CRM_US1.xlsx]Single Period!R170C39</stp>
        <stp>CRM US Equity</stp>
        <stp>CF_CASH_FOR_ACQUIS_SUBSIDIARIES/1M</stp>
        <stp>FPR=2022Y</stp>
        <stp>FPT=A</stp>
        <stp>FA_ACT_EST_DATA=E, EST_SOURCE=KGI</stp>
        <stp>ACT_EST_MAPPING=PRECISE</stp>
        <stp>FS=MRC</stp>
        <stp>CURRENCY=USD</stp>
        <stp>XLFILL=b</stp>
        <tr r="AM170" s="2"/>
      </tp>
      <tp t="s">
        <v/>
        <stp/>
        <stp>##V3_BQLV12</stp>
        <stp>[MODL_CRM_US1.xlsx]Single Period!R184C21</stp>
        <stp>CRM US Equity</stp>
        <stp>CFO_TO_SALES</stp>
        <stp>FPR=2022Y</stp>
        <stp>FPT=A</stp>
        <stp>FA_ACT_EST_DATA=E, EST_SOURCE=RJA</stp>
        <stp>ACT_EST_MAPPING=PRECISE</stp>
        <stp>FS=MRC</stp>
        <stp>CURRENCY=USD</stp>
        <stp>XLFILL=b</stp>
        <tr r="U184" s="2"/>
      </tp>
      <tp t="s">
        <v/>
        <stp/>
        <stp>##V3_BQLV12</stp>
        <stp>[MODL_CRM_US1.xlsx]Single Period!R92C33</stp>
        <stp>CRM US Equity</stp>
        <stp>PROF_MARGIN</stp>
        <stp>FPR=2022Y</stp>
        <stp>FPT=A</stp>
        <stp>FA_ACT_EST_DATA=E, EST_SOURCE=RHR</stp>
        <stp>ACT_EST_MAPPING=PRECISE</stp>
        <stp>FS=MRC</stp>
        <stp>CURRENCY=USD</stp>
        <stp>XLFILL=b</stp>
        <tr r="AG92" s="2"/>
      </tp>
      <tp>
        <v>4.67</v>
        <stp/>
        <stp>##V3_BQLV12</stp>
        <stp>[MODL_CRM_US1.xlsx]Single Period!R74C12</stp>
        <stp>CRM US Equity</stp>
        <stp>IS_COMP_EPS_EXCL_STOCK_COMP</stp>
        <stp>FPR=2022Y</stp>
        <stp>FPT=A</stp>
        <stp>FA_ACT_EST_DATA=E, EST_SOURCE=BMO</stp>
        <stp>ACT_EST_MAPPING=PRECISE</stp>
        <stp>FS=MRC</stp>
        <stp>CURRENCY=USD</stp>
        <stp>XLFILL=b</stp>
        <tr r="L74" s="2"/>
      </tp>
      <tp t="s">
        <v/>
        <stp/>
        <stp>##V3_BQLV12</stp>
        <stp>[MODL_CRM_US1.xlsx]Single Period!R136C10</stp>
        <stp>CRM US Equity</stp>
        <stp>BS_TOTAL_LIABILITIES/1M</stp>
        <stp>FPR=2022Y</stp>
        <stp>FPT=A</stp>
        <stp>FA_ACT_EST_DATA=E, EST_SOURCE=CMPY</stp>
        <stp>ACT_EST_MAPPING=PRECISE</stp>
        <stp>FS=MRC</stp>
        <stp>CURRENCY=USD</stp>
        <stp>XLFILL=b</stp>
        <tr r="J136" s="2"/>
      </tp>
      <tp t="s">
        <v/>
        <stp/>
        <stp>##V3_BQLV12</stp>
        <stp>[MODL_CRM_US1.xlsx]Single Period!R74C53</stp>
        <stp>CRM US Equity</stp>
        <stp>IS_COMP_EPS_EXCL_STOCK_COMP</stp>
        <stp>FPR=2022Y</stp>
        <stp>FPT=A</stp>
        <stp>FA_ACT_EST_DATA=E, EST_SOURCE=NIK</stp>
        <stp>ACT_EST_MAPPING=PRECISE</stp>
        <stp>FS=MRC</stp>
        <stp>CURRENCY=USD</stp>
        <stp>XLFILL=b</stp>
        <tr r="BA74" s="2"/>
      </tp>
      <tp t="s">
        <v/>
        <stp/>
        <stp>##V3_BQLV12</stp>
        <stp>[MODL_CRM_US1.xlsx]Single Period!R74C56</stp>
        <stp>CRM US Equity</stp>
        <stp>IS_COMP_EPS_EXCL_STOCK_COMP</stp>
        <stp>FPR=2022Y</stp>
        <stp>FPT=A</stp>
        <stp>FA_ACT_EST_DATA=E, EST_SOURCE=DIR</stp>
        <stp>ACT_EST_MAPPING=PRECISE</stp>
        <stp>FS=MRC</stp>
        <stp>CURRENCY=USD</stp>
        <stp>XLFILL=b</stp>
        <tr r="BD74" s="2"/>
      </tp>
      <tp t="s">
        <v/>
        <stp/>
        <stp>##V3_BQLV12</stp>
        <stp>[MODL_CRM_US1.xlsx]Single Period!R184C33</stp>
        <stp>CRM US Equity</stp>
        <stp>CFO_TO_SALES</stp>
        <stp>FPR=2022Y</stp>
        <stp>FPT=A</stp>
        <stp>FA_ACT_EST_DATA=E, EST_SOURCE=RHR</stp>
        <stp>ACT_EST_MAPPING=PRECISE</stp>
        <stp>FS=MRC</stp>
        <stp>CURRENCY=USD</stp>
        <stp>XLFILL=b</stp>
        <tr r="AG184" s="2"/>
      </tp>
      <tp t="s">
        <v/>
        <stp/>
        <stp>##V3_BQLV12</stp>
        <stp>[MODL_CRM_US1.xlsx]Single Period!R135C10</stp>
        <stp>CRM US Equity</stp>
        <stp>CB_BS_OTHER_NONCURRENT_LIABS/1M</stp>
        <stp>FPR=2022Y</stp>
        <stp>FPT=A</stp>
        <stp>FA_ACT_EST_DATA=E, EST_SOURCE=CMPY</stp>
        <stp>ACT_EST_MAPPING=PRECISE</stp>
        <stp>FS=MRC</stp>
        <stp>CURRENCY=USD</stp>
        <stp>XLFILL=b</stp>
        <tr r="J135" s="2"/>
      </tp>
      <tp>
        <v>4.67</v>
        <stp/>
        <stp>##V3_BQLV12</stp>
        <stp>[MODL_CRM_US1.xlsx]Single Period!R74C29</stp>
        <stp>CRM US Equity</stp>
        <stp>IS_COMP_EPS_EXCL_STOCK_COMP</stp>
        <stp>FPR=2022Y</stp>
        <stp>FPT=A</stp>
        <stp>FA_ACT_EST_DATA=E, EST_SOURCE=BNS</stp>
        <stp>ACT_EST_MAPPING=PRECISE</stp>
        <stp>FS=MRC</stp>
        <stp>CURRENCY=USD</stp>
        <stp>XLFILL=b</stp>
        <tr r="AC74" s="2"/>
      </tp>
      <tp t="s">
        <v/>
        <stp/>
        <stp>##V3_BQLV12</stp>
        <stp>[MODL_CRM_US1.xlsx]Single Period!R103C45</stp>
        <stp>CRM US Equity</stp>
        <stp>IS_SBC_ATT_TO_GENL_AND_ADMIN_PRETX/1M</stp>
        <stp>FPR=2022Y</stp>
        <stp>FPT=A</stp>
        <stp>FA_ACT_EST_DATA=E, EST_SOURCE=ARG</stp>
        <stp>ACT_EST_MAPPING=PRECISE</stp>
        <stp>FS=MRC</stp>
        <stp>CURRENCY=USD</stp>
        <stp>XLFILL=b</stp>
        <tr r="AS103" s="2"/>
      </tp>
      <tp t="s">
        <v/>
        <stp/>
        <stp>##V3_BQLV12</stp>
        <stp>[MODL_CRM_US1.xlsx]Single Period!R103C54</stp>
        <stp>CRM US Equity</stp>
        <stp>IS_SBC_ATT_TO_GENL_AND_ADMIN_PRETX/1M</stp>
        <stp>FPR=2022Y</stp>
        <stp>FPT=A</stp>
        <stp>FA_ACT_EST_DATA=E, EST_SOURCE=ARE</stp>
        <stp>ACT_EST_MAPPING=PRECISE</stp>
        <stp>FS=MRC</stp>
        <stp>CURRENCY=USD</stp>
        <stp>XLFILL=b</stp>
        <tr r="BB103" s="2"/>
      </tp>
      <tp t="s">
        <v/>
        <stp/>
        <stp>##V3_BQLV12</stp>
        <stp>[MODL_CRM_US1.xlsx]Single Period!R20C12</stp>
        <stp>CRM US Equity</stp>
        <stp>ADJ_OPERATING_MARGIN</stp>
        <stp>FPR=2022Y</stp>
        <stp>FPT=A</stp>
        <stp>FA_ACT_EST_DATA=E, EST_SOURCE=BMO</stp>
        <stp>ACT_EST_MAPPING=PRECISE</stp>
        <stp>FS=MRC</stp>
        <stp>CURRENCY=USD</stp>
        <stp>XLFILL=b</stp>
        <tr r="L20" s="2"/>
      </tp>
      <tp>
        <v>18.57181291336628</v>
        <stp/>
        <stp>##V3_BQLV12</stp>
        <stp>[MODL_CRM_US1.xlsx]Single Period!R61C21</stp>
        <stp>CRM US Equity</stp>
        <stp>ADJ_OPERATING_MARGIN</stp>
        <stp>FPR=2022Y</stp>
        <stp>FPT=A</stp>
        <stp>FA_ACT_EST_DATA=E, EST_SOURCE=RJA</stp>
        <stp>ACT_EST_MAPPING=PRECISE</stp>
        <stp>FS=MRC</stp>
        <stp>CURRENCY=USD</stp>
        <stp>XLFILL=b</stp>
        <tr r="U61" s="2"/>
      </tp>
      <tp t="s">
        <v/>
        <stp/>
        <stp>##V3_BQLV12</stp>
        <stp>[MODL_CRM_US1.xlsx]Single Period!R139C29</stp>
        <stp>CRM US Equity</stp>
        <stp>BS_ADD_PAID_IN_CAP/1M</stp>
        <stp>FPR=2022Y</stp>
        <stp>FPT=A</stp>
        <stp>FA_ACT_EST_DATA=E, EST_SOURCE=BNS</stp>
        <stp>ACT_EST_MAPPING=PRECISE</stp>
        <stp>FS=MRC</stp>
        <stp>CURRENCY=USD</stp>
        <stp>XLFILL=b</stp>
        <tr r="AC139" s="2"/>
      </tp>
      <tp t="s">
        <v/>
        <stp/>
        <stp>##V3_BQLV12</stp>
        <stp>[MODL_CRM_US1.xlsx]Single Period!R139C14</stp>
        <stp>CRM US Equity</stp>
        <stp>BS_ADD_PAID_IN_CAP/1M</stp>
        <stp>FPR=2022Y</stp>
        <stp>FPT=A</stp>
        <stp>FA_ACT_EST_DATA=E, EST_SOURCE=SNR</stp>
        <stp>ACT_EST_MAPPING=PRECISE</stp>
        <stp>FS=MRC</stp>
        <stp>CURRENCY=USD</stp>
        <stp>XLFILL=b</stp>
        <tr r="N139" s="2"/>
      </tp>
      <tp t="s">
        <v/>
        <stp/>
        <stp>##V3_BQLV12</stp>
        <stp>[MODL_CRM_US1.xlsx]Single Period!R129C25</stp>
        <stp>CRM US Equity</stp>
        <stp>CB_BS_ACCT_PYBL_ACC_EXPNSS/1M</stp>
        <stp>FPR=2022Y</stp>
        <stp>FPT=A</stp>
        <stp>FA_ACT_EST_DATA=E, EST_SOURCE=WMS</stp>
        <stp>ACT_EST_MAPPING=PRECISE</stp>
        <stp>FS=MRC</stp>
        <stp>CURRENCY=USD</stp>
        <stp>XLFILL=b</stp>
        <tr r="Y129" s="2"/>
      </tp>
      <tp t="s">
        <v/>
        <stp/>
        <stp>##V3_BQLV12</stp>
        <stp>[MODL_CRM_US1.xlsx]Single Period!R118C32</stp>
        <stp>CRM US Equity</stp>
        <stp>CB_BS_PP_AND_E_NET/1M</stp>
        <stp>FPR=2022Y</stp>
        <stp>FPT=A</stp>
        <stp>FA_ACT_EST_DATA=E, EST_SOURCE=UBS</stp>
        <stp>ACT_EST_MAPPING=PRECISE</stp>
        <stp>FS=MRC</stp>
        <stp>CURRENCY=USD</stp>
        <stp>XLFILL=b</stp>
        <tr r="AF118" s="2"/>
      </tp>
      <tp t="s">
        <v/>
        <stp/>
        <stp>##V3_BQLV12</stp>
        <stp>[MODL_CRM_US1.xlsx]Single Period!R129C20</stp>
        <stp>CRM US Equity</stp>
        <stp>CB_BS_ACCT_PYBL_ACC_EXPNSS/1M</stp>
        <stp>FPR=2022Y</stp>
        <stp>FPT=A</stp>
        <stp>FA_ACT_EST_DATA=E, EST_SOURCE=JMP</stp>
        <stp>ACT_EST_MAPPING=PRECISE</stp>
        <stp>FS=MRC</stp>
        <stp>CURRENCY=USD</stp>
        <stp>XLFILL=b</stp>
        <tr r="T129" s="2"/>
      </tp>
      <tp t="s">
        <v/>
        <stp/>
        <stp>##V3_BQLV12</stp>
        <stp>[MODL_CRM_US1.xlsx]Single Period!R129C12</stp>
        <stp>CRM US Equity</stp>
        <stp>CB_BS_ACCT_PYBL_ACC_EXPNSS/1M</stp>
        <stp>FPR=2022Y</stp>
        <stp>FPT=A</stp>
        <stp>FA_ACT_EST_DATA=E, EST_SOURCE=BMO</stp>
        <stp>ACT_EST_MAPPING=PRECISE</stp>
        <stp>FS=MRC</stp>
        <stp>CURRENCY=USD</stp>
        <stp>XLFILL=b</stp>
        <tr r="L129" s="2"/>
      </tp>
      <tp t="s">
        <v/>
        <stp/>
        <stp>##V3_BQLV12</stp>
        <stp>[MODL_CRM_US1.xlsx]Single Period!R118C11</stp>
        <stp>CRM US Equity</stp>
        <stp>CB_BS_PP_AND_E_NET/1M</stp>
        <stp>FPR=2022Y</stp>
        <stp>FPT=A</stp>
        <stp>FA_ACT_EST_DATA=E, EST_SOURCE=WBL</stp>
        <stp>ACT_EST_MAPPING=PRECISE</stp>
        <stp>FS=MRC</stp>
        <stp>CURRENCY=USD</stp>
        <stp>XLFILL=b</stp>
        <tr r="K118" s="2"/>
      </tp>
      <tp t="s">
        <v/>
        <stp/>
        <stp>##V3_BQLV12</stp>
        <stp>[MODL_CRM_US1.xlsx]Single Period!R115C36</stp>
        <stp>CRM US Equity</stp>
        <stp>CB_BS_OTHER_CURRENT_ASSETS/1M</stp>
        <stp>FPR=2022Y</stp>
        <stp>FPT=A</stp>
        <stp>FA_ACT_EST_DATA=E, EST_SOURCE=MAC</stp>
        <stp>ACT_EST_MAPPING=PRECISE</stp>
        <stp>FS=MRC</stp>
        <stp>CURRENCY=USD</stp>
        <stp>XLFILL=b</stp>
        <tr r="AJ115" s="2"/>
      </tp>
      <tp t="s">
        <v/>
        <stp/>
        <stp>##V3_BQLV12</stp>
        <stp>[MODL_CRM_US1.xlsx]Single Period!R113C30</stp>
        <stp>CRM US Equity</stp>
        <stp>BS_MKT_SEC_OTHER_ST_INVEST/1M</stp>
        <stp>FPR=2022Y</stp>
        <stp>FPT=A</stp>
        <stp>FA_ACT_EST_DATA=E, EST_SOURCE=BAM</stp>
        <stp>ACT_EST_MAPPING=PRECISE</stp>
        <stp>FS=MRC</stp>
        <stp>CURRENCY=USD</stp>
        <stp>XLFILL=b</stp>
        <tr r="AD113" s="2"/>
      </tp>
      <tp t="s">
        <v/>
        <stp/>
        <stp>##V3_BQLV12</stp>
        <stp>[MODL_CRM_US1.xlsx]Single Period!R113C18</stp>
        <stp>CRM US Equity</stp>
        <stp>BS_MKT_SEC_OTHER_ST_INVEST/1M</stp>
        <stp>FPR=2022Y</stp>
        <stp>FPT=A</stp>
        <stp>FA_ACT_EST_DATA=E, EST_SOURCE=CAN</stp>
        <stp>ACT_EST_MAPPING=PRECISE</stp>
        <stp>FS=MRC</stp>
        <stp>CURRENCY=USD</stp>
        <stp>XLFILL=b</stp>
        <tr r="R113" s="2"/>
      </tp>
      <tp t="s">
        <v/>
        <stp/>
        <stp>##V3_BQLV12</stp>
        <stp>[MODL_CRM_US1.xlsx]Single Period!R118C16</stp>
        <stp>CRM US Equity</stp>
        <stp>CB_BS_PP_AND_E_NET/1M</stp>
        <stp>FPR=2022Y</stp>
        <stp>FPT=A</stp>
        <stp>FA_ACT_EST_DATA=E, EST_SOURCE=DBG</stp>
        <stp>ACT_EST_MAPPING=PRECISE</stp>
        <stp>FS=MRC</stp>
        <stp>CURRENCY=USD</stp>
        <stp>XLFILL=b</stp>
        <tr r="P118" s="2"/>
      </tp>
      <tp t="s">
        <v/>
        <stp/>
        <stp>##V3_BQLV12</stp>
        <stp>[MODL_CRM_US1.xlsx]Single Period!R115C18</stp>
        <stp>CRM US Equity</stp>
        <stp>CB_BS_OTHER_CURRENT_ASSETS/1M</stp>
        <stp>FPR=2022Y</stp>
        <stp>FPT=A</stp>
        <stp>FA_ACT_EST_DATA=E, EST_SOURCE=CAN</stp>
        <stp>ACT_EST_MAPPING=PRECISE</stp>
        <stp>FS=MRC</stp>
        <stp>CURRENCY=USD</stp>
        <stp>XLFILL=b</stp>
        <tr r="R115" s="2"/>
      </tp>
      <tp t="s">
        <v/>
        <stp/>
        <stp>##V3_BQLV12</stp>
        <stp>[MODL_CRM_US1.xlsx]Single Period!R20C56</stp>
        <stp>CRM US Equity</stp>
        <stp>ADJ_OPERATING_MARGIN</stp>
        <stp>FPR=2022Y</stp>
        <stp>FPT=A</stp>
        <stp>FA_ACT_EST_DATA=E, EST_SOURCE=DIR</stp>
        <stp>ACT_EST_MAPPING=PRECISE</stp>
        <stp>FS=MRC</stp>
        <stp>CURRENCY=USD</stp>
        <stp>XLFILL=b</stp>
        <tr r="BD20" s="2"/>
      </tp>
      <tp t="s">
        <v/>
        <stp/>
        <stp>##V3_BQLV12</stp>
        <stp>[MODL_CRM_US1.xlsx]Single Period!R115C30</stp>
        <stp>CRM US Equity</stp>
        <stp>CB_BS_OTHER_CURRENT_ASSETS/1M</stp>
        <stp>FPR=2022Y</stp>
        <stp>FPT=A</stp>
        <stp>FA_ACT_EST_DATA=E, EST_SOURCE=BAM</stp>
        <stp>ACT_EST_MAPPING=PRECISE</stp>
        <stp>FS=MRC</stp>
        <stp>CURRENCY=USD</stp>
        <stp>XLFILL=b</stp>
        <tr r="AD115" s="2"/>
      </tp>
      <tp t="s">
        <v/>
        <stp/>
        <stp>##V3_BQLV12</stp>
        <stp>[MODL_CRM_US1.xlsx]Single Period!R61C33</stp>
        <stp>CRM US Equity</stp>
        <stp>ADJ_OPERATING_MARGIN</stp>
        <stp>FPR=2022Y</stp>
        <stp>FPT=A</stp>
        <stp>FA_ACT_EST_DATA=E, EST_SOURCE=RHR</stp>
        <stp>ACT_EST_MAPPING=PRECISE</stp>
        <stp>FS=MRC</stp>
        <stp>CURRENCY=USD</stp>
        <stp>XLFILL=b</stp>
        <tr r="AG61" s="2"/>
      </tp>
      <tp t="s">
        <v/>
        <stp/>
        <stp>##V3_BQLV12</stp>
        <stp>[MODL_CRM_US1.xlsx]Single Period!R113C36</stp>
        <stp>CRM US Equity</stp>
        <stp>BS_MKT_SEC_OTHER_ST_INVEST/1M</stp>
        <stp>FPR=2022Y</stp>
        <stp>FPT=A</stp>
        <stp>FA_ACT_EST_DATA=E, EST_SOURCE=MAC</stp>
        <stp>ACT_EST_MAPPING=PRECISE</stp>
        <stp>FS=MRC</stp>
        <stp>CURRENCY=USD</stp>
        <stp>XLFILL=b</stp>
        <tr r="AJ113" s="2"/>
      </tp>
      <tp t="s">
        <v/>
        <stp/>
        <stp>##V3_BQLV12</stp>
        <stp>[MODL_CRM_US1.xlsx]Single Period!R118C31</stp>
        <stp>CRM US Equity</stp>
        <stp>CB_BS_PP_AND_E_NET/1M</stp>
        <stp>FPR=2022Y</stp>
        <stp>FPT=A</stp>
        <stp>FA_ACT_EST_DATA=E, EST_SOURCE=RBC</stp>
        <stp>ACT_EST_MAPPING=PRECISE</stp>
        <stp>FS=MRC</stp>
        <stp>CURRENCY=USD</stp>
        <stp>XLFILL=b</stp>
        <tr r="AE118" s="2"/>
      </tp>
      <tp>
        <v>2684.1116421708148</v>
        <stp/>
        <stp>##V3_BQLV12</stp>
        <stp>[MODL_CRM_US1.xlsx]Single Period!R118C24</stp>
        <stp>CRM US Equity</stp>
        <stp>CB_BS_PP_AND_E_NET/1M</stp>
        <stp>FPR=2022Y</stp>
        <stp>FPT=A</stp>
        <stp>FA_ACT_EST_DATA=E, EST_SOURCE=FBC</stp>
        <stp>ACT_EST_MAPPING=PRECISE</stp>
        <stp>FS=MRC</stp>
        <stp>CURRENCY=USD</stp>
        <stp>XLFILL=b</stp>
        <tr r="X118" s="2"/>
      </tp>
      <tp t="s">
        <v/>
        <stp/>
        <stp>##V3_BQLV12</stp>
        <stp>[MODL_CRM_US1.xlsx]Single Period!R178C55</stp>
        <stp>CRM US Equity</stp>
        <stp>CB_CF_REPAYMENT_LT_DEBT/1M</stp>
        <stp>FPR=2022Y</stp>
        <stp>FPT=A</stp>
        <stp>FA_ACT_EST_DATA=E, EST_SOURCE=RED</stp>
        <stp>ACT_EST_MAPPING=PRECISE</stp>
        <stp>FS=MRC</stp>
        <stp>CURRENCY=USD</stp>
        <stp>XLFILL=b</stp>
        <tr r="BC178" s="2"/>
      </tp>
      <tp t="s">
        <v/>
        <stp/>
        <stp>##V3_BQLV12</stp>
        <stp>[MODL_CRM_US1.xlsx]Single Period!R158C36</stp>
        <stp>CRM US Equity</stp>
        <stp>IS_SBC_NON_GAAP/1M</stp>
        <stp>FPR=2022Y</stp>
        <stp>FPT=A</stp>
        <stp>FA_ACT_EST_DATA=E, EST_SOURCE=MAC</stp>
        <stp>ACT_EST_MAPPING=PRECISE</stp>
        <stp>FS=MRC</stp>
        <stp>CURRENCY=USD</stp>
        <stp>XLFILL=b</stp>
        <tr r="AJ158" s="2"/>
      </tp>
      <tp t="s">
        <v/>
        <stp/>
        <stp>##V3_BQLV12</stp>
        <stp>[MODL_CRM_US1.xlsx]Single Period!R178C34</stp>
        <stp>CRM US Equity</stp>
        <stp>CB_CF_REPAYMENT_LT_DEBT/1M</stp>
        <stp>FPR=2022Y</stp>
        <stp>FPT=A</stp>
        <stp>FA_ACT_EST_DATA=E, EST_SOURCE=JEF</stp>
        <stp>ACT_EST_MAPPING=PRECISE</stp>
        <stp>FS=MRC</stp>
        <stp>CURRENCY=USD</stp>
        <stp>XLFILL=b</stp>
        <tr r="AH178" s="2"/>
      </tp>
      <tp>
        <v>18.544571147143511</v>
        <stp/>
        <stp>##V3_BQLV12</stp>
        <stp>[MODL_CRM_US1.xlsx]Single Period!R192C20</stp>
        <stp>CRM US Equity</stp>
        <stp>FREE_CASH_FLOW_MARGIN</stp>
        <stp>FPR=2022Y</stp>
        <stp>FPT=A</stp>
        <stp>FA_ACT_EST_DATA=E, EST_SOURCE=JMP</stp>
        <stp>ACT_EST_MAPPING=PRECISE</stp>
        <stp>FS=MRC</stp>
        <stp>CURRENCY=USD</stp>
        <stp>XLFILL=b</stp>
        <tr r="T192" s="2"/>
      </tp>
      <tp>
        <v>26.81954138093495</v>
        <stp/>
        <stp>##V3_BQLV12</stp>
        <stp>[MODL_CRM_US1.xlsx]Single Period!R192C25</stp>
        <stp>CRM US Equity</stp>
        <stp>FREE_CASH_FLOW_MARGIN</stp>
        <stp>FPR=2022Y</stp>
        <stp>FPT=A</stp>
        <stp>FA_ACT_EST_DATA=E, EST_SOURCE=WMS</stp>
        <stp>ACT_EST_MAPPING=PRECISE</stp>
        <stp>FS=MRC</stp>
        <stp>CURRENCY=USD</stp>
        <stp>XLFILL=b</stp>
        <tr r="Y192" s="2"/>
      </tp>
      <tp t="s">
        <v/>
        <stp/>
        <stp>##V3_BQLV12</stp>
        <stp>[MODL_CRM_US1.xlsx]Single Period!R138C17</stp>
        <stp>CRM US Equity</stp>
        <stp>BS_COMMON_STOCK/1M</stp>
        <stp>FPR=2022Y</stp>
        <stp>FPT=A</stp>
        <stp>FA_ACT_EST_DATA=E, EST_SOURCE=NDH</stp>
        <stp>ACT_EST_MAPPING=PRECISE</stp>
        <stp>FS=MRC</stp>
        <stp>CURRENCY=USD</stp>
        <stp>XLFILL=b</stp>
        <tr r="Q138" s="2"/>
      </tp>
      <tp t="s">
        <v/>
        <stp/>
        <stp>##V3_BQLV12</stp>
        <stp>[MODL_CRM_US1.xlsx]Single Period!R159C46</stp>
        <stp>CRM US Equity</stp>
        <stp>SBC_NON_GAAP_TO_SALES</stp>
        <stp>FPR=2022Y</stp>
        <stp>FPT=A</stp>
        <stp>FA_ACT_EST_DATA=E, EST_SOURCE=CTI</stp>
        <stp>ACT_EST_MAPPING=PRECISE</stp>
        <stp>FS=MRC</stp>
        <stp>CURRENCY=USD</stp>
        <stp>XLFILL=b</stp>
        <tr r="AT159" s="2"/>
      </tp>
      <tp t="s">
        <v/>
        <stp/>
        <stp>##V3_BQLV12</stp>
        <stp>[MODL_CRM_US1.xlsx]Single Period!R116C20</stp>
        <stp>CRM US Equity</stp>
        <stp>PREPAID_EXPNSS_AND_OTHR/1M</stp>
        <stp>FPR=2022Y</stp>
        <stp>FPT=A</stp>
        <stp>FA_ACT_EST_DATA=E, EST_SOURCE=JMP</stp>
        <stp>ACT_EST_MAPPING=PRECISE</stp>
        <stp>FS=MRC</stp>
        <stp>CURRENCY=USD</stp>
        <stp>XLFILL=b</stp>
        <tr r="T116" s="2"/>
      </tp>
      <tp t="s">
        <v/>
        <stp/>
        <stp>##V3_BQLV12</stp>
        <stp>[MODL_CRM_US1.xlsx]Single Period!R159C35</stp>
        <stp>CRM US Equity</stp>
        <stp>SBC_NON_GAAP_TO_SALES</stp>
        <stp>FPR=2022Y</stp>
        <stp>FPT=A</stp>
        <stp>FA_ACT_EST_DATA=E, EST_SOURCE=ATL</stp>
        <stp>ACT_EST_MAPPING=PRECISE</stp>
        <stp>FS=MRC</stp>
        <stp>CURRENCY=USD</stp>
        <stp>XLFILL=b</stp>
        <tr r="AI159" s="2"/>
      </tp>
      <tp t="s">
        <v/>
        <stp/>
        <stp>##V3_BQLV12</stp>
        <stp>[MODL_CRM_US1.xlsx]Single Period!R158C18</stp>
        <stp>CRM US Equity</stp>
        <stp>IS_SBC_NON_GAAP/1M</stp>
        <stp>FPR=2022Y</stp>
        <stp>FPT=A</stp>
        <stp>FA_ACT_EST_DATA=E, EST_SOURCE=CAN</stp>
        <stp>ACT_EST_MAPPING=PRECISE</stp>
        <stp>FS=MRC</stp>
        <stp>CURRENCY=USD</stp>
        <stp>XLFILL=b</stp>
        <tr r="R158" s="2"/>
      </tp>
      <tp t="s">
        <v/>
        <stp/>
        <stp>##V3_BQLV12</stp>
        <stp>[MODL_CRM_US1.xlsx]Single Period!R158C30</stp>
        <stp>CRM US Equity</stp>
        <stp>IS_SBC_NON_GAAP/1M</stp>
        <stp>FPR=2022Y</stp>
        <stp>FPT=A</stp>
        <stp>FA_ACT_EST_DATA=E, EST_SOURCE=BAM</stp>
        <stp>ACT_EST_MAPPING=PRECISE</stp>
        <stp>FS=MRC</stp>
        <stp>CURRENCY=USD</stp>
        <stp>XLFILL=b</stp>
        <tr r="AD158" s="2"/>
      </tp>
      <tp t="s">
        <v/>
        <stp/>
        <stp>##V3_BQLV12</stp>
        <stp>[MODL_CRM_US1.xlsx]Single Period!R116C25</stp>
        <stp>CRM US Equity</stp>
        <stp>PREPAID_EXPNSS_AND_OTHR/1M</stp>
        <stp>FPR=2022Y</stp>
        <stp>FPT=A</stp>
        <stp>FA_ACT_EST_DATA=E, EST_SOURCE=WMS</stp>
        <stp>ACT_EST_MAPPING=PRECISE</stp>
        <stp>FS=MRC</stp>
        <stp>CURRENCY=USD</stp>
        <stp>XLFILL=b</stp>
        <tr r="Y116" s="2"/>
      </tp>
      <tp t="s">
        <v/>
        <stp/>
        <stp>##V3_BQLV12</stp>
        <stp>[MODL_CRM_US1.xlsx]Single Period!R86C43</stp>
        <stp>CRM US Equity</stp>
        <stp>IS_GENERAL_AND_ADMIN_GAAP/1M</stp>
        <stp>FPR=2022Y</stp>
        <stp>FPT=A</stp>
        <stp>FA_ACT_EST_DATA=E, EST_SOURCE=DWI</stp>
        <stp>ACT_EST_MAPPING=PRECISE</stp>
        <stp>FS=MRC</stp>
        <stp>CURRENCY=USD</stp>
        <stp>XLFILL=b</stp>
        <tr r="AQ86" s="2"/>
      </tp>
      <tp t="s">
        <v/>
        <stp/>
        <stp>##V3_BQLV12</stp>
        <stp>[MODL_CRM_US1.xlsx]Single Period!R53C49</stp>
        <stp>CRM US Equity</stp>
        <stp>REVENUE_GROWTH_CC_1_YR</stp>
        <stp>FPR=2022Y</stp>
        <stp>FPT=A</stp>
        <stp>FA_ACT_EST_DATA=E, EST_SOURCE=SGE</stp>
        <stp>ACT_EST_MAPPING=PRECISE</stp>
        <stp>FS=MRC</stp>
        <stp>CURRENCY=USD</stp>
        <stp>XLFILL=b</stp>
        <tr r="AW53" s="2"/>
      </tp>
      <tp t="s">
        <v/>
        <stp/>
        <stp>##V3_BQLV12</stp>
        <stp>[MODL_CRM_US1.xlsx]Single Period!R116C12</stp>
        <stp>CRM US Equity</stp>
        <stp>PREPAID_EXPNSS_AND_OTHR/1M</stp>
        <stp>FPR=2022Y</stp>
        <stp>FPT=A</stp>
        <stp>FA_ACT_EST_DATA=E, EST_SOURCE=BMO</stp>
        <stp>ACT_EST_MAPPING=PRECISE</stp>
        <stp>FS=MRC</stp>
        <stp>CURRENCY=USD</stp>
        <stp>XLFILL=b</stp>
        <tr r="L116" s="2"/>
      </tp>
      <tp t="s">
        <v/>
        <stp/>
        <stp>##V3_BQLV12</stp>
        <stp>[MODL_CRM_US1.xlsx]Single Period!R13C44</stp>
        <stp>CRM US Equity</stp>
        <stp>CURRENT_FUTURE_REV_UNDER_CONTRACT/1M</stp>
        <stp>FPR=2022Y</stp>
        <stp>FPT=A</stp>
        <stp>FA_ACT_EST_DATA=E, EST_SOURCE=RWB</stp>
        <stp>ACT_EST_MAPPING=PRECISE</stp>
        <stp>FS=MRC</stp>
        <stp>CURRENCY=USD</stp>
        <stp>XLFILL=b</stp>
        <tr r="AR13" s="2"/>
      </tp>
      <tp t="s">
        <v/>
        <stp/>
        <stp>##V3_BQLV12</stp>
        <stp>[MODL_CRM_US1.xlsx]Single Period!R13C23</stp>
        <stp>CRM US Equity</stp>
        <stp>CURRENT_FUTURE_REV_UNDER_CONTRACT/1M</stp>
        <stp>FPR=2022Y</stp>
        <stp>FPT=A</stp>
        <stp>FA_ACT_EST_DATA=E, EST_SOURCE=JPM</stp>
        <stp>ACT_EST_MAPPING=PRECISE</stp>
        <stp>FS=MRC</stp>
        <stp>CURRENCY=USD</stp>
        <stp>XLFILL=b</stp>
        <tr r="W13" s="2"/>
      </tp>
      <tp t="s">
        <v/>
        <stp/>
        <stp>##V3_BQLV12</stp>
        <stp>[MODL_CRM_US1.xlsx]Single Period!R178C26</stp>
        <stp>CRM US Equity</stp>
        <stp>CB_CF_REPAYMENT_LT_DEBT/1M</stp>
        <stp>FPR=2022Y</stp>
        <stp>FPT=A</stp>
        <stp>FA_ACT_EST_DATA=E, EST_SOURCE=KEY</stp>
        <stp>ACT_EST_MAPPING=PRECISE</stp>
        <stp>FS=MRC</stp>
        <stp>CURRENCY=USD</stp>
        <stp>XLFILL=b</stp>
        <tr r="Z178" s="2"/>
      </tp>
      <tp t="s">
        <v/>
        <stp/>
        <stp>##V3_BQLV12</stp>
        <stp>[MODL_CRM_US1.xlsx]Single Period!R192C12</stp>
        <stp>CRM US Equity</stp>
        <stp>FREE_CASH_FLOW_MARGIN</stp>
        <stp>FPR=2022Y</stp>
        <stp>FPT=A</stp>
        <stp>FA_ACT_EST_DATA=E, EST_SOURCE=BMO</stp>
        <stp>ACT_EST_MAPPING=PRECISE</stp>
        <stp>FS=MRC</stp>
        <stp>CURRENCY=USD</stp>
        <stp>XLFILL=b</stp>
        <tr r="L192" s="2"/>
      </tp>
      <tp t="s">
        <v/>
        <stp/>
        <stp>##V3_BQLV12</stp>
        <stp>[MODL_CRM_US1.xlsx]Single Period!R53C39</stp>
        <stp>CRM US Equity</stp>
        <stp>REVENUE_GROWTH_CC_1_YR</stp>
        <stp>FPR=2022Y</stp>
        <stp>FPT=A</stp>
        <stp>FA_ACT_EST_DATA=E, EST_SOURCE=KGI</stp>
        <stp>ACT_EST_MAPPING=PRECISE</stp>
        <stp>FS=MRC</stp>
        <stp>CURRENCY=USD</stp>
        <stp>XLFILL=b</stp>
        <tr r="AM53" s="2"/>
      </tp>
      <tp t="s">
        <v/>
        <stp/>
        <stp>##V3_BQLV12</stp>
        <stp>[MODL_CRM_US1.xlsx]Single Period!R164C47</stp>
        <stp>CRM US Equity</stp>
        <stp>CHG_IN_ACCT_PYBL_AND_ACC_EXPNSS/1M</stp>
        <stp>FPR=2022Y</stp>
        <stp>FPT=A</stp>
        <stp>FA_ACT_EST_DATA=E, EST_SOURCE=WFT</stp>
        <stp>ACT_EST_MAPPING=PRECISE</stp>
        <stp>FS=MRC</stp>
        <stp>CURRENCY=USD</stp>
        <stp>XLFILL=b</stp>
        <tr r="AU164" s="2"/>
      </tp>
      <tp t="s">
        <v/>
        <stp/>
        <stp>##V3_BQLV12</stp>
        <stp>[MODL_CRM_US1.xlsx]Single Period!R164C52</stp>
        <stp>CRM US Equity</stp>
        <stp>CHG_IN_ACCT_PYBL_AND_ACC_EXPNSS/1M</stp>
        <stp>FPR=2022Y</stp>
        <stp>FPT=A</stp>
        <stp>FA_ACT_EST_DATA=E, EST_SOURCE=WFR</stp>
        <stp>ACT_EST_MAPPING=PRECISE</stp>
        <stp>FS=MRC</stp>
        <stp>CURRENCY=USD</stp>
        <stp>XLFILL=b</stp>
        <tr r="AZ164" s="2"/>
      </tp>
      <tp t="s">
        <v/>
        <stp/>
        <stp>##V3_BQLV12</stp>
        <stp>[MODL_CRM_US1.xlsx]Single Period!R157C51</stp>
        <stp>CRM US Equity</stp>
        <stp>CF_AMORTIZATN_OF_DEFRRD_COMPNSTN/1M</stp>
        <stp>FPR=2022Y</stp>
        <stp>FPT=A</stp>
        <stp>FA_ACT_EST_DATA=E, EST_SOURCE=RCP</stp>
        <stp>ACT_EST_MAPPING=PRECISE</stp>
        <stp>FS=MRC</stp>
        <stp>CURRENCY=USD</stp>
        <stp>XLFILL=b</stp>
        <tr r="AY157" s="2"/>
      </tp>
      <tp>
        <v>961.39292758785678</v>
        <stp/>
        <stp>##V3_BQLV12</stp>
        <stp>[MODL_CRM_US1.xlsx]Single Period!R43C8</stp>
        <stp>SEG0000269240 Segment</stp>
        <stp>CONTRIBUTOR_STATS(SALES_REV_TURN, STD)/1M</stp>
        <stp>FPR=2022Y</stp>
        <stp>FPT=A</stp>
        <stp>FA_ACT_EST_DATA=E</stp>
        <stp>ACT_EST_MAPPING=PRECISE</stp>
        <stp>FS=MRC</stp>
        <stp>CURRENCY=USD</stp>
        <stp>XLFILL=b</stp>
        <tr r="H43" s="2"/>
      </tp>
      <tp t="s">
        <v/>
        <stp/>
        <stp>##V3_BQLV12</stp>
        <stp>[MODL_CRM_US1.xlsx]Single Period!R34C50</stp>
        <stp>SEG0000269227 Segment</stp>
        <stp>IS_COGS_TO_FE_AND_PP_AND_G/1M</stp>
        <stp>FPR=2022Y</stp>
        <stp>FPT=A</stp>
        <stp>FA_ACT_EST_DATA=E, EST_SOURCE=MZS</stp>
        <stp>ACT_EST_MAPPING=PRECISE</stp>
        <stp>FS=MRC</stp>
        <stp>CURRENCY=USD</stp>
        <stp>XLFILL=b</stp>
        <tr r="AX34" s="2"/>
      </tp>
      <tp t="s">
        <v/>
        <stp/>
        <stp>##V3_BQLV12</stp>
        <stp>[MODL_CRM_US1.xlsx]Single Period!R171C12</stp>
        <stp>CRM US Equity</stp>
        <stp>CF_PURCHASE_OF_FIXED_PROD_ASSETS/1M</stp>
        <stp>FPR=2022Y</stp>
        <stp>FPT=A</stp>
        <stp>FA_ACT_EST_DATA=E, EST_SOURCE=BMO</stp>
        <stp>ACT_EST_MAPPING=PRECISE</stp>
        <stp>FS=MRC</stp>
        <stp>CURRENCY=USD</stp>
        <stp>XLFILL=b</stp>
        <tr r="L171" s="2"/>
      </tp>
      <tp t="s">
        <v/>
        <stp/>
        <stp>##V3_BQLV12</stp>
        <stp>[MODL_CRM_US1.xlsx]Single Period!R111C28</stp>
        <stp>CRM US Equity</stp>
        <stp>BS_CASH_CASH_EQUIVALENTS_AND_STI/1M</stp>
        <stp>FPR=2022Y</stp>
        <stp>FPT=A</stp>
        <stp>FA_ACT_EST_DATA=E, EST_SOURCE=CWN</stp>
        <stp>ACT_EST_MAPPING=PRECISE</stp>
        <stp>FS=MRC</stp>
        <stp>CURRENCY=USD</stp>
        <stp>XLFILL=b</stp>
        <tr r="AB111" s="2"/>
      </tp>
      <tp t="s">
        <v/>
        <stp/>
        <stp>##V3_BQLV12</stp>
        <stp>[MODL_CRM_US1.xlsx]Single Period!R171C53</stp>
        <stp>CRM US Equity</stp>
        <stp>CF_PURCHASE_OF_FIXED_PROD_ASSETS/1M</stp>
        <stp>FPR=2022Y</stp>
        <stp>FPT=A</stp>
        <stp>FA_ACT_EST_DATA=E, EST_SOURCE=NIK</stp>
        <stp>ACT_EST_MAPPING=PRECISE</stp>
        <stp>FS=MRC</stp>
        <stp>CURRENCY=USD</stp>
        <stp>XLFILL=b</stp>
        <tr r="BA171" s="2"/>
      </tp>
      <tp t="s">
        <v/>
        <stp/>
        <stp>##V3_BQLV12</stp>
        <stp>[MODL_CRM_US1.xlsx]Single Period!R176C29</stp>
        <stp>CRM US Equity</stp>
        <stp>CF_INCR_CAP_STOCK/1M</stp>
        <stp>FPR=2022Y</stp>
        <stp>FPT=A</stp>
        <stp>FA_ACT_EST_DATA=E, EST_SOURCE=BNS</stp>
        <stp>ACT_EST_MAPPING=PRECISE</stp>
        <stp>FS=MRC</stp>
        <stp>CURRENCY=USD</stp>
        <stp>XLFILL=b</stp>
        <tr r="AC176" s="2"/>
      </tp>
      <tp t="s">
        <v/>
        <stp/>
        <stp>##V3_BQLV12</stp>
        <stp>[MODL_CRM_US1.xlsx]Single Period!R171C56</stp>
        <stp>CRM US Equity</stp>
        <stp>CF_PURCHASE_OF_FIXED_PROD_ASSETS/1M</stp>
        <stp>FPR=2022Y</stp>
        <stp>FPT=A</stp>
        <stp>FA_ACT_EST_DATA=E, EST_SOURCE=DIR</stp>
        <stp>ACT_EST_MAPPING=PRECISE</stp>
        <stp>FS=MRC</stp>
        <stp>CURRENCY=USD</stp>
        <stp>XLFILL=b</stp>
        <tr r="BD171" s="2"/>
      </tp>
      <tp t="s">
        <v/>
        <stp/>
        <stp>##V3_BQLV12</stp>
        <stp>[MODL_CRM_US1.xlsx]Single Period!R157C34</stp>
        <stp>CRM US Equity</stp>
        <stp>CF_AMORTIZATN_OF_DEFRRD_COMPNSTN/1M</stp>
        <stp>FPR=2022Y</stp>
        <stp>FPT=A</stp>
        <stp>FA_ACT_EST_DATA=E, EST_SOURCE=JEF</stp>
        <stp>ACT_EST_MAPPING=PRECISE</stp>
        <stp>FS=MRC</stp>
        <stp>CURRENCY=USD</stp>
        <stp>XLFILL=b</stp>
        <tr r="AH157" s="2"/>
      </tp>
      <tp>
        <v>5964.1813966195559</v>
        <stp/>
        <stp>##V3_BQLV12</stp>
        <stp>[MODL_CRM_US1.xlsx]Single Period!R43C7</stp>
        <stp>SEG0000269240 Segment</stp>
        <stp>CONTRIBUTOR_STATS(SALES_REV_TURN, MAX)/1M</stp>
        <stp>FPR=2022Y</stp>
        <stp>FPT=A</stp>
        <stp>FA_ACT_EST_DATA=E</stp>
        <stp>ACT_EST_MAPPING=PRECISE</stp>
        <stp>FS=MRC</stp>
        <stp>CURRENCY=USD</stp>
        <stp>XLFILL=b</stp>
        <tr r="G43" s="2"/>
      </tp>
      <tp>
        <v>4299</v>
        <stp/>
        <stp>##V3_BQLV12</stp>
        <stp>[MODL_CRM_US1.xlsx]Single Period!R43C6</stp>
        <stp>SEG0000269240 Segment</stp>
        <stp>CONTRIBUTOR_STATS(SALES_REV_TURN, MIN)/1M</stp>
        <stp>FPR=2022Y</stp>
        <stp>FPT=A</stp>
        <stp>FA_ACT_EST_DATA=E</stp>
        <stp>ACT_EST_MAPPING=PRECISE</stp>
        <stp>FS=MRC</stp>
        <stp>CURRENCY=USD</stp>
        <stp>XLFILL=b</stp>
        <tr r="F43" s="2"/>
      </tp>
      <tp t="s">
        <v/>
        <stp/>
        <stp>##V3_BQLV12</stp>
        <stp>[MODL_CRM_US1.xlsx]Single Period!R171C29</stp>
        <stp>CRM US Equity</stp>
        <stp>CF_PURCHASE_OF_FIXED_PROD_ASSETS/1M</stp>
        <stp>FPR=2022Y</stp>
        <stp>FPT=A</stp>
        <stp>FA_ACT_EST_DATA=E, EST_SOURCE=BNS</stp>
        <stp>ACT_EST_MAPPING=PRECISE</stp>
        <stp>FS=MRC</stp>
        <stp>CURRENCY=USD</stp>
        <stp>XLFILL=b</stp>
        <tr r="AC171" s="2"/>
      </tp>
      <tp>
        <v>-14816</v>
        <stp/>
        <stp>##V3_BQLV12</stp>
        <stp>[MODL_CRM_US1.xlsx]Single Period!R170C17</stp>
        <stp>CRM US Equity</stp>
        <stp>CF_CASH_FOR_ACQUIS_SUBSIDIARIES/1M</stp>
        <stp>FPR=2022Y</stp>
        <stp>FPT=A</stp>
        <stp>FA_ACT_EST_DATA=E, EST_SOURCE=NDH</stp>
        <stp>ACT_EST_MAPPING=PRECISE</stp>
        <stp>FS=MRC</stp>
        <stp>CURRENCY=USD</stp>
        <stp>XLFILL=b</stp>
        <tr r="Q170" s="2"/>
      </tp>
      <tp t="s">
        <v/>
        <stp/>
        <stp>##V3_BQLV12</stp>
        <stp>[MODL_CRM_US1.xlsx]Single Period!R111C37</stp>
        <stp>CRM US Equity</stp>
        <stp>BS_CASH_CASH_EQUIVALENTS_AND_STI/1M</stp>
        <stp>FPR=2022Y</stp>
        <stp>FPT=A</stp>
        <stp>FA_ACT_EST_DATA=E, EST_SOURCE=EVR</stp>
        <stp>ACT_EST_MAPPING=PRECISE</stp>
        <stp>FS=MRC</stp>
        <stp>CURRENCY=USD</stp>
        <stp>XLFILL=b</stp>
        <tr r="AK111" s="2"/>
      </tp>
      <tp t="s">
        <v/>
        <stp/>
        <stp>##V3_BQLV12</stp>
        <stp>[MODL_CRM_US1.xlsx]Single Period!R176C36</stp>
        <stp>CRM US Equity</stp>
        <stp>CF_INCR_CAP_STOCK/1M</stp>
        <stp>FPR=2022Y</stp>
        <stp>FPT=A</stp>
        <stp>FA_ACT_EST_DATA=E, EST_SOURCE=MAC</stp>
        <stp>ACT_EST_MAPPING=PRECISE</stp>
        <stp>FS=MRC</stp>
        <stp>CURRENCY=USD</stp>
        <stp>XLFILL=b</stp>
        <tr r="AJ176" s="2"/>
      </tp>
      <tp>
        <v>4.6900000000000004</v>
        <stp/>
        <stp>##V3_BQLV12</stp>
        <stp>[MODL_CRM_US1.xlsx]Single Period!R74C14</stp>
        <stp>CRM US Equity</stp>
        <stp>IS_COMP_EPS_EXCL_STOCK_COMP</stp>
        <stp>FPR=2022Y</stp>
        <stp>FPT=A</stp>
        <stp>FA_ACT_EST_DATA=E, EST_SOURCE=SNR</stp>
        <stp>ACT_EST_MAPPING=PRECISE</stp>
        <stp>FS=MRC</stp>
        <stp>CURRENCY=USD</stp>
        <stp>XLFILL=b</stp>
        <tr r="N74" s="2"/>
      </tp>
      <tp>
        <v>4.6399999999999997</v>
        <stp/>
        <stp>##V3_BQLV12</stp>
        <stp>[MODL_CRM_US1.xlsx]Single Period!R74C25</stp>
        <stp>CRM US Equity</stp>
        <stp>IS_COMP_EPS_EXCL_STOCK_COMP</stp>
        <stp>FPR=2022Y</stp>
        <stp>FPT=A</stp>
        <stp>FA_ACT_EST_DATA=E, EST_SOURCE=WMS</stp>
        <stp>ACT_EST_MAPPING=PRECISE</stp>
        <stp>FS=MRC</stp>
        <stp>CURRENCY=USD</stp>
        <stp>XLFILL=b</stp>
        <tr r="Y74" s="2"/>
      </tp>
      <tp>
        <v>4.6865915522468233</v>
        <stp/>
        <stp>##V3_BQLV12</stp>
        <stp>[MODL_CRM_US1.xlsx]Single Period!R92C21</stp>
        <stp>CRM US Equity</stp>
        <stp>PROF_MARGIN</stp>
        <stp>FPR=2022Y</stp>
        <stp>FPT=A</stp>
        <stp>FA_ACT_EST_DATA=E, EST_SOURCE=RJA</stp>
        <stp>ACT_EST_MAPPING=PRECISE</stp>
        <stp>FS=MRC</stp>
        <stp>CURRENCY=USD</stp>
        <stp>XLFILL=b</stp>
        <tr r="U92" s="2"/>
      </tp>
      <tp>
        <v>29.4296662212796</v>
        <stp/>
        <stp>##V3_BQLV12</stp>
        <stp>[MODL_CRM_US1.xlsx]Single Period!R184C25</stp>
        <stp>CRM US Equity</stp>
        <stp>CFO_TO_SALES</stp>
        <stp>FPR=2022Y</stp>
        <stp>FPT=A</stp>
        <stp>FA_ACT_EST_DATA=E, EST_SOURCE=WMS</stp>
        <stp>ACT_EST_MAPPING=PRECISE</stp>
        <stp>FS=MRC</stp>
        <stp>CURRENCY=USD</stp>
        <stp>XLFILL=b</stp>
        <tr r="Y184" s="2"/>
      </tp>
      <tp>
        <v>4.68</v>
        <stp/>
        <stp>##V3_BQLV12</stp>
        <stp>[MODL_CRM_US1.xlsx]Single Period!R74C20</stp>
        <stp>CRM US Equity</stp>
        <stp>IS_COMP_EPS_EXCL_STOCK_COMP</stp>
        <stp>FPR=2022Y</stp>
        <stp>FPT=A</stp>
        <stp>FA_ACT_EST_DATA=E, EST_SOURCE=JMP</stp>
        <stp>ACT_EST_MAPPING=PRECISE</stp>
        <stp>FS=MRC</stp>
        <stp>CURRENCY=USD</stp>
        <stp>XLFILL=b</stp>
        <tr r="T74" s="2"/>
      </tp>
      <tp t="s">
        <v/>
        <stp/>
        <stp>##V3_BQLV12</stp>
        <stp>[MODL_CRM_US1.xlsx]Single Period!R115C32</stp>
        <stp>CRM US Equity</stp>
        <stp>CB_BS_OTHER_CURRENT_ASSETS/1M</stp>
        <stp>FPR=2022Y</stp>
        <stp>FPT=A</stp>
        <stp>FA_ACT_EST_DATA=E, EST_SOURCE=UBS</stp>
        <stp>ACT_EST_MAPPING=PRECISE</stp>
        <stp>FS=MRC</stp>
        <stp>CURRENCY=USD</stp>
        <stp>XLFILL=b</stp>
        <tr r="AF115" s="2"/>
      </tp>
      <tp t="s">
        <v/>
        <stp/>
        <stp>##V3_BQLV12</stp>
        <stp>[MODL_CRM_US1.xlsx]Single Period!R139C25</stp>
        <stp>CRM US Equity</stp>
        <stp>BS_ADD_PAID_IN_CAP/1M</stp>
        <stp>FPR=2022Y</stp>
        <stp>FPT=A</stp>
        <stp>FA_ACT_EST_DATA=E, EST_SOURCE=WMS</stp>
        <stp>ACT_EST_MAPPING=PRECISE</stp>
        <stp>FS=MRC</stp>
        <stp>CURRENCY=USD</stp>
        <stp>XLFILL=b</stp>
        <tr r="Y139" s="2"/>
      </tp>
      <tp t="s">
        <v/>
        <stp/>
        <stp>##V3_BQLV12</stp>
        <stp>[MODL_CRM_US1.xlsx]Single Period!R80C50</stp>
        <stp>CRM US Equity</stp>
        <stp>GROSS_MARGIN</stp>
        <stp>FPR=2022Y</stp>
        <stp>FPT=A</stp>
        <stp>FA_ACT_EST_DATA=E, EST_SOURCE=MZS</stp>
        <stp>ACT_EST_MAPPING=PRECISE</stp>
        <stp>FS=MRC</stp>
        <stp>CURRENCY=USD</stp>
        <stp>XLFILL=b</stp>
        <tr r="AX80" s="2"/>
      </tp>
      <tp t="s">
        <v/>
        <stp/>
        <stp>##V3_BQLV12</stp>
        <stp>[MODL_CRM_US1.xlsx]Single Period!R113C32</stp>
        <stp>CRM US Equity</stp>
        <stp>BS_MKT_SEC_OTHER_ST_INVEST/1M</stp>
        <stp>FPR=2022Y</stp>
        <stp>FPT=A</stp>
        <stp>FA_ACT_EST_DATA=E, EST_SOURCE=UBS</stp>
        <stp>ACT_EST_MAPPING=PRECISE</stp>
        <stp>FS=MRC</stp>
        <stp>CURRENCY=USD</stp>
        <stp>XLFILL=b</stp>
        <tr r="AF113" s="2"/>
      </tp>
      <tp t="s">
        <v/>
        <stp/>
        <stp>##V3_BQLV12</stp>
        <stp>[MODL_CRM_US1.xlsx]Single Period!R139C20</stp>
        <stp>CRM US Equity</stp>
        <stp>BS_ADD_PAID_IN_CAP/1M</stp>
        <stp>FPR=2022Y</stp>
        <stp>FPT=A</stp>
        <stp>FA_ACT_EST_DATA=E, EST_SOURCE=JMP</stp>
        <stp>ACT_EST_MAPPING=PRECISE</stp>
        <stp>FS=MRC</stp>
        <stp>CURRENCY=USD</stp>
        <stp>XLFILL=b</stp>
        <tr r="T139" s="2"/>
      </tp>
      <tp t="s">
        <v/>
        <stp/>
        <stp>##V3_BQLV12</stp>
        <stp>[MODL_CRM_US1.xlsx]Single Period!R129C14</stp>
        <stp>CRM US Equity</stp>
        <stp>CB_BS_ACCT_PYBL_ACC_EXPNSS/1M</stp>
        <stp>FPR=2022Y</stp>
        <stp>FPT=A</stp>
        <stp>FA_ACT_EST_DATA=E, EST_SOURCE=SNR</stp>
        <stp>ACT_EST_MAPPING=PRECISE</stp>
        <stp>FS=MRC</stp>
        <stp>CURRENCY=USD</stp>
        <stp>XLFILL=b</stp>
        <tr r="N129" s="2"/>
      </tp>
      <tp t="s">
        <v/>
        <stp/>
        <stp>##V3_BQLV12</stp>
        <stp>[MODL_CRM_US1.xlsx]Single Period!R129C29</stp>
        <stp>CRM US Equity</stp>
        <stp>CB_BS_ACCT_PYBL_ACC_EXPNSS/1M</stp>
        <stp>FPR=2022Y</stp>
        <stp>FPT=A</stp>
        <stp>FA_ACT_EST_DATA=E, EST_SOURCE=BNS</stp>
        <stp>ACT_EST_MAPPING=PRECISE</stp>
        <stp>FS=MRC</stp>
        <stp>CURRENCY=USD</stp>
        <stp>XLFILL=b</stp>
        <tr r="AC129" s="2"/>
      </tp>
      <tp t="s">
        <v/>
        <stp/>
        <stp>##V3_BQLV12</stp>
        <stp>[MODL_CRM_US1.xlsx]Single Period!R118C18</stp>
        <stp>CRM US Equity</stp>
        <stp>CB_BS_PP_AND_E_NET/1M</stp>
        <stp>FPR=2022Y</stp>
        <stp>FPT=A</stp>
        <stp>FA_ACT_EST_DATA=E, EST_SOURCE=CAN</stp>
        <stp>ACT_EST_MAPPING=PRECISE</stp>
        <stp>FS=MRC</stp>
        <stp>CURRENCY=USD</stp>
        <stp>XLFILL=b</stp>
        <tr r="R118" s="2"/>
      </tp>
      <tp>
        <v>1350.037132054631</v>
        <stp/>
        <stp>##V3_BQLV12</stp>
        <stp>[MODL_CRM_US1.xlsx]Single Period!R115C16</stp>
        <stp>CRM US Equity</stp>
        <stp>CB_BS_OTHER_CURRENT_ASSETS/1M</stp>
        <stp>FPR=2022Y</stp>
        <stp>FPT=A</stp>
        <stp>FA_ACT_EST_DATA=E, EST_SOURCE=DBG</stp>
        <stp>ACT_EST_MAPPING=PRECISE</stp>
        <stp>FS=MRC</stp>
        <stp>CURRENCY=USD</stp>
        <stp>XLFILL=b</stp>
        <tr r="P115" s="2"/>
      </tp>
      <tp t="s">
        <v/>
        <stp/>
        <stp>##V3_BQLV12</stp>
        <stp>[MODL_CRM_US1.xlsx]Single Period!R118C30</stp>
        <stp>CRM US Equity</stp>
        <stp>CB_BS_PP_AND_E_NET/1M</stp>
        <stp>FPR=2022Y</stp>
        <stp>FPT=A</stp>
        <stp>FA_ACT_EST_DATA=E, EST_SOURCE=BAM</stp>
        <stp>ACT_EST_MAPPING=PRECISE</stp>
        <stp>FS=MRC</stp>
        <stp>CURRENCY=USD</stp>
        <stp>XLFILL=b</stp>
        <tr r="AD118" s="2"/>
      </tp>
      <tp t="s">
        <v/>
        <stp/>
        <stp>##V3_BQLV12</stp>
        <stp>[MODL_CRM_US1.xlsx]Single Period!R113C11</stp>
        <stp>CRM US Equity</stp>
        <stp>BS_MKT_SEC_OTHER_ST_INVEST/1M</stp>
        <stp>FPR=2022Y</stp>
        <stp>FPT=A</stp>
        <stp>FA_ACT_EST_DATA=E, EST_SOURCE=WBL</stp>
        <stp>ACT_EST_MAPPING=PRECISE</stp>
        <stp>FS=MRC</stp>
        <stp>CURRENCY=USD</stp>
        <stp>XLFILL=b</stp>
        <tr r="K113" s="2"/>
      </tp>
      <tp t="s">
        <v/>
        <stp/>
        <stp>##V3_BQLV12</stp>
        <stp>[MODL_CRM_US1.xlsx]Single Period!R139C12</stp>
        <stp>CRM US Equity</stp>
        <stp>BS_ADD_PAID_IN_CAP/1M</stp>
        <stp>FPR=2022Y</stp>
        <stp>FPT=A</stp>
        <stp>FA_ACT_EST_DATA=E, EST_SOURCE=BMO</stp>
        <stp>ACT_EST_MAPPING=PRECISE</stp>
        <stp>FS=MRC</stp>
        <stp>CURRENCY=USD</stp>
        <stp>XLFILL=b</stp>
        <tr r="L139" s="2"/>
      </tp>
      <tp>
        <v>1349.7163567660241</v>
        <stp/>
        <stp>##V3_BQLV12</stp>
        <stp>[MODL_CRM_US1.xlsx]Single Period!R115C24</stp>
        <stp>CRM US Equity</stp>
        <stp>CB_BS_OTHER_CURRENT_ASSETS/1M</stp>
        <stp>FPR=2022Y</stp>
        <stp>FPT=A</stp>
        <stp>FA_ACT_EST_DATA=E, EST_SOURCE=FBC</stp>
        <stp>ACT_EST_MAPPING=PRECISE</stp>
        <stp>FS=MRC</stp>
        <stp>CURRENCY=USD</stp>
        <stp>XLFILL=b</stp>
        <tr r="X115" s="2"/>
      </tp>
      <tp t="s">
        <v/>
        <stp/>
        <stp>##V3_BQLV12</stp>
        <stp>[MODL_CRM_US1.xlsx]Single Period!R115C31</stp>
        <stp>CRM US Equity</stp>
        <stp>CB_BS_OTHER_CURRENT_ASSETS/1M</stp>
        <stp>FPR=2022Y</stp>
        <stp>FPT=A</stp>
        <stp>FA_ACT_EST_DATA=E, EST_SOURCE=RBC</stp>
        <stp>ACT_EST_MAPPING=PRECISE</stp>
        <stp>FS=MRC</stp>
        <stp>CURRENCY=USD</stp>
        <stp>XLFILL=b</stp>
        <tr r="AE115" s="2"/>
      </tp>
      <tp t="s">
        <v/>
        <stp/>
        <stp>##V3_BQLV12</stp>
        <stp>[MODL_CRM_US1.xlsx]Single Period!R145C37</stp>
        <stp>CRM US Equity</stp>
        <stp>CB_BS_LT_BORROWING/1M</stp>
        <stp>FPR=2022Y</stp>
        <stp>FPT=A</stp>
        <stp>FA_ACT_EST_DATA=E, EST_SOURCE=EVR</stp>
        <stp>ACT_EST_MAPPING=PRECISE</stp>
        <stp>FS=MRC</stp>
        <stp>CURRENCY=USD</stp>
        <stp>XLFILL=b</stp>
        <tr r="AK145" s="2"/>
      </tp>
      <tp>
        <v>18.86580706299236</v>
        <stp/>
        <stp>##V3_BQLV12</stp>
        <stp>[MODL_CRM_US1.xlsx]Single Period!R61C25</stp>
        <stp>CRM US Equity</stp>
        <stp>ADJ_OPERATING_MARGIN</stp>
        <stp>FPR=2022Y</stp>
        <stp>FPT=A</stp>
        <stp>FA_ACT_EST_DATA=E, EST_SOURCE=WMS</stp>
        <stp>ACT_EST_MAPPING=PRECISE</stp>
        <stp>FS=MRC</stp>
        <stp>CURRENCY=USD</stp>
        <stp>XLFILL=b</stp>
        <tr r="Y61" s="2"/>
      </tp>
      <tp>
        <v>3351</v>
        <stp/>
        <stp>##V3_BQLV12</stp>
        <stp>[MODL_CRM_US1.xlsx]Single Period!R113C24</stp>
        <stp>CRM US Equity</stp>
        <stp>BS_MKT_SEC_OTHER_ST_INVEST/1M</stp>
        <stp>FPR=2022Y</stp>
        <stp>FPT=A</stp>
        <stp>FA_ACT_EST_DATA=E, EST_SOURCE=FBC</stp>
        <stp>ACT_EST_MAPPING=PRECISE</stp>
        <stp>FS=MRC</stp>
        <stp>CURRENCY=USD</stp>
        <stp>XLFILL=b</stp>
        <tr r="X113" s="2"/>
      </tp>
      <tp t="s">
        <v/>
        <stp/>
        <stp>##V3_BQLV12</stp>
        <stp>[MODL_CRM_US1.xlsx]Single Period!R113C31</stp>
        <stp>CRM US Equity</stp>
        <stp>BS_MKT_SEC_OTHER_ST_INVEST/1M</stp>
        <stp>FPR=2022Y</stp>
        <stp>FPT=A</stp>
        <stp>FA_ACT_EST_DATA=E, EST_SOURCE=RBC</stp>
        <stp>ACT_EST_MAPPING=PRECISE</stp>
        <stp>FS=MRC</stp>
        <stp>CURRENCY=USD</stp>
        <stp>XLFILL=b</stp>
        <tr r="AE113" s="2"/>
      </tp>
      <tp t="s">
        <v/>
        <stp/>
        <stp>##V3_BQLV12</stp>
        <stp>[MODL_CRM_US1.xlsx]Single Period!R115C11</stp>
        <stp>CRM US Equity</stp>
        <stp>CB_BS_OTHER_CURRENT_ASSETS/1M</stp>
        <stp>FPR=2022Y</stp>
        <stp>FPT=A</stp>
        <stp>FA_ACT_EST_DATA=E, EST_SOURCE=WBL</stp>
        <stp>ACT_EST_MAPPING=PRECISE</stp>
        <stp>FS=MRC</stp>
        <stp>CURRENCY=USD</stp>
        <stp>XLFILL=b</stp>
        <tr r="K115" s="2"/>
      </tp>
      <tp t="s">
        <v/>
        <stp/>
        <stp>##V3_BQLV12</stp>
        <stp>[MODL_CRM_US1.xlsx]Single Period!R118C36</stp>
        <stp>CRM US Equity</stp>
        <stp>CB_BS_PP_AND_E_NET/1M</stp>
        <stp>FPR=2022Y</stp>
        <stp>FPT=A</stp>
        <stp>FA_ACT_EST_DATA=E, EST_SOURCE=MAC</stp>
        <stp>ACT_EST_MAPPING=PRECISE</stp>
        <stp>FS=MRC</stp>
        <stp>CURRENCY=USD</stp>
        <stp>XLFILL=b</stp>
        <tr r="AJ118" s="2"/>
      </tp>
      <tp>
        <v>4638</v>
        <stp/>
        <stp>##V3_BQLV12</stp>
        <stp>[MODL_CRM_US1.xlsx]Single Period!R113C16</stp>
        <stp>CRM US Equity</stp>
        <stp>BS_MKT_SEC_OTHER_ST_INVEST/1M</stp>
        <stp>FPR=2022Y</stp>
        <stp>FPT=A</stp>
        <stp>FA_ACT_EST_DATA=E, EST_SOURCE=DBG</stp>
        <stp>ACT_EST_MAPPING=PRECISE</stp>
        <stp>FS=MRC</stp>
        <stp>CURRENCY=USD</stp>
        <stp>XLFILL=b</stp>
        <tr r="P113" s="2"/>
      </tp>
      <tp t="s">
        <v/>
        <stp/>
        <stp>##V3_BQLV12</stp>
        <stp>[MODL_CRM_US1.xlsx]Single Period!R138C55</stp>
        <stp>CRM US Equity</stp>
        <stp>BS_COMMON_STOCK/1M</stp>
        <stp>FPR=2022Y</stp>
        <stp>FPT=A</stp>
        <stp>FA_ACT_EST_DATA=E, EST_SOURCE=RED</stp>
        <stp>ACT_EST_MAPPING=PRECISE</stp>
        <stp>FS=MRC</stp>
        <stp>CURRENCY=USD</stp>
        <stp>XLFILL=b</stp>
        <tr r="BC138" s="2"/>
      </tp>
      <tp t="s">
        <v/>
        <stp/>
        <stp>##V3_BQLV12</stp>
        <stp>[MODL_CRM_US1.xlsx]Single Period!R53C47</stp>
        <stp>CRM US Equity</stp>
        <stp>REVENUE_GROWTH_CC_1_YR</stp>
        <stp>FPR=2022Y</stp>
        <stp>FPT=A</stp>
        <stp>FA_ACT_EST_DATA=E, EST_SOURCE=WFT</stp>
        <stp>ACT_EST_MAPPING=PRECISE</stp>
        <stp>FS=MRC</stp>
        <stp>CURRENCY=USD</stp>
        <stp>XLFILL=b</stp>
        <tr r="AU53" s="2"/>
      </tp>
      <tp>
        <v>21434.494285714292</v>
        <stp/>
        <stp>##V3_BQLV12</stp>
        <stp>[MODL_CRM_US1.xlsx]Single Period!R13C5</stp>
        <stp>CRM US Equity</stp>
        <stp>CURRENT_FUTURE_REV_UNDER_CONTRACT/1M</stp>
        <stp>FPR=2022Y</stp>
        <stp>FPT=A</stp>
        <stp>FA_ACT_EST_DATA=E</stp>
        <stp>ACT_EST_MAPPING=PRECISE</stp>
        <stp>FS=MRC</stp>
        <stp>CURRENCY=USD</stp>
        <stp>XLFILL=b</stp>
        <tr r="E13" s="2"/>
      </tp>
      <tp t="s">
        <v/>
        <stp/>
        <stp>##V3_BQLV12</stp>
        <stp>[MODL_CRM_US1.xlsx]Single Period!R138C34</stp>
        <stp>CRM US Equity</stp>
        <stp>BS_COMMON_STOCK/1M</stp>
        <stp>FPR=2022Y</stp>
        <stp>FPT=A</stp>
        <stp>FA_ACT_EST_DATA=E, EST_SOURCE=JEF</stp>
        <stp>ACT_EST_MAPPING=PRECISE</stp>
        <stp>FS=MRC</stp>
        <stp>CURRENCY=USD</stp>
        <stp>XLFILL=b</stp>
        <tr r="AH138" s="2"/>
      </tp>
      <tp t="s">
        <v/>
        <stp/>
        <stp>##V3_BQLV12</stp>
        <stp>[MODL_CRM_US1.xlsx]Single Period!R133C29</stp>
        <stp>CRM US Equity</stp>
        <stp>BS_LONG_TERM_BORROWINGS/1M</stp>
        <stp>FPR=2022Y</stp>
        <stp>FPT=A</stp>
        <stp>FA_ACT_EST_DATA=E, EST_SOURCE=BNS</stp>
        <stp>ACT_EST_MAPPING=PRECISE</stp>
        <stp>FS=MRC</stp>
        <stp>CURRENCY=USD</stp>
        <stp>XLFILL=b</stp>
        <tr r="AC133" s="2"/>
      </tp>
      <tp t="s">
        <v/>
        <stp/>
        <stp>##V3_BQLV12</stp>
        <stp>[MODL_CRM_US1.xlsx]Single Period!R53C52</stp>
        <stp>CRM US Equity</stp>
        <stp>REVENUE_GROWTH_CC_1_YR</stp>
        <stp>FPR=2022Y</stp>
        <stp>FPT=A</stp>
        <stp>FA_ACT_EST_DATA=E, EST_SOURCE=WFR</stp>
        <stp>ACT_EST_MAPPING=PRECISE</stp>
        <stp>FS=MRC</stp>
        <stp>CURRENCY=USD</stp>
        <stp>XLFILL=b</stp>
        <tr r="AZ53" s="2"/>
      </tp>
      <tp t="s">
        <v/>
        <stp/>
        <stp>##V3_BQLV12</stp>
        <stp>[MODL_CRM_US1.xlsx]Single Period!R13C41</stp>
        <stp>CRM US Equity</stp>
        <stp>CURRENT_FUTURE_REV_UNDER_CONTRACT/1M</stp>
        <stp>FPR=2022Y</stp>
        <stp>FPT=A</stp>
        <stp>FA_ACT_EST_DATA=E, EST_SOURCE=GSR</stp>
        <stp>ACT_EST_MAPPING=PRECISE</stp>
        <stp>FS=MRC</stp>
        <stp>CURRENCY=USD</stp>
        <stp>XLFILL=b</stp>
        <tr r="AO13" s="2"/>
      </tp>
      <tp t="s">
        <v/>
        <stp/>
        <stp>##V3_BQLV12</stp>
        <stp>[MODL_CRM_US1.xlsx]Single Period!R133C14</stp>
        <stp>CRM US Equity</stp>
        <stp>BS_LONG_TERM_BORROWINGS/1M</stp>
        <stp>FPR=2022Y</stp>
        <stp>FPT=A</stp>
        <stp>FA_ACT_EST_DATA=E, EST_SOURCE=SNR</stp>
        <stp>ACT_EST_MAPPING=PRECISE</stp>
        <stp>FS=MRC</stp>
        <stp>CURRENCY=USD</stp>
        <stp>XLFILL=b</stp>
        <tr r="N133" s="2"/>
      </tp>
      <tp>
        <v>-3</v>
        <stp/>
        <stp>##V3_BQLV12</stp>
        <stp>[MODL_CRM_US1.xlsx]Single Period!R178C17</stp>
        <stp>CRM US Equity</stp>
        <stp>CB_CF_REPAYMENT_LT_DEBT/1M</stp>
        <stp>FPR=2022Y</stp>
        <stp>FPT=A</stp>
        <stp>FA_ACT_EST_DATA=E, EST_SOURCE=NDH</stp>
        <stp>ACT_EST_MAPPING=PRECISE</stp>
        <stp>FS=MRC</stp>
        <stp>CURRENCY=USD</stp>
        <stp>XLFILL=b</stp>
        <tr r="Q178" s="2"/>
      </tp>
      <tp t="s">
        <v/>
        <stp/>
        <stp>##V3_BQLV12</stp>
        <stp>[MODL_CRM_US1.xlsx]Single Period!R13C22</stp>
        <stp>CRM US Equity</stp>
        <stp>CURRENT_FUTURE_REV_UNDER_CONTRACT/1M</stp>
        <stp>FPR=2022Y</stp>
        <stp>FPT=A</stp>
        <stp>FA_ACT_EST_DATA=E, EST_SOURCE=OPY</stp>
        <stp>ACT_EST_MAPPING=PRECISE</stp>
        <stp>FS=MRC</stp>
        <stp>CURRENCY=USD</stp>
        <stp>XLFILL=b</stp>
        <tr r="V13" s="2"/>
      </tp>
      <tp t="s">
        <v/>
        <stp/>
        <stp>##V3_BQLV12</stp>
        <stp>[MODL_CRM_US1.xlsx]Single Period!R147C29</stp>
        <stp>CRM US Equity</stp>
        <stp>BV_PER_WEIGHTED_DILUTED_SHARE</stp>
        <stp>FPR=2022Y</stp>
        <stp>FPT=A</stp>
        <stp>FA_ACT_EST_DATA=E, EST_SOURCE=BNS</stp>
        <stp>ACT_EST_MAPPING=PRECISE</stp>
        <stp>FS=MRC</stp>
        <stp>CURRENCY=USD</stp>
        <stp>XLFILL=b</stp>
        <tr r="AC147" s="2"/>
      </tp>
      <tp t="s">
        <v/>
        <stp/>
        <stp>##V3_BQLV12</stp>
        <stp>[MODL_CRM_US1.xlsx]Single Period!R147C14</stp>
        <stp>CRM US Equity</stp>
        <stp>BV_PER_WEIGHTED_DILUTED_SHARE</stp>
        <stp>FPR=2022Y</stp>
        <stp>FPT=A</stp>
        <stp>FA_ACT_EST_DATA=E, EST_SOURCE=SNR</stp>
        <stp>ACT_EST_MAPPING=PRECISE</stp>
        <stp>FS=MRC</stp>
        <stp>CURRENCY=USD</stp>
        <stp>XLFILL=b</stp>
        <tr r="N147" s="2"/>
      </tp>
      <tp t="s">
        <v/>
        <stp/>
        <stp>##V3_BQLV12</stp>
        <stp>[MODL_CRM_US1.xlsx]Single Period!R138C26</stp>
        <stp>CRM US Equity</stp>
        <stp>BS_COMMON_STOCK/1M</stp>
        <stp>FPR=2022Y</stp>
        <stp>FPT=A</stp>
        <stp>FA_ACT_EST_DATA=E, EST_SOURCE=KEY</stp>
        <stp>ACT_EST_MAPPING=PRECISE</stp>
        <stp>FS=MRC</stp>
        <stp>CURRENCY=USD</stp>
        <stp>XLFILL=b</stp>
        <tr r="Z138" s="2"/>
      </tp>
      <tp t="s">
        <v/>
        <stp/>
        <stp>##V3_BQLV12</stp>
        <stp>[MODL_CRM_US1.xlsx]Single Period!R13C46</stp>
        <stp>CRM US Equity</stp>
        <stp>CURRENT_FUTURE_REV_UNDER_CONTRACT/1M</stp>
        <stp>FPR=2022Y</stp>
        <stp>FPT=A</stp>
        <stp>FA_ACT_EST_DATA=E, EST_SOURCE=CTI</stp>
        <stp>ACT_EST_MAPPING=PRECISE</stp>
        <stp>FS=MRC</stp>
        <stp>CURRENCY=USD</stp>
        <stp>XLFILL=b</stp>
        <tr r="AT13" s="2"/>
      </tp>
      <tp>
        <v>30.321726399338509</v>
        <stp/>
        <stp>##V3_BQLV12</stp>
        <stp>[MODL_CRM_US1.xlsx]Single Period!R32C8</stp>
        <stp>SEG0000269227 Segment</stp>
        <stp>CONTRIBUTOR_STATS(SALES_REV_TURN, STD)/1M</stp>
        <stp>FPR=2022Y</stp>
        <stp>FPT=A</stp>
        <stp>FA_ACT_EST_DATA=E</stp>
        <stp>ACT_EST_MAPPING=PRECISE</stp>
        <stp>FS=MRC</stp>
        <stp>CURRENCY=USD</stp>
        <stp>XLFILL=b</stp>
        <tr r="H32" s="2"/>
      </tp>
      <tp t="s">
        <v/>
        <stp/>
        <stp>##V3_BQLV12</stp>
        <stp>[MODL_CRM_US1.xlsx]Single Period!R191C27</stp>
        <stp>CRM US Equity</stp>
        <stp>CF_FREE_CASH_FLOW/1M</stp>
        <stp>FPR=2022Y</stp>
        <stp>FPT=A</stp>
        <stp>FA_ACT_EST_DATA=E, EST_SOURCE=LCM</stp>
        <stp>ACT_EST_MAPPING=PRECISE</stp>
        <stp>FS=MRC</stp>
        <stp>CURRENCY=USD</stp>
        <stp>XLFILL=b</stp>
        <tr r="AA191" s="2"/>
      </tp>
      <tp>
        <v>2820.3291575917019</v>
        <stp/>
        <stp>##V3_BQLV12</stp>
        <stp>[MODL_CRM_US1.xlsx]Single Period!R38C8</stp>
        <stp>SEG0000269228 Segment</stp>
        <stp>CONTRIBUTOR_STATS(SALES_REV_TURN, STD)/1M</stp>
        <stp>FPR=2022Y</stp>
        <stp>FPT=A</stp>
        <stp>FA_ACT_EST_DATA=E</stp>
        <stp>ACT_EST_MAPPING=PRECISE</stp>
        <stp>FS=MRC</stp>
        <stp>CURRENCY=USD</stp>
        <stp>XLFILL=b</stp>
        <tr r="H38" s="2"/>
      </tp>
      <tp>
        <v>4936.5710327355901</v>
        <stp/>
        <stp>##V3_BQLV12</stp>
        <stp>[MODL_CRM_US1.xlsx]Single Period!R191C16</stp>
        <stp>CRM US Equity</stp>
        <stp>CF_FREE_CASH_FLOW/1M</stp>
        <stp>FPR=2022Y</stp>
        <stp>FPT=A</stp>
        <stp>FA_ACT_EST_DATA=E, EST_SOURCE=DBG</stp>
        <stp>ACT_EST_MAPPING=PRECISE</stp>
        <stp>FS=MRC</stp>
        <stp>CURRENCY=USD</stp>
        <stp>XLFILL=b</stp>
        <tr r="P191" s="2"/>
      </tp>
      <tp>
        <v>34.760042400347395</v>
        <stp/>
        <stp>##V3_BQLV12</stp>
        <stp>[MODL_CRM_US1.xlsx]Single Period!R24C8</stp>
        <stp>SEG0000269238 Segment</stp>
        <stp>CONTRIBUTOR_STATS(SALES_REV_TURN, STD)/1M</stp>
        <stp>FPR=2022Y</stp>
        <stp>FPT=A</stp>
        <stp>FA_ACT_EST_DATA=E</stp>
        <stp>ACT_EST_MAPPING=PRECISE</stp>
        <stp>FS=MRC</stp>
        <stp>CURRENCY=USD</stp>
        <stp>XLFILL=b</stp>
        <tr r="H24" s="2"/>
      </tp>
      <tp>
        <v>1345.0577861236009</v>
        <stp/>
        <stp>##V3_BQLV12</stp>
        <stp>[MODL_CRM_US1.xlsx]Single Period!R157C26</stp>
        <stp>CRM US Equity</stp>
        <stp>CF_AMORTIZATN_OF_DEFRRD_COMPNSTN/1M</stp>
        <stp>FPR=2022Y</stp>
        <stp>FPT=A</stp>
        <stp>FA_ACT_EST_DATA=E, EST_SOURCE=KEY</stp>
        <stp>ACT_EST_MAPPING=PRECISE</stp>
        <stp>FS=MRC</stp>
        <stp>CURRENCY=USD</stp>
        <stp>XLFILL=b</stp>
        <tr r="Z157" s="2"/>
      </tp>
      <tp t="s">
        <v/>
        <stp/>
        <stp>##V3_BQLV12</stp>
        <stp>[MODL_CRM_US1.xlsx]Single Period!R150C43</stp>
        <stp>CRM US Equity</stp>
        <stp>CURRENT_FUTURE_REV_UNDER_CONTRACT/1M</stp>
        <stp>FPR=2022Y</stp>
        <stp>FPT=A</stp>
        <stp>FA_ACT_EST_DATA=E, EST_SOURCE=DWI</stp>
        <stp>ACT_EST_MAPPING=PRECISE</stp>
        <stp>FS=MRC</stp>
        <stp>CURRENCY=USD</stp>
        <stp>XLFILL=b</stp>
        <tr r="AQ150" s="2"/>
      </tp>
      <tp>
        <v>-14781</v>
        <stp/>
        <stp>##V3_BQLV12</stp>
        <stp>[MODL_CRM_US1.xlsx]Single Period!R170C26</stp>
        <stp>CRM US Equity</stp>
        <stp>CF_CASH_FOR_ACQUIS_SUBSIDIARIES/1M</stp>
        <stp>FPR=2022Y</stp>
        <stp>FPT=A</stp>
        <stp>FA_ACT_EST_DATA=E, EST_SOURCE=KEY</stp>
        <stp>ACT_EST_MAPPING=PRECISE</stp>
        <stp>FS=MRC</stp>
        <stp>CURRENCY=USD</stp>
        <stp>XLFILL=b</stp>
        <tr r="Z170" s="2"/>
      </tp>
      <tp>
        <v>24.597008004588311</v>
        <stp/>
        <stp>##V3_BQLV12</stp>
        <stp>[MODL_CRM_US1.xlsx]Single Period!R29C8</stp>
        <stp>SEG0000269233 Segment</stp>
        <stp>CONTRIBUTOR_STATS(SALES_REV_TURN, STD)/1M</stp>
        <stp>FPR=2022Y</stp>
        <stp>FPT=A</stp>
        <stp>FA_ACT_EST_DATA=E</stp>
        <stp>ACT_EST_MAPPING=PRECISE</stp>
        <stp>FS=MRC</stp>
        <stp>CURRENCY=USD</stp>
        <stp>XLFILL=b</stp>
        <tr r="H29" s="2"/>
      </tp>
      <tp>
        <v>3959.63</v>
        <stp/>
        <stp>##V3_BQLV12</stp>
        <stp>[MODL_CRM_US1.xlsx]Single Period!R29C7</stp>
        <stp>SEG0000269233 Segment</stp>
        <stp>CONTRIBUTOR_STATS(SALES_REV_TURN, MAX)/1M</stp>
        <stp>FPR=2022Y</stp>
        <stp>FPT=A</stp>
        <stp>FA_ACT_EST_DATA=E</stp>
        <stp>ACT_EST_MAPPING=PRECISE</stp>
        <stp>FS=MRC</stp>
        <stp>CURRENCY=USD</stp>
        <stp>XLFILL=b</stp>
        <tr r="G29" s="2"/>
      </tp>
      <tp>
        <v>3881</v>
        <stp/>
        <stp>##V3_BQLV12</stp>
        <stp>[MODL_CRM_US1.xlsx]Single Period!R29C6</stp>
        <stp>SEG0000269233 Segment</stp>
        <stp>CONTRIBUTOR_STATS(SALES_REV_TURN, MIN)/1M</stp>
        <stp>FPR=2022Y</stp>
        <stp>FPT=A</stp>
        <stp>FA_ACT_EST_DATA=E</stp>
        <stp>ACT_EST_MAPPING=PRECISE</stp>
        <stp>FS=MRC</stp>
        <stp>CURRENCY=USD</stp>
        <stp>XLFILL=b</stp>
        <tr r="F29" s="2"/>
      </tp>
      <tp t="s">
        <v/>
        <stp/>
        <stp>##V3_BQLV12</stp>
        <stp>[MODL_CRM_US1.xlsx]Single Period!R170C34</stp>
        <stp>CRM US Equity</stp>
        <stp>CF_CASH_FOR_ACQUIS_SUBSIDIARIES/1M</stp>
        <stp>FPR=2022Y</stp>
        <stp>FPT=A</stp>
        <stp>FA_ACT_EST_DATA=E, EST_SOURCE=JEF</stp>
        <stp>ACT_EST_MAPPING=PRECISE</stp>
        <stp>FS=MRC</stp>
        <stp>CURRENCY=USD</stp>
        <stp>XLFILL=b</stp>
        <tr r="AH170" s="2"/>
      </tp>
      <tp t="s">
        <v/>
        <stp/>
        <stp>##V3_BQLV12</stp>
        <stp>[MODL_CRM_US1.xlsx]Single Period!R164C49</stp>
        <stp>CRM US Equity</stp>
        <stp>CHG_IN_ACCT_PYBL_AND_ACC_EXPNSS/1M</stp>
        <stp>FPR=2022Y</stp>
        <stp>FPT=A</stp>
        <stp>FA_ACT_EST_DATA=E, EST_SOURCE=SGE</stp>
        <stp>ACT_EST_MAPPING=PRECISE</stp>
        <stp>FS=MRC</stp>
        <stp>CURRENCY=USD</stp>
        <stp>XLFILL=b</stp>
        <tr r="AW164" s="2"/>
      </tp>
      <tp t="s">
        <v/>
        <stp/>
        <stp>##V3_BQLV12</stp>
        <stp>[MODL_CRM_US1.xlsx]Single Period!R170C55</stp>
        <stp>CRM US Equity</stp>
        <stp>CF_CASH_FOR_ACQUIS_SUBSIDIARIES/1M</stp>
        <stp>FPR=2022Y</stp>
        <stp>FPT=A</stp>
        <stp>FA_ACT_EST_DATA=E, EST_SOURCE=RED</stp>
        <stp>ACT_EST_MAPPING=PRECISE</stp>
        <stp>FS=MRC</stp>
        <stp>CURRENCY=USD</stp>
        <stp>XLFILL=b</stp>
        <tr r="BC170" s="2"/>
      </tp>
      <tp t="s">
        <v/>
        <stp/>
        <stp>##V3_BQLV12</stp>
        <stp>[MODL_CRM_US1.xlsx]Single Period!R157C40</stp>
        <stp>CRM US Equity</stp>
        <stp>CF_AMORTIZATN_OF_DEFRRD_COMPNSTN/1M</stp>
        <stp>FPR=2022Y</stp>
        <stp>FPT=A</stp>
        <stp>FA_ACT_EST_DATA=E, EST_SOURCE=ACC</stp>
        <stp>ACT_EST_MAPPING=PRECISE</stp>
        <stp>FS=MRC</stp>
        <stp>CURRENCY=USD</stp>
        <stp>XLFILL=b</stp>
        <tr r="AN157" s="2"/>
      </tp>
      <tp>
        <v>24659.339284424703</v>
        <stp/>
        <stp>##V3_BQLV12</stp>
        <stp>[MODL_CRM_US1.xlsx]Single Period!R24C7</stp>
        <stp>SEG0000269238 Segment</stp>
        <stp>CONTRIBUTOR_STATS(SALES_REV_TURN, MAX)/1M</stp>
        <stp>FPR=2022Y</stp>
        <stp>FPT=A</stp>
        <stp>FA_ACT_EST_DATA=E</stp>
        <stp>ACT_EST_MAPPING=PRECISE</stp>
        <stp>FS=MRC</stp>
        <stp>CURRENCY=USD</stp>
        <stp>XLFILL=b</stp>
        <tr r="G24" s="2"/>
      </tp>
      <tp>
        <v>24540.075000000001</v>
        <stp/>
        <stp>##V3_BQLV12</stp>
        <stp>[MODL_CRM_US1.xlsx]Single Period!R24C6</stp>
        <stp>SEG0000269238 Segment</stp>
        <stp>CONTRIBUTOR_STATS(SALES_REV_TURN, MIN)/1M</stp>
        <stp>FPR=2022Y</stp>
        <stp>FPT=A</stp>
        <stp>FA_ACT_EST_DATA=E</stp>
        <stp>ACT_EST_MAPPING=PRECISE</stp>
        <stp>FS=MRC</stp>
        <stp>CURRENCY=USD</stp>
        <stp>XLFILL=b</stp>
        <tr r="F24" s="2"/>
      </tp>
      <tp t="s">
        <v/>
        <stp/>
        <stp>##V3_BQLV12</stp>
        <stp>[MODL_CRM_US1.xlsx]Single Period!R164C39</stp>
        <stp>CRM US Equity</stp>
        <stp>CHG_IN_ACCT_PYBL_AND_ACC_EXPNSS/1M</stp>
        <stp>FPR=2022Y</stp>
        <stp>FPT=A</stp>
        <stp>FA_ACT_EST_DATA=E, EST_SOURCE=KGI</stp>
        <stp>ACT_EST_MAPPING=PRECISE</stp>
        <stp>FS=MRC</stp>
        <stp>CURRENCY=USD</stp>
        <stp>XLFILL=b</stp>
        <tr r="AM164" s="2"/>
      </tp>
      <tp>
        <v>17928.953395016761</v>
        <stp/>
        <stp>##V3_BQLV12</stp>
        <stp>[MODL_CRM_US1.xlsx]Single Period!R38C7</stp>
        <stp>SEG0000269228 Segment</stp>
        <stp>CONTRIBUTOR_STATS(SALES_REV_TURN, MAX)/1M</stp>
        <stp>FPR=2022Y</stp>
        <stp>FPT=A</stp>
        <stp>FA_ACT_EST_DATA=E</stp>
        <stp>ACT_EST_MAPPING=PRECISE</stp>
        <stp>FS=MRC</stp>
        <stp>CURRENCY=USD</stp>
        <stp>XLFILL=b</stp>
        <tr r="G38" s="2"/>
      </tp>
      <tp>
        <v>13044</v>
        <stp/>
        <stp>##V3_BQLV12</stp>
        <stp>[MODL_CRM_US1.xlsx]Single Period!R38C6</stp>
        <stp>SEG0000269228 Segment</stp>
        <stp>CONTRIBUTOR_STATS(SALES_REV_TURN, MIN)/1M</stp>
        <stp>FPR=2022Y</stp>
        <stp>FPT=A</stp>
        <stp>FA_ACT_EST_DATA=E</stp>
        <stp>ACT_EST_MAPPING=PRECISE</stp>
        <stp>FS=MRC</stp>
        <stp>CURRENCY=USD</stp>
        <stp>XLFILL=b</stp>
        <tr r="F38" s="2"/>
      </tp>
      <tp t="s">
        <v/>
        <stp/>
        <stp>##V3_BQLV12</stp>
        <stp>[MODL_CRM_US1.xlsx]Single Period!R191C52</stp>
        <stp>CRM US Equity</stp>
        <stp>CF_FREE_CASH_FLOW/1M</stp>
        <stp>FPR=2022Y</stp>
        <stp>FPT=A</stp>
        <stp>FA_ACT_EST_DATA=E, EST_SOURCE=WFR</stp>
        <stp>ACT_EST_MAPPING=PRECISE</stp>
        <stp>FS=MRC</stp>
        <stp>CURRENCY=USD</stp>
        <stp>XLFILL=b</stp>
        <tr r="AZ191" s="2"/>
      </tp>
      <tp>
        <v>1850.04</v>
        <stp/>
        <stp>##V3_BQLV12</stp>
        <stp>[MODL_CRM_US1.xlsx]Single Period!R32C7</stp>
        <stp>SEG0000269227 Segment</stp>
        <stp>CONTRIBUTOR_STATS(SALES_REV_TURN, MAX)/1M</stp>
        <stp>FPR=2022Y</stp>
        <stp>FPT=A</stp>
        <stp>FA_ACT_EST_DATA=E</stp>
        <stp>ACT_EST_MAPPING=PRECISE</stp>
        <stp>FS=MRC</stp>
        <stp>CURRENCY=USD</stp>
        <stp>XLFILL=b</stp>
        <tr r="G32" s="2"/>
      </tp>
      <tp>
        <v>1759.1579999999999</v>
        <stp/>
        <stp>##V3_BQLV12</stp>
        <stp>[MODL_CRM_US1.xlsx]Single Period!R32C6</stp>
        <stp>SEG0000269227 Segment</stp>
        <stp>CONTRIBUTOR_STATS(SALES_REV_TURN, MIN)/1M</stp>
        <stp>FPR=2022Y</stp>
        <stp>FPT=A</stp>
        <stp>FA_ACT_EST_DATA=E</stp>
        <stp>ACT_EST_MAPPING=PRECISE</stp>
        <stp>FS=MRC</stp>
        <stp>CURRENCY=USD</stp>
        <stp>XLFILL=b</stp>
        <tr r="F32" s="2"/>
      </tp>
      <tp>
        <v>600</v>
        <stp/>
        <stp>##V3_BQLV12</stp>
        <stp>[MODL_CRM_US1.xlsx]Single Period!R176C24</stp>
        <stp>CRM US Equity</stp>
        <stp>CF_INCR_CAP_STOCK/1M</stp>
        <stp>FPR=2022Y</stp>
        <stp>FPT=A</stp>
        <stp>FA_ACT_EST_DATA=E, EST_SOURCE=FBC</stp>
        <stp>ACT_EST_MAPPING=PRECISE</stp>
        <stp>FS=MRC</stp>
        <stp>CURRENCY=USD</stp>
        <stp>XLFILL=b</stp>
        <tr r="X176" s="2"/>
      </tp>
      <tp t="s">
        <v/>
        <stp/>
        <stp>##V3_BQLV12</stp>
        <stp>[MODL_CRM_US1.xlsx]Single Period!R184C18</stp>
        <stp>CRM US Equity</stp>
        <stp>CFO_TO_SALES</stp>
        <stp>FPR=2022Y</stp>
        <stp>FPT=A</stp>
        <stp>FA_ACT_EST_DATA=E, EST_SOURCE=CAN</stp>
        <stp>ACT_EST_MAPPING=PRECISE</stp>
        <stp>FS=MRC</stp>
        <stp>CURRENCY=USD</stp>
        <stp>XLFILL=b</stp>
        <tr r="R184" s="2"/>
      </tp>
      <tp t="s">
        <v/>
        <stp/>
        <stp>##V3_BQLV12</stp>
        <stp>[MODL_CRM_US1.xlsx]Single Period!R74C48</stp>
        <stp>CRM US Equity</stp>
        <stp>IS_COMP_EPS_EXCL_STOCK_COMP</stp>
        <stp>FPR=2022Y</stp>
        <stp>FPT=A</stp>
        <stp>FA_ACT_EST_DATA=E, EST_SOURCE=PJE</stp>
        <stp>ACT_EST_MAPPING=PRECISE</stp>
        <stp>FS=MRC</stp>
        <stp>CURRENCY=USD</stp>
        <stp>XLFILL=b</stp>
        <tr r="AV74" s="2"/>
      </tp>
      <tp>
        <v>70.618055922714944</v>
        <stp/>
        <stp>##V3_BQLV12</stp>
        <stp>[MODL_CRM_US1.xlsx]Single Period!R83C8</stp>
        <stp>CRM US Equity</stp>
        <stp>CONTRIBUTOR_STATS(IS_OPEX_R_AND_D_GAAP, STD)/1M</stp>
        <stp>FPR=2022Y</stp>
        <stp>FPT=A</stp>
        <stp>FA_ACT_EST_DATA=E</stp>
        <stp>ACT_EST_MAPPING=PRECISE</stp>
        <stp>FS=MRC</stp>
        <stp>CURRENCY=USD</stp>
        <stp>XLFILL=b</stp>
        <tr r="H83" s="2"/>
      </tp>
      <tp>
        <v>4583.2387704271132</v>
        <stp/>
        <stp>##V3_BQLV12</stp>
        <stp>[MODL_CRM_US1.xlsx]Single Period!R83C7</stp>
        <stp>CRM US Equity</stp>
        <stp>CONTRIBUTOR_STATS(IS_OPEX_R_AND_D_GAAP, MAX)/1M</stp>
        <stp>FPR=2022Y</stp>
        <stp>FPT=A</stp>
        <stp>FA_ACT_EST_DATA=E</stp>
        <stp>ACT_EST_MAPPING=PRECISE</stp>
        <stp>FS=MRC</stp>
        <stp>CURRENCY=USD</stp>
        <stp>XLFILL=b</stp>
        <tr r="G83" s="2"/>
      </tp>
      <tp>
        <v>4339.459580515464</v>
        <stp/>
        <stp>##V3_BQLV12</stp>
        <stp>[MODL_CRM_US1.xlsx]Single Period!R83C6</stp>
        <stp>CRM US Equity</stp>
        <stp>CONTRIBUTOR_STATS(IS_OPEX_R_AND_D_GAAP, MIN)/1M</stp>
        <stp>FPR=2022Y</stp>
        <stp>FPT=A</stp>
        <stp>FA_ACT_EST_DATA=E</stp>
        <stp>ACT_EST_MAPPING=PRECISE</stp>
        <stp>FS=MRC</stp>
        <stp>CURRENCY=USD</stp>
        <stp>XLFILL=b</stp>
        <tr r="F83" s="2"/>
      </tp>
      <tp t="s">
        <v/>
        <stp/>
        <stp>##V3_BQLV12</stp>
        <stp>[MODL_CRM_US1.xlsx]Single Period!R145C43</stp>
        <stp>CRM US Equity</stp>
        <stp>CB_BS_LT_BORROWING/1M</stp>
        <stp>FPR=2022Y</stp>
        <stp>FPT=A</stp>
        <stp>FA_ACT_EST_DATA=E, EST_SOURCE=DWI</stp>
        <stp>ACT_EST_MAPPING=PRECISE</stp>
        <stp>FS=MRC</stp>
        <stp>CURRENCY=USD</stp>
        <stp>XLFILL=b</stp>
        <tr r="AQ145" s="2"/>
      </tp>
      <tp t="s">
        <v/>
        <stp/>
        <stp>##V3_BQLV12</stp>
        <stp>[MODL_CRM_US1.xlsx]Single Period!R145C28</stp>
        <stp>CRM US Equity</stp>
        <stp>CB_BS_LT_BORROWING/1M</stp>
        <stp>FPR=2022Y</stp>
        <stp>FPT=A</stp>
        <stp>FA_ACT_EST_DATA=E, EST_SOURCE=CWN</stp>
        <stp>ACT_EST_MAPPING=PRECISE</stp>
        <stp>FS=MRC</stp>
        <stp>CURRENCY=USD</stp>
        <stp>XLFILL=b</stp>
        <tr r="AB145" s="2"/>
      </tp>
      <tp>
        <v>73.899373833124542</v>
        <stp/>
        <stp>##V3_BQLV12</stp>
        <stp>[MODL_CRM_US1.xlsx]Single Period!R80C5</stp>
        <stp>CRM US Equity</stp>
        <stp>GROSS_MARGIN</stp>
        <stp>FPR=2022Y</stp>
        <stp>FPT=A</stp>
        <stp>FA_ACT_EST_DATA=E</stp>
        <stp>ACT_EST_MAPPING=PRECISE</stp>
        <stp>FS=MRC</stp>
        <stp>CURRENCY=USD</stp>
        <stp>XLFILL=b</stp>
        <tr r="E80" s="2"/>
      </tp>
      <tp t="s">
        <v/>
        <stp/>
        <stp>##V3_BQLV12</stp>
        <stp>[MODL_CRM_US1.xlsx]Single Period!R61C18</stp>
        <stp>CRM US Equity</stp>
        <stp>ADJ_OPERATING_MARGIN</stp>
        <stp>FPR=2022Y</stp>
        <stp>FPT=A</stp>
        <stp>FA_ACT_EST_DATA=E, EST_SOURCE=CAN</stp>
        <stp>ACT_EST_MAPPING=PRECISE</stp>
        <stp>FS=MRC</stp>
        <stp>CURRENCY=USD</stp>
        <stp>XLFILL=b</stp>
        <tr r="R61" s="2"/>
      </tp>
      <tp t="s">
        <v/>
        <stp/>
        <stp>##V3_BQLV12</stp>
        <stp>[MODL_CRM_US1.xlsx]Single Period!R115C51</stp>
        <stp>CRM US Equity</stp>
        <stp>CB_BS_OTHER_CURRENT_ASSETS/1M</stp>
        <stp>FPR=2022Y</stp>
        <stp>FPT=A</stp>
        <stp>FA_ACT_EST_DATA=E, EST_SOURCE=RCP</stp>
        <stp>ACT_EST_MAPPING=PRECISE</stp>
        <stp>FS=MRC</stp>
        <stp>CURRENCY=USD</stp>
        <stp>XLFILL=b</stp>
        <tr r="AY115" s="2"/>
      </tp>
      <tp t="s">
        <v/>
        <stp/>
        <stp>##V3_BQLV12</stp>
        <stp>[MODL_CRM_US1.xlsx]Single Period!R80C38</stp>
        <stp>CRM US Equity</stp>
        <stp>GROSS_MARGIN</stp>
        <stp>FPR=2022Y</stp>
        <stp>FPT=A</stp>
        <stp>FA_ACT_EST_DATA=E, EST_SOURCE=MSR</stp>
        <stp>ACT_EST_MAPPING=PRECISE</stp>
        <stp>FS=MRC</stp>
        <stp>CURRENCY=USD</stp>
        <stp>XLFILL=b</stp>
        <tr r="AL80" s="2"/>
      </tp>
      <tp t="s">
        <v/>
        <stp/>
        <stp>##V3_BQLV12</stp>
        <stp>[MODL_CRM_US1.xlsx]Single Period!R113C51</stp>
        <stp>CRM US Equity</stp>
        <stp>BS_MKT_SEC_OTHER_ST_INVEST/1M</stp>
        <stp>FPR=2022Y</stp>
        <stp>FPT=A</stp>
        <stp>FA_ACT_EST_DATA=E, EST_SOURCE=RCP</stp>
        <stp>ACT_EST_MAPPING=PRECISE</stp>
        <stp>FS=MRC</stp>
        <stp>CURRENCY=USD</stp>
        <stp>XLFILL=b</stp>
        <tr r="AY113" s="2"/>
      </tp>
      <tp t="s">
        <v/>
        <stp/>
        <stp>##V3_BQLV12</stp>
        <stp>[MODL_CRM_US1.xlsx]Single Period!R145C44</stp>
        <stp>CRM US Equity</stp>
        <stp>CB_BS_LT_BORROWING/1M</stp>
        <stp>FPR=2022Y</stp>
        <stp>FPT=A</stp>
        <stp>FA_ACT_EST_DATA=E, EST_SOURCE=RWB</stp>
        <stp>ACT_EST_MAPPING=PRECISE</stp>
        <stp>FS=MRC</stp>
        <stp>CURRENCY=USD</stp>
        <stp>XLFILL=b</stp>
        <tr r="AR145" s="2"/>
      </tp>
      <tp t="s">
        <v/>
        <stp/>
        <stp>##V3_BQLV12</stp>
        <stp>[MODL_CRM_US1.xlsx]Single Period!R103C23</stp>
        <stp>CRM US Equity</stp>
        <stp>IS_SBC_ATT_TO_GENL_AND_ADMIN_PRETX/1M</stp>
        <stp>FPR=2022Y</stp>
        <stp>FPT=A</stp>
        <stp>FA_ACT_EST_DATA=E, EST_SOURCE=JPM</stp>
        <stp>ACT_EST_MAPPING=PRECISE</stp>
        <stp>FS=MRC</stp>
        <stp>CURRENCY=USD</stp>
        <stp>XLFILL=b</stp>
        <tr r="W103" s="2"/>
      </tp>
      <tp t="s">
        <v/>
        <stp/>
        <stp>##V3_BQLV12</stp>
        <stp>[MODL_CRM_US1.xlsx]Single Period!R115C40</stp>
        <stp>CRM US Equity</stp>
        <stp>CB_BS_OTHER_CURRENT_ASSETS/1M</stp>
        <stp>FPR=2022Y</stp>
        <stp>FPT=A</stp>
        <stp>FA_ACT_EST_DATA=E, EST_SOURCE=ACC</stp>
        <stp>ACT_EST_MAPPING=PRECISE</stp>
        <stp>FS=MRC</stp>
        <stp>CURRENCY=USD</stp>
        <stp>XLFILL=b</stp>
        <tr r="AN115" s="2"/>
      </tp>
      <tp t="s">
        <v/>
        <stp/>
        <stp>##V3_BQLV12</stp>
        <stp>[MODL_CRM_US1.xlsx]Single Period!R113C27</stp>
        <stp>CRM US Equity</stp>
        <stp>BS_MKT_SEC_OTHER_ST_INVEST/1M</stp>
        <stp>FPR=2022Y</stp>
        <stp>FPT=A</stp>
        <stp>FA_ACT_EST_DATA=E, EST_SOURCE=LCM</stp>
        <stp>ACT_EST_MAPPING=PRECISE</stp>
        <stp>FS=MRC</stp>
        <stp>CURRENCY=USD</stp>
        <stp>XLFILL=b</stp>
        <tr r="AA113" s="2"/>
      </tp>
      <tp t="s">
        <v/>
        <stp/>
        <stp>##V3_BQLV12</stp>
        <stp>[MODL_CRM_US1.xlsx]Single Period!R115C19</stp>
        <stp>CRM US Equity</stp>
        <stp>CB_BS_OTHER_CURRENT_ASSETS/1M</stp>
        <stp>FPR=2022Y</stp>
        <stp>FPT=A</stp>
        <stp>FA_ACT_EST_DATA=E, EST_SOURCE=SCB</stp>
        <stp>ACT_EST_MAPPING=PRECISE</stp>
        <stp>FS=MRC</stp>
        <stp>CURRENCY=USD</stp>
        <stp>XLFILL=b</stp>
        <tr r="S115" s="2"/>
      </tp>
      <tp>
        <v>1390.5459314359641</v>
        <stp/>
        <stp>##V3_BQLV12</stp>
        <stp>[MODL_CRM_US1.xlsx]Single Period!R115C13</stp>
        <stp>CRM US Equity</stp>
        <stp>CB_BS_OTHER_CURRENT_ASSETS/1M</stp>
        <stp>FPR=2022Y</stp>
        <stp>FPT=A</stp>
        <stp>FA_ACT_EST_DATA=E, EST_SOURCE=BCA</stp>
        <stp>ACT_EST_MAPPING=PRECISE</stp>
        <stp>FS=MRC</stp>
        <stp>CURRENCY=USD</stp>
        <stp>XLFILL=b</stp>
        <tr r="M115" s="2"/>
      </tp>
      <tp>
        <v>18.61918472495833</v>
        <stp/>
        <stp>##V3_BQLV12</stp>
        <stp>[MODL_CRM_US1.xlsx]Single Period!R20C20</stp>
        <stp>CRM US Equity</stp>
        <stp>ADJ_OPERATING_MARGIN</stp>
        <stp>FPR=2022Y</stp>
        <stp>FPT=A</stp>
        <stp>FA_ACT_EST_DATA=E, EST_SOURCE=JMP</stp>
        <stp>ACT_EST_MAPPING=PRECISE</stp>
        <stp>FS=MRC</stp>
        <stp>CURRENCY=USD</stp>
        <stp>XLFILL=b</stp>
        <tr r="T20" s="2"/>
      </tp>
      <tp>
        <v>4638</v>
        <stp/>
        <stp>##V3_BQLV12</stp>
        <stp>[MODL_CRM_US1.xlsx]Single Period!R113C13</stp>
        <stp>CRM US Equity</stp>
        <stp>BS_MKT_SEC_OTHER_ST_INVEST/1M</stp>
        <stp>FPR=2022Y</stp>
        <stp>FPT=A</stp>
        <stp>FA_ACT_EST_DATA=E, EST_SOURCE=BCA</stp>
        <stp>ACT_EST_MAPPING=PRECISE</stp>
        <stp>FS=MRC</stp>
        <stp>CURRENCY=USD</stp>
        <stp>XLFILL=b</stp>
        <tr r="M113" s="2"/>
      </tp>
      <tp t="s">
        <v/>
        <stp/>
        <stp>##V3_BQLV12</stp>
        <stp>[MODL_CRM_US1.xlsx]Single Period!R113C19</stp>
        <stp>CRM US Equity</stp>
        <stp>BS_MKT_SEC_OTHER_ST_INVEST/1M</stp>
        <stp>FPR=2022Y</stp>
        <stp>FPT=A</stp>
        <stp>FA_ACT_EST_DATA=E, EST_SOURCE=SCB</stp>
        <stp>ACT_EST_MAPPING=PRECISE</stp>
        <stp>FS=MRC</stp>
        <stp>CURRENCY=USD</stp>
        <stp>XLFILL=b</stp>
        <tr r="S113" s="2"/>
      </tp>
      <tp t="s">
        <v/>
        <stp/>
        <stp>##V3_BQLV12</stp>
        <stp>[MODL_CRM_US1.xlsx]Single Period!R115C27</stp>
        <stp>CRM US Equity</stp>
        <stp>CB_BS_OTHER_CURRENT_ASSETS/1M</stp>
        <stp>FPR=2022Y</stp>
        <stp>FPT=A</stp>
        <stp>FA_ACT_EST_DATA=E, EST_SOURCE=LCM</stp>
        <stp>ACT_EST_MAPPING=PRECISE</stp>
        <stp>FS=MRC</stp>
        <stp>CURRENCY=USD</stp>
        <stp>XLFILL=b</stp>
        <tr r="AA115" s="2"/>
      </tp>
      <tp t="s">
        <v/>
        <stp/>
        <stp>##V3_BQLV12</stp>
        <stp>[MODL_CRM_US1.xlsx]Single Period!R103C22</stp>
        <stp>CRM US Equity</stp>
        <stp>IS_SBC_ATT_TO_GENL_AND_ADMIN_PRETX/1M</stp>
        <stp>FPR=2022Y</stp>
        <stp>FPT=A</stp>
        <stp>FA_ACT_EST_DATA=E, EST_SOURCE=OPY</stp>
        <stp>ACT_EST_MAPPING=PRECISE</stp>
        <stp>FS=MRC</stp>
        <stp>CURRENCY=USD</stp>
        <stp>XLFILL=b</stp>
        <tr r="V103" s="2"/>
      </tp>
      <tp t="s">
        <v/>
        <stp/>
        <stp>##V3_BQLV12</stp>
        <stp>[MODL_CRM_US1.xlsx]Single Period!R113C40</stp>
        <stp>CRM US Equity</stp>
        <stp>BS_MKT_SEC_OTHER_ST_INVEST/1M</stp>
        <stp>FPR=2022Y</stp>
        <stp>FPT=A</stp>
        <stp>FA_ACT_EST_DATA=E, EST_SOURCE=ACC</stp>
        <stp>ACT_EST_MAPPING=PRECISE</stp>
        <stp>FS=MRC</stp>
        <stp>CURRENCY=USD</stp>
        <stp>XLFILL=b</stp>
        <tr r="AN113" s="2"/>
      </tp>
      <tp t="s">
        <v/>
        <stp/>
        <stp>##V3_BQLV12</stp>
        <stp>[MODL_CRM_US1.xlsx]Single Period!R138C24</stp>
        <stp>CRM US Equity</stp>
        <stp>BS_COMMON_STOCK/1M</stp>
        <stp>FPR=2022Y</stp>
        <stp>FPT=A</stp>
        <stp>FA_ACT_EST_DATA=E, EST_SOURCE=FBC</stp>
        <stp>ACT_EST_MAPPING=PRECISE</stp>
        <stp>FS=MRC</stp>
        <stp>CURRENCY=USD</stp>
        <stp>XLFILL=b</stp>
        <tr r="X138" s="2"/>
      </tp>
      <tp t="s">
        <v/>
        <stp/>
        <stp>##V3_BQLV12</stp>
        <stp>[MODL_CRM_US1.xlsx]Single Period!R178C13</stp>
        <stp>CRM US Equity</stp>
        <stp>CB_CF_REPAYMENT_LT_DEBT/1M</stp>
        <stp>FPR=2022Y</stp>
        <stp>FPT=A</stp>
        <stp>FA_ACT_EST_DATA=E, EST_SOURCE=BCA</stp>
        <stp>ACT_EST_MAPPING=PRECISE</stp>
        <stp>FS=MRC</stp>
        <stp>CURRENCY=USD</stp>
        <stp>XLFILL=b</stp>
        <tr r="M178" s="2"/>
      </tp>
      <tp t="s">
        <v/>
        <stp/>
        <stp>##V3_BQLV12</stp>
        <stp>[MODL_CRM_US1.xlsx]Single Period!R138C31</stp>
        <stp>CRM US Equity</stp>
        <stp>BS_COMMON_STOCK/1M</stp>
        <stp>FPR=2022Y</stp>
        <stp>FPT=A</stp>
        <stp>FA_ACT_EST_DATA=E, EST_SOURCE=RBC</stp>
        <stp>ACT_EST_MAPPING=PRECISE</stp>
        <stp>FS=MRC</stp>
        <stp>CURRENCY=USD</stp>
        <stp>XLFILL=b</stp>
        <tr r="AE138" s="2"/>
      </tp>
      <tp t="s">
        <v/>
        <stp/>
        <stp>##V3_BQLV12</stp>
        <stp>[MODL_CRM_US1.xlsx]Single Period!R178C19</stp>
        <stp>CRM US Equity</stp>
        <stp>CB_CF_REPAYMENT_LT_DEBT/1M</stp>
        <stp>FPR=2022Y</stp>
        <stp>FPT=A</stp>
        <stp>FA_ACT_EST_DATA=E, EST_SOURCE=SCB</stp>
        <stp>ACT_EST_MAPPING=PRECISE</stp>
        <stp>FS=MRC</stp>
        <stp>CURRENCY=USD</stp>
        <stp>XLFILL=b</stp>
        <tr r="S178" s="2"/>
      </tp>
      <tp t="s">
        <v/>
        <stp/>
        <stp>##V3_BQLV12</stp>
        <stp>[MODL_CRM_US1.xlsx]Single Period!R158C49</stp>
        <stp>CRM US Equity</stp>
        <stp>IS_SBC_NON_GAAP/1M</stp>
        <stp>FPR=2022Y</stp>
        <stp>FPT=A</stp>
        <stp>FA_ACT_EST_DATA=E, EST_SOURCE=SGE</stp>
        <stp>ACT_EST_MAPPING=PRECISE</stp>
        <stp>FS=MRC</stp>
        <stp>CURRENCY=USD</stp>
        <stp>XLFILL=b</stp>
        <tr r="AW158" s="2"/>
      </tp>
      <tp t="s">
        <v/>
        <stp/>
        <stp>##V3_BQLV12</stp>
        <stp>[MODL_CRM_US1.xlsx]Single Period!R133C56</stp>
        <stp>CRM US Equity</stp>
        <stp>BS_LONG_TERM_BORROWINGS/1M</stp>
        <stp>FPR=2022Y</stp>
        <stp>FPT=A</stp>
        <stp>FA_ACT_EST_DATA=E, EST_SOURCE=DIR</stp>
        <stp>ACT_EST_MAPPING=PRECISE</stp>
        <stp>FS=MRC</stp>
        <stp>CURRENCY=USD</stp>
        <stp>XLFILL=b</stp>
        <tr r="BD133" s="2"/>
      </tp>
      <tp>
        <v>74.508444261536411</v>
        <stp/>
        <stp>##V3_BQLV12</stp>
        <stp>[MODL_CRM_US1.xlsx]Single Period!R80C7</stp>
        <stp>CRM US Equity</stp>
        <stp>CONTRIBUTOR_STATS(GROSS_MARGIN, MAX)</stp>
        <stp>FPR=2022Y</stp>
        <stp>FPT=A</stp>
        <stp>FA_ACT_EST_DATA=E</stp>
        <stp>ACT_EST_MAPPING=PRECISE</stp>
        <stp>FS=MRC</stp>
        <stp>CURRENCY=USD</stp>
        <stp>XLFILL=b</stp>
        <tr r="G80" s="2"/>
      </tp>
      <tp t="s">
        <v/>
        <stp/>
        <stp>##V3_BQLV12</stp>
        <stp>[MODL_CRM_US1.xlsx]Single Period!R159C54</stp>
        <stp>CRM US Equity</stp>
        <stp>SBC_NON_GAAP_TO_SALES</stp>
        <stp>FPR=2022Y</stp>
        <stp>FPT=A</stp>
        <stp>FA_ACT_EST_DATA=E, EST_SOURCE=ARE</stp>
        <stp>ACT_EST_MAPPING=PRECISE</stp>
        <stp>FS=MRC</stp>
        <stp>CURRENCY=USD</stp>
        <stp>XLFILL=b</stp>
        <tr r="BB159" s="2"/>
      </tp>
      <tp t="s">
        <v/>
        <stp/>
        <stp>##V3_BQLV12</stp>
        <stp>[MODL_CRM_US1.xlsx]Single Period!R178C40</stp>
        <stp>CRM US Equity</stp>
        <stp>CB_CF_REPAYMENT_LT_DEBT/1M</stp>
        <stp>FPR=2022Y</stp>
        <stp>FPT=A</stp>
        <stp>FA_ACT_EST_DATA=E, EST_SOURCE=ACC</stp>
        <stp>ACT_EST_MAPPING=PRECISE</stp>
        <stp>FS=MRC</stp>
        <stp>CURRENCY=USD</stp>
        <stp>XLFILL=b</stp>
        <tr r="AN178" s="2"/>
      </tp>
      <tp t="s">
        <v/>
        <stp/>
        <stp>##V3_BQLV12</stp>
        <stp>[MODL_CRM_US1.xlsx]Single Period!R159C45</stp>
        <stp>CRM US Equity</stp>
        <stp>SBC_NON_GAAP_TO_SALES</stp>
        <stp>FPR=2022Y</stp>
        <stp>FPT=A</stp>
        <stp>FA_ACT_EST_DATA=E, EST_SOURCE=ARG</stp>
        <stp>ACT_EST_MAPPING=PRECISE</stp>
        <stp>FS=MRC</stp>
        <stp>CURRENCY=USD</stp>
        <stp>XLFILL=b</stp>
        <tr r="AS159" s="2"/>
      </tp>
      <tp t="s">
        <v/>
        <stp/>
        <stp>##V3_BQLV12</stp>
        <stp>[MODL_CRM_US1.xlsx]Single Period!R138C16</stp>
        <stp>CRM US Equity</stp>
        <stp>BS_COMMON_STOCK/1M</stp>
        <stp>FPR=2022Y</stp>
        <stp>FPT=A</stp>
        <stp>FA_ACT_EST_DATA=E, EST_SOURCE=DBG</stp>
        <stp>ACT_EST_MAPPING=PRECISE</stp>
        <stp>FS=MRC</stp>
        <stp>CURRENCY=USD</stp>
        <stp>XLFILL=b</stp>
        <tr r="P138" s="2"/>
      </tp>
      <tp>
        <v>15702.26188</v>
        <stp/>
        <stp>##V3_BQLV12</stp>
        <stp>[MODL_CRM_US1.xlsx]Single Period!R58C6</stp>
        <stp>CRM US Equity</stp>
        <stp>CONTRIBUTOR_STATS(CB_IS_ADJUSTED_OPEX, MIN)/1M</stp>
        <stp>FPR=2022Y</stp>
        <stp>FPT=A</stp>
        <stp>FA_ACT_EST_DATA=E</stp>
        <stp>ACT_EST_MAPPING=PRECISE</stp>
        <stp>FS=MRC</stp>
        <stp>CURRENCY=USD</stp>
        <stp>XLFILL=b</stp>
        <tr r="F58" s="2"/>
      </tp>
      <tp>
        <v>15981.616582000001</v>
        <stp/>
        <stp>##V3_BQLV12</stp>
        <stp>[MODL_CRM_US1.xlsx]Single Period!R58C7</stp>
        <stp>CRM US Equity</stp>
        <stp>CONTRIBUTOR_STATS(CB_IS_ADJUSTED_OPEX, MAX)/1M</stp>
        <stp>FPR=2022Y</stp>
        <stp>FPT=A</stp>
        <stp>FA_ACT_EST_DATA=E</stp>
        <stp>ACT_EST_MAPPING=PRECISE</stp>
        <stp>FS=MRC</stp>
        <stp>CURRENCY=USD</stp>
        <stp>XLFILL=b</stp>
        <tr r="G58" s="2"/>
      </tp>
      <tp t="s">
        <v/>
        <stp/>
        <stp>##V3_BQLV12</stp>
        <stp>[MODL_CRM_US1.xlsx]Single Period!R158C39</stp>
        <stp>CRM US Equity</stp>
        <stp>IS_SBC_NON_GAAP/1M</stp>
        <stp>FPR=2022Y</stp>
        <stp>FPT=A</stp>
        <stp>FA_ACT_EST_DATA=E, EST_SOURCE=KGI</stp>
        <stp>ACT_EST_MAPPING=PRECISE</stp>
        <stp>FS=MRC</stp>
        <stp>CURRENCY=USD</stp>
        <stp>XLFILL=b</stp>
        <tr r="AM158" s="2"/>
      </tp>
      <tp t="s">
        <v/>
        <stp/>
        <stp>##V3_BQLV12</stp>
        <stp>[MODL_CRM_US1.xlsx]Single Period!R80C10</stp>
        <stp>CRM US Equity</stp>
        <stp>GROSS_MARGIN</stp>
        <stp>FPR=2022Y</stp>
        <stp>FPT=A</stp>
        <stp>FA_ACT_EST_DATA=E, EST_SOURCE=CMPY</stp>
        <stp>ACT_EST_MAPPING=PRECISE</stp>
        <stp>FS=MRC</stp>
        <stp>CURRENCY=USD</stp>
        <stp>XLFILL=b</stp>
        <tr r="J80" s="2"/>
      </tp>
      <tp t="s">
        <v/>
        <stp/>
        <stp>##V3_BQLV12</stp>
        <stp>[MODL_CRM_US1.xlsx]Single Period!R138C11</stp>
        <stp>CRM US Equity</stp>
        <stp>BS_COMMON_STOCK/1M</stp>
        <stp>FPR=2022Y</stp>
        <stp>FPT=A</stp>
        <stp>FA_ACT_EST_DATA=E, EST_SOURCE=WBL</stp>
        <stp>ACT_EST_MAPPING=PRECISE</stp>
        <stp>FS=MRC</stp>
        <stp>CURRENCY=USD</stp>
        <stp>XLFILL=b</stp>
        <tr r="K138" s="2"/>
      </tp>
      <tp t="s">
        <v/>
        <stp/>
        <stp>##V3_BQLV12</stp>
        <stp>[MODL_CRM_US1.xlsx]Single Period!R147C53</stp>
        <stp>CRM US Equity</stp>
        <stp>BV_PER_WEIGHTED_DILUTED_SHARE</stp>
        <stp>FPR=2022Y</stp>
        <stp>FPT=A</stp>
        <stp>FA_ACT_EST_DATA=E, EST_SOURCE=NIK</stp>
        <stp>ACT_EST_MAPPING=PRECISE</stp>
        <stp>FS=MRC</stp>
        <stp>CURRENCY=USD</stp>
        <stp>XLFILL=b</stp>
        <tr r="BA147" s="2"/>
      </tp>
      <tp t="s">
        <v/>
        <stp/>
        <stp>##V3_BQLV12</stp>
        <stp>[MODL_CRM_US1.xlsx]Single Period!R178C27</stp>
        <stp>CRM US Equity</stp>
        <stp>CB_CF_REPAYMENT_LT_DEBT/1M</stp>
        <stp>FPR=2022Y</stp>
        <stp>FPT=A</stp>
        <stp>FA_ACT_EST_DATA=E, EST_SOURCE=LCM</stp>
        <stp>ACT_EST_MAPPING=PRECISE</stp>
        <stp>FS=MRC</stp>
        <stp>CURRENCY=USD</stp>
        <stp>XLFILL=b</stp>
        <tr r="AA178" s="2"/>
      </tp>
      <tp t="s">
        <v/>
        <stp/>
        <stp>##V3_BQLV12</stp>
        <stp>[MODL_CRM_US1.xlsx]Single Period!R86C46</stp>
        <stp>CRM US Equity</stp>
        <stp>IS_GENERAL_AND_ADMIN_GAAP/1M</stp>
        <stp>FPR=2022Y</stp>
        <stp>FPT=A</stp>
        <stp>FA_ACT_EST_DATA=E, EST_SOURCE=CTI</stp>
        <stp>ACT_EST_MAPPING=PRECISE</stp>
        <stp>FS=MRC</stp>
        <stp>CURRENCY=USD</stp>
        <stp>XLFILL=b</stp>
        <tr r="AT86" s="2"/>
      </tp>
      <tp t="s">
        <v/>
        <stp/>
        <stp>##V3_BQLV12</stp>
        <stp>[MODL_CRM_US1.xlsx]Single Period!R53C36</stp>
        <stp>CRM US Equity</stp>
        <stp>REVENUE_GROWTH_CC_1_YR</stp>
        <stp>FPR=2022Y</stp>
        <stp>FPT=A</stp>
        <stp>FA_ACT_EST_DATA=E, EST_SOURCE=MAC</stp>
        <stp>ACT_EST_MAPPING=PRECISE</stp>
        <stp>FS=MRC</stp>
        <stp>CURRENCY=USD</stp>
        <stp>XLFILL=b</stp>
        <tr r="AJ53" s="2"/>
      </tp>
      <tp t="s">
        <v/>
        <stp/>
        <stp>##V3_BQLV12</stp>
        <stp>[MODL_CRM_US1.xlsx]Single Period!R138C32</stp>
        <stp>CRM US Equity</stp>
        <stp>BS_COMMON_STOCK/1M</stp>
        <stp>FPR=2022Y</stp>
        <stp>FPT=A</stp>
        <stp>FA_ACT_EST_DATA=E, EST_SOURCE=UBS</stp>
        <stp>ACT_EST_MAPPING=PRECISE</stp>
        <stp>FS=MRC</stp>
        <stp>CURRENCY=USD</stp>
        <stp>XLFILL=b</stp>
        <tr r="AF138" s="2"/>
      </tp>
      <tp t="s">
        <v/>
        <stp/>
        <stp>##V3_BQLV12</stp>
        <stp>[MODL_CRM_US1.xlsx]Single Period!R178C51</stp>
        <stp>CRM US Equity</stp>
        <stp>CB_CF_REPAYMENT_LT_DEBT/1M</stp>
        <stp>FPR=2022Y</stp>
        <stp>FPT=A</stp>
        <stp>FA_ACT_EST_DATA=E, EST_SOURCE=RCP</stp>
        <stp>ACT_EST_MAPPING=PRECISE</stp>
        <stp>FS=MRC</stp>
        <stp>CURRENCY=USD</stp>
        <stp>XLFILL=b</stp>
        <tr r="AY178" s="2"/>
      </tp>
      <tp t="s">
        <v/>
        <stp/>
        <stp>##V3_BQLV12</stp>
        <stp>[MODL_CRM_US1.xlsx]Single Period!R86C41</stp>
        <stp>CRM US Equity</stp>
        <stp>IS_GENERAL_AND_ADMIN_GAAP/1M</stp>
        <stp>FPR=2022Y</stp>
        <stp>FPT=A</stp>
        <stp>FA_ACT_EST_DATA=E, EST_SOURCE=GSR</stp>
        <stp>ACT_EST_MAPPING=PRECISE</stp>
        <stp>FS=MRC</stp>
        <stp>CURRENCY=USD</stp>
        <stp>XLFILL=b</stp>
        <tr r="AO86" s="2"/>
      </tp>
      <tp>
        <v>76.206197800182039</v>
        <stp/>
        <stp>##V3_BQLV12</stp>
        <stp>[MODL_CRM_US1.xlsx]Single Period!R58C8</stp>
        <stp>CRM US Equity</stp>
        <stp>CONTRIBUTOR_STATS(CB_IS_ADJUSTED_OPEX, STD)/1M</stp>
        <stp>FPR=2022Y</stp>
        <stp>FPT=A</stp>
        <stp>FA_ACT_EST_DATA=E</stp>
        <stp>ACT_EST_MAPPING=PRECISE</stp>
        <stp>FS=MRC</stp>
        <stp>CURRENCY=USD</stp>
        <stp>XLFILL=b</stp>
        <tr r="H58" s="2"/>
      </tp>
      <tp t="s">
        <v/>
        <stp/>
        <stp>##V3_BQLV12</stp>
        <stp>[MODL_CRM_US1.xlsx]Single Period!R147C56</stp>
        <stp>CRM US Equity</stp>
        <stp>BV_PER_WEIGHTED_DILUTED_SHARE</stp>
        <stp>FPR=2022Y</stp>
        <stp>FPT=A</stp>
        <stp>FA_ACT_EST_DATA=E, EST_SOURCE=DIR</stp>
        <stp>ACT_EST_MAPPING=PRECISE</stp>
        <stp>FS=MRC</stp>
        <stp>CURRENCY=USD</stp>
        <stp>XLFILL=b</stp>
        <tr r="BD147" s="2"/>
      </tp>
      <tp t="s">
        <v/>
        <stp/>
        <stp>##V3_BQLV12</stp>
        <stp>[MODL_CRM_US1.xlsx]Single Period!R133C53</stp>
        <stp>CRM US Equity</stp>
        <stp>BS_LONG_TERM_BORROWINGS/1M</stp>
        <stp>FPR=2022Y</stp>
        <stp>FPT=A</stp>
        <stp>FA_ACT_EST_DATA=E, EST_SOURCE=NIK</stp>
        <stp>ACT_EST_MAPPING=PRECISE</stp>
        <stp>FS=MRC</stp>
        <stp>CURRENCY=USD</stp>
        <stp>XLFILL=b</stp>
        <tr r="BA133" s="2"/>
      </tp>
      <tp t="s">
        <v/>
        <stp/>
        <stp>##V3_BQLV12</stp>
        <stp>[MODL_CRM_US1.xlsx]Single Period!R53C18</stp>
        <stp>CRM US Equity</stp>
        <stp>REVENUE_GROWTH_CC_1_YR</stp>
        <stp>FPR=2022Y</stp>
        <stp>FPT=A</stp>
        <stp>FA_ACT_EST_DATA=E, EST_SOURCE=CAN</stp>
        <stp>ACT_EST_MAPPING=PRECISE</stp>
        <stp>FS=MRC</stp>
        <stp>CURRENCY=USD</stp>
        <stp>XLFILL=b</stp>
        <tr r="R53" s="2"/>
      </tp>
      <tp t="s">
        <v/>
        <stp/>
        <stp>##V3_BQLV12</stp>
        <stp>[MODL_CRM_US1.xlsx]Single Period!R53C30</stp>
        <stp>CRM US Equity</stp>
        <stp>REVENUE_GROWTH_CC_1_YR</stp>
        <stp>FPR=2022Y</stp>
        <stp>FPT=A</stp>
        <stp>FA_ACT_EST_DATA=E, EST_SOURCE=BAM</stp>
        <stp>ACT_EST_MAPPING=PRECISE</stp>
        <stp>FS=MRC</stp>
        <stp>CURRENCY=USD</stp>
        <stp>XLFILL=b</stp>
        <tr r="AD53" s="2"/>
      </tp>
      <tp t="s">
        <v/>
        <stp/>
        <stp>##V3_BQLV12</stp>
        <stp>[MODL_CRM_US1.xlsx]Single Period!R86C22</stp>
        <stp>CRM US Equity</stp>
        <stp>IS_GENERAL_AND_ADMIN_GAAP/1M</stp>
        <stp>FPR=2022Y</stp>
        <stp>FPT=A</stp>
        <stp>FA_ACT_EST_DATA=E, EST_SOURCE=OPY</stp>
        <stp>ACT_EST_MAPPING=PRECISE</stp>
        <stp>FS=MRC</stp>
        <stp>CURRENCY=USD</stp>
        <stp>XLFILL=b</stp>
        <tr r="V86" s="2"/>
      </tp>
      <tp t="s">
        <v/>
        <stp/>
        <stp>##V3_BQLV12</stp>
        <stp>[MODL_CRM_US1.xlsx]Single Period!R111C43</stp>
        <stp>CRM US Equity</stp>
        <stp>BS_CASH_CASH_EQUIVALENTS_AND_STI/1M</stp>
        <stp>FPR=2022Y</stp>
        <stp>FPT=A</stp>
        <stp>FA_ACT_EST_DATA=E, EST_SOURCE=DWI</stp>
        <stp>ACT_EST_MAPPING=PRECISE</stp>
        <stp>FS=MRC</stp>
        <stp>CURRENCY=USD</stp>
        <stp>XLFILL=b</stp>
        <tr r="AQ111" s="2"/>
      </tp>
      <tp t="s">
        <v/>
        <stp/>
        <stp>##V3_BQLV12</stp>
        <stp>[MODL_CRM_US1.xlsx]Single Period!R150C44</stp>
        <stp>CRM US Equity</stp>
        <stp>CURRENT_FUTURE_REV_UNDER_CONTRACT/1M</stp>
        <stp>FPR=2022Y</stp>
        <stp>FPT=A</stp>
        <stp>FA_ACT_EST_DATA=E, EST_SOURCE=RWB</stp>
        <stp>ACT_EST_MAPPING=PRECISE</stp>
        <stp>FS=MRC</stp>
        <stp>CURRENCY=USD</stp>
        <stp>XLFILL=b</stp>
        <tr r="AR150" s="2"/>
      </tp>
      <tp>
        <v>25.97787781940626</v>
        <stp/>
        <stp>##V3_BQLV12</stp>
        <stp>[MODL_CRM_US1.xlsx]Single Period!R27C8</stp>
        <stp>SEG0000269241 Segment</stp>
        <stp>CONTRIBUTOR_STATS(SALES_REV_TURN, STD)/1M</stp>
        <stp>FPR=2022Y</stp>
        <stp>FPT=A</stp>
        <stp>FA_ACT_EST_DATA=E</stp>
        <stp>ACT_EST_MAPPING=PRECISE</stp>
        <stp>FS=MRC</stp>
        <stp>CURRENCY=USD</stp>
        <stp>XLFILL=b</stp>
        <tr r="H27" s="2"/>
      </tp>
      <tp>
        <v>4929.9903587500012</v>
        <stp/>
        <stp>##V3_BQLV12</stp>
        <stp>[MODL_CRM_US1.xlsx]Single Period!R191C11</stp>
        <stp>CRM US Equity</stp>
        <stp>CF_FREE_CASH_FLOW/1M</stp>
        <stp>FPR=2022Y</stp>
        <stp>FPT=A</stp>
        <stp>FA_ACT_EST_DATA=E, EST_SOURCE=WBL</stp>
        <stp>ACT_EST_MAPPING=PRECISE</stp>
        <stp>FS=MRC</stp>
        <stp>CURRENCY=USD</stp>
        <stp>XLFILL=b</stp>
        <tr r="K191" s="2"/>
      </tp>
      <tp>
        <v>21.911564142255092</v>
        <stp/>
        <stp>##V3_BQLV12</stp>
        <stp>[MODL_CRM_US1.xlsx]Single Period!R26C8</stp>
        <stp>SEG0000269247 Segment</stp>
        <stp>CONTRIBUTOR_STATS(SALES_REV_TURN, STD)/1M</stp>
        <stp>FPR=2022Y</stp>
        <stp>FPT=A</stp>
        <stp>FA_ACT_EST_DATA=E</stp>
        <stp>ACT_EST_MAPPING=PRECISE</stp>
        <stp>FS=MRC</stp>
        <stp>CURRENCY=USD</stp>
        <stp>XLFILL=b</stp>
        <tr r="H26" s="2"/>
      </tp>
      <tp>
        <v>391.61103438746323</v>
        <stp/>
        <stp>##V3_BQLV12</stp>
        <stp>[MODL_CRM_US1.xlsx]Single Period!R48C8</stp>
        <stp>SEG0000269229 Segment</stp>
        <stp>CONTRIBUTOR_STATS(SALES_REV_TURN, STD)/1M</stp>
        <stp>FPR=2022Y</stp>
        <stp>FPT=A</stp>
        <stp>FA_ACT_EST_DATA=E</stp>
        <stp>ACT_EST_MAPPING=PRECISE</stp>
        <stp>FS=MRC</stp>
        <stp>CURRENCY=USD</stp>
        <stp>XLFILL=b</stp>
        <tr r="H48" s="2"/>
      </tp>
      <tp t="s">
        <v/>
        <stp/>
        <stp>##V3_BQLV12</stp>
        <stp>[MODL_CRM_US1.xlsx]Single Period!R170C32</stp>
        <stp>CRM US Equity</stp>
        <stp>CF_CASH_FOR_ACQUIS_SUBSIDIARIES/1M</stp>
        <stp>FPR=2022Y</stp>
        <stp>FPT=A</stp>
        <stp>FA_ACT_EST_DATA=E, EST_SOURCE=UBS</stp>
        <stp>ACT_EST_MAPPING=PRECISE</stp>
        <stp>FS=MRC</stp>
        <stp>CURRENCY=USD</stp>
        <stp>XLFILL=b</stp>
        <tr r="AF170" s="2"/>
      </tp>
      <tp>
        <v>6552.6291500000007</v>
        <stp/>
        <stp>##V3_BQLV12</stp>
        <stp>[MODL_CRM_US1.xlsx]Single Period!R191C17</stp>
        <stp>CRM US Equity</stp>
        <stp>CF_FREE_CASH_FLOW/1M</stp>
        <stp>FPR=2022Y</stp>
        <stp>FPT=A</stp>
        <stp>FA_ACT_EST_DATA=E, EST_SOURCE=NDH</stp>
        <stp>ACT_EST_MAPPING=PRECISE</stp>
        <stp>FS=MRC</stp>
        <stp>CURRENCY=USD</stp>
        <stp>XLFILL=b</stp>
        <tr r="Q191" s="2"/>
      </tp>
      <tp t="s">
        <v/>
        <stp/>
        <stp>##V3_BQLV12</stp>
        <stp>[MODL_CRM_US1.xlsx]Single Period!R176C47</stp>
        <stp>CRM US Equity</stp>
        <stp>CF_INCR_CAP_STOCK/1M</stp>
        <stp>FPR=2022Y</stp>
        <stp>FPT=A</stp>
        <stp>FA_ACT_EST_DATA=E, EST_SOURCE=WFT</stp>
        <stp>ACT_EST_MAPPING=PRECISE</stp>
        <stp>FS=MRC</stp>
        <stp>CURRENCY=USD</stp>
        <stp>XLFILL=b</stp>
        <tr r="AU176" s="2"/>
      </tp>
      <tp t="s">
        <v/>
        <stp/>
        <stp>##V3_BQLV12</stp>
        <stp>[MODL_CRM_US1.xlsx]Single Period!R111C44</stp>
        <stp>CRM US Equity</stp>
        <stp>BS_CASH_CASH_EQUIVALENTS_AND_STI/1M</stp>
        <stp>FPR=2022Y</stp>
        <stp>FPT=A</stp>
        <stp>FA_ACT_EST_DATA=E, EST_SOURCE=RWB</stp>
        <stp>ACT_EST_MAPPING=PRECISE</stp>
        <stp>FS=MRC</stp>
        <stp>CURRENCY=USD</stp>
        <stp>XLFILL=b</stp>
        <tr r="AR111" s="2"/>
      </tp>
      <tp>
        <v>21420</v>
        <stp/>
        <stp>##V3_BQLV12</stp>
        <stp>[MODL_CRM_US1.xlsx]Single Period!R13C9</stp>
        <stp>CRM US Equity</stp>
        <stp>CONTRIBUTOR_STATS(CURRENT_FUTURE_REV_UNDER_CONTRACT, MEDIAN)/1M</stp>
        <stp>FPR=2022Y</stp>
        <stp>FPT=A</stp>
        <stp>FA_ACT_EST_DATA=E</stp>
        <stp>ACT_EST_MAPPING=PRECISE</stp>
        <stp>FS=MRC</stp>
        <stp>CURRENCY=USD</stp>
        <stp>XLFILL=b</stp>
        <tr r="I13" s="2"/>
      </tp>
      <tp t="s">
        <v/>
        <stp/>
        <stp>##V3_BQLV12</stp>
        <stp>[MODL_CRM_US1.xlsx]Single Period!R191C40</stp>
        <stp>CRM US Equity</stp>
        <stp>CF_FREE_CASH_FLOW/1M</stp>
        <stp>FPR=2022Y</stp>
        <stp>FPT=A</stp>
        <stp>FA_ACT_EST_DATA=E, EST_SOURCE=ACC</stp>
        <stp>ACT_EST_MAPPING=PRECISE</stp>
        <stp>FS=MRC</stp>
        <stp>CURRENCY=USD</stp>
        <stp>XLFILL=b</stp>
        <tr r="AN191" s="2"/>
      </tp>
      <tp t="s">
        <v/>
        <stp/>
        <stp>##V3_BQLV12</stp>
        <stp>[MODL_CRM_US1.xlsx]Single Period!R191C31</stp>
        <stp>CRM US Equity</stp>
        <stp>CF_FREE_CASH_FLOW/1M</stp>
        <stp>FPR=2022Y</stp>
        <stp>FPT=A</stp>
        <stp>FA_ACT_EST_DATA=E, EST_SOURCE=RBC</stp>
        <stp>ACT_EST_MAPPING=PRECISE</stp>
        <stp>FS=MRC</stp>
        <stp>CURRENCY=USD</stp>
        <stp>XLFILL=b</stp>
        <tr r="AE191" s="2"/>
      </tp>
      <tp>
        <v>1911.44549118861</v>
        <stp/>
        <stp>##V3_BQLV12</stp>
        <stp>[MODL_CRM_US1.xlsx]Single Period!R28C8</stp>
        <stp>SEG0000269242 Segment</stp>
        <stp>CONTRIBUTOR_STATS(SALES_REV_TURN, STD)/1M</stp>
        <stp>FPR=2022Y</stp>
        <stp>FPT=A</stp>
        <stp>FA_ACT_EST_DATA=E</stp>
        <stp>ACT_EST_MAPPING=PRECISE</stp>
        <stp>FS=MRC</stp>
        <stp>CURRENCY=USD</stp>
        <stp>XLFILL=b</stp>
        <tr r="H28" s="2"/>
      </tp>
      <tp t="s">
        <v/>
        <stp/>
        <stp>##V3_BQLV12</stp>
        <stp>[MODL_CRM_US1.xlsx]Single Period!R150C23</stp>
        <stp>CRM US Equity</stp>
        <stp>CURRENT_FUTURE_REV_UNDER_CONTRACT/1M</stp>
        <stp>FPR=2022Y</stp>
        <stp>FPT=A</stp>
        <stp>FA_ACT_EST_DATA=E, EST_SOURCE=JPM</stp>
        <stp>ACT_EST_MAPPING=PRECISE</stp>
        <stp>FS=MRC</stp>
        <stp>CURRENCY=USD</stp>
        <stp>XLFILL=b</stp>
        <tr r="W150" s="2"/>
      </tp>
      <tp>
        <v>-14816</v>
        <stp/>
        <stp>##V3_BQLV12</stp>
        <stp>[MODL_CRM_US1.xlsx]Single Period!R170C16</stp>
        <stp>CRM US Equity</stp>
        <stp>CF_CASH_FOR_ACQUIS_SUBSIDIARIES/1M</stp>
        <stp>FPR=2022Y</stp>
        <stp>FPT=A</stp>
        <stp>FA_ACT_EST_DATA=E, EST_SOURCE=DBG</stp>
        <stp>ACT_EST_MAPPING=PRECISE</stp>
        <stp>FS=MRC</stp>
        <stp>CURRENCY=USD</stp>
        <stp>XLFILL=b</stp>
        <tr r="P170" s="2"/>
      </tp>
      <tp>
        <v>8291</v>
        <stp/>
        <stp>##V3_BQLV12</stp>
        <stp>[MODL_CRM_US1.xlsx]Single Period!R28C7</stp>
        <stp>SEG0000269242 Segment</stp>
        <stp>CONTRIBUTOR_STATS(SALES_REV_TURN, MAX)/1M</stp>
        <stp>FPR=2022Y</stp>
        <stp>FPT=A</stp>
        <stp>FA_ACT_EST_DATA=E</stp>
        <stp>ACT_EST_MAPPING=PRECISE</stp>
        <stp>FS=MRC</stp>
        <stp>CURRENCY=USD</stp>
        <stp>XLFILL=b</stp>
        <tr r="G28" s="2"/>
      </tp>
      <tp>
        <v>4442.25</v>
        <stp/>
        <stp>##V3_BQLV12</stp>
        <stp>[MODL_CRM_US1.xlsx]Single Period!R28C6</stp>
        <stp>SEG0000269242 Segment</stp>
        <stp>CONTRIBUTOR_STATS(SALES_REV_TURN, MIN)/1M</stp>
        <stp>FPR=2022Y</stp>
        <stp>FPT=A</stp>
        <stp>FA_ACT_EST_DATA=E</stp>
        <stp>ACT_EST_MAPPING=PRECISE</stp>
        <stp>FS=MRC</stp>
        <stp>CURRENCY=USD</stp>
        <stp>XLFILL=b</stp>
        <tr r="F28" s="2"/>
      </tp>
      <tp t="s">
        <v/>
        <stp/>
        <stp>##V3_BQLV12</stp>
        <stp>[MODL_CRM_US1.xlsx]Single Period!R176C30</stp>
        <stp>CRM US Equity</stp>
        <stp>CF_INCR_CAP_STOCK/1M</stp>
        <stp>FPR=2022Y</stp>
        <stp>FPT=A</stp>
        <stp>FA_ACT_EST_DATA=E, EST_SOURCE=BAM</stp>
        <stp>ACT_EST_MAPPING=PRECISE</stp>
        <stp>FS=MRC</stp>
        <stp>CURRENCY=USD</stp>
        <stp>XLFILL=b</stp>
        <tr r="AD176" s="2"/>
      </tp>
      <tp t="s">
        <v/>
        <stp/>
        <stp>##V3_BQLV12</stp>
        <stp>[MODL_CRM_US1.xlsx]Single Period!R157C18</stp>
        <stp>CRM US Equity</stp>
        <stp>CF_AMORTIZATN_OF_DEFRRD_COMPNSTN/1M</stp>
        <stp>FPR=2022Y</stp>
        <stp>FPT=A</stp>
        <stp>FA_ACT_EST_DATA=E, EST_SOURCE=CAN</stp>
        <stp>ACT_EST_MAPPING=PRECISE</stp>
        <stp>FS=MRC</stp>
        <stp>CURRENCY=USD</stp>
        <stp>XLFILL=b</stp>
        <tr r="R157" s="2"/>
      </tp>
      <tp>
        <v>1370.6227729055049</v>
        <stp/>
        <stp>##V3_BQLV12</stp>
        <stp>[MODL_CRM_US1.xlsx]Single Period!R157C24</stp>
        <stp>CRM US Equity</stp>
        <stp>CF_AMORTIZATN_OF_DEFRRD_COMPNSTN/1M</stp>
        <stp>FPR=2022Y</stp>
        <stp>FPT=A</stp>
        <stp>FA_ACT_EST_DATA=E, EST_SOURCE=FBC</stp>
        <stp>ACT_EST_MAPPING=PRECISE</stp>
        <stp>FS=MRC</stp>
        <stp>CURRENCY=USD</stp>
        <stp>XLFILL=b</stp>
        <tr r="X157" s="2"/>
      </tp>
      <tp t="s">
        <v/>
        <stp/>
        <stp>##V3_BQLV12</stp>
        <stp>[MODL_CRM_US1.xlsx]Single Period!R157C55</stp>
        <stp>CRM US Equity</stp>
        <stp>CF_AMORTIZATN_OF_DEFRRD_COMPNSTN/1M</stp>
        <stp>FPR=2022Y</stp>
        <stp>FPT=A</stp>
        <stp>FA_ACT_EST_DATA=E, EST_SOURCE=RED</stp>
        <stp>ACT_EST_MAPPING=PRECISE</stp>
        <stp>FS=MRC</stp>
        <stp>CURRENCY=USD</stp>
        <stp>XLFILL=b</stp>
        <tr r="BC157" s="2"/>
      </tp>
      <tp>
        <v>-14781</v>
        <stp/>
        <stp>##V3_BQLV12</stp>
        <stp>[MODL_CRM_US1.xlsx]Single Period!R170C24</stp>
        <stp>CRM US Equity</stp>
        <stp>CF_CASH_FOR_ACQUIS_SUBSIDIARIES/1M</stp>
        <stp>FPR=2022Y</stp>
        <stp>FPT=A</stp>
        <stp>FA_ACT_EST_DATA=E, EST_SOURCE=FBC</stp>
        <stp>ACT_EST_MAPPING=PRECISE</stp>
        <stp>FS=MRC</stp>
        <stp>CURRENCY=USD</stp>
        <stp>XLFILL=b</stp>
        <tr r="X170" s="2"/>
      </tp>
      <tp>
        <v>4772.4944512478869</v>
        <stp/>
        <stp>##V3_BQLV12</stp>
        <stp>[MODL_CRM_US1.xlsx]Single Period!R191C26</stp>
        <stp>CRM US Equity</stp>
        <stp>CF_FREE_CASH_FLOW/1M</stp>
        <stp>FPR=2022Y</stp>
        <stp>FPT=A</stp>
        <stp>FA_ACT_EST_DATA=E, EST_SOURCE=KEY</stp>
        <stp>ACT_EST_MAPPING=PRECISE</stp>
        <stp>FS=MRC</stp>
        <stp>CURRENCY=USD</stp>
        <stp>XLFILL=b</stp>
        <tr r="Z191" s="2"/>
      </tp>
      <tp t="s">
        <v/>
        <stp/>
        <stp>##V3_BQLV12</stp>
        <stp>[MODL_CRM_US1.xlsx]Single Period!R170C31</stp>
        <stp>CRM US Equity</stp>
        <stp>CF_CASH_FOR_ACQUIS_SUBSIDIARIES/1M</stp>
        <stp>FPR=2022Y</stp>
        <stp>FPT=A</stp>
        <stp>FA_ACT_EST_DATA=E, EST_SOURCE=RBC</stp>
        <stp>ACT_EST_MAPPING=PRECISE</stp>
        <stp>FS=MRC</stp>
        <stp>CURRENCY=USD</stp>
        <stp>XLFILL=b</stp>
        <tr r="AE170" s="2"/>
      </tp>
      <tp t="s">
        <v/>
        <stp/>
        <stp>##V3_BQLV12</stp>
        <stp>[MODL_CRM_US1.xlsx]Single Period!R170C11</stp>
        <stp>CRM US Equity</stp>
        <stp>CF_CASH_FOR_ACQUIS_SUBSIDIARIES/1M</stp>
        <stp>FPR=2022Y</stp>
        <stp>FPT=A</stp>
        <stp>FA_ACT_EST_DATA=E, EST_SOURCE=WBL</stp>
        <stp>ACT_EST_MAPPING=PRECISE</stp>
        <stp>FS=MRC</stp>
        <stp>CURRENCY=USD</stp>
        <stp>XLFILL=b</stp>
        <tr r="K170" s="2"/>
      </tp>
      <tp>
        <v>6006</v>
        <stp/>
        <stp>##V3_BQLV12</stp>
        <stp>[MODL_CRM_US1.xlsx]Single Period!R26C7</stp>
        <stp>SEG0000269247 Segment</stp>
        <stp>CONTRIBUTOR_STATS(SALES_REV_TURN, MAX)/1M</stp>
        <stp>FPR=2022Y</stp>
        <stp>FPT=A</stp>
        <stp>FA_ACT_EST_DATA=E</stp>
        <stp>ACT_EST_MAPPING=PRECISE</stp>
        <stp>FS=MRC</stp>
        <stp>CURRENCY=USD</stp>
        <stp>XLFILL=b</stp>
        <tr r="G26" s="2"/>
      </tp>
      <tp>
        <v>2501.2902083636891</v>
        <stp/>
        <stp>##V3_BQLV12</stp>
        <stp>[MODL_CRM_US1.xlsx]Single Period!R48C7</stp>
        <stp>SEG0000269229 Segment</stp>
        <stp>CONTRIBUTOR_STATS(SALES_REV_TURN, MAX)/1M</stp>
        <stp>FPR=2022Y</stp>
        <stp>FPT=A</stp>
        <stp>FA_ACT_EST_DATA=E</stp>
        <stp>ACT_EST_MAPPING=PRECISE</stp>
        <stp>FS=MRC</stp>
        <stp>CURRENCY=USD</stp>
        <stp>XLFILL=b</stp>
        <tr r="G48" s="2"/>
      </tp>
      <tp>
        <v>5935.28</v>
        <stp/>
        <stp>##V3_BQLV12</stp>
        <stp>[MODL_CRM_US1.xlsx]Single Period!R26C6</stp>
        <stp>SEG0000269247 Segment</stp>
        <stp>CONTRIBUTOR_STATS(SALES_REV_TURN, MIN)/1M</stp>
        <stp>FPR=2022Y</stp>
        <stp>FPT=A</stp>
        <stp>FA_ACT_EST_DATA=E</stp>
        <stp>ACT_EST_MAPPING=PRECISE</stp>
        <stp>FS=MRC</stp>
        <stp>CURRENCY=USD</stp>
        <stp>XLFILL=b</stp>
        <tr r="F26" s="2"/>
      </tp>
      <tp>
        <v>1823</v>
        <stp/>
        <stp>##V3_BQLV12</stp>
        <stp>[MODL_CRM_US1.xlsx]Single Period!R48C6</stp>
        <stp>SEG0000269229 Segment</stp>
        <stp>CONTRIBUTOR_STATS(SALES_REV_TURN, MIN)/1M</stp>
        <stp>FPR=2022Y</stp>
        <stp>FPT=A</stp>
        <stp>FA_ACT_EST_DATA=E</stp>
        <stp>ACT_EST_MAPPING=PRECISE</stp>
        <stp>FS=MRC</stp>
        <stp>CURRENCY=USD</stp>
        <stp>XLFILL=b</stp>
        <tr r="F48" s="2"/>
      </tp>
      <tp t="s">
        <v/>
        <stp/>
        <stp>##V3_BQLV12</stp>
        <stp>[MODL_CRM_US1.xlsx]Single Period!R176C34</stp>
        <stp>CRM US Equity</stp>
        <stp>CF_INCR_CAP_STOCK/1M</stp>
        <stp>FPR=2022Y</stp>
        <stp>FPT=A</stp>
        <stp>FA_ACT_EST_DATA=E, EST_SOURCE=JEF</stp>
        <stp>ACT_EST_MAPPING=PRECISE</stp>
        <stp>FS=MRC</stp>
        <stp>CURRENCY=USD</stp>
        <stp>XLFILL=b</stp>
        <tr r="AH176" s="2"/>
      </tp>
      <tp>
        <v>6542.58</v>
        <stp/>
        <stp>##V3_BQLV12</stp>
        <stp>[MODL_CRM_US1.xlsx]Single Period!R27C7</stp>
        <stp>SEG0000269241 Segment</stp>
        <stp>CONTRIBUTOR_STATS(SALES_REV_TURN, MAX)/1M</stp>
        <stp>FPR=2022Y</stp>
        <stp>FPT=A</stp>
        <stp>FA_ACT_EST_DATA=E</stp>
        <stp>ACT_EST_MAPPING=PRECISE</stp>
        <stp>FS=MRC</stp>
        <stp>CURRENCY=USD</stp>
        <stp>XLFILL=b</stp>
        <tr r="G27" s="2"/>
      </tp>
      <tp>
        <v>6444</v>
        <stp/>
        <stp>##V3_BQLV12</stp>
        <stp>[MODL_CRM_US1.xlsx]Single Period!R27C6</stp>
        <stp>SEG0000269241 Segment</stp>
        <stp>CONTRIBUTOR_STATS(SALES_REV_TURN, MIN)/1M</stp>
        <stp>FPR=2022Y</stp>
        <stp>FPT=A</stp>
        <stp>FA_ACT_EST_DATA=E</stp>
        <stp>ACT_EST_MAPPING=PRECISE</stp>
        <stp>FS=MRC</stp>
        <stp>CURRENCY=USD</stp>
        <stp>XLFILL=b</stp>
        <tr r="F27" s="2"/>
      </tp>
      <tp t="s">
        <v/>
        <stp/>
        <stp>##V3_BQLV12</stp>
        <stp>[MODL_CRM_US1.xlsx]Single Period!R141C50</stp>
        <stp>CRM US Equity</stp>
        <stp>BS_PURE_RETAINED_EARNINGS/1M</stp>
        <stp>FPR=2022Y</stp>
        <stp>FPT=A</stp>
        <stp>FA_ACT_EST_DATA=E, EST_SOURCE=MZS</stp>
        <stp>ACT_EST_MAPPING=PRECISE</stp>
        <stp>FS=MRC</stp>
        <stp>CURRENCY=USD</stp>
        <stp>XLFILL=b</stp>
        <tr r="AX141" s="2"/>
      </tp>
      <tp t="s">
        <v/>
        <stp/>
        <stp>##V3_BQLV12</stp>
        <stp>[MODL_CRM_US1.xlsx]Single Period!R184C49</stp>
        <stp>CRM US Equity</stp>
        <stp>CFO_TO_SALES</stp>
        <stp>FPR=2022Y</stp>
        <stp>FPT=A</stp>
        <stp>FA_ACT_EST_DATA=E, EST_SOURCE=SGE</stp>
        <stp>ACT_EST_MAPPING=PRECISE</stp>
        <stp>FS=MRC</stp>
        <stp>CURRENCY=USD</stp>
        <stp>XLFILL=b</stp>
        <tr r="AW184" s="2"/>
      </tp>
      <tp t="s">
        <v/>
        <stp/>
        <stp>##V3_BQLV12</stp>
        <stp>[MODL_CRM_US1.xlsx]Single Period!R184C39</stp>
        <stp>CRM US Equity</stp>
        <stp>CFO_TO_SALES</stp>
        <stp>FPR=2022Y</stp>
        <stp>FPT=A</stp>
        <stp>FA_ACT_EST_DATA=E, EST_SOURCE=KGI</stp>
        <stp>ACT_EST_MAPPING=PRECISE</stp>
        <stp>FS=MRC</stp>
        <stp>CURRENCY=USD</stp>
        <stp>XLFILL=b</stp>
        <tr r="AM184" s="2"/>
      </tp>
      <tp t="s">
        <v/>
        <stp/>
        <stp>##V3_BQLV12</stp>
        <stp>[MODL_CRM_US1.xlsx]Single Period!R92C48</stp>
        <stp>CRM US Equity</stp>
        <stp>PROF_MARGIN</stp>
        <stp>FPR=2022Y</stp>
        <stp>FPT=A</stp>
        <stp>FA_ACT_EST_DATA=E, EST_SOURCE=PJE</stp>
        <stp>ACT_EST_MAPPING=PRECISE</stp>
        <stp>FS=MRC</stp>
        <stp>CURRENCY=USD</stp>
        <stp>XLFILL=b</stp>
        <tr r="AV92" s="2"/>
      </tp>
      <tp t="s">
        <v/>
        <stp/>
        <stp>##V3_BQLV12</stp>
        <stp>[MODL_CRM_US1.xlsx]Single Period!R61C39</stp>
        <stp>CRM US Equity</stp>
        <stp>ADJ_OPERATING_MARGIN</stp>
        <stp>FPR=2022Y</stp>
        <stp>FPT=A</stp>
        <stp>FA_ACT_EST_DATA=E, EST_SOURCE=KGI</stp>
        <stp>ACT_EST_MAPPING=PRECISE</stp>
        <stp>FS=MRC</stp>
        <stp>CURRENCY=USD</stp>
        <stp>XLFILL=b</stp>
        <tr r="AM61" s="2"/>
      </tp>
      <tp t="s">
        <v/>
        <stp/>
        <stp>##V3_BQLV12</stp>
        <stp>[MODL_CRM_US1.xlsx]Single Period!R103C44</stp>
        <stp>CRM US Equity</stp>
        <stp>IS_SBC_ATT_TO_GENL_AND_ADMIN_PRETX/1M</stp>
        <stp>FPR=2022Y</stp>
        <stp>FPT=A</stp>
        <stp>FA_ACT_EST_DATA=E, EST_SOURCE=RWB</stp>
        <stp>ACT_EST_MAPPING=PRECISE</stp>
        <stp>FS=MRC</stp>
        <stp>CURRENCY=USD</stp>
        <stp>XLFILL=b</stp>
        <tr r="AR103" s="2"/>
      </tp>
      <tp t="s">
        <v/>
        <stp/>
        <stp>##V3_BQLV12</stp>
        <stp>[MODL_CRM_US1.xlsx]Single Period!R29C10</stp>
        <stp>SEG0000269233 Segment</stp>
        <stp>SALES_REV_TURN/1M</stp>
        <stp>FPR=2022Y</stp>
        <stp>FPT=A</stp>
        <stp>FA_ACT_EST_DATA=E, EST_SOURCE=CMPY</stp>
        <stp>ACT_EST_MAPPING=PRECISE</stp>
        <stp>FS=MRC</stp>
        <stp>CURRENCY=USD</stp>
        <stp>XLFILL=b</stp>
        <tr r="J29" s="2"/>
      </tp>
      <tp t="s">
        <v/>
        <stp/>
        <stp>##V3_BQLV12</stp>
        <stp>[MODL_CRM_US1.xlsx]Single Period!R20C53</stp>
        <stp>CRM US Equity</stp>
        <stp>ADJ_OPERATING_MARGIN</stp>
        <stp>FPR=2022Y</stp>
        <stp>FPT=A</stp>
        <stp>FA_ACT_EST_DATA=E, EST_SOURCE=NIK</stp>
        <stp>ACT_EST_MAPPING=PRECISE</stp>
        <stp>FS=MRC</stp>
        <stp>CURRENCY=USD</stp>
        <stp>XLFILL=b</stp>
        <tr r="BA20" s="2"/>
      </tp>
      <tp t="s">
        <v/>
        <stp/>
        <stp>##V3_BQLV12</stp>
        <stp>[MODL_CRM_US1.xlsx]Single Period!R83C10</stp>
        <stp>CRM US Equity</stp>
        <stp>IS_OPEX_R_AND_D_GAAP/1M</stp>
        <stp>FPR=2022Y</stp>
        <stp>FPT=A</stp>
        <stp>FA_ACT_EST_DATA=E, EST_SOURCE=CMPY</stp>
        <stp>ACT_EST_MAPPING=PRECISE</stp>
        <stp>FS=MRC</stp>
        <stp>CURRENCY=USD</stp>
        <stp>XLFILL=b</stp>
        <tr r="J83" s="2"/>
      </tp>
      <tp t="s">
        <v/>
        <stp/>
        <stp>##V3_BQLV12</stp>
        <stp>[MODL_CRM_US1.xlsx]Single Period!R145C23</stp>
        <stp>CRM US Equity</stp>
        <stp>CB_BS_LT_BORROWING/1M</stp>
        <stp>FPR=2022Y</stp>
        <stp>FPT=A</stp>
        <stp>FA_ACT_EST_DATA=E, EST_SOURCE=JPM</stp>
        <stp>ACT_EST_MAPPING=PRECISE</stp>
        <stp>FS=MRC</stp>
        <stp>CURRENCY=USD</stp>
        <stp>XLFILL=b</stp>
        <tr r="W145" s="2"/>
      </tp>
      <tp t="s">
        <v/>
        <stp/>
        <stp>##V3_BQLV12</stp>
        <stp>[MODL_CRM_US1.xlsx]Single Period!R20C19</stp>
        <stp>CRM US Equity</stp>
        <stp>ADJ_OPERATING_MARGIN</stp>
        <stp>FPR=2022Y</stp>
        <stp>FPT=A</stp>
        <stp>FA_ACT_EST_DATA=E, EST_SOURCE=SCB</stp>
        <stp>ACT_EST_MAPPING=PRECISE</stp>
        <stp>FS=MRC</stp>
        <stp>CURRENCY=USD</stp>
        <stp>XLFILL=b</stp>
        <tr r="S20" s="2"/>
      </tp>
      <tp t="s">
        <v/>
        <stp/>
        <stp>##V3_BQLV12</stp>
        <stp>[MODL_CRM_US1.xlsx]Single Period!R103C43</stp>
        <stp>CRM US Equity</stp>
        <stp>IS_SBC_ATT_TO_GENL_AND_ADMIN_PRETX/1M</stp>
        <stp>FPR=2022Y</stp>
        <stp>FPT=A</stp>
        <stp>FA_ACT_EST_DATA=E, EST_SOURCE=DWI</stp>
        <stp>ACT_EST_MAPPING=PRECISE</stp>
        <stp>FS=MRC</stp>
        <stp>CURRENCY=USD</stp>
        <stp>XLFILL=b</stp>
        <tr r="AQ103" s="2"/>
      </tp>
      <tp t="s">
        <v/>
        <stp/>
        <stp>##V3_BQLV12</stp>
        <stp>[MODL_CRM_US1.xlsx]Single Period!R61C49</stp>
        <stp>CRM US Equity</stp>
        <stp>ADJ_OPERATING_MARGIN</stp>
        <stp>FPR=2022Y</stp>
        <stp>FPT=A</stp>
        <stp>FA_ACT_EST_DATA=E, EST_SOURCE=SGE</stp>
        <stp>ACT_EST_MAPPING=PRECISE</stp>
        <stp>FS=MRC</stp>
        <stp>CURRENCY=USD</stp>
        <stp>XLFILL=b</stp>
        <tr r="AW61" s="2"/>
      </tp>
      <tp t="s">
        <v/>
        <stp/>
        <stp>##V3_BQLV12</stp>
        <stp>[MODL_CRM_US1.xlsx]Single Period!R129C33</stp>
        <stp>CRM US Equity</stp>
        <stp>CB_BS_ACCT_PYBL_ACC_EXPNSS/1M</stp>
        <stp>FPR=2022Y</stp>
        <stp>FPT=A</stp>
        <stp>FA_ACT_EST_DATA=E, EST_SOURCE=RHR</stp>
        <stp>ACT_EST_MAPPING=PRECISE</stp>
        <stp>FS=MRC</stp>
        <stp>CURRENCY=USD</stp>
        <stp>XLFILL=b</stp>
        <tr r="AG129" s="2"/>
      </tp>
      <tp t="s">
        <v/>
        <stp/>
        <stp>##V3_BQLV12</stp>
        <stp>[MODL_CRM_US1.xlsx]Single Period!R103C28</stp>
        <stp>CRM US Equity</stp>
        <stp>IS_SBC_ATT_TO_GENL_AND_ADMIN_PRETX/1M</stp>
        <stp>FPR=2022Y</stp>
        <stp>FPT=A</stp>
        <stp>FA_ACT_EST_DATA=E, EST_SOURCE=CWN</stp>
        <stp>ACT_EST_MAPPING=PRECISE</stp>
        <stp>FS=MRC</stp>
        <stp>CURRENCY=USD</stp>
        <stp>XLFILL=b</stp>
        <tr r="AB103" s="2"/>
      </tp>
      <tp>
        <v>4638</v>
        <stp/>
        <stp>##V3_BQLV12</stp>
        <stp>[MODL_CRM_US1.xlsx]Single Period!R113C17</stp>
        <stp>CRM US Equity</stp>
        <stp>BS_MKT_SEC_OTHER_ST_INVEST/1M</stp>
        <stp>FPR=2022Y</stp>
        <stp>FPT=A</stp>
        <stp>FA_ACT_EST_DATA=E, EST_SOURCE=NDH</stp>
        <stp>ACT_EST_MAPPING=PRECISE</stp>
        <stp>FS=MRC</stp>
        <stp>CURRENCY=USD</stp>
        <stp>XLFILL=b</stp>
        <tr r="Q113" s="2"/>
      </tp>
      <tp t="s">
        <v/>
        <stp/>
        <stp>##V3_BQLV12</stp>
        <stp>[MODL_CRM_US1.xlsx]Single Period!R145C22</stp>
        <stp>CRM US Equity</stp>
        <stp>CB_BS_LT_BORROWING/1M</stp>
        <stp>FPR=2022Y</stp>
        <stp>FPT=A</stp>
        <stp>FA_ACT_EST_DATA=E, EST_SOURCE=OPY</stp>
        <stp>ACT_EST_MAPPING=PRECISE</stp>
        <stp>FS=MRC</stp>
        <stp>CURRENCY=USD</stp>
        <stp>XLFILL=b</stp>
        <tr r="V145" s="2"/>
      </tp>
      <tp t="s">
        <v/>
        <stp/>
        <stp>##V3_BQLV12</stp>
        <stp>[MODL_CRM_US1.xlsx]Single Period!R118C39</stp>
        <stp>CRM US Equity</stp>
        <stp>CB_BS_PP_AND_E_NET/1M</stp>
        <stp>FPR=2022Y</stp>
        <stp>FPT=A</stp>
        <stp>FA_ACT_EST_DATA=E, EST_SOURCE=KGI</stp>
        <stp>ACT_EST_MAPPING=PRECISE</stp>
        <stp>FS=MRC</stp>
        <stp>CURRENCY=USD</stp>
        <stp>XLFILL=b</stp>
        <tr r="AM118" s="2"/>
      </tp>
      <tp t="s">
        <v/>
        <stp/>
        <stp>##V3_BQLV12</stp>
        <stp>[MODL_CRM_US1.xlsx]Single Period!R20C14</stp>
        <stp>CRM US Equity</stp>
        <stp>ADJ_OPERATING_MARGIN</stp>
        <stp>FPR=2022Y</stp>
        <stp>FPT=A</stp>
        <stp>FA_ACT_EST_DATA=E, EST_SOURCE=SNR</stp>
        <stp>ACT_EST_MAPPING=PRECISE</stp>
        <stp>FS=MRC</stp>
        <stp>CURRENCY=USD</stp>
        <stp>XLFILL=b</stp>
        <tr r="N20" s="2"/>
      </tp>
      <tp t="s">
        <v/>
        <stp/>
        <stp>##V3_BQLV12</stp>
        <stp>[MODL_CRM_US1.xlsx]Single Period!R118C49</stp>
        <stp>CRM US Equity</stp>
        <stp>CB_BS_PP_AND_E_NET/1M</stp>
        <stp>FPR=2022Y</stp>
        <stp>FPT=A</stp>
        <stp>FA_ACT_EST_DATA=E, EST_SOURCE=SGE</stp>
        <stp>ACT_EST_MAPPING=PRECISE</stp>
        <stp>FS=MRC</stp>
        <stp>CURRENCY=USD</stp>
        <stp>XLFILL=b</stp>
        <tr r="AW118" s="2"/>
      </tp>
      <tp>
        <v>1445.89</v>
        <stp/>
        <stp>##V3_BQLV12</stp>
        <stp>[MODL_CRM_US1.xlsx]Single Period!R115C17</stp>
        <stp>CRM US Equity</stp>
        <stp>CB_BS_OTHER_CURRENT_ASSETS/1M</stp>
        <stp>FPR=2022Y</stp>
        <stp>FPT=A</stp>
        <stp>FA_ACT_EST_DATA=E, EST_SOURCE=NDH</stp>
        <stp>ACT_EST_MAPPING=PRECISE</stp>
        <stp>FS=MRC</stp>
        <stp>CURRENCY=USD</stp>
        <stp>XLFILL=b</stp>
        <tr r="Q115" s="2"/>
      </tp>
      <tp t="s">
        <v/>
        <stp/>
        <stp>##V3_BQLV12</stp>
        <stp>[MODL_CRM_US1.xlsx]Single Period!R178C24</stp>
        <stp>CRM US Equity</stp>
        <stp>CB_CF_REPAYMENT_LT_DEBT/1M</stp>
        <stp>FPR=2022Y</stp>
        <stp>FPT=A</stp>
        <stp>FA_ACT_EST_DATA=E, EST_SOURCE=FBC</stp>
        <stp>ACT_EST_MAPPING=PRECISE</stp>
        <stp>FS=MRC</stp>
        <stp>CURRENCY=USD</stp>
        <stp>XLFILL=b</stp>
        <tr r="X178" s="2"/>
      </tp>
      <tp t="s">
        <v/>
        <stp/>
        <stp>##V3_BQLV12</stp>
        <stp>[MODL_CRM_US1.xlsx]Single Period!R178C31</stp>
        <stp>CRM US Equity</stp>
        <stp>CB_CF_REPAYMENT_LT_DEBT/1M</stp>
        <stp>FPR=2022Y</stp>
        <stp>FPT=A</stp>
        <stp>FA_ACT_EST_DATA=E, EST_SOURCE=RBC</stp>
        <stp>ACT_EST_MAPPING=PRECISE</stp>
        <stp>FS=MRC</stp>
        <stp>CURRENCY=USD</stp>
        <stp>XLFILL=b</stp>
        <tr r="AE178" s="2"/>
      </tp>
      <tp t="s">
        <v/>
        <stp/>
        <stp>##V3_BQLV12</stp>
        <stp>[MODL_CRM_US1.xlsx]Single Period!R138C13</stp>
        <stp>CRM US Equity</stp>
        <stp>BS_COMMON_STOCK/1M</stp>
        <stp>FPR=2022Y</stp>
        <stp>FPT=A</stp>
        <stp>FA_ACT_EST_DATA=E, EST_SOURCE=BCA</stp>
        <stp>ACT_EST_MAPPING=PRECISE</stp>
        <stp>FS=MRC</stp>
        <stp>CURRENCY=USD</stp>
        <stp>XLFILL=b</stp>
        <tr r="M138" s="2"/>
      </tp>
      <tp t="s">
        <v/>
        <stp/>
        <stp>##V3_BQLV12</stp>
        <stp>[MODL_CRM_US1.xlsx]Single Period!R138C19</stp>
        <stp>CRM US Equity</stp>
        <stp>BS_COMMON_STOCK/1M</stp>
        <stp>FPR=2022Y</stp>
        <stp>FPT=A</stp>
        <stp>FA_ACT_EST_DATA=E, EST_SOURCE=SCB</stp>
        <stp>ACT_EST_MAPPING=PRECISE</stp>
        <stp>FS=MRC</stp>
        <stp>CURRENCY=USD</stp>
        <stp>XLFILL=b</stp>
        <tr r="S138" s="2"/>
      </tp>
      <tp t="s">
        <v/>
        <stp/>
        <stp>##V3_BQLV12</stp>
        <stp>[MODL_CRM_US1.xlsx]Single Period!R86C44</stp>
        <stp>CRM US Equity</stp>
        <stp>IS_GENERAL_AND_ADMIN_GAAP/1M</stp>
        <stp>FPR=2022Y</stp>
        <stp>FPT=A</stp>
        <stp>FA_ACT_EST_DATA=E, EST_SOURCE=RWB</stp>
        <stp>ACT_EST_MAPPING=PRECISE</stp>
        <stp>FS=MRC</stp>
        <stp>CURRENCY=USD</stp>
        <stp>XLFILL=b</stp>
        <tr r="AR86" s="2"/>
      </tp>
      <tp t="s">
        <v/>
        <stp/>
        <stp>##V3_BQLV12</stp>
        <stp>[MODL_CRM_US1.xlsx]Single Period!R133C33</stp>
        <stp>CRM US Equity</stp>
        <stp>BS_LONG_TERM_BORROWINGS/1M</stp>
        <stp>FPR=2022Y</stp>
        <stp>FPT=A</stp>
        <stp>FA_ACT_EST_DATA=E, EST_SOURCE=RHR</stp>
        <stp>ACT_EST_MAPPING=PRECISE</stp>
        <stp>FS=MRC</stp>
        <stp>CURRENCY=USD</stp>
        <stp>XLFILL=b</stp>
        <tr r="AG133" s="2"/>
      </tp>
      <tp t="s">
        <v/>
        <stp/>
        <stp>##V3_BQLV12</stp>
        <stp>[MODL_CRM_US1.xlsx]Single Period!R138C40</stp>
        <stp>CRM US Equity</stp>
        <stp>BS_COMMON_STOCK/1M</stp>
        <stp>FPR=2022Y</stp>
        <stp>FPT=A</stp>
        <stp>FA_ACT_EST_DATA=E, EST_SOURCE=ACC</stp>
        <stp>ACT_EST_MAPPING=PRECISE</stp>
        <stp>FS=MRC</stp>
        <stp>CURRENCY=USD</stp>
        <stp>XLFILL=b</stp>
        <tr r="AN138" s="2"/>
      </tp>
      <tp t="s">
        <v/>
        <stp/>
        <stp>##V3_BQLV12</stp>
        <stp>[MODL_CRM_US1.xlsx]Single Period!R159C42</stp>
        <stp>CRM US Equity</stp>
        <stp>SBC_NON_GAAP_TO_SALES</stp>
        <stp>FPR=2022Y</stp>
        <stp>FPT=A</stp>
        <stp>FA_ACT_EST_DATA=E, EST_SOURCE=PSG</stp>
        <stp>ACT_EST_MAPPING=PRECISE</stp>
        <stp>FS=MRC</stp>
        <stp>CURRENCY=USD</stp>
        <stp>XLFILL=b</stp>
        <tr r="AP159" s="2"/>
      </tp>
      <tp>
        <v>-3</v>
        <stp/>
        <stp>##V3_BQLV12</stp>
        <stp>[MODL_CRM_US1.xlsx]Single Period!R178C16</stp>
        <stp>CRM US Equity</stp>
        <stp>CB_CF_REPAYMENT_LT_DEBT/1M</stp>
        <stp>FPR=2022Y</stp>
        <stp>FPT=A</stp>
        <stp>FA_ACT_EST_DATA=E, EST_SOURCE=DBG</stp>
        <stp>ACT_EST_MAPPING=PRECISE</stp>
        <stp>FS=MRC</stp>
        <stp>CURRENCY=USD</stp>
        <stp>XLFILL=b</stp>
        <tr r="P178" s="2"/>
      </tp>
      <tp t="s">
        <v/>
        <stp/>
        <stp>##V3_BQLV12</stp>
        <stp>[MODL_CRM_US1.xlsx]Single Period!R86C23</stp>
        <stp>CRM US Equity</stp>
        <stp>IS_GENERAL_AND_ADMIN_GAAP/1M</stp>
        <stp>FPR=2022Y</stp>
        <stp>FPT=A</stp>
        <stp>FA_ACT_EST_DATA=E, EST_SOURCE=JPM</stp>
        <stp>ACT_EST_MAPPING=PRECISE</stp>
        <stp>FS=MRC</stp>
        <stp>CURRENCY=USD</stp>
        <stp>XLFILL=b</stp>
        <tr r="W86" s="2"/>
      </tp>
      <tp>
        <v>73.507152170075699</v>
        <stp/>
        <stp>##V3_BQLV12</stp>
        <stp>[MODL_CRM_US1.xlsx]Single Period!R80C6</stp>
        <stp>CRM US Equity</stp>
        <stp>CONTRIBUTOR_STATS(GROSS_MARGIN, MIN)</stp>
        <stp>FPR=2022Y</stp>
        <stp>FPT=A</stp>
        <stp>FA_ACT_EST_DATA=E</stp>
        <stp>ACT_EST_MAPPING=PRECISE</stp>
        <stp>FS=MRC</stp>
        <stp>CURRENCY=USD</stp>
        <stp>XLFILL=b</stp>
        <tr r="F80" s="2"/>
      </tp>
      <tp t="s">
        <v/>
        <stp/>
        <stp>##V3_BQLV12</stp>
        <stp>[MODL_CRM_US1.xlsx]Single Period!R178C11</stp>
        <stp>CRM US Equity</stp>
        <stp>CB_CF_REPAYMENT_LT_DEBT/1M</stp>
        <stp>FPR=2022Y</stp>
        <stp>FPT=A</stp>
        <stp>FA_ACT_EST_DATA=E, EST_SOURCE=WBL</stp>
        <stp>ACT_EST_MAPPING=PRECISE</stp>
        <stp>FS=MRC</stp>
        <stp>CURRENCY=USD</stp>
        <stp>XLFILL=b</stp>
        <tr r="K178" s="2"/>
      </tp>
      <tp t="s">
        <v/>
        <stp/>
        <stp>##V3_BQLV12</stp>
        <stp>[MODL_CRM_US1.xlsx]Single Period!R138C27</stp>
        <stp>CRM US Equity</stp>
        <stp>BS_COMMON_STOCK/1M</stp>
        <stp>FPR=2022Y</stp>
        <stp>FPT=A</stp>
        <stp>FA_ACT_EST_DATA=E, EST_SOURCE=LCM</stp>
        <stp>ACT_EST_MAPPING=PRECISE</stp>
        <stp>FS=MRC</stp>
        <stp>CURRENCY=USD</stp>
        <stp>XLFILL=b</stp>
        <tr r="AA138" s="2"/>
      </tp>
      <tp t="s">
        <v/>
        <stp/>
        <stp>##V3_BQLV12</stp>
        <stp>[MODL_CRM_US1.xlsx]Single Period!R192C48</stp>
        <stp>CRM US Equity</stp>
        <stp>FREE_CASH_FLOW_MARGIN</stp>
        <stp>FPR=2022Y</stp>
        <stp>FPT=A</stp>
        <stp>FA_ACT_EST_DATA=E, EST_SOURCE=PJE</stp>
        <stp>ACT_EST_MAPPING=PRECISE</stp>
        <stp>FS=MRC</stp>
        <stp>CURRENCY=USD</stp>
        <stp>XLFILL=b</stp>
        <tr r="AV192" s="2"/>
      </tp>
      <tp t="s">
        <v/>
        <stp/>
        <stp>##V3_BQLV12</stp>
        <stp>[MODL_CRM_US1.xlsx]Single Period!R178C32</stp>
        <stp>CRM US Equity</stp>
        <stp>CB_CF_REPAYMENT_LT_DEBT/1M</stp>
        <stp>FPR=2022Y</stp>
        <stp>FPT=A</stp>
        <stp>FA_ACT_EST_DATA=E, EST_SOURCE=UBS</stp>
        <stp>ACT_EST_MAPPING=PRECISE</stp>
        <stp>FS=MRC</stp>
        <stp>CURRENCY=USD</stp>
        <stp>XLFILL=b</stp>
        <tr r="AF178" s="2"/>
      </tp>
      <tp t="s">
        <v/>
        <stp/>
        <stp>##V3_BQLV12</stp>
        <stp>[MODL_CRM_US1.xlsx]Single Period!R159C41</stp>
        <stp>CRM US Equity</stp>
        <stp>SBC_NON_GAAP_TO_SALES</stp>
        <stp>FPR=2022Y</stp>
        <stp>FPT=A</stp>
        <stp>FA_ACT_EST_DATA=E, EST_SOURCE=GSR</stp>
        <stp>ACT_EST_MAPPING=PRECISE</stp>
        <stp>FS=MRC</stp>
        <stp>CURRENCY=USD</stp>
        <stp>XLFILL=b</stp>
        <tr r="AO159" s="2"/>
      </tp>
      <tp t="s">
        <v/>
        <stp/>
        <stp>##V3_BQLV12</stp>
        <stp>[MODL_CRM_US1.xlsx]Single Period!R159C38</stp>
        <stp>CRM US Equity</stp>
        <stp>SBC_NON_GAAP_TO_SALES</stp>
        <stp>FPR=2022Y</stp>
        <stp>FPT=A</stp>
        <stp>FA_ACT_EST_DATA=E, EST_SOURCE=MSR</stp>
        <stp>ACT_EST_MAPPING=PRECISE</stp>
        <stp>FS=MRC</stp>
        <stp>CURRENCY=USD</stp>
        <stp>XLFILL=b</stp>
        <tr r="AL159" s="2"/>
      </tp>
      <tp t="s">
        <v/>
        <stp/>
        <stp>##V3_BQLV12</stp>
        <stp>[MODL_CRM_US1.xlsx]Single Period!R158C47</stp>
        <stp>CRM US Equity</stp>
        <stp>IS_SBC_NON_GAAP/1M</stp>
        <stp>FPR=2022Y</stp>
        <stp>FPT=A</stp>
        <stp>FA_ACT_EST_DATA=E, EST_SOURCE=WFT</stp>
        <stp>ACT_EST_MAPPING=PRECISE</stp>
        <stp>FS=MRC</stp>
        <stp>CURRENCY=USD</stp>
        <stp>XLFILL=b</stp>
        <tr r="AU158" s="2"/>
      </tp>
      <tp t="s">
        <v/>
        <stp/>
        <stp>##V3_BQLV12</stp>
        <stp>[MODL_CRM_US1.xlsx]Single Period!R158C52</stp>
        <stp>CRM US Equity</stp>
        <stp>IS_SBC_NON_GAAP/1M</stp>
        <stp>FPR=2022Y</stp>
        <stp>FPT=A</stp>
        <stp>FA_ACT_EST_DATA=E, EST_SOURCE=WFR</stp>
        <stp>ACT_EST_MAPPING=PRECISE</stp>
        <stp>FS=MRC</stp>
        <stp>CURRENCY=USD</stp>
        <stp>XLFILL=b</stp>
        <tr r="AZ158" s="2"/>
      </tp>
      <tp>
        <v>18.5658971342028</v>
        <stp/>
        <stp>##V3_BQLV12</stp>
        <stp>[MODL_CRM_US1.xlsx]Single Period!R192C21</stp>
        <stp>CRM US Equity</stp>
        <stp>FREE_CASH_FLOW_MARGIN</stp>
        <stp>FPR=2022Y</stp>
        <stp>FPT=A</stp>
        <stp>FA_ACT_EST_DATA=E, EST_SOURCE=RJA</stp>
        <stp>ACT_EST_MAPPING=PRECISE</stp>
        <stp>FS=MRC</stp>
        <stp>CURRENCY=USD</stp>
        <stp>XLFILL=b</stp>
        <tr r="U192" s="2"/>
      </tp>
      <tp t="s">
        <v/>
        <stp/>
        <stp>##V3_BQLV12</stp>
        <stp>[MODL_CRM_US1.xlsx]Single Period!R138C51</stp>
        <stp>CRM US Equity</stp>
        <stp>BS_COMMON_STOCK/1M</stp>
        <stp>FPR=2022Y</stp>
        <stp>FPT=A</stp>
        <stp>FA_ACT_EST_DATA=E, EST_SOURCE=RCP</stp>
        <stp>ACT_EST_MAPPING=PRECISE</stp>
        <stp>FS=MRC</stp>
        <stp>CURRENCY=USD</stp>
        <stp>XLFILL=b</stp>
        <tr r="AY138" s="2"/>
      </tp>
      <tp>
        <v>7.4870973196174972</v>
        <stp/>
        <stp>##V3_BQLV12</stp>
        <stp>[MODL_CRM_US1.xlsx]Single Period!R159C15</stp>
        <stp>CRM US Equity</stp>
        <stp>SBC_NON_GAAP_TO_SALES</stp>
        <stp>FPR=2022Y</stp>
        <stp>FPT=A</stp>
        <stp>FA_ACT_EST_DATA=E, EST_SOURCE=MSV</stp>
        <stp>ACT_EST_MAPPING=PRECISE</stp>
        <stp>FS=MRC</stp>
        <stp>CURRENCY=USD</stp>
        <stp>XLFILL=b</stp>
        <tr r="O159" s="2"/>
      </tp>
      <tp t="s">
        <v/>
        <stp/>
        <stp>##V3_BQLV12</stp>
        <stp>[MODL_CRM_US1.xlsx]Single Period!R147C33</stp>
        <stp>CRM US Equity</stp>
        <stp>BV_PER_WEIGHTED_DILUTED_SHARE</stp>
        <stp>FPR=2022Y</stp>
        <stp>FPT=A</stp>
        <stp>FA_ACT_EST_DATA=E, EST_SOURCE=RHR</stp>
        <stp>ACT_EST_MAPPING=PRECISE</stp>
        <stp>FS=MRC</stp>
        <stp>CURRENCY=USD</stp>
        <stp>XLFILL=b</stp>
        <tr r="AG147" s="2"/>
      </tp>
      <tp t="s">
        <v/>
        <stp/>
        <stp>##V3_BQLV12</stp>
        <stp>[MODL_CRM_US1.xlsx]Single Period!R116C21</stp>
        <stp>CRM US Equity</stp>
        <stp>PREPAID_EXPNSS_AND_OTHR/1M</stp>
        <stp>FPR=2022Y</stp>
        <stp>FPT=A</stp>
        <stp>FA_ACT_EST_DATA=E, EST_SOURCE=RJA</stp>
        <stp>ACT_EST_MAPPING=PRECISE</stp>
        <stp>FS=MRC</stp>
        <stp>CURRENCY=USD</stp>
        <stp>XLFILL=b</stp>
        <tr r="U116" s="2"/>
      </tp>
      <tp t="s">
        <v/>
        <stp/>
        <stp>##V3_BQLV12</stp>
        <stp>[MODL_CRM_US1.xlsx]Single Period!R13C43</stp>
        <stp>CRM US Equity</stp>
        <stp>CURRENT_FUTURE_REV_UNDER_CONTRACT/1M</stp>
        <stp>FPR=2022Y</stp>
        <stp>FPT=A</stp>
        <stp>FA_ACT_EST_DATA=E, EST_SOURCE=DWI</stp>
        <stp>ACT_EST_MAPPING=PRECISE</stp>
        <stp>FS=MRC</stp>
        <stp>CURRENCY=USD</stp>
        <stp>XLFILL=b</stp>
        <tr r="AQ13" s="2"/>
      </tp>
      <tp t="s">
        <v/>
        <stp/>
        <stp>##V3_BQLV12</stp>
        <stp>[MODL_CRM_US1.xlsx]Single Period!R116C48</stp>
        <stp>CRM US Equity</stp>
        <stp>PREPAID_EXPNSS_AND_OTHR/1M</stp>
        <stp>FPR=2022Y</stp>
        <stp>FPT=A</stp>
        <stp>FA_ACT_EST_DATA=E, EST_SOURCE=PJE</stp>
        <stp>ACT_EST_MAPPING=PRECISE</stp>
        <stp>FS=MRC</stp>
        <stp>CURRENCY=USD</stp>
        <stp>XLFILL=b</stp>
        <tr r="AV116" s="2"/>
      </tp>
      <tp t="s">
        <v/>
        <stp/>
        <stp>##V3_BQLV12</stp>
        <stp>[MODL_CRM_US1.xlsx]Single Period!R170C51</stp>
        <stp>CRM US Equity</stp>
        <stp>CF_CASH_FOR_ACQUIS_SUBSIDIARIES/1M</stp>
        <stp>FPR=2022Y</stp>
        <stp>FPT=A</stp>
        <stp>FA_ACT_EST_DATA=E, EST_SOURCE=RCP</stp>
        <stp>ACT_EST_MAPPING=PRECISE</stp>
        <stp>FS=MRC</stp>
        <stp>CURRENCY=USD</stp>
        <stp>XLFILL=b</stp>
        <tr r="AY170" s="2"/>
      </tp>
      <tp t="s">
        <v/>
        <stp/>
        <stp>##V3_BQLV12</stp>
        <stp>[MODL_CRM_US1.xlsx]Single Period!R111C23</stp>
        <stp>CRM US Equity</stp>
        <stp>BS_CASH_CASH_EQUIVALENTS_AND_STI/1M</stp>
        <stp>FPR=2022Y</stp>
        <stp>FPT=A</stp>
        <stp>FA_ACT_EST_DATA=E, EST_SOURCE=JPM</stp>
        <stp>ACT_EST_MAPPING=PRECISE</stp>
        <stp>FS=MRC</stp>
        <stp>CURRENCY=USD</stp>
        <stp>XLFILL=b</stp>
        <tr r="W111" s="2"/>
      </tp>
      <tp t="s">
        <v/>
        <stp/>
        <stp>##V3_BQLV12</stp>
        <stp>[MODL_CRM_US1.xlsx]Single Period!R157C32</stp>
        <stp>CRM US Equity</stp>
        <stp>CF_AMORTIZATN_OF_DEFRRD_COMPNSTN/1M</stp>
        <stp>FPR=2022Y</stp>
        <stp>FPT=A</stp>
        <stp>FA_ACT_EST_DATA=E, EST_SOURCE=UBS</stp>
        <stp>ACT_EST_MAPPING=PRECISE</stp>
        <stp>FS=MRC</stp>
        <stp>CURRENCY=USD</stp>
        <stp>XLFILL=b</stp>
        <tr r="AF157" s="2"/>
      </tp>
      <tp t="s">
        <v/>
        <stp/>
        <stp>##V3_BQLV12</stp>
        <stp>[MODL_CRM_US1.xlsx]Single Period!R191C48</stp>
        <stp>CRM US Equity</stp>
        <stp>CF_FREE_CASH_FLOW/1M</stp>
        <stp>FPR=2022Y</stp>
        <stp>FPT=A</stp>
        <stp>FA_ACT_EST_DATA=E, EST_SOURCE=PJE</stp>
        <stp>ACT_EST_MAPPING=PRECISE</stp>
        <stp>FS=MRC</stp>
        <stp>CURRENCY=USD</stp>
        <stp>XLFILL=b</stp>
        <tr r="AV191" s="2"/>
      </tp>
      <tp t="s">
        <v/>
        <stp/>
        <stp>##V3_BQLV12</stp>
        <stp>[MODL_CRM_US1.xlsx]Single Period!R150C46</stp>
        <stp>CRM US Equity</stp>
        <stp>CURRENT_FUTURE_REV_UNDER_CONTRACT/1M</stp>
        <stp>FPR=2022Y</stp>
        <stp>FPT=A</stp>
        <stp>FA_ACT_EST_DATA=E, EST_SOURCE=CTI</stp>
        <stp>ACT_EST_MAPPING=PRECISE</stp>
        <stp>FS=MRC</stp>
        <stp>CURRENCY=USD</stp>
        <stp>XLFILL=b</stp>
        <tr r="AT150" s="2"/>
      </tp>
      <tp t="s">
        <v/>
        <stp/>
        <stp>##V3_BQLV12</stp>
        <stp>[MODL_CRM_US1.xlsx]Single Period!R177C50</stp>
        <stp>CRM US Equity</stp>
        <stp>CB_CF_OTHER_FINANCING_ACTIVITIES/1M</stp>
        <stp>FPR=2022Y</stp>
        <stp>FPT=A</stp>
        <stp>FA_ACT_EST_DATA=E, EST_SOURCE=MZS</stp>
        <stp>ACT_EST_MAPPING=PRECISE</stp>
        <stp>FS=MRC</stp>
        <stp>CURRENCY=USD</stp>
        <stp>XLFILL=b</stp>
        <tr r="AX177" s="2"/>
      </tp>
      <tp t="s">
        <v/>
        <stp/>
        <stp>##V3_BQLV12</stp>
        <stp>[MODL_CRM_US1.xlsx]Single Period!R176C32</stp>
        <stp>CRM US Equity</stp>
        <stp>CF_INCR_CAP_STOCK/1M</stp>
        <stp>FPR=2022Y</stp>
        <stp>FPT=A</stp>
        <stp>FA_ACT_EST_DATA=E, EST_SOURCE=UBS</stp>
        <stp>ACT_EST_MAPPING=PRECISE</stp>
        <stp>FS=MRC</stp>
        <stp>CURRENCY=USD</stp>
        <stp>XLFILL=b</stp>
        <tr r="AF176" s="2"/>
      </tp>
      <tp t="s">
        <v/>
        <stp/>
        <stp>##V3_BQLV12</stp>
        <stp>[MODL_CRM_US1.xlsx]Single Period!R170C40</stp>
        <stp>CRM US Equity</stp>
        <stp>CF_CASH_FOR_ACQUIS_SUBSIDIARIES/1M</stp>
        <stp>FPR=2022Y</stp>
        <stp>FPT=A</stp>
        <stp>FA_ACT_EST_DATA=E, EST_SOURCE=ACC</stp>
        <stp>ACT_EST_MAPPING=PRECISE</stp>
        <stp>FS=MRC</stp>
        <stp>CURRENCY=USD</stp>
        <stp>XLFILL=b</stp>
        <tr r="AN170" s="2"/>
      </tp>
      <tp t="s">
        <v/>
        <stp/>
        <stp>##V3_BQLV12</stp>
        <stp>[MODL_CRM_US1.xlsx]Single Period!R150C41</stp>
        <stp>CRM US Equity</stp>
        <stp>CURRENT_FUTURE_REV_UNDER_CONTRACT/1M</stp>
        <stp>FPR=2022Y</stp>
        <stp>FPT=A</stp>
        <stp>FA_ACT_EST_DATA=E, EST_SOURCE=GSR</stp>
        <stp>ACT_EST_MAPPING=PRECISE</stp>
        <stp>FS=MRC</stp>
        <stp>CURRENCY=USD</stp>
        <stp>XLFILL=b</stp>
        <tr r="AO150" s="2"/>
      </tp>
      <tp t="s">
        <v/>
        <stp/>
        <stp>##V3_BQLV12</stp>
        <stp>[MODL_CRM_US1.xlsx]Single Period!R111C22</stp>
        <stp>CRM US Equity</stp>
        <stp>BS_CASH_CASH_EQUIVALENTS_AND_STI/1M</stp>
        <stp>FPR=2022Y</stp>
        <stp>FPT=A</stp>
        <stp>FA_ACT_EST_DATA=E, EST_SOURCE=OPY</stp>
        <stp>ACT_EST_MAPPING=PRECISE</stp>
        <stp>FS=MRC</stp>
        <stp>CURRENCY=USD</stp>
        <stp>XLFILL=b</stp>
        <tr r="V111" s="2"/>
      </tp>
      <tp t="s">
        <v/>
        <stp/>
        <stp>##V3_BQLV12</stp>
        <stp>[MODL_CRM_US1.xlsx]Single Period!R164C36</stp>
        <stp>CRM US Equity</stp>
        <stp>CHG_IN_ACCT_PYBL_AND_ACC_EXPNSS/1M</stp>
        <stp>FPR=2022Y</stp>
        <stp>FPT=A</stp>
        <stp>FA_ACT_EST_DATA=E, EST_SOURCE=MAC</stp>
        <stp>ACT_EST_MAPPING=PRECISE</stp>
        <stp>FS=MRC</stp>
        <stp>CURRENCY=USD</stp>
        <stp>XLFILL=b</stp>
        <tr r="AJ164" s="2"/>
      </tp>
      <tp t="s">
        <v/>
        <stp/>
        <stp>##V3_BQLV12</stp>
        <stp>[MODL_CRM_US1.xlsx]Single Period!R170C19</stp>
        <stp>CRM US Equity</stp>
        <stp>CF_CASH_FOR_ACQUIS_SUBSIDIARIES/1M</stp>
        <stp>FPR=2022Y</stp>
        <stp>FPT=A</stp>
        <stp>FA_ACT_EST_DATA=E, EST_SOURCE=SCB</stp>
        <stp>ACT_EST_MAPPING=PRECISE</stp>
        <stp>FS=MRC</stp>
        <stp>CURRENCY=USD</stp>
        <stp>XLFILL=b</stp>
        <tr r="S170" s="2"/>
      </tp>
      <tp t="s">
        <v/>
        <stp/>
        <stp>##V3_BQLV12</stp>
        <stp>[MODL_CRM_US1.xlsx]Single Period!R157C31</stp>
        <stp>CRM US Equity</stp>
        <stp>CF_AMORTIZATN_OF_DEFRRD_COMPNSTN/1M</stp>
        <stp>FPR=2022Y</stp>
        <stp>FPT=A</stp>
        <stp>FA_ACT_EST_DATA=E, EST_SOURCE=RBC</stp>
        <stp>ACT_EST_MAPPING=PRECISE</stp>
        <stp>FS=MRC</stp>
        <stp>CURRENCY=USD</stp>
        <stp>XLFILL=b</stp>
        <tr r="AE157" s="2"/>
      </tp>
      <tp>
        <v>-14816</v>
        <stp/>
        <stp>##V3_BQLV12</stp>
        <stp>[MODL_CRM_US1.xlsx]Single Period!R170C13</stp>
        <stp>CRM US Equity</stp>
        <stp>CF_CASH_FOR_ACQUIS_SUBSIDIARIES/1M</stp>
        <stp>FPR=2022Y</stp>
        <stp>FPT=A</stp>
        <stp>FA_ACT_EST_DATA=E, EST_SOURCE=BCA</stp>
        <stp>ACT_EST_MAPPING=PRECISE</stp>
        <stp>FS=MRC</stp>
        <stp>CURRENCY=USD</stp>
        <stp>XLFILL=b</stp>
        <tr r="M170" s="2"/>
      </tp>
      <tp t="s">
        <v/>
        <stp/>
        <stp>##V3_BQLV12</stp>
        <stp>[MODL_CRM_US1.xlsx]Single Period!R171C33</stp>
        <stp>CRM US Equity</stp>
        <stp>CF_PURCHASE_OF_FIXED_PROD_ASSETS/1M</stp>
        <stp>FPR=2022Y</stp>
        <stp>FPT=A</stp>
        <stp>FA_ACT_EST_DATA=E, EST_SOURCE=RHR</stp>
        <stp>ACT_EST_MAPPING=PRECISE</stp>
        <stp>FS=MRC</stp>
        <stp>CURRENCY=USD</stp>
        <stp>XLFILL=b</stp>
        <tr r="AG171" s="2"/>
      </tp>
      <tp t="s">
        <v/>
        <stp/>
        <stp>##V3_BQLV12</stp>
        <stp>[MODL_CRM_US1.xlsx]Single Period!R170C27</stp>
        <stp>CRM US Equity</stp>
        <stp>CF_CASH_FOR_ACQUIS_SUBSIDIARIES/1M</stp>
        <stp>FPR=2022Y</stp>
        <stp>FPT=A</stp>
        <stp>FA_ACT_EST_DATA=E, EST_SOURCE=LCM</stp>
        <stp>ACT_EST_MAPPING=PRECISE</stp>
        <stp>FS=MRC</stp>
        <stp>CURRENCY=USD</stp>
        <stp>XLFILL=b</stp>
        <tr r="AA170" s="2"/>
      </tp>
      <tp t="s">
        <v/>
        <stp/>
        <stp>##V3_BQLV12</stp>
        <stp>[MODL_CRM_US1.xlsx]Single Period!R176C55</stp>
        <stp>CRM US Equity</stp>
        <stp>CF_INCR_CAP_STOCK/1M</stp>
        <stp>FPR=2022Y</stp>
        <stp>FPT=A</stp>
        <stp>FA_ACT_EST_DATA=E, EST_SOURCE=RED</stp>
        <stp>ACT_EST_MAPPING=PRECISE</stp>
        <stp>FS=MRC</stp>
        <stp>CURRENCY=USD</stp>
        <stp>XLFILL=b</stp>
        <tr r="BC176" s="2"/>
      </tp>
      <tp t="s">
        <v/>
        <stp/>
        <stp>##V3_BQLV12</stp>
        <stp>[MODL_CRM_US1.xlsx]Single Period!R111C15</stp>
        <stp>CRM US Equity</stp>
        <stp>BS_CASH_CASH_EQUIVALENTS_AND_STI/1M</stp>
        <stp>FPR=2022Y</stp>
        <stp>FPT=A</stp>
        <stp>FA_ACT_EST_DATA=E, EST_SOURCE=MSV</stp>
        <stp>ACT_EST_MAPPING=PRECISE</stp>
        <stp>FS=MRC</stp>
        <stp>CURRENCY=USD</stp>
        <stp>XLFILL=b</stp>
        <tr r="O111" s="2"/>
      </tp>
      <tp t="s">
        <v/>
        <stp/>
        <stp>##V3_BQLV12</stp>
        <stp>[MODL_CRM_US1.xlsx]Single Period!R150C22</stp>
        <stp>CRM US Equity</stp>
        <stp>CURRENT_FUTURE_REV_UNDER_CONTRACT/1M</stp>
        <stp>FPR=2022Y</stp>
        <stp>FPT=A</stp>
        <stp>FA_ACT_EST_DATA=E, EST_SOURCE=OPY</stp>
        <stp>ACT_EST_MAPPING=PRECISE</stp>
        <stp>FS=MRC</stp>
        <stp>CURRENCY=USD</stp>
        <stp>XLFILL=b</stp>
        <tr r="V150" s="2"/>
      </tp>
      <tp t="s">
        <v/>
        <stp/>
        <stp>##V3_BQLV12</stp>
        <stp>[MODL_CRM_US1.xlsx]Single Period!R164C18</stp>
        <stp>CRM US Equity</stp>
        <stp>CHG_IN_ACCT_PYBL_AND_ACC_EXPNSS/1M</stp>
        <stp>FPR=2022Y</stp>
        <stp>FPT=A</stp>
        <stp>FA_ACT_EST_DATA=E, EST_SOURCE=CAN</stp>
        <stp>ACT_EST_MAPPING=PRECISE</stp>
        <stp>FS=MRC</stp>
        <stp>CURRENCY=USD</stp>
        <stp>XLFILL=b</stp>
        <tr r="R164" s="2"/>
      </tp>
      <tp t="s">
        <v/>
        <stp/>
        <stp>##V3_BQLV12</stp>
        <stp>[MODL_CRM_US1.xlsx]Single Period!R164C30</stp>
        <stp>CRM US Equity</stp>
        <stp>CHG_IN_ACCT_PYBL_AND_ACC_EXPNSS/1M</stp>
        <stp>FPR=2022Y</stp>
        <stp>FPT=A</stp>
        <stp>FA_ACT_EST_DATA=E, EST_SOURCE=BAM</stp>
        <stp>ACT_EST_MAPPING=PRECISE</stp>
        <stp>FS=MRC</stp>
        <stp>CURRENCY=USD</stp>
        <stp>XLFILL=b</stp>
        <tr r="AD164" s="2"/>
      </tp>
      <tp t="s">
        <v/>
        <stp/>
        <stp>##V3_BQLV12</stp>
        <stp>[MODL_CRM_US1.xlsx]Single Period!R176C13</stp>
        <stp>CRM US Equity</stp>
        <stp>CF_INCR_CAP_STOCK/1M</stp>
        <stp>FPR=2022Y</stp>
        <stp>FPT=A</stp>
        <stp>FA_ACT_EST_DATA=E, EST_SOURCE=BCA</stp>
        <stp>ACT_EST_MAPPING=PRECISE</stp>
        <stp>FS=MRC</stp>
        <stp>CURRENCY=USD</stp>
        <stp>XLFILL=b</stp>
        <tr r="M176" s="2"/>
      </tp>
      <tp t="s">
        <v/>
        <stp/>
        <stp>##V3_BQLV12</stp>
        <stp>[MODL_CRM_US1.xlsx]Single Period!R157C27</stp>
        <stp>CRM US Equity</stp>
        <stp>CF_AMORTIZATN_OF_DEFRRD_COMPNSTN/1M</stp>
        <stp>FPR=2022Y</stp>
        <stp>FPT=A</stp>
        <stp>FA_ACT_EST_DATA=E, EST_SOURCE=LCM</stp>
        <stp>ACT_EST_MAPPING=PRECISE</stp>
        <stp>FS=MRC</stp>
        <stp>CURRENCY=USD</stp>
        <stp>XLFILL=b</stp>
        <tr r="AA157" s="2"/>
      </tp>
      <tp>
        <v>10591</v>
        <stp/>
        <stp>##V3_BQLV12</stp>
        <stp>[MODL_CRM_US1.xlsx]Single Period!R145C5</stp>
        <stp>CRM US Equity</stp>
        <stp>CB_BS_LT_BORROWING/1M</stp>
        <stp>FPR=2022Y</stp>
        <stp>FPT=A</stp>
        <stp>FA_ACT_EST_DATA=E</stp>
        <stp>ACT_EST_MAPPING=PRECISE</stp>
        <stp>FS=MRC</stp>
        <stp>CURRENCY=USD</stp>
        <stp>XLFILL=b</stp>
        <tr r="E145" s="2"/>
      </tp>
      <tp t="s">
        <v/>
        <stp/>
        <stp>##V3_BQLV12</stp>
        <stp>[MODL_CRM_US1.xlsx]Single Period!R191C51</stp>
        <stp>CRM US Equity</stp>
        <stp>CF_FREE_CASH_FLOW/1M</stp>
        <stp>FPR=2022Y</stp>
        <stp>FPT=A</stp>
        <stp>FA_ACT_EST_DATA=E, EST_SOURCE=RCP</stp>
        <stp>ACT_EST_MAPPING=PRECISE</stp>
        <stp>FS=MRC</stp>
        <stp>CURRENCY=USD</stp>
        <stp>XLFILL=b</stp>
        <tr r="AY191" s="2"/>
      </tp>
      <tp t="s">
        <v/>
        <stp/>
        <stp>##V3_BQLV12</stp>
        <stp>[MODL_CRM_US1.xlsx]Single Period!R141C38</stp>
        <stp>CRM US Equity</stp>
        <stp>BS_PURE_RETAINED_EARNINGS/1M</stp>
        <stp>FPR=2022Y</stp>
        <stp>FPT=A</stp>
        <stp>FA_ACT_EST_DATA=E, EST_SOURCE=MSR</stp>
        <stp>ACT_EST_MAPPING=PRECISE</stp>
        <stp>FS=MRC</stp>
        <stp>CURRENCY=USD</stp>
        <stp>XLFILL=b</stp>
        <tr r="AL141" s="2"/>
      </tp>
      <tp t="s">
        <v/>
        <stp/>
        <stp>##V3_BQLV12</stp>
        <stp>[MODL_CRM_US1.xlsx]Single Period!R92C25</stp>
        <stp>CRM US Equity</stp>
        <stp>PROF_MARGIN</stp>
        <stp>FPR=2022Y</stp>
        <stp>FPT=A</stp>
        <stp>FA_ACT_EST_DATA=E, EST_SOURCE=WMS</stp>
        <stp>ACT_EST_MAPPING=PRECISE</stp>
        <stp>FS=MRC</stp>
        <stp>CURRENCY=USD</stp>
        <stp>XLFILL=b</stp>
        <tr r="Y92" s="2"/>
      </tp>
      <tp t="s">
        <v/>
        <stp/>
        <stp>##V3_BQLV12</stp>
        <stp>[MODL_CRM_US1.xlsx]Single Period!R92C14</stp>
        <stp>CRM US Equity</stp>
        <stp>PROF_MARGIN</stp>
        <stp>FPR=2022Y</stp>
        <stp>FPT=A</stp>
        <stp>FA_ACT_EST_DATA=E, EST_SOURCE=SNR</stp>
        <stp>ACT_EST_MAPPING=PRECISE</stp>
        <stp>FS=MRC</stp>
        <stp>CURRENCY=USD</stp>
        <stp>XLFILL=b</stp>
        <tr r="N92" s="2"/>
      </tp>
      <tp t="s">
        <v/>
        <stp/>
        <stp>##V3_BQLV12</stp>
        <stp>[MODL_CRM_US1.xlsx]Single Period!R92C20</stp>
        <stp>CRM US Equity</stp>
        <stp>PROF_MARGIN</stp>
        <stp>FPR=2022Y</stp>
        <stp>FPT=A</stp>
        <stp>FA_ACT_EST_DATA=E, EST_SOURCE=JMP</stp>
        <stp>ACT_EST_MAPPING=PRECISE</stp>
        <stp>FS=MRC</stp>
        <stp>CURRENCY=USD</stp>
        <stp>XLFILL=b</stp>
        <tr r="T92" s="2"/>
      </tp>
      <tp>
        <v>4.6900000000000004</v>
        <stp/>
        <stp>##V3_BQLV12</stp>
        <stp>[MODL_CRM_US1.xlsx]Single Period!R74C21</stp>
        <stp>CRM US Equity</stp>
        <stp>IS_COMP_EPS_EXCL_STOCK_COMP</stp>
        <stp>FPR=2022Y</stp>
        <stp>FPT=A</stp>
        <stp>FA_ACT_EST_DATA=E, EST_SOURCE=RJA</stp>
        <stp>ACT_EST_MAPPING=PRECISE</stp>
        <stp>FS=MRC</stp>
        <stp>CURRENCY=USD</stp>
        <stp>XLFILL=b</stp>
        <tr r="U74" s="2"/>
      </tp>
      <tp t="s">
        <v/>
        <stp/>
        <stp>##V3_BQLV12</stp>
        <stp>[MODL_CRM_US1.xlsx]Single Period!R184C12</stp>
        <stp>CRM US Equity</stp>
        <stp>CFO_TO_SALES</stp>
        <stp>FPR=2022Y</stp>
        <stp>FPT=A</stp>
        <stp>FA_ACT_EST_DATA=E, EST_SOURCE=BMO</stp>
        <stp>ACT_EST_MAPPING=PRECISE</stp>
        <stp>FS=MRC</stp>
        <stp>CURRENCY=USD</stp>
        <stp>XLFILL=b</stp>
        <tr r="L184" s="2"/>
      </tp>
      <tp t="s">
        <v/>
        <stp/>
        <stp>##V3_BQLV12</stp>
        <stp>[MODL_CRM_US1.xlsx]Single Period!R184C56</stp>
        <stp>CRM US Equity</stp>
        <stp>CFO_TO_SALES</stp>
        <stp>FPR=2022Y</stp>
        <stp>FPT=A</stp>
        <stp>FA_ACT_EST_DATA=E, EST_SOURCE=DIR</stp>
        <stp>ACT_EST_MAPPING=PRECISE</stp>
        <stp>FS=MRC</stp>
        <stp>CURRENCY=USD</stp>
        <stp>XLFILL=b</stp>
        <tr r="BD184" s="2"/>
      </tp>
      <tp>
        <v>3351</v>
        <stp/>
        <stp>##V3_BQLV12</stp>
        <stp>[MODL_CRM_US1.xlsx]Single Period!R113C26</stp>
        <stp>CRM US Equity</stp>
        <stp>BS_MKT_SEC_OTHER_ST_INVEST/1M</stp>
        <stp>FPR=2022Y</stp>
        <stp>FPT=A</stp>
        <stp>FA_ACT_EST_DATA=E, EST_SOURCE=KEY</stp>
        <stp>ACT_EST_MAPPING=PRECISE</stp>
        <stp>FS=MRC</stp>
        <stp>CURRENCY=USD</stp>
        <stp>XLFILL=b</stp>
        <tr r="Z113" s="2"/>
      </tp>
      <tp t="s">
        <v/>
        <stp/>
        <stp>##V3_BQLV12</stp>
        <stp>[MODL_CRM_US1.xlsx]Single Period!R28C10</stp>
        <stp>SEG0000269242 Segment</stp>
        <stp>SALES_REV_TURN/1M</stp>
        <stp>FPR=2022Y</stp>
        <stp>FPT=A</stp>
        <stp>FA_ACT_EST_DATA=E, EST_SOURCE=CMPY</stp>
        <stp>ACT_EST_MAPPING=PRECISE</stp>
        <stp>FS=MRC</stp>
        <stp>CURRENCY=USD</stp>
        <stp>XLFILL=b</stp>
        <tr r="J28" s="2"/>
      </tp>
      <tp t="s">
        <v/>
        <stp/>
        <stp>##V3_BQLV12</stp>
        <stp>[MODL_CRM_US1.xlsx]Single Period!R61C12</stp>
        <stp>CRM US Equity</stp>
        <stp>ADJ_OPERATING_MARGIN</stp>
        <stp>FPR=2022Y</stp>
        <stp>FPT=A</stp>
        <stp>FA_ACT_EST_DATA=E, EST_SOURCE=BMO</stp>
        <stp>ACT_EST_MAPPING=PRECISE</stp>
        <stp>FS=MRC</stp>
        <stp>CURRENCY=USD</stp>
        <stp>XLFILL=b</stp>
        <tr r="L61" s="2"/>
      </tp>
      <tp>
        <v>18.57181291336628</v>
        <stp/>
        <stp>##V3_BQLV12</stp>
        <stp>[MODL_CRM_US1.xlsx]Single Period!R20C21</stp>
        <stp>CRM US Equity</stp>
        <stp>ADJ_OPERATING_MARGIN</stp>
        <stp>FPR=2022Y</stp>
        <stp>FPT=A</stp>
        <stp>FA_ACT_EST_DATA=E, EST_SOURCE=RJA</stp>
        <stp>ACT_EST_MAPPING=PRECISE</stp>
        <stp>FS=MRC</stp>
        <stp>CURRENCY=USD</stp>
        <stp>XLFILL=b</stp>
        <tr r="U20" s="2"/>
      </tp>
      <tp t="s">
        <v/>
        <stp/>
        <stp>##V3_BQLV12</stp>
        <stp>[MODL_CRM_US1.xlsx]Single Period!R118C47</stp>
        <stp>CRM US Equity</stp>
        <stp>CB_BS_PP_AND_E_NET/1M</stp>
        <stp>FPR=2022Y</stp>
        <stp>FPT=A</stp>
        <stp>FA_ACT_EST_DATA=E, EST_SOURCE=WFT</stp>
        <stp>ACT_EST_MAPPING=PRECISE</stp>
        <stp>FS=MRC</stp>
        <stp>CURRENCY=USD</stp>
        <stp>XLFILL=b</stp>
        <tr r="AU118" s="2"/>
      </tp>
      <tp t="s">
        <v/>
        <stp/>
        <stp>##V3_BQLV12</stp>
        <stp>[MODL_CRM_US1.xlsx]Single Period!R129C56</stp>
        <stp>CRM US Equity</stp>
        <stp>CB_BS_ACCT_PYBL_ACC_EXPNSS/1M</stp>
        <stp>FPR=2022Y</stp>
        <stp>FPT=A</stp>
        <stp>FA_ACT_EST_DATA=E, EST_SOURCE=DIR</stp>
        <stp>ACT_EST_MAPPING=PRECISE</stp>
        <stp>FS=MRC</stp>
        <stp>CURRENCY=USD</stp>
        <stp>XLFILL=b</stp>
        <tr r="BD129" s="2"/>
      </tp>
      <tp t="s">
        <v/>
        <stp/>
        <stp>##V3_BQLV12</stp>
        <stp>[MODL_CRM_US1.xlsx]Single Period!R118C52</stp>
        <stp>CRM US Equity</stp>
        <stp>CB_BS_PP_AND_E_NET/1M</stp>
        <stp>FPR=2022Y</stp>
        <stp>FPT=A</stp>
        <stp>FA_ACT_EST_DATA=E, EST_SOURCE=WFR</stp>
        <stp>ACT_EST_MAPPING=PRECISE</stp>
        <stp>FS=MRC</stp>
        <stp>CURRENCY=USD</stp>
        <stp>XLFILL=b</stp>
        <tr r="AZ118" s="2"/>
      </tp>
      <tp>
        <v>1560.3136634869038</v>
        <stp/>
        <stp>##V3_BQLV12</stp>
        <stp>[MODL_CRM_US1.xlsx]Single Period!R115C26</stp>
        <stp>CRM US Equity</stp>
        <stp>CB_BS_OTHER_CURRENT_ASSETS/1M</stp>
        <stp>FPR=2022Y</stp>
        <stp>FPT=A</stp>
        <stp>FA_ACT_EST_DATA=E, EST_SOURCE=KEY</stp>
        <stp>ACT_EST_MAPPING=PRECISE</stp>
        <stp>FS=MRC</stp>
        <stp>CURRENCY=USD</stp>
        <stp>XLFILL=b</stp>
        <tr r="Z115" s="2"/>
      </tp>
      <tp t="s">
        <v/>
        <stp/>
        <stp>##V3_BQLV12</stp>
        <stp>[MODL_CRM_US1.xlsx]Single Period!R115C34</stp>
        <stp>CRM US Equity</stp>
        <stp>CB_BS_OTHER_CURRENT_ASSETS/1M</stp>
        <stp>FPR=2022Y</stp>
        <stp>FPT=A</stp>
        <stp>FA_ACT_EST_DATA=E, EST_SOURCE=JEF</stp>
        <stp>ACT_EST_MAPPING=PRECISE</stp>
        <stp>FS=MRC</stp>
        <stp>CURRENCY=USD</stp>
        <stp>XLFILL=b</stp>
        <tr r="AH115" s="2"/>
      </tp>
      <tp t="s">
        <v/>
        <stp/>
        <stp>##V3_BQLV12</stp>
        <stp>[MODL_CRM_US1.xlsx]Single Period!R103C37</stp>
        <stp>CRM US Equity</stp>
        <stp>IS_SBC_ATT_TO_GENL_AND_ADMIN_PRETX/1M</stp>
        <stp>FPR=2022Y</stp>
        <stp>FPT=A</stp>
        <stp>FA_ACT_EST_DATA=E, EST_SOURCE=EVR</stp>
        <stp>ACT_EST_MAPPING=PRECISE</stp>
        <stp>FS=MRC</stp>
        <stp>CURRENCY=USD</stp>
        <stp>XLFILL=b</stp>
        <tr r="AK103" s="2"/>
      </tp>
      <tp t="s">
        <v/>
        <stp/>
        <stp>##V3_BQLV12</stp>
        <stp>[MODL_CRM_US1.xlsx]Single Period!R115C55</stp>
        <stp>CRM US Equity</stp>
        <stp>CB_BS_OTHER_CURRENT_ASSETS/1M</stp>
        <stp>FPR=2022Y</stp>
        <stp>FPT=A</stp>
        <stp>FA_ACT_EST_DATA=E, EST_SOURCE=RED</stp>
        <stp>ACT_EST_MAPPING=PRECISE</stp>
        <stp>FS=MRC</stp>
        <stp>CURRENCY=USD</stp>
        <stp>XLFILL=b</stp>
        <tr r="BC115" s="2"/>
      </tp>
      <tp t="s">
        <v/>
        <stp/>
        <stp>##V3_BQLV12</stp>
        <stp>[MODL_CRM_US1.xlsx]Single Period!R129C53</stp>
        <stp>CRM US Equity</stp>
        <stp>CB_BS_ACCT_PYBL_ACC_EXPNSS/1M</stp>
        <stp>FPR=2022Y</stp>
        <stp>FPT=A</stp>
        <stp>FA_ACT_EST_DATA=E, EST_SOURCE=NIK</stp>
        <stp>ACT_EST_MAPPING=PRECISE</stp>
        <stp>FS=MRC</stp>
        <stp>CURRENCY=USD</stp>
        <stp>XLFILL=b</stp>
        <tr r="BA129" s="2"/>
      </tp>
      <tp t="s">
        <v/>
        <stp/>
        <stp>##V3_BQLV12</stp>
        <stp>[MODL_CRM_US1.xlsx]Single Period!R20C33</stp>
        <stp>CRM US Equity</stp>
        <stp>ADJ_OPERATING_MARGIN</stp>
        <stp>FPR=2022Y</stp>
        <stp>FPT=A</stp>
        <stp>FA_ACT_EST_DATA=E, EST_SOURCE=RHR</stp>
        <stp>ACT_EST_MAPPING=PRECISE</stp>
        <stp>FS=MRC</stp>
        <stp>CURRENCY=USD</stp>
        <stp>XLFILL=b</stp>
        <tr r="AG20" s="2"/>
      </tp>
      <tp t="s">
        <v/>
        <stp/>
        <stp>##V3_BQLV12</stp>
        <stp>[MODL_CRM_US1.xlsx]Single Period!R139C10</stp>
        <stp>CRM US Equity</stp>
        <stp>BS_ADD_PAID_IN_CAP/1M</stp>
        <stp>FPR=2022Y</stp>
        <stp>FPT=A</stp>
        <stp>FA_ACT_EST_DATA=E, EST_SOURCE=CMPY</stp>
        <stp>ACT_EST_MAPPING=PRECISE</stp>
        <stp>FS=MRC</stp>
        <stp>CURRENCY=USD</stp>
        <stp>XLFILL=b</stp>
        <tr r="J139" s="2"/>
      </tp>
      <tp t="s">
        <v/>
        <stp/>
        <stp>##V3_BQLV12</stp>
        <stp>[MODL_CRM_US1.xlsx]Single Period!R139C21</stp>
        <stp>CRM US Equity</stp>
        <stp>BS_ADD_PAID_IN_CAP/1M</stp>
        <stp>FPR=2022Y</stp>
        <stp>FPT=A</stp>
        <stp>FA_ACT_EST_DATA=E, EST_SOURCE=RJA</stp>
        <stp>ACT_EST_MAPPING=PRECISE</stp>
        <stp>FS=MRC</stp>
        <stp>CURRENCY=USD</stp>
        <stp>XLFILL=b</stp>
        <tr r="U139" s="2"/>
      </tp>
      <tp t="s">
        <v/>
        <stp/>
        <stp>##V3_BQLV12</stp>
        <stp>[MODL_CRM_US1.xlsx]Single Period!R61C56</stp>
        <stp>CRM US Equity</stp>
        <stp>ADJ_OPERATING_MARGIN</stp>
        <stp>FPR=2022Y</stp>
        <stp>FPT=A</stp>
        <stp>FA_ACT_EST_DATA=E, EST_SOURCE=DIR</stp>
        <stp>ACT_EST_MAPPING=PRECISE</stp>
        <stp>FS=MRC</stp>
        <stp>CURRENCY=USD</stp>
        <stp>XLFILL=b</stp>
        <tr r="BD61" s="2"/>
      </tp>
      <tp t="s">
        <v/>
        <stp/>
        <stp>##V3_BQLV12</stp>
        <stp>[MODL_CRM_US1.xlsx]Single Period!R113C55</stp>
        <stp>CRM US Equity</stp>
        <stp>BS_MKT_SEC_OTHER_ST_INVEST/1M</stp>
        <stp>FPR=2022Y</stp>
        <stp>FPT=A</stp>
        <stp>FA_ACT_EST_DATA=E, EST_SOURCE=RED</stp>
        <stp>ACT_EST_MAPPING=PRECISE</stp>
        <stp>FS=MRC</stp>
        <stp>CURRENCY=USD</stp>
        <stp>XLFILL=b</stp>
        <tr r="BC113" s="2"/>
      </tp>
      <tp t="s">
        <v/>
        <stp/>
        <stp>##V3_BQLV12</stp>
        <stp>[MODL_CRM_US1.xlsx]Single Period!R113C34</stp>
        <stp>CRM US Equity</stp>
        <stp>BS_MKT_SEC_OTHER_ST_INVEST/1M</stp>
        <stp>FPR=2022Y</stp>
        <stp>FPT=A</stp>
        <stp>FA_ACT_EST_DATA=E, EST_SOURCE=JEF</stp>
        <stp>ACT_EST_MAPPING=PRECISE</stp>
        <stp>FS=MRC</stp>
        <stp>CURRENCY=USD</stp>
        <stp>XLFILL=b</stp>
        <tr r="AH113" s="2"/>
      </tp>
      <tp t="s">
        <v/>
        <stp/>
        <stp>##V3_BQLV12</stp>
        <stp>[MODL_CRM_US1.xlsx]Single Period!R139C48</stp>
        <stp>CRM US Equity</stp>
        <stp>BS_ADD_PAID_IN_CAP/1M</stp>
        <stp>FPR=2022Y</stp>
        <stp>FPT=A</stp>
        <stp>FA_ACT_EST_DATA=E, EST_SOURCE=PJE</stp>
        <stp>ACT_EST_MAPPING=PRECISE</stp>
        <stp>FS=MRC</stp>
        <stp>CURRENCY=USD</stp>
        <stp>XLFILL=b</stp>
        <tr r="AV139" s="2"/>
      </tp>
      <tp t="s">
        <v/>
        <stp/>
        <stp>##V3_BQLV12</stp>
        <stp>[MODL_CRM_US1.xlsx]Single Period!R178C36</stp>
        <stp>CRM US Equity</stp>
        <stp>CB_CF_REPAYMENT_LT_DEBT/1M</stp>
        <stp>FPR=2022Y</stp>
        <stp>FPT=A</stp>
        <stp>FA_ACT_EST_DATA=E, EST_SOURCE=MAC</stp>
        <stp>ACT_EST_MAPPING=PRECISE</stp>
        <stp>FS=MRC</stp>
        <stp>CURRENCY=USD</stp>
        <stp>XLFILL=b</stp>
        <tr r="AJ178" s="2"/>
      </tp>
      <tp t="s">
        <v/>
        <stp/>
        <stp>##V3_BQLV12</stp>
        <stp>[MODL_CRM_US1.xlsx]Single Period!R158C55</stp>
        <stp>CRM US Equity</stp>
        <stp>IS_SBC_NON_GAAP/1M</stp>
        <stp>FPR=2022Y</stp>
        <stp>FPT=A</stp>
        <stp>FA_ACT_EST_DATA=E, EST_SOURCE=RED</stp>
        <stp>ACT_EST_MAPPING=PRECISE</stp>
        <stp>FS=MRC</stp>
        <stp>CURRENCY=USD</stp>
        <stp>XLFILL=b</stp>
        <tr r="BC158" s="2"/>
      </tp>
      <tp t="s">
        <v/>
        <stp/>
        <stp>##V3_BQLV12</stp>
        <stp>[MODL_CRM_US1.xlsx]Single Period!R53C51</stp>
        <stp>CRM US Equity</stp>
        <stp>REVENUE_GROWTH_CC_1_YR</stp>
        <stp>FPR=2022Y</stp>
        <stp>FPT=A</stp>
        <stp>FA_ACT_EST_DATA=E, EST_SOURCE=RCP</stp>
        <stp>ACT_EST_MAPPING=PRECISE</stp>
        <stp>FS=MRC</stp>
        <stp>CURRENCY=USD</stp>
        <stp>XLFILL=b</stp>
        <tr r="AY53" s="2"/>
      </tp>
      <tp t="s">
        <v/>
        <stp/>
        <stp>##V3_BQLV12</stp>
        <stp>[MODL_CRM_US1.xlsx]Single Period!R158C34</stp>
        <stp>CRM US Equity</stp>
        <stp>IS_SBC_NON_GAAP/1M</stp>
        <stp>FPR=2022Y</stp>
        <stp>FPT=A</stp>
        <stp>FA_ACT_EST_DATA=E, EST_SOURCE=JEF</stp>
        <stp>ACT_EST_MAPPING=PRECISE</stp>
        <stp>FS=MRC</stp>
        <stp>CURRENCY=USD</stp>
        <stp>XLFILL=b</stp>
        <tr r="AH158" s="2"/>
      </tp>
      <tp t="s">
        <v/>
        <stp/>
        <stp>##V3_BQLV12</stp>
        <stp>[MODL_CRM_US1.xlsx]Single Period!R192C56</stp>
        <stp>CRM US Equity</stp>
        <stp>FREE_CASH_FLOW_MARGIN</stp>
        <stp>FPR=2022Y</stp>
        <stp>FPT=A</stp>
        <stp>FA_ACT_EST_DATA=E, EST_SOURCE=DIR</stp>
        <stp>ACT_EST_MAPPING=PRECISE</stp>
        <stp>FS=MRC</stp>
        <stp>CURRENCY=USD</stp>
        <stp>XLFILL=b</stp>
        <tr r="BD192" s="2"/>
      </tp>
      <tp t="s">
        <v/>
        <stp/>
        <stp>##V3_BQLV12</stp>
        <stp>[MODL_CRM_US1.xlsx]Single Period!R116C56</stp>
        <stp>CRM US Equity</stp>
        <stp>PREPAID_EXPNSS_AND_OTHR/1M</stp>
        <stp>FPR=2022Y</stp>
        <stp>FPT=A</stp>
        <stp>FA_ACT_EST_DATA=E, EST_SOURCE=DIR</stp>
        <stp>ACT_EST_MAPPING=PRECISE</stp>
        <stp>FS=MRC</stp>
        <stp>CURRENCY=USD</stp>
        <stp>XLFILL=b</stp>
        <tr r="BD116" s="2"/>
      </tp>
      <tp t="s">
        <v/>
        <stp/>
        <stp>##V3_BQLV12</stp>
        <stp>[MODL_CRM_US1.xlsx]Single Period!R123C10</stp>
        <stp>CRM US Equity</stp>
        <stp>TOT_OPER_LEA_RT_OF_USE_ASSETS/1M</stp>
        <stp>FPR=2022Y</stp>
        <stp>FPT=A</stp>
        <stp>FA_ACT_EST_DATA=E, EST_SOURCE=CMPY</stp>
        <stp>ACT_EST_MAPPING=PRECISE</stp>
        <stp>FS=MRC</stp>
        <stp>CURRENCY=USD</stp>
        <stp>XLFILL=b</stp>
        <tr r="J123" s="2"/>
      </tp>
      <tp>
        <v>10.896641342352151</v>
        <stp/>
        <stp>##V3_BQLV12</stp>
        <stp>[MODL_CRM_US1.xlsx]Single Period!R159C23</stp>
        <stp>CRM US Equity</stp>
        <stp>SBC_NON_GAAP_TO_SALES</stp>
        <stp>FPR=2022Y</stp>
        <stp>FPT=A</stp>
        <stp>FA_ACT_EST_DATA=E, EST_SOURCE=JPM</stp>
        <stp>ACT_EST_MAPPING=PRECISE</stp>
        <stp>FS=MRC</stp>
        <stp>CURRENCY=USD</stp>
        <stp>XLFILL=b</stp>
        <tr r="W159" s="2"/>
      </tp>
      <tp t="s">
        <v/>
        <stp/>
        <stp>##V3_BQLV12</stp>
        <stp>[MODL_CRM_US1.xlsx]Single Period!R178C18</stp>
        <stp>CRM US Equity</stp>
        <stp>CB_CF_REPAYMENT_LT_DEBT/1M</stp>
        <stp>FPR=2022Y</stp>
        <stp>FPT=A</stp>
        <stp>FA_ACT_EST_DATA=E, EST_SOURCE=CAN</stp>
        <stp>ACT_EST_MAPPING=PRECISE</stp>
        <stp>FS=MRC</stp>
        <stp>CURRENCY=USD</stp>
        <stp>XLFILL=b</stp>
        <tr r="R178" s="2"/>
      </tp>
      <tp t="s">
        <v/>
        <stp/>
        <stp>##V3_BQLV12</stp>
        <stp>[MODL_CRM_US1.xlsx]Single Period!R178C30</stp>
        <stp>CRM US Equity</stp>
        <stp>CB_CF_REPAYMENT_LT_DEBT/1M</stp>
        <stp>FPR=2022Y</stp>
        <stp>FPT=A</stp>
        <stp>FA_ACT_EST_DATA=E, EST_SOURCE=BAM</stp>
        <stp>ACT_EST_MAPPING=PRECISE</stp>
        <stp>FS=MRC</stp>
        <stp>CURRENCY=USD</stp>
        <stp>XLFILL=b</stp>
        <tr r="AD178" s="2"/>
      </tp>
      <tp t="s">
        <v/>
        <stp/>
        <stp>##V3_BQLV12</stp>
        <stp>[MODL_CRM_US1.xlsx]Single Period!R116C53</stp>
        <stp>CRM US Equity</stp>
        <stp>PREPAID_EXPNSS_AND_OTHR/1M</stp>
        <stp>FPR=2022Y</stp>
        <stp>FPT=A</stp>
        <stp>FA_ACT_EST_DATA=E, EST_SOURCE=NIK</stp>
        <stp>ACT_EST_MAPPING=PRECISE</stp>
        <stp>FS=MRC</stp>
        <stp>CURRENCY=USD</stp>
        <stp>XLFILL=b</stp>
        <tr r="BA116" s="2"/>
      </tp>
      <tp t="s">
        <v/>
        <stp/>
        <stp>##V3_BQLV12</stp>
        <stp>[MODL_CRM_US1.xlsx]Single Period!R53C13</stp>
        <stp>CRM US Equity</stp>
        <stp>REVENUE_GROWTH_CC_1_YR</stp>
        <stp>FPR=2022Y</stp>
        <stp>FPT=A</stp>
        <stp>FA_ACT_EST_DATA=E, EST_SOURCE=BCA</stp>
        <stp>ACT_EST_MAPPING=PRECISE</stp>
        <stp>FS=MRC</stp>
        <stp>CURRENCY=USD</stp>
        <stp>XLFILL=b</stp>
        <tr r="M53" s="2"/>
      </tp>
      <tp t="s">
        <v/>
        <stp/>
        <stp>##V3_BQLV12</stp>
        <stp>[MODL_CRM_US1.xlsx]Single Period!R53C19</stp>
        <stp>CRM US Equity</stp>
        <stp>REVENUE_GROWTH_CC_1_YR</stp>
        <stp>FPR=2022Y</stp>
        <stp>FPT=A</stp>
        <stp>FA_ACT_EST_DATA=E, EST_SOURCE=SCB</stp>
        <stp>ACT_EST_MAPPING=PRECISE</stp>
        <stp>FS=MRC</stp>
        <stp>CURRENCY=USD</stp>
        <stp>XLFILL=b</stp>
        <tr r="S53" s="2"/>
      </tp>
      <tp t="s">
        <v/>
        <stp/>
        <stp>##V3_BQLV12</stp>
        <stp>[MODL_CRM_US1.xlsx]Single Period!R13C45</stp>
        <stp>CRM US Equity</stp>
        <stp>CURRENT_FUTURE_REV_UNDER_CONTRACT/1M</stp>
        <stp>FPR=2022Y</stp>
        <stp>FPT=A</stp>
        <stp>FA_ACT_EST_DATA=E, EST_SOURCE=ARG</stp>
        <stp>ACT_EST_MAPPING=PRECISE</stp>
        <stp>FS=MRC</stp>
        <stp>CURRENCY=USD</stp>
        <stp>XLFILL=b</stp>
        <tr r="AS13" s="2"/>
      </tp>
      <tp t="s">
        <v/>
        <stp/>
        <stp>##V3_BQLV12</stp>
        <stp>[MODL_CRM_US1.xlsx]Single Period!R53C40</stp>
        <stp>CRM US Equity</stp>
        <stp>REVENUE_GROWTH_CC_1_YR</stp>
        <stp>FPR=2022Y</stp>
        <stp>FPT=A</stp>
        <stp>FA_ACT_EST_DATA=E, EST_SOURCE=ACC</stp>
        <stp>ACT_EST_MAPPING=PRECISE</stp>
        <stp>FS=MRC</stp>
        <stp>CURRENCY=USD</stp>
        <stp>XLFILL=b</stp>
        <tr r="AN53" s="2"/>
      </tp>
      <tp>
        <v>2803.406265640378</v>
        <stp/>
        <stp>##V3_BQLV12</stp>
        <stp>[MODL_CRM_US1.xlsx]Single Period!R158C26</stp>
        <stp>CRM US Equity</stp>
        <stp>IS_SBC_NON_GAAP/1M</stp>
        <stp>FPR=2022Y</stp>
        <stp>FPT=A</stp>
        <stp>FA_ACT_EST_DATA=E, EST_SOURCE=KEY</stp>
        <stp>ACT_EST_MAPPING=PRECISE</stp>
        <stp>FS=MRC</stp>
        <stp>CURRENCY=USD</stp>
        <stp>XLFILL=b</stp>
        <tr r="Z158" s="2"/>
      </tp>
      <tp t="s">
        <v/>
        <stp/>
        <stp>##V3_BQLV12</stp>
        <stp>[MODL_CRM_US1.xlsx]Single Period!R159C22</stp>
        <stp>CRM US Equity</stp>
        <stp>SBC_NON_GAAP_TO_SALES</stp>
        <stp>FPR=2022Y</stp>
        <stp>FPT=A</stp>
        <stp>FA_ACT_EST_DATA=E, EST_SOURCE=OPY</stp>
        <stp>ACT_EST_MAPPING=PRECISE</stp>
        <stp>FS=MRC</stp>
        <stp>CURRENCY=USD</stp>
        <stp>XLFILL=b</stp>
        <tr r="V159" s="2"/>
      </tp>
      <tp t="s">
        <v/>
        <stp/>
        <stp>##V3_BQLV12</stp>
        <stp>[MODL_CRM_US1.xlsx]Single Period!R53C27</stp>
        <stp>CRM US Equity</stp>
        <stp>REVENUE_GROWTH_CC_1_YR</stp>
        <stp>FPR=2022Y</stp>
        <stp>FPT=A</stp>
        <stp>FA_ACT_EST_DATA=E, EST_SOURCE=LCM</stp>
        <stp>ACT_EST_MAPPING=PRECISE</stp>
        <stp>FS=MRC</stp>
        <stp>CURRENCY=USD</stp>
        <stp>XLFILL=b</stp>
        <tr r="AA53" s="2"/>
      </tp>
      <tp t="s">
        <v/>
        <stp/>
        <stp>##V3_BQLV12</stp>
        <stp>[MODL_CRM_US1.xlsx]Single Period!R192C53</stp>
        <stp>CRM US Equity</stp>
        <stp>FREE_CASH_FLOW_MARGIN</stp>
        <stp>FPR=2022Y</stp>
        <stp>FPT=A</stp>
        <stp>FA_ACT_EST_DATA=E, EST_SOURCE=NIK</stp>
        <stp>ACT_EST_MAPPING=PRECISE</stp>
        <stp>FS=MRC</stp>
        <stp>CURRENCY=USD</stp>
        <stp>XLFILL=b</stp>
        <tr r="BA192" s="2"/>
      </tp>
      <tp t="s">
        <v/>
        <stp/>
        <stp>##V3_BQLV12</stp>
        <stp>[MODL_CRM_US1.xlsx]Single Period!R191C30</stp>
        <stp>CRM US Equity</stp>
        <stp>CF_FREE_CASH_FLOW/1M</stp>
        <stp>FPR=2022Y</stp>
        <stp>FPT=A</stp>
        <stp>FA_ACT_EST_DATA=E, EST_SOURCE=BAM</stp>
        <stp>ACT_EST_MAPPING=PRECISE</stp>
        <stp>FS=MRC</stp>
        <stp>CURRENCY=USD</stp>
        <stp>XLFILL=b</stp>
        <tr r="AD191" s="2"/>
      </tp>
      <tp t="s">
        <v/>
        <stp/>
        <stp>##V3_BQLV12</stp>
        <stp>[MODL_CRM_US1.xlsx]Single Period!R164C32</stp>
        <stp>CRM US Equity</stp>
        <stp>CHG_IN_ACCT_PYBL_AND_ACC_EXPNSS/1M</stp>
        <stp>FPR=2022Y</stp>
        <stp>FPT=A</stp>
        <stp>FA_ACT_EST_DATA=E, EST_SOURCE=UBS</stp>
        <stp>ACT_EST_MAPPING=PRECISE</stp>
        <stp>FS=MRC</stp>
        <stp>CURRENCY=USD</stp>
        <stp>XLFILL=b</stp>
        <tr r="AF164" s="2"/>
      </tp>
      <tp t="s">
        <v/>
        <stp/>
        <stp>##V3_BQLV12</stp>
        <stp>[MODL_CRM_US1.xlsx]Single Period!R150C42</stp>
        <stp>CRM US Equity</stp>
        <stp>CURRENT_FUTURE_REV_UNDER_CONTRACT/1M</stp>
        <stp>FPR=2022Y</stp>
        <stp>FPT=A</stp>
        <stp>FA_ACT_EST_DATA=E, EST_SOURCE=PSG</stp>
        <stp>ACT_EST_MAPPING=PRECISE</stp>
        <stp>FS=MRC</stp>
        <stp>CURRENCY=USD</stp>
        <stp>XLFILL=b</stp>
        <tr r="AP150" s="2"/>
      </tp>
      <tp>
        <v>600</v>
        <stp/>
        <stp>##V3_BQLV12</stp>
        <stp>[MODL_CRM_US1.xlsx]Single Period!R176C26</stp>
        <stp>CRM US Equity</stp>
        <stp>CF_INCR_CAP_STOCK/1M</stp>
        <stp>FPR=2022Y</stp>
        <stp>FPT=A</stp>
        <stp>FA_ACT_EST_DATA=E, EST_SOURCE=KEY</stp>
        <stp>ACT_EST_MAPPING=PRECISE</stp>
        <stp>FS=MRC</stp>
        <stp>CURRENCY=USD</stp>
        <stp>XLFILL=b</stp>
        <tr r="Z176" s="2"/>
      </tp>
      <tp>
        <v>-780</v>
        <stp/>
        <stp>##V3_BQLV12</stp>
        <stp>[MODL_CRM_US1.xlsx]Single Period!R171C21</stp>
        <stp>CRM US Equity</stp>
        <stp>CF_PURCHASE_OF_FIXED_PROD_ASSETS/1M</stp>
        <stp>FPR=2022Y</stp>
        <stp>FPT=A</stp>
        <stp>FA_ACT_EST_DATA=E, EST_SOURCE=RJA</stp>
        <stp>ACT_EST_MAPPING=PRECISE</stp>
        <stp>FS=MRC</stp>
        <stp>CURRENCY=USD</stp>
        <stp>XLFILL=b</stp>
        <tr r="U171" s="2"/>
      </tp>
      <tp t="s">
        <v/>
        <stp/>
        <stp>##V3_BQLV12</stp>
        <stp>[MODL_CRM_US1.xlsx]Single Period!R157C47</stp>
        <stp>CRM US Equity</stp>
        <stp>CF_AMORTIZATN_OF_DEFRRD_COMPNSTN/1M</stp>
        <stp>FPR=2022Y</stp>
        <stp>FPT=A</stp>
        <stp>FA_ACT_EST_DATA=E, EST_SOURCE=WFT</stp>
        <stp>ACT_EST_MAPPING=PRECISE</stp>
        <stp>FS=MRC</stp>
        <stp>CURRENCY=USD</stp>
        <stp>XLFILL=b</stp>
        <tr r="AU157" s="2"/>
      </tp>
      <tp t="s">
        <v/>
        <stp/>
        <stp>##V3_BQLV12</stp>
        <stp>[MODL_CRM_US1.xlsx]Single Period!R191C34</stp>
        <stp>CRM US Equity</stp>
        <stp>CF_FREE_CASH_FLOW/1M</stp>
        <stp>FPR=2022Y</stp>
        <stp>FPT=A</stp>
        <stp>FA_ACT_EST_DATA=E, EST_SOURCE=JEF</stp>
        <stp>ACT_EST_MAPPING=PRECISE</stp>
        <stp>FS=MRC</stp>
        <stp>CURRENCY=USD</stp>
        <stp>XLFILL=b</stp>
        <tr r="AH191" s="2"/>
      </tp>
      <tp t="s">
        <v/>
        <stp/>
        <stp>##V3_BQLV12</stp>
        <stp>[MODL_CRM_US1.xlsx]Single Period!R150C35</stp>
        <stp>CRM US Equity</stp>
        <stp>CURRENT_FUTURE_REV_UNDER_CONTRACT/1M</stp>
        <stp>FPR=2022Y</stp>
        <stp>FPT=A</stp>
        <stp>FA_ACT_EST_DATA=E, EST_SOURCE=ATL</stp>
        <stp>ACT_EST_MAPPING=PRECISE</stp>
        <stp>FS=MRC</stp>
        <stp>CURRENCY=USD</stp>
        <stp>XLFILL=b</stp>
        <tr r="AI150" s="2"/>
      </tp>
      <tp t="s">
        <v/>
        <stp/>
        <stp>##V3_BQLV12</stp>
        <stp>[MODL_CRM_US1.xlsx]Single Period!R150C37</stp>
        <stp>CRM US Equity</stp>
        <stp>CURRENT_FUTURE_REV_UNDER_CONTRACT/1M</stp>
        <stp>FPR=2022Y</stp>
        <stp>FPT=A</stp>
        <stp>FA_ACT_EST_DATA=E, EST_SOURCE=EVR</stp>
        <stp>ACT_EST_MAPPING=PRECISE</stp>
        <stp>FS=MRC</stp>
        <stp>CURRENCY=USD</stp>
        <stp>XLFILL=b</stp>
        <tr r="AK150" s="2"/>
      </tp>
      <tp t="s">
        <v/>
        <stp/>
        <stp>##V3_BQLV12</stp>
        <stp>[MODL_CRM_US1.xlsx]Single Period!R176C11</stp>
        <stp>CRM US Equity</stp>
        <stp>CF_INCR_CAP_STOCK/1M</stp>
        <stp>FPR=2022Y</stp>
        <stp>FPT=A</stp>
        <stp>FA_ACT_EST_DATA=E, EST_SOURCE=WBL</stp>
        <stp>ACT_EST_MAPPING=PRECISE</stp>
        <stp>FS=MRC</stp>
        <stp>CURRENCY=USD</stp>
        <stp>XLFILL=b</stp>
        <tr r="K176" s="2"/>
      </tp>
      <tp t="s">
        <v/>
        <stp/>
        <stp>##V3_BQLV12</stp>
        <stp>[MODL_CRM_US1.xlsx]Single Period!R157C36</stp>
        <stp>CRM US Equity</stp>
        <stp>CF_AMORTIZATN_OF_DEFRRD_COMPNSTN/1M</stp>
        <stp>FPR=2022Y</stp>
        <stp>FPT=A</stp>
        <stp>FA_ACT_EST_DATA=E, EST_SOURCE=MAC</stp>
        <stp>ACT_EST_MAPPING=PRECISE</stp>
        <stp>FS=MRC</stp>
        <stp>CURRENCY=USD</stp>
        <stp>XLFILL=b</stp>
        <tr r="AJ157" s="2"/>
      </tp>
      <tp t="s">
        <v/>
        <stp/>
        <stp>##V3_BQLV12</stp>
        <stp>[MODL_CRM_US1.xlsx]Single Period!R164C24</stp>
        <stp>CRM US Equity</stp>
        <stp>CHG_IN_ACCT_PYBL_AND_ACC_EXPNSS/1M</stp>
        <stp>FPR=2022Y</stp>
        <stp>FPT=A</stp>
        <stp>FA_ACT_EST_DATA=E, EST_SOURCE=FBC</stp>
        <stp>ACT_EST_MAPPING=PRECISE</stp>
        <stp>FS=MRC</stp>
        <stp>CURRENCY=USD</stp>
        <stp>XLFILL=b</stp>
        <tr r="X164" s="2"/>
      </tp>
      <tp t="s">
        <v/>
        <stp/>
        <stp>##V3_BQLV12</stp>
        <stp>[MODL_CRM_US1.xlsx]Single Period!R164C31</stp>
        <stp>CRM US Equity</stp>
        <stp>CHG_IN_ACCT_PYBL_AND_ACC_EXPNSS/1M</stp>
        <stp>FPR=2022Y</stp>
        <stp>FPT=A</stp>
        <stp>FA_ACT_EST_DATA=E, EST_SOURCE=RBC</stp>
        <stp>ACT_EST_MAPPING=PRECISE</stp>
        <stp>FS=MRC</stp>
        <stp>CURRENCY=USD</stp>
        <stp>XLFILL=b</stp>
        <tr r="AE164" s="2"/>
      </tp>
      <tp>
        <v>1030</v>
        <stp/>
        <stp>##V3_BQLV12</stp>
        <stp>[MODL_CRM_US1.xlsx]Single Period!R176C17</stp>
        <stp>CRM US Equity</stp>
        <stp>CF_INCR_CAP_STOCK/1M</stp>
        <stp>FPR=2022Y</stp>
        <stp>FPT=A</stp>
        <stp>FA_ACT_EST_DATA=E, EST_SOURCE=NDH</stp>
        <stp>ACT_EST_MAPPING=PRECISE</stp>
        <stp>FS=MRC</stp>
        <stp>CURRENCY=USD</stp>
        <stp>XLFILL=b</stp>
        <tr r="Q176" s="2"/>
      </tp>
      <tp>
        <v>219.79306547475062</v>
        <stp/>
        <stp>##V3_BQLV12</stp>
        <stp>[MODL_CRM_US1.xlsx]Single Period!R164C16</stp>
        <stp>CRM US Equity</stp>
        <stp>CHG_IN_ACCT_PYBL_AND_ACC_EXPNSS/1M</stp>
        <stp>FPR=2022Y</stp>
        <stp>FPT=A</stp>
        <stp>FA_ACT_EST_DATA=E, EST_SOURCE=DBG</stp>
        <stp>ACT_EST_MAPPING=PRECISE</stp>
        <stp>FS=MRC</stp>
        <stp>CURRENCY=USD</stp>
        <stp>XLFILL=b</stp>
        <tr r="P164" s="2"/>
      </tp>
      <tp>
        <v>1598.0319999999999</v>
        <stp/>
        <stp>##V3_BQLV12</stp>
        <stp>[MODL_CRM_US1.xlsx]Single Period!R157C13</stp>
        <stp>CRM US Equity</stp>
        <stp>CF_AMORTIZATN_OF_DEFRRD_COMPNSTN/1M</stp>
        <stp>FPR=2022Y</stp>
        <stp>FPT=A</stp>
        <stp>FA_ACT_EST_DATA=E, EST_SOURCE=BCA</stp>
        <stp>ACT_EST_MAPPING=PRECISE</stp>
        <stp>FS=MRC</stp>
        <stp>CURRENCY=USD</stp>
        <stp>XLFILL=b</stp>
        <tr r="M157" s="2"/>
      </tp>
      <tp t="s">
        <v/>
        <stp/>
        <stp>##V3_BQLV12</stp>
        <stp>[MODL_CRM_US1.xlsx]Single Period!R157C30</stp>
        <stp>CRM US Equity</stp>
        <stp>CF_AMORTIZATN_OF_DEFRRD_COMPNSTN/1M</stp>
        <stp>FPR=2022Y</stp>
        <stp>FPT=A</stp>
        <stp>FA_ACT_EST_DATA=E, EST_SOURCE=BAM</stp>
        <stp>ACT_EST_MAPPING=PRECISE</stp>
        <stp>FS=MRC</stp>
        <stp>CURRENCY=USD</stp>
        <stp>XLFILL=b</stp>
        <tr r="AD157" s="2"/>
      </tp>
      <tp t="s">
        <v/>
        <stp/>
        <stp>##V3_BQLV12</stp>
        <stp>[MODL_CRM_US1.xlsx]Single Period!R191C47</stp>
        <stp>CRM US Equity</stp>
        <stp>CF_FREE_CASH_FLOW/1M</stp>
        <stp>FPR=2022Y</stp>
        <stp>FPT=A</stp>
        <stp>FA_ACT_EST_DATA=E, EST_SOURCE=WFT</stp>
        <stp>ACT_EST_MAPPING=PRECISE</stp>
        <stp>FS=MRC</stp>
        <stp>CURRENCY=USD</stp>
        <stp>XLFILL=b</stp>
        <tr r="AU191" s="2"/>
      </tp>
      <tp t="s">
        <v/>
        <stp/>
        <stp>##V3_BQLV12</stp>
        <stp>[MODL_CRM_US1.xlsx]Single Period!R164C11</stp>
        <stp>CRM US Equity</stp>
        <stp>CHG_IN_ACCT_PYBL_AND_ACC_EXPNSS/1M</stp>
        <stp>FPR=2022Y</stp>
        <stp>FPT=A</stp>
        <stp>FA_ACT_EST_DATA=E, EST_SOURCE=WBL</stp>
        <stp>ACT_EST_MAPPING=PRECISE</stp>
        <stp>FS=MRC</stp>
        <stp>CURRENCY=USD</stp>
        <stp>XLFILL=b</stp>
        <tr r="K164" s="2"/>
      </tp>
      <tp t="s">
        <v/>
        <stp/>
        <stp>##V3_BQLV12</stp>
        <stp>[MODL_CRM_US1.xlsx]Single Period!R157C19</stp>
        <stp>CRM US Equity</stp>
        <stp>CF_AMORTIZATN_OF_DEFRRD_COMPNSTN/1M</stp>
        <stp>FPR=2022Y</stp>
        <stp>FPT=A</stp>
        <stp>FA_ACT_EST_DATA=E, EST_SOURCE=SCB</stp>
        <stp>ACT_EST_MAPPING=PRECISE</stp>
        <stp>FS=MRC</stp>
        <stp>CURRENCY=USD</stp>
        <stp>XLFILL=b</stp>
        <tr r="S157" s="2"/>
      </tp>
      <tp t="s">
        <v/>
        <stp/>
        <stp>##V3_BQLV12</stp>
        <stp>[MODL_CRM_US1.xlsx]Single Period!R176C31</stp>
        <stp>CRM US Equity</stp>
        <stp>CF_INCR_CAP_STOCK/1M</stp>
        <stp>FPR=2022Y</stp>
        <stp>FPT=A</stp>
        <stp>FA_ACT_EST_DATA=E, EST_SOURCE=RBC</stp>
        <stp>ACT_EST_MAPPING=PRECISE</stp>
        <stp>FS=MRC</stp>
        <stp>CURRENCY=USD</stp>
        <stp>XLFILL=b</stp>
        <tr r="AE176" s="2"/>
      </tp>
      <tp t="s">
        <v/>
        <stp/>
        <stp>##V3_BQLV12</stp>
        <stp>[MODL_CRM_US1.xlsx]Single Period!R176C40</stp>
        <stp>CRM US Equity</stp>
        <stp>CF_INCR_CAP_STOCK/1M</stp>
        <stp>FPR=2022Y</stp>
        <stp>FPT=A</stp>
        <stp>FA_ACT_EST_DATA=E, EST_SOURCE=ACC</stp>
        <stp>ACT_EST_MAPPING=PRECISE</stp>
        <stp>FS=MRC</stp>
        <stp>CURRENCY=USD</stp>
        <stp>XLFILL=b</stp>
        <tr r="AN176" s="2"/>
      </tp>
      <tp t="s">
        <v/>
        <stp/>
        <stp>##V3_BQLV12</stp>
        <stp>[MODL_CRM_US1.xlsx]Single Period!R92C56</stp>
        <stp>CRM US Equity</stp>
        <stp>PROF_MARGIN</stp>
        <stp>FPR=2022Y</stp>
        <stp>FPT=A</stp>
        <stp>FA_ACT_EST_DATA=E, EST_SOURCE=DIR</stp>
        <stp>ACT_EST_MAPPING=PRECISE</stp>
        <stp>FS=MRC</stp>
        <stp>CURRENCY=USD</stp>
        <stp>XLFILL=b</stp>
        <tr r="BD92" s="2"/>
      </tp>
      <tp t="s">
        <v/>
        <stp/>
        <stp>##V3_BQLV12</stp>
        <stp>[MODL_CRM_US1.xlsx]Single Period!R92C29</stp>
        <stp>CRM US Equity</stp>
        <stp>PROF_MARGIN</stp>
        <stp>FPR=2022Y</stp>
        <stp>FPT=A</stp>
        <stp>FA_ACT_EST_DATA=E, EST_SOURCE=BNS</stp>
        <stp>ACT_EST_MAPPING=PRECISE</stp>
        <stp>FS=MRC</stp>
        <stp>CURRENCY=USD</stp>
        <stp>XLFILL=b</stp>
        <tr r="AC92" s="2"/>
      </tp>
      <tp t="s">
        <v/>
        <stp/>
        <stp>##V3_BQLV12</stp>
        <stp>[MODL_CRM_US1.xlsx]Single Period!R173C10</stp>
        <stp>CRM US Equity</stp>
        <stp>CB_CF_NET_CASH_INVESTING_ACT/1M</stp>
        <stp>FPR=2022Y</stp>
        <stp>FPT=A</stp>
        <stp>FA_ACT_EST_DATA=E, EST_SOURCE=CMPY</stp>
        <stp>ACT_EST_MAPPING=PRECISE</stp>
        <stp>FS=MRC</stp>
        <stp>CURRENCY=USD</stp>
        <stp>XLFILL=b</stp>
        <tr r="J173" s="2"/>
      </tp>
      <tp>
        <v>4.68</v>
        <stp/>
        <stp>##V3_BQLV12</stp>
        <stp>[MODL_CRM_US1.xlsx]Single Period!R74C33</stp>
        <stp>CRM US Equity</stp>
        <stp>IS_COMP_EPS_EXCL_STOCK_COMP</stp>
        <stp>FPR=2022Y</stp>
        <stp>FPT=A</stp>
        <stp>FA_ACT_EST_DATA=E, EST_SOURCE=RHR</stp>
        <stp>ACT_EST_MAPPING=PRECISE</stp>
        <stp>FS=MRC</stp>
        <stp>CURRENCY=USD</stp>
        <stp>XLFILL=b</stp>
        <tr r="AG74" s="2"/>
      </tp>
      <tp t="s">
        <v/>
        <stp/>
        <stp>##V3_BQLV12</stp>
        <stp>[MODL_CRM_US1.xlsx]Single Period!R58C10</stp>
        <stp>CRM US Equity</stp>
        <stp>CB_IS_ADJUSTED_OPEX/1M</stp>
        <stp>FPR=2022Y</stp>
        <stp>FPT=A</stp>
        <stp>FA_ACT_EST_DATA=E, EST_SOURCE=CMPY</stp>
        <stp>ACT_EST_MAPPING=PRECISE</stp>
        <stp>FS=MRC</stp>
        <stp>CURRENCY=USD</stp>
        <stp>XLFILL=b</stp>
        <tr r="J58" s="2"/>
      </tp>
      <tp t="s">
        <v/>
        <stp/>
        <stp>##V3_BQLV12</stp>
        <stp>[MODL_CRM_US1.xlsx]Single Period!R92C12</stp>
        <stp>CRM US Equity</stp>
        <stp>PROF_MARGIN</stp>
        <stp>FPR=2022Y</stp>
        <stp>FPT=A</stp>
        <stp>FA_ACT_EST_DATA=E, EST_SOURCE=BMO</stp>
        <stp>ACT_EST_MAPPING=PRECISE</stp>
        <stp>FS=MRC</stp>
        <stp>CURRENCY=USD</stp>
        <stp>XLFILL=b</stp>
        <tr r="L92" s="2"/>
      </tp>
      <tp t="s">
        <v/>
        <stp/>
        <stp>##V3_BQLV12</stp>
        <stp>[MODL_CRM_US1.xlsx]Single Period!R92C53</stp>
        <stp>CRM US Equity</stp>
        <stp>PROF_MARGIN</stp>
        <stp>FPR=2022Y</stp>
        <stp>FPT=A</stp>
        <stp>FA_ACT_EST_DATA=E, EST_SOURCE=NIK</stp>
        <stp>ACT_EST_MAPPING=PRECISE</stp>
        <stp>FS=MRC</stp>
        <stp>CURRENCY=USD</stp>
        <stp>XLFILL=b</stp>
        <tr r="BA92" s="2"/>
      </tp>
      <tp t="s">
        <v/>
        <stp/>
        <stp>##V3_BQLV12</stp>
        <stp>[MODL_CRM_US1.xlsx]Single Period!R27C10</stp>
        <stp>SEG0000269241 Segment</stp>
        <stp>SALES_REV_TURN/1M</stp>
        <stp>FPR=2022Y</stp>
        <stp>FPT=A</stp>
        <stp>FA_ACT_EST_DATA=E, EST_SOURCE=CMPY</stp>
        <stp>ACT_EST_MAPPING=PRECISE</stp>
        <stp>FS=MRC</stp>
        <stp>CURRENCY=USD</stp>
        <stp>XLFILL=b</stp>
        <tr r="J27" s="2"/>
      </tp>
      <tp t="s">
        <v/>
        <stp/>
        <stp>##V3_BQLV12</stp>
        <stp>[MODL_CRM_US1.xlsx]Single Period!R115C47</stp>
        <stp>CRM US Equity</stp>
        <stp>CB_BS_OTHER_CURRENT_ASSETS/1M</stp>
        <stp>FPR=2022Y</stp>
        <stp>FPT=A</stp>
        <stp>FA_ACT_EST_DATA=E, EST_SOURCE=WFT</stp>
        <stp>ACT_EST_MAPPING=PRECISE</stp>
        <stp>FS=MRC</stp>
        <stp>CURRENCY=USD</stp>
        <stp>XLFILL=b</stp>
        <tr r="AU115" s="2"/>
      </tp>
      <tp t="s">
        <v/>
        <stp/>
        <stp>##V3_BQLV12</stp>
        <stp>[MODL_CRM_US1.xlsx]Single Period!R115C52</stp>
        <stp>CRM US Equity</stp>
        <stp>CB_BS_OTHER_CURRENT_ASSETS/1M</stp>
        <stp>FPR=2022Y</stp>
        <stp>FPT=A</stp>
        <stp>FA_ACT_EST_DATA=E, EST_SOURCE=WFR</stp>
        <stp>ACT_EST_MAPPING=PRECISE</stp>
        <stp>FS=MRC</stp>
        <stp>CURRENCY=USD</stp>
        <stp>XLFILL=b</stp>
        <tr r="AZ115" s="2"/>
      </tp>
      <tp t="s">
        <v/>
        <stp/>
        <stp>##V3_BQLV12</stp>
        <stp>[MODL_CRM_US1.xlsx]Single Period!R113C10</stp>
        <stp>CRM US Equity</stp>
        <stp>BS_MKT_SEC_OTHER_ST_INVEST/1M</stp>
        <stp>FPR=2022Y</stp>
        <stp>FPT=A</stp>
        <stp>FA_ACT_EST_DATA=E, EST_SOURCE=CMPY</stp>
        <stp>ACT_EST_MAPPING=PRECISE</stp>
        <stp>FS=MRC</stp>
        <stp>CURRENCY=USD</stp>
        <stp>XLFILL=b</stp>
        <tr r="J113" s="2"/>
      </tp>
      <tp>
        <v>407.29488937499985</v>
        <stp/>
        <stp>##V3_BQLV12</stp>
        <stp>[MODL_CRM_US1.xlsx]Single Period!R118C26</stp>
        <stp>CRM US Equity</stp>
        <stp>CB_BS_PP_AND_E_NET/1M</stp>
        <stp>FPR=2022Y</stp>
        <stp>FPT=A</stp>
        <stp>FA_ACT_EST_DATA=E, EST_SOURCE=KEY</stp>
        <stp>ACT_EST_MAPPING=PRECISE</stp>
        <stp>FS=MRC</stp>
        <stp>CURRENCY=USD</stp>
        <stp>XLFILL=b</stp>
        <tr r="Z118" s="2"/>
      </tp>
      <tp t="s">
        <v/>
        <stp/>
        <stp>##V3_BQLV12</stp>
        <stp>[MODL_CRM_US1.xlsx]Single Period!R139C56</stp>
        <stp>CRM US Equity</stp>
        <stp>BS_ADD_PAID_IN_CAP/1M</stp>
        <stp>FPR=2022Y</stp>
        <stp>FPT=A</stp>
        <stp>FA_ACT_EST_DATA=E, EST_SOURCE=DIR</stp>
        <stp>ACT_EST_MAPPING=PRECISE</stp>
        <stp>FS=MRC</stp>
        <stp>CURRENCY=USD</stp>
        <stp>XLFILL=b</stp>
        <tr r="BD139" s="2"/>
      </tp>
      <tp t="s">
        <v/>
        <stp/>
        <stp>##V3_BQLV12</stp>
        <stp>[MODL_CRM_US1.xlsx]Single Period!R113C52</stp>
        <stp>CRM US Equity</stp>
        <stp>BS_MKT_SEC_OTHER_ST_INVEST/1M</stp>
        <stp>FPR=2022Y</stp>
        <stp>FPT=A</stp>
        <stp>FA_ACT_EST_DATA=E, EST_SOURCE=WFR</stp>
        <stp>ACT_EST_MAPPING=PRECISE</stp>
        <stp>FS=MRC</stp>
        <stp>CURRENCY=USD</stp>
        <stp>XLFILL=b</stp>
        <tr r="AZ113" s="2"/>
      </tp>
      <tp t="s">
        <v/>
        <stp/>
        <stp>##V3_BQLV12</stp>
        <stp>[MODL_CRM_US1.xlsx]Single Period!R113C47</stp>
        <stp>CRM US Equity</stp>
        <stp>BS_MKT_SEC_OTHER_ST_INVEST/1M</stp>
        <stp>FPR=2022Y</stp>
        <stp>FPT=A</stp>
        <stp>FA_ACT_EST_DATA=E, EST_SOURCE=WFT</stp>
        <stp>ACT_EST_MAPPING=PRECISE</stp>
        <stp>FS=MRC</stp>
        <stp>CURRENCY=USD</stp>
        <stp>XLFILL=b</stp>
        <tr r="AU113" s="2"/>
      </tp>
      <tp t="s">
        <v/>
        <stp/>
        <stp>##V3_BQLV12</stp>
        <stp>[MODL_CRM_US1.xlsx]Single Period!R145C45</stp>
        <stp>CRM US Equity</stp>
        <stp>CB_BS_LT_BORROWING/1M</stp>
        <stp>FPR=2022Y</stp>
        <stp>FPT=A</stp>
        <stp>FA_ACT_EST_DATA=E, EST_SOURCE=ARG</stp>
        <stp>ACT_EST_MAPPING=PRECISE</stp>
        <stp>FS=MRC</stp>
        <stp>CURRENCY=USD</stp>
        <stp>XLFILL=b</stp>
        <tr r="AS145" s="2"/>
      </tp>
      <tp t="s">
        <v/>
        <stp/>
        <stp>##V3_BQLV12</stp>
        <stp>[MODL_CRM_US1.xlsx]Single Period!R145C54</stp>
        <stp>CRM US Equity</stp>
        <stp>CB_BS_LT_BORROWING/1M</stp>
        <stp>FPR=2022Y</stp>
        <stp>FPT=A</stp>
        <stp>FA_ACT_EST_DATA=E, EST_SOURCE=ARE</stp>
        <stp>ACT_EST_MAPPING=PRECISE</stp>
        <stp>FS=MRC</stp>
        <stp>CURRENCY=USD</stp>
        <stp>XLFILL=b</stp>
        <tr r="BB145" s="2"/>
      </tp>
      <tp t="s">
        <v/>
        <stp/>
        <stp>##V3_BQLV12</stp>
        <stp>[MODL_CRM_US1.xlsx]Single Period!R139C53</stp>
        <stp>CRM US Equity</stp>
        <stp>BS_ADD_PAID_IN_CAP/1M</stp>
        <stp>FPR=2022Y</stp>
        <stp>FPT=A</stp>
        <stp>FA_ACT_EST_DATA=E, EST_SOURCE=NIK</stp>
        <stp>ACT_EST_MAPPING=PRECISE</stp>
        <stp>FS=MRC</stp>
        <stp>CURRENCY=USD</stp>
        <stp>XLFILL=b</stp>
        <tr r="BA139" s="2"/>
      </tp>
      <tp t="s">
        <v/>
        <stp/>
        <stp>##V3_BQLV12</stp>
        <stp>[MODL_CRM_US1.xlsx]Single Period!R118C34</stp>
        <stp>CRM US Equity</stp>
        <stp>CB_BS_PP_AND_E_NET/1M</stp>
        <stp>FPR=2022Y</stp>
        <stp>FPT=A</stp>
        <stp>FA_ACT_EST_DATA=E, EST_SOURCE=JEF</stp>
        <stp>ACT_EST_MAPPING=PRECISE</stp>
        <stp>FS=MRC</stp>
        <stp>CURRENCY=USD</stp>
        <stp>XLFILL=b</stp>
        <tr r="AH118" s="2"/>
      </tp>
      <tp t="s">
        <v/>
        <stp/>
        <stp>##V3_BQLV12</stp>
        <stp>[MODL_CRM_US1.xlsx]Single Period!R118C55</stp>
        <stp>CRM US Equity</stp>
        <stp>CB_BS_PP_AND_E_NET/1M</stp>
        <stp>FPR=2022Y</stp>
        <stp>FPT=A</stp>
        <stp>FA_ACT_EST_DATA=E, EST_SOURCE=RED</stp>
        <stp>ACT_EST_MAPPING=PRECISE</stp>
        <stp>FS=MRC</stp>
        <stp>CURRENCY=USD</stp>
        <stp>XLFILL=b</stp>
        <tr r="BC118" s="2"/>
      </tp>
      <tp>
        <v>18.86580706299236</v>
        <stp/>
        <stp>##V3_BQLV12</stp>
        <stp>[MODL_CRM_US1.xlsx]Single Period!R20C25</stp>
        <stp>CRM US Equity</stp>
        <stp>ADJ_OPERATING_MARGIN</stp>
        <stp>FPR=2022Y</stp>
        <stp>FPT=A</stp>
        <stp>FA_ACT_EST_DATA=E, EST_SOURCE=WMS</stp>
        <stp>ACT_EST_MAPPING=PRECISE</stp>
        <stp>FS=MRC</stp>
        <stp>CURRENCY=USD</stp>
        <stp>XLFILL=b</stp>
        <tr r="Y20" s="2"/>
      </tp>
      <tp t="s">
        <v/>
        <stp/>
        <stp>##V3_BQLV12</stp>
        <stp>[MODL_CRM_US1.xlsx]Single Period!R129C48</stp>
        <stp>CRM US Equity</stp>
        <stp>CB_BS_ACCT_PYBL_ACC_EXPNSS/1M</stp>
        <stp>FPR=2022Y</stp>
        <stp>FPT=A</stp>
        <stp>FA_ACT_EST_DATA=E, EST_SOURCE=PJE</stp>
        <stp>ACT_EST_MAPPING=PRECISE</stp>
        <stp>FS=MRC</stp>
        <stp>CURRENCY=USD</stp>
        <stp>XLFILL=b</stp>
        <tr r="AV129" s="2"/>
      </tp>
      <tp>
        <v>5897.5619665734903</v>
        <stp/>
        <stp>##V3_BQLV12</stp>
        <stp>[MODL_CRM_US1.xlsx]Single Period!R167C5</stp>
        <stp>CRM US Equity</stp>
        <stp>CB_CF_NET_CASH_OPERATING_ACT/1M</stp>
        <stp>FPR=2022Y</stp>
        <stp>FPT=A</stp>
        <stp>FA_ACT_EST_DATA=E</stp>
        <stp>ACT_EST_MAPPING=PRECISE</stp>
        <stp>FS=MRC</stp>
        <stp>CURRENCY=USD</stp>
        <stp>XLFILL=b</stp>
        <tr r="E167" s="2"/>
      </tp>
      <tp>
        <v>5897.5619665734903</v>
        <stp/>
        <stp>##V3_BQLV12</stp>
        <stp>[MODL_CRM_US1.xlsx]Single Period!R182C5</stp>
        <stp>CRM US Equity</stp>
        <stp>CB_CF_NET_CASH_OPERATING_ACT/1M</stp>
        <stp>FPR=2022Y</stp>
        <stp>FPT=A</stp>
        <stp>FA_ACT_EST_DATA=E</stp>
        <stp>ACT_EST_MAPPING=PRECISE</stp>
        <stp>FS=MRC</stp>
        <stp>CURRENCY=USD</stp>
        <stp>XLFILL=b</stp>
        <tr r="E182" s="2"/>
      </tp>
      <tp t="s">
        <v/>
        <stp/>
        <stp>##V3_BQLV12</stp>
        <stp>[MODL_CRM_US1.xlsx]Single Period!R129C21</stp>
        <stp>CRM US Equity</stp>
        <stp>CB_BS_ACCT_PYBL_ACC_EXPNSS/1M</stp>
        <stp>FPR=2022Y</stp>
        <stp>FPT=A</stp>
        <stp>FA_ACT_EST_DATA=E, EST_SOURCE=RJA</stp>
        <stp>ACT_EST_MAPPING=PRECISE</stp>
        <stp>FS=MRC</stp>
        <stp>CURRENCY=USD</stp>
        <stp>XLFILL=b</stp>
        <tr r="U129" s="2"/>
      </tp>
      <tp t="s">
        <v/>
        <stp/>
        <stp>##V3_BQLV12</stp>
        <stp>[MODL_CRM_US1.xlsx]Single Period!R147C48</stp>
        <stp>CRM US Equity</stp>
        <stp>BV_PER_WEIGHTED_DILUTED_SHARE</stp>
        <stp>FPR=2022Y</stp>
        <stp>FPT=A</stp>
        <stp>FA_ACT_EST_DATA=E, EST_SOURCE=PJE</stp>
        <stp>ACT_EST_MAPPING=PRECISE</stp>
        <stp>FS=MRC</stp>
        <stp>CURRENCY=USD</stp>
        <stp>XLFILL=b</stp>
        <tr r="AV147" s="2"/>
      </tp>
      <tp t="s">
        <v/>
        <stp/>
        <stp>##V3_BQLV12</stp>
        <stp>[MODL_CRM_US1.xlsx]Single Period!R53C32</stp>
        <stp>CRM US Equity</stp>
        <stp>REVENUE_GROWTH_CC_1_YR</stp>
        <stp>FPR=2022Y</stp>
        <stp>FPT=A</stp>
        <stp>FA_ACT_EST_DATA=E, EST_SOURCE=UBS</stp>
        <stp>ACT_EST_MAPPING=PRECISE</stp>
        <stp>FS=MRC</stp>
        <stp>CURRENCY=USD</stp>
        <stp>XLFILL=b</stp>
        <tr r="AF53" s="2"/>
      </tp>
      <tp t="s">
        <v/>
        <stp/>
        <stp>##V3_BQLV12</stp>
        <stp>[MODL_CRM_US1.xlsx]Single Period!R138C36</stp>
        <stp>CRM US Equity</stp>
        <stp>BS_COMMON_STOCK/1M</stp>
        <stp>FPR=2022Y</stp>
        <stp>FPT=A</stp>
        <stp>FA_ACT_EST_DATA=E, EST_SOURCE=MAC</stp>
        <stp>ACT_EST_MAPPING=PRECISE</stp>
        <stp>FS=MRC</stp>
        <stp>CURRENCY=USD</stp>
        <stp>XLFILL=b</stp>
        <tr r="AJ138" s="2"/>
      </tp>
      <tp t="s">
        <v/>
        <stp/>
        <stp>##V3_BQLV12</stp>
        <stp>[MODL_CRM_US1.xlsx]Single Period!R86C42</stp>
        <stp>CRM US Equity</stp>
        <stp>IS_GENERAL_AND_ADMIN_GAAP/1M</stp>
        <stp>FPR=2022Y</stp>
        <stp>FPT=A</stp>
        <stp>FA_ACT_EST_DATA=E, EST_SOURCE=PSG</stp>
        <stp>ACT_EST_MAPPING=PRECISE</stp>
        <stp>FS=MRC</stp>
        <stp>CURRENCY=USD</stp>
        <stp>XLFILL=b</stp>
        <tr r="AP86" s="2"/>
      </tp>
      <tp t="s">
        <v/>
        <stp/>
        <stp>##V3_BQLV12</stp>
        <stp>[MODL_CRM_US1.xlsx]Single Period!R13C15</stp>
        <stp>CRM US Equity</stp>
        <stp>CURRENT_FUTURE_REV_UNDER_CONTRACT/1M</stp>
        <stp>FPR=2022Y</stp>
        <stp>FPT=A</stp>
        <stp>FA_ACT_EST_DATA=E, EST_SOURCE=MSV</stp>
        <stp>ACT_EST_MAPPING=PRECISE</stp>
        <stp>FS=MRC</stp>
        <stp>CURRENCY=USD</stp>
        <stp>XLFILL=b</stp>
        <tr r="O13" s="2"/>
      </tp>
      <tp t="s">
        <v/>
        <stp/>
        <stp>##V3_BQLV12</stp>
        <stp>[MODL_CRM_US1.xlsx]Single Period!R147C21</stp>
        <stp>CRM US Equity</stp>
        <stp>BV_PER_WEIGHTED_DILUTED_SHARE</stp>
        <stp>FPR=2022Y</stp>
        <stp>FPT=A</stp>
        <stp>FA_ACT_EST_DATA=E, EST_SOURCE=RJA</stp>
        <stp>ACT_EST_MAPPING=PRECISE</stp>
        <stp>FS=MRC</stp>
        <stp>CURRENCY=USD</stp>
        <stp>XLFILL=b</stp>
        <tr r="U147" s="2"/>
      </tp>
      <tp t="s">
        <v/>
        <stp/>
        <stp>##V3_BQLV12</stp>
        <stp>[MODL_CRM_US1.xlsx]Single Period!R192C33</stp>
        <stp>CRM US Equity</stp>
        <stp>FREE_CASH_FLOW_MARGIN</stp>
        <stp>FPR=2022Y</stp>
        <stp>FPT=A</stp>
        <stp>FA_ACT_EST_DATA=E, EST_SOURCE=RHR</stp>
        <stp>ACT_EST_MAPPING=PRECISE</stp>
        <stp>FS=MRC</stp>
        <stp>CURRENCY=USD</stp>
        <stp>XLFILL=b</stp>
        <tr r="AG192" s="2"/>
      </tp>
      <tp>
        <v>2766</v>
        <stp/>
        <stp>##V3_BQLV12</stp>
        <stp>[MODL_CRM_US1.xlsx]Single Period!R158C17</stp>
        <stp>CRM US Equity</stp>
        <stp>IS_SBC_NON_GAAP/1M</stp>
        <stp>FPR=2022Y</stp>
        <stp>FPT=A</stp>
        <stp>FA_ACT_EST_DATA=E, EST_SOURCE=NDH</stp>
        <stp>ACT_EST_MAPPING=PRECISE</stp>
        <stp>FS=MRC</stp>
        <stp>CURRENCY=USD</stp>
        <stp>XLFILL=b</stp>
        <tr r="Q158" s="2"/>
      </tp>
      <tp t="s">
        <v/>
        <stp/>
        <stp>##V3_BQLV12</stp>
        <stp>[MODL_CRM_US1.xlsx]Single Period!R86C35</stp>
        <stp>CRM US Equity</stp>
        <stp>IS_GENERAL_AND_ADMIN_GAAP/1M</stp>
        <stp>FPR=2022Y</stp>
        <stp>FPT=A</stp>
        <stp>FA_ACT_EST_DATA=E, EST_SOURCE=ATL</stp>
        <stp>ACT_EST_MAPPING=PRECISE</stp>
        <stp>FS=MRC</stp>
        <stp>CURRENCY=USD</stp>
        <stp>XLFILL=b</stp>
        <tr r="AI86" s="2"/>
      </tp>
      <tp t="s">
        <v/>
        <stp/>
        <stp>##V3_BQLV12</stp>
        <stp>[MODL_CRM_US1.xlsx]Single Period!R138C18</stp>
        <stp>CRM US Equity</stp>
        <stp>BS_COMMON_STOCK/1M</stp>
        <stp>FPR=2022Y</stp>
        <stp>FPT=A</stp>
        <stp>FA_ACT_EST_DATA=E, EST_SOURCE=CAN</stp>
        <stp>ACT_EST_MAPPING=PRECISE</stp>
        <stp>FS=MRC</stp>
        <stp>CURRENCY=USD</stp>
        <stp>XLFILL=b</stp>
        <tr r="R138" s="2"/>
      </tp>
      <tp t="s">
        <v/>
        <stp/>
        <stp>##V3_BQLV12</stp>
        <stp>[MODL_CRM_US1.xlsx]Single Period!R116C33</stp>
        <stp>CRM US Equity</stp>
        <stp>PREPAID_EXPNSS_AND_OTHR/1M</stp>
        <stp>FPR=2022Y</stp>
        <stp>FPT=A</stp>
        <stp>FA_ACT_EST_DATA=E, EST_SOURCE=RHR</stp>
        <stp>ACT_EST_MAPPING=PRECISE</stp>
        <stp>FS=MRC</stp>
        <stp>CURRENCY=USD</stp>
        <stp>XLFILL=b</stp>
        <tr r="AG116" s="2"/>
      </tp>
      <tp t="s">
        <v/>
        <stp/>
        <stp>##V3_BQLV12</stp>
        <stp>[MODL_CRM_US1.xlsx]Single Period!R138C30</stp>
        <stp>CRM US Equity</stp>
        <stp>BS_COMMON_STOCK/1M</stp>
        <stp>FPR=2022Y</stp>
        <stp>FPT=A</stp>
        <stp>FA_ACT_EST_DATA=E, EST_SOURCE=BAM</stp>
        <stp>ACT_EST_MAPPING=PRECISE</stp>
        <stp>FS=MRC</stp>
        <stp>CURRENCY=USD</stp>
        <stp>XLFILL=b</stp>
        <tr r="AD138" s="2"/>
      </tp>
      <tp>
        <v>23.000352907961609</v>
        <stp/>
        <stp>##V3_BQLV12</stp>
        <stp>[MODL_CRM_US1.xlsx]Single Period!R53C24</stp>
        <stp>CRM US Equity</stp>
        <stp>REVENUE_GROWTH_CC_1_YR</stp>
        <stp>FPR=2022Y</stp>
        <stp>FPT=A</stp>
        <stp>FA_ACT_EST_DATA=E, EST_SOURCE=FBC</stp>
        <stp>ACT_EST_MAPPING=PRECISE</stp>
        <stp>FS=MRC</stp>
        <stp>CURRENCY=USD</stp>
        <stp>XLFILL=b</stp>
        <tr r="X53" s="2"/>
      </tp>
      <tp t="s">
        <v/>
        <stp/>
        <stp>##V3_BQLV12</stp>
        <stp>[MODL_CRM_US1.xlsx]Single Period!R53C31</stp>
        <stp>CRM US Equity</stp>
        <stp>REVENUE_GROWTH_CC_1_YR</stp>
        <stp>FPR=2022Y</stp>
        <stp>FPT=A</stp>
        <stp>FA_ACT_EST_DATA=E, EST_SOURCE=RBC</stp>
        <stp>ACT_EST_MAPPING=PRECISE</stp>
        <stp>FS=MRC</stp>
        <stp>CURRENCY=USD</stp>
        <stp>XLFILL=b</stp>
        <tr r="AE53" s="2"/>
      </tp>
      <tp t="s">
        <v/>
        <stp/>
        <stp>##V3_BQLV12</stp>
        <stp>[MODL_CRM_US1.xlsx]Single Period!R13C54</stp>
        <stp>CRM US Equity</stp>
        <stp>CURRENT_FUTURE_REV_UNDER_CONTRACT/1M</stp>
        <stp>FPR=2022Y</stp>
        <stp>FPT=A</stp>
        <stp>FA_ACT_EST_DATA=E, EST_SOURCE=ARE</stp>
        <stp>ACT_EST_MAPPING=PRECISE</stp>
        <stp>FS=MRC</stp>
        <stp>CURRENCY=USD</stp>
        <stp>XLFILL=b</stp>
        <tr r="BB13" s="2"/>
      </tp>
      <tp t="s">
        <v/>
        <stp/>
        <stp>##V3_BQLV12</stp>
        <stp>[MODL_CRM_US1.xlsx]Single Period!R86C37</stp>
        <stp>CRM US Equity</stp>
        <stp>IS_GENERAL_AND_ADMIN_GAAP/1M</stp>
        <stp>FPR=2022Y</stp>
        <stp>FPT=A</stp>
        <stp>FA_ACT_EST_DATA=E, EST_SOURCE=EVR</stp>
        <stp>ACT_EST_MAPPING=PRECISE</stp>
        <stp>FS=MRC</stp>
        <stp>CURRENCY=USD</stp>
        <stp>XLFILL=b</stp>
        <tr r="AK86" s="2"/>
      </tp>
      <tp t="s">
        <v/>
        <stp/>
        <stp>##V3_BQLV12</stp>
        <stp>[MODL_CRM_US1.xlsx]Single Period!R133C48</stp>
        <stp>CRM US Equity</stp>
        <stp>BS_LONG_TERM_BORROWINGS/1M</stp>
        <stp>FPR=2022Y</stp>
        <stp>FPT=A</stp>
        <stp>FA_ACT_EST_DATA=E, EST_SOURCE=PJE</stp>
        <stp>ACT_EST_MAPPING=PRECISE</stp>
        <stp>FS=MRC</stp>
        <stp>CURRENCY=USD</stp>
        <stp>XLFILL=b</stp>
        <tr r="AV133" s="2"/>
      </tp>
      <tp t="s">
        <v/>
        <stp/>
        <stp>##V3_BQLV12</stp>
        <stp>[MODL_CRM_US1.xlsx]Single Period!R53C16</stp>
        <stp>CRM US Equity</stp>
        <stp>REVENUE_GROWTH_CC_1_YR</stp>
        <stp>FPR=2022Y</stp>
        <stp>FPT=A</stp>
        <stp>FA_ACT_EST_DATA=E, EST_SOURCE=DBG</stp>
        <stp>ACT_EST_MAPPING=PRECISE</stp>
        <stp>FS=MRC</stp>
        <stp>CURRENCY=USD</stp>
        <stp>XLFILL=b</stp>
        <tr r="P53" s="2"/>
      </tp>
      <tp t="s">
        <v/>
        <stp/>
        <stp>##V3_BQLV12</stp>
        <stp>[MODL_CRM_US1.xlsx]Single Period!R133C21</stp>
        <stp>CRM US Equity</stp>
        <stp>BS_LONG_TERM_BORROWINGS/1M</stp>
        <stp>FPR=2022Y</stp>
        <stp>FPT=A</stp>
        <stp>FA_ACT_EST_DATA=E, EST_SOURCE=RJA</stp>
        <stp>ACT_EST_MAPPING=PRECISE</stp>
        <stp>FS=MRC</stp>
        <stp>CURRENCY=USD</stp>
        <stp>XLFILL=b</stp>
        <tr r="U133" s="2"/>
      </tp>
      <tp t="s">
        <v/>
        <stp/>
        <stp>##V3_BQLV12</stp>
        <stp>[MODL_CRM_US1.xlsx]Single Period!R53C11</stp>
        <stp>CRM US Equity</stp>
        <stp>REVENUE_GROWTH_CC_1_YR</stp>
        <stp>FPR=2022Y</stp>
        <stp>FPT=A</stp>
        <stp>FA_ACT_EST_DATA=E, EST_SOURCE=WBL</stp>
        <stp>ACT_EST_MAPPING=PRECISE</stp>
        <stp>FS=MRC</stp>
        <stp>CURRENCY=USD</stp>
        <stp>XLFILL=b</stp>
        <tr r="K53" s="2"/>
      </tp>
      <tp t="s">
        <v/>
        <stp/>
        <stp>##V3_BQLV12</stp>
        <stp>[MODL_CRM_US1.xlsx]Single Period!R30C50</stp>
        <stp>SEG0000269238 Segment</stp>
        <stp>IS_COGS_TO_FE_AND_PP_AND_G/1M</stp>
        <stp>FPR=2022Y</stp>
        <stp>FPT=A</stp>
        <stp>FA_ACT_EST_DATA=E, EST_SOURCE=MZS</stp>
        <stp>ACT_EST_MAPPING=PRECISE</stp>
        <stp>FS=MRC</stp>
        <stp>CURRENCY=USD</stp>
        <stp>XLFILL=b</stp>
        <tr r="AX30" s="2"/>
      </tp>
      <tp t="s">
        <v/>
        <stp/>
        <stp>##V3_BQLV12</stp>
        <stp>[MODL_CRM_US1.xlsx]Single Period!R157C52</stp>
        <stp>CRM US Equity</stp>
        <stp>CF_AMORTIZATN_OF_DEFRRD_COMPNSTN/1M</stp>
        <stp>FPR=2022Y</stp>
        <stp>FPT=A</stp>
        <stp>FA_ACT_EST_DATA=E, EST_SOURCE=WFR</stp>
        <stp>ACT_EST_MAPPING=PRECISE</stp>
        <stp>FS=MRC</stp>
        <stp>CURRENCY=USD</stp>
        <stp>XLFILL=b</stp>
        <tr r="AZ157" s="2"/>
      </tp>
      <tp t="s">
        <v/>
        <stp/>
        <stp>##V3_BQLV12</stp>
        <stp>[MODL_CRM_US1.xlsx]Single Period!R111C46</stp>
        <stp>CRM US Equity</stp>
        <stp>BS_CASH_CASH_EQUIVALENTS_AND_STI/1M</stp>
        <stp>FPR=2022Y</stp>
        <stp>FPT=A</stp>
        <stp>FA_ACT_EST_DATA=E, EST_SOURCE=CTI</stp>
        <stp>ACT_EST_MAPPING=PRECISE</stp>
        <stp>FS=MRC</stp>
        <stp>CURRENCY=USD</stp>
        <stp>XLFILL=b</stp>
        <tr r="AT111" s="2"/>
      </tp>
      <tp t="s">
        <v/>
        <stp/>
        <stp>##V3_BQLV12</stp>
        <stp>[MODL_CRM_US1.xlsx]Single Period!R164C51</stp>
        <stp>CRM US Equity</stp>
        <stp>CHG_IN_ACCT_PYBL_AND_ACC_EXPNSS/1M</stp>
        <stp>FPR=2022Y</stp>
        <stp>FPT=A</stp>
        <stp>FA_ACT_EST_DATA=E, EST_SOURCE=RCP</stp>
        <stp>ACT_EST_MAPPING=PRECISE</stp>
        <stp>FS=MRC</stp>
        <stp>CURRENCY=USD</stp>
        <stp>XLFILL=b</stp>
        <tr r="AY164" s="2"/>
      </tp>
      <tp t="s">
        <v/>
        <stp/>
        <stp>##V3_BQLV12</stp>
        <stp>[MODL_CRM_US1.xlsx]Single Period!R191C55</stp>
        <stp>CRM US Equity</stp>
        <stp>CF_FREE_CASH_FLOW/1M</stp>
        <stp>FPR=2022Y</stp>
        <stp>FPT=A</stp>
        <stp>FA_ACT_EST_DATA=E, EST_SOURCE=RED</stp>
        <stp>ACT_EST_MAPPING=PRECISE</stp>
        <stp>FS=MRC</stp>
        <stp>CURRENCY=USD</stp>
        <stp>XLFILL=b</stp>
        <tr r="BC191" s="2"/>
      </tp>
      <tp t="s">
        <v/>
        <stp/>
        <stp>##V3_BQLV12</stp>
        <stp>[MODL_CRM_US1.xlsx]Single Period!R176C51</stp>
        <stp>CRM US Equity</stp>
        <stp>CF_INCR_CAP_STOCK/1M</stp>
        <stp>FPR=2022Y</stp>
        <stp>FPT=A</stp>
        <stp>FA_ACT_EST_DATA=E, EST_SOURCE=RCP</stp>
        <stp>ACT_EST_MAPPING=PRECISE</stp>
        <stp>FS=MRC</stp>
        <stp>CURRENCY=USD</stp>
        <stp>XLFILL=b</stp>
        <tr r="AY176" s="2"/>
      </tp>
      <tp>
        <v>4906.6802100140167</v>
        <stp/>
        <stp>##V3_BQLV12</stp>
        <stp>[MODL_CRM_US1.xlsx]Single Period!R191C13</stp>
        <stp>CRM US Equity</stp>
        <stp>CF_FREE_CASH_FLOW/1M</stp>
        <stp>FPR=2022Y</stp>
        <stp>FPT=A</stp>
        <stp>FA_ACT_EST_DATA=E, EST_SOURCE=BCA</stp>
        <stp>ACT_EST_MAPPING=PRECISE</stp>
        <stp>FS=MRC</stp>
        <stp>CURRENCY=USD</stp>
        <stp>XLFILL=b</stp>
        <tr r="M191" s="2"/>
      </tp>
      <tp t="s">
        <v/>
        <stp/>
        <stp>##V3_BQLV12</stp>
        <stp>[MODL_CRM_US1.xlsx]Single Period!R111C38</stp>
        <stp>CRM US Equity</stp>
        <stp>BS_CASH_CASH_EQUIVALENTS_AND_STI/1M</stp>
        <stp>FPR=2022Y</stp>
        <stp>FPT=A</stp>
        <stp>FA_ACT_EST_DATA=E, EST_SOURCE=MSR</stp>
        <stp>ACT_EST_MAPPING=PRECISE</stp>
        <stp>FS=MRC</stp>
        <stp>CURRENCY=USD</stp>
        <stp>XLFILL=b</stp>
        <tr r="AL111" s="2"/>
      </tp>
      <tp t="s">
        <v/>
        <stp/>
        <stp>##V3_BQLV12</stp>
        <stp>[MODL_CRM_US1.xlsx]Single Period!R164C19</stp>
        <stp>CRM US Equity</stp>
        <stp>CHG_IN_ACCT_PYBL_AND_ACC_EXPNSS/1M</stp>
        <stp>FPR=2022Y</stp>
        <stp>FPT=A</stp>
        <stp>FA_ACT_EST_DATA=E, EST_SOURCE=SCB</stp>
        <stp>ACT_EST_MAPPING=PRECISE</stp>
        <stp>FS=MRC</stp>
        <stp>CURRENCY=USD</stp>
        <stp>XLFILL=b</stp>
        <tr r="S164" s="2"/>
      </tp>
      <tp t="s">
        <v/>
        <stp/>
        <stp>##V3_BQLV12</stp>
        <stp>[MODL_CRM_US1.xlsx]Single Period!R164C13</stp>
        <stp>CRM US Equity</stp>
        <stp>CHG_IN_ACCT_PYBL_AND_ACC_EXPNSS/1M</stp>
        <stp>FPR=2022Y</stp>
        <stp>FPT=A</stp>
        <stp>FA_ACT_EST_DATA=E, EST_SOURCE=BCA</stp>
        <stp>ACT_EST_MAPPING=PRECISE</stp>
        <stp>FS=MRC</stp>
        <stp>CURRENCY=USD</stp>
        <stp>XLFILL=b</stp>
        <tr r="M164" s="2"/>
      </tp>
      <tp t="s">
        <v/>
        <stp/>
        <stp>##V3_BQLV12</stp>
        <stp>[MODL_CRM_US1.xlsx]Single Period!R164C40</stp>
        <stp>CRM US Equity</stp>
        <stp>CHG_IN_ACCT_PYBL_AND_ACC_EXPNSS/1M</stp>
        <stp>FPR=2022Y</stp>
        <stp>FPT=A</stp>
        <stp>FA_ACT_EST_DATA=E, EST_SOURCE=ACC</stp>
        <stp>ACT_EST_MAPPING=PRECISE</stp>
        <stp>FS=MRC</stp>
        <stp>CURRENCY=USD</stp>
        <stp>XLFILL=b</stp>
        <tr r="AN164" s="2"/>
      </tp>
      <tp>
        <v>1336.06976744186</v>
        <stp/>
        <stp>##V3_BQLV12</stp>
        <stp>[MODL_CRM_US1.xlsx]Single Period!R157C16</stp>
        <stp>CRM US Equity</stp>
        <stp>CF_AMORTIZATN_OF_DEFRRD_COMPNSTN/1M</stp>
        <stp>FPR=2022Y</stp>
        <stp>FPT=A</stp>
        <stp>FA_ACT_EST_DATA=E, EST_SOURCE=DBG</stp>
        <stp>ACT_EST_MAPPING=PRECISE</stp>
        <stp>FS=MRC</stp>
        <stp>CURRENCY=USD</stp>
        <stp>XLFILL=b</stp>
        <tr r="P157" s="2"/>
      </tp>
      <tp>
        <v>21.666666666666671</v>
        <stp/>
        <stp>##V3_BQLV12</stp>
        <stp>[MODL_CRM_US1.xlsx]Single Period!R40C5</stp>
        <stp>SEG0000269228 Segment</stp>
        <stp>REVENUE_GROWTH_CC_1_YR</stp>
        <stp>FPR=2022Y</stp>
        <stp>FPT=A</stp>
        <stp>FA_ACT_EST_DATA=E</stp>
        <stp>ACT_EST_MAPPING=PRECISE</stp>
        <stp>FS=MRC</stp>
        <stp>CURRENCY=USD</stp>
        <stp>XLFILL=b</stp>
        <tr r="E40" s="2"/>
      </tp>
      <tp t="s">
        <v/>
        <stp/>
        <stp>##V3_BQLV12</stp>
        <stp>[MODL_CRM_US1.xlsx]Single Period!R170C36</stp>
        <stp>CRM US Equity</stp>
        <stp>CF_CASH_FOR_ACQUIS_SUBSIDIARIES/1M</stp>
        <stp>FPR=2022Y</stp>
        <stp>FPT=A</stp>
        <stp>FA_ACT_EST_DATA=E, EST_SOURCE=MAC</stp>
        <stp>ACT_EST_MAPPING=PRECISE</stp>
        <stp>FS=MRC</stp>
        <stp>CURRENCY=USD</stp>
        <stp>XLFILL=b</stp>
        <tr r="AJ170" s="2"/>
      </tp>
      <tp t="s">
        <v/>
        <stp/>
        <stp>##V3_BQLV12</stp>
        <stp>[MODL_CRM_US1.xlsx]Single Period!R157C49</stp>
        <stp>CRM US Equity</stp>
        <stp>CF_AMORTIZATN_OF_DEFRRD_COMPNSTN/1M</stp>
        <stp>FPR=2022Y</stp>
        <stp>FPT=A</stp>
        <stp>FA_ACT_EST_DATA=E, EST_SOURCE=SGE</stp>
        <stp>ACT_EST_MAPPING=PRECISE</stp>
        <stp>FS=MRC</stp>
        <stp>CURRENCY=USD</stp>
        <stp>XLFILL=b</stp>
        <tr r="AW157" s="2"/>
      </tp>
      <tp t="s">
        <v/>
        <stp/>
        <stp>##V3_BQLV12</stp>
        <stp>[MODL_CRM_US1.xlsx]Single Period!R170C18</stp>
        <stp>CRM US Equity</stp>
        <stp>CF_CASH_FOR_ACQUIS_SUBSIDIARIES/1M</stp>
        <stp>FPR=2022Y</stp>
        <stp>FPT=A</stp>
        <stp>FA_ACT_EST_DATA=E, EST_SOURCE=CAN</stp>
        <stp>ACT_EST_MAPPING=PRECISE</stp>
        <stp>FS=MRC</stp>
        <stp>CURRENCY=USD</stp>
        <stp>XLFILL=b</stp>
        <tr r="R170" s="2"/>
      </tp>
      <tp t="s">
        <v/>
        <stp/>
        <stp>##V3_BQLV12</stp>
        <stp>[MODL_CRM_US1.xlsx]Single Period!R170C30</stp>
        <stp>CRM US Equity</stp>
        <stp>CF_CASH_FOR_ACQUIS_SUBSIDIARIES/1M</stp>
        <stp>FPR=2022Y</stp>
        <stp>FPT=A</stp>
        <stp>FA_ACT_EST_DATA=E, EST_SOURCE=BAM</stp>
        <stp>ACT_EST_MAPPING=PRECISE</stp>
        <stp>FS=MRC</stp>
        <stp>CURRENCY=USD</stp>
        <stp>XLFILL=b</stp>
        <tr r="AD170" s="2"/>
      </tp>
      <tp t="s">
        <v/>
        <stp/>
        <stp>##V3_BQLV12</stp>
        <stp>[MODL_CRM_US1.xlsx]Single Period!R157C11</stp>
        <stp>CRM US Equity</stp>
        <stp>CF_AMORTIZATN_OF_DEFRRD_COMPNSTN/1M</stp>
        <stp>FPR=2022Y</stp>
        <stp>FPT=A</stp>
        <stp>FA_ACT_EST_DATA=E, EST_SOURCE=WBL</stp>
        <stp>ACT_EST_MAPPING=PRECISE</stp>
        <stp>FS=MRC</stp>
        <stp>CURRENCY=USD</stp>
        <stp>XLFILL=b</stp>
        <tr r="K157" s="2"/>
      </tp>
      <tp t="s">
        <v/>
        <stp/>
        <stp>##V3_BQLV12</stp>
        <stp>[MODL_CRM_US1.xlsx]Single Period!R176C48</stp>
        <stp>CRM US Equity</stp>
        <stp>CF_INCR_CAP_STOCK/1M</stp>
        <stp>FPR=2022Y</stp>
        <stp>FPT=A</stp>
        <stp>FA_ACT_EST_DATA=E, EST_SOURCE=PJE</stp>
        <stp>ACT_EST_MAPPING=PRECISE</stp>
        <stp>FS=MRC</stp>
        <stp>CURRENCY=USD</stp>
        <stp>XLFILL=b</stp>
        <tr r="AV176" s="2"/>
      </tp>
      <tp t="s">
        <v/>
        <stp/>
        <stp>##V3_BQLV12</stp>
        <stp>[MODL_CRM_US1.xlsx]Single Period!R164C27</stp>
        <stp>CRM US Equity</stp>
        <stp>CHG_IN_ACCT_PYBL_AND_ACC_EXPNSS/1M</stp>
        <stp>FPR=2022Y</stp>
        <stp>FPT=A</stp>
        <stp>FA_ACT_EST_DATA=E, EST_SOURCE=LCM</stp>
        <stp>ACT_EST_MAPPING=PRECISE</stp>
        <stp>FS=MRC</stp>
        <stp>CURRENCY=USD</stp>
        <stp>XLFILL=b</stp>
        <tr r="AA164" s="2"/>
      </tp>
      <tp t="s">
        <v/>
        <stp/>
        <stp>##V3_BQLV12</stp>
        <stp>[MODL_CRM_US1.xlsx]Single Period!R191C32</stp>
        <stp>CRM US Equity</stp>
        <stp>CF_FREE_CASH_FLOW/1M</stp>
        <stp>FPR=2022Y</stp>
        <stp>FPT=A</stp>
        <stp>FA_ACT_EST_DATA=E, EST_SOURCE=UBS</stp>
        <stp>ACT_EST_MAPPING=PRECISE</stp>
        <stp>FS=MRC</stp>
        <stp>CURRENCY=USD</stp>
        <stp>XLFILL=b</stp>
        <tr r="AF191" s="2"/>
      </tp>
      <tp>
        <v>21.504716623730872</v>
        <stp/>
        <stp>##V3_BQLV12</stp>
        <stp>[MODL_CRM_US1.xlsx]Single Period!R184C20</stp>
        <stp>CRM US Equity</stp>
        <stp>CFO_TO_SALES</stp>
        <stp>FPR=2022Y</stp>
        <stp>FPT=A</stp>
        <stp>FA_ACT_EST_DATA=E, EST_SOURCE=JMP</stp>
        <stp>ACT_EST_MAPPING=PRECISE</stp>
        <stp>FS=MRC</stp>
        <stp>CURRENCY=USD</stp>
        <stp>XLFILL=b</stp>
        <tr r="T184" s="2"/>
      </tp>
      <tp t="s">
        <v/>
        <stp/>
        <stp>##V3_BQLV12</stp>
        <stp>[MODL_CRM_US1.xlsx]Single Period!R43C10</stp>
        <stp>SEG0000269240 Segment</stp>
        <stp>SALES_REV_TURN/1M</stp>
        <stp>FPR=2022Y</stp>
        <stp>FPT=A</stp>
        <stp>FA_ACT_EST_DATA=E, EST_SOURCE=CMPY</stp>
        <stp>ACT_EST_MAPPING=PRECISE</stp>
        <stp>FS=MRC</stp>
        <stp>CURRENCY=USD</stp>
        <stp>XLFILL=b</stp>
        <tr r="J43" s="2"/>
      </tp>
      <tp t="s">
        <v/>
        <stp/>
        <stp>##V3_BQLV12</stp>
        <stp>[MODL_CRM_US1.xlsx]Single Period!R20C18</stp>
        <stp>CRM US Equity</stp>
        <stp>ADJ_OPERATING_MARGIN</stp>
        <stp>FPR=2022Y</stp>
        <stp>FPT=A</stp>
        <stp>FA_ACT_EST_DATA=E, EST_SOURCE=CAN</stp>
        <stp>ACT_EST_MAPPING=PRECISE</stp>
        <stp>FS=MRC</stp>
        <stp>CURRENCY=USD</stp>
        <stp>XLFILL=b</stp>
        <tr r="R20" s="2"/>
      </tp>
      <tp t="s">
        <v/>
        <stp/>
        <stp>##V3_BQLV12</stp>
        <stp>[MODL_CRM_US1.xlsx]Single Period!R139C33</stp>
        <stp>CRM US Equity</stp>
        <stp>BS_ADD_PAID_IN_CAP/1M</stp>
        <stp>FPR=2022Y</stp>
        <stp>FPT=A</stp>
        <stp>FA_ACT_EST_DATA=E, EST_SOURCE=RHR</stp>
        <stp>ACT_EST_MAPPING=PRECISE</stp>
        <stp>FS=MRC</stp>
        <stp>CURRENCY=USD</stp>
        <stp>XLFILL=b</stp>
        <tr r="AG139" s="2"/>
      </tp>
      <tp t="s">
        <v/>
        <stp/>
        <stp>##V3_BQLV12</stp>
        <stp>[MODL_CRM_US1.xlsx]Single Period!R103C46</stp>
        <stp>CRM US Equity</stp>
        <stp>IS_SBC_ATT_TO_GENL_AND_ADMIN_PRETX/1M</stp>
        <stp>FPR=2022Y</stp>
        <stp>FPT=A</stp>
        <stp>FA_ACT_EST_DATA=E, EST_SOURCE=CTI</stp>
        <stp>ACT_EST_MAPPING=PRECISE</stp>
        <stp>FS=MRC</stp>
        <stp>CURRENCY=USD</stp>
        <stp>XLFILL=b</stp>
        <tr r="AT103" s="2"/>
      </tp>
      <tp t="s">
        <v/>
        <stp/>
        <stp>##V3_BQLV12</stp>
        <stp>[MODL_CRM_US1.xlsx]Single Period!R145C42</stp>
        <stp>CRM US Equity</stp>
        <stp>CB_BS_LT_BORROWING/1M</stp>
        <stp>FPR=2022Y</stp>
        <stp>FPT=A</stp>
        <stp>FA_ACT_EST_DATA=E, EST_SOURCE=PSG</stp>
        <stp>ACT_EST_MAPPING=PRECISE</stp>
        <stp>FS=MRC</stp>
        <stp>CURRENCY=USD</stp>
        <stp>XLFILL=b</stp>
        <tr r="AP145" s="2"/>
      </tp>
      <tp t="s">
        <v/>
        <stp/>
        <stp>##V3_BQLV12</stp>
        <stp>[MODL_CRM_US1.xlsx]Single Period!R103C35</stp>
        <stp>CRM US Equity</stp>
        <stp>IS_SBC_ATT_TO_GENL_AND_ADMIN_PRETX/1M</stp>
        <stp>FPR=2022Y</stp>
        <stp>FPT=A</stp>
        <stp>FA_ACT_EST_DATA=E, EST_SOURCE=ATL</stp>
        <stp>ACT_EST_MAPPING=PRECISE</stp>
        <stp>FS=MRC</stp>
        <stp>CURRENCY=USD</stp>
        <stp>XLFILL=b</stp>
        <tr r="AI103" s="2"/>
      </tp>
      <tp t="s">
        <v/>
        <stp/>
        <stp>##V3_BQLV12</stp>
        <stp>[MODL_CRM_US1.xlsx]Single Period!R113C39</stp>
        <stp>CRM US Equity</stp>
        <stp>BS_MKT_SEC_OTHER_ST_INVEST/1M</stp>
        <stp>FPR=2022Y</stp>
        <stp>FPT=A</stp>
        <stp>FA_ACT_EST_DATA=E, EST_SOURCE=KGI</stp>
        <stp>ACT_EST_MAPPING=PRECISE</stp>
        <stp>FS=MRC</stp>
        <stp>CURRENCY=USD</stp>
        <stp>XLFILL=b</stp>
        <tr r="AM113" s="2"/>
      </tp>
      <tp t="s">
        <v/>
        <stp/>
        <stp>##V3_BQLV12</stp>
        <stp>[MODL_CRM_US1.xlsx]Single Period!R115C49</stp>
        <stp>CRM US Equity</stp>
        <stp>CB_BS_OTHER_CURRENT_ASSETS/1M</stp>
        <stp>FPR=2022Y</stp>
        <stp>FPT=A</stp>
        <stp>FA_ACT_EST_DATA=E, EST_SOURCE=SGE</stp>
        <stp>ACT_EST_MAPPING=PRECISE</stp>
        <stp>FS=MRC</stp>
        <stp>CURRENCY=USD</stp>
        <stp>XLFILL=b</stp>
        <tr r="AW115" s="2"/>
      </tp>
      <tp t="s">
        <v/>
        <stp/>
        <stp>##V3_BQLV12</stp>
        <stp>[MODL_CRM_US1.xlsx]Single Period!R80C28</stp>
        <stp>CRM US Equity</stp>
        <stp>GROSS_MARGIN</stp>
        <stp>FPR=2022Y</stp>
        <stp>FPT=A</stp>
        <stp>FA_ACT_EST_DATA=E, EST_SOURCE=CWN</stp>
        <stp>ACT_EST_MAPPING=PRECISE</stp>
        <stp>FS=MRC</stp>
        <stp>CURRENCY=USD</stp>
        <stp>XLFILL=b</stp>
        <tr r="AB80" s="2"/>
      </tp>
      <tp>
        <v>2518.88</v>
        <stp/>
        <stp>##V3_BQLV12</stp>
        <stp>[MODL_CRM_US1.xlsx]Single Period!R118C17</stp>
        <stp>CRM US Equity</stp>
        <stp>CB_BS_PP_AND_E_NET/1M</stp>
        <stp>FPR=2022Y</stp>
        <stp>FPT=A</stp>
        <stp>FA_ACT_EST_DATA=E, EST_SOURCE=NDH</stp>
        <stp>ACT_EST_MAPPING=PRECISE</stp>
        <stp>FS=MRC</stp>
        <stp>CURRENCY=USD</stp>
        <stp>XLFILL=b</stp>
        <tr r="Q118" s="2"/>
      </tp>
      <tp>
        <v>18.61918472495833</v>
        <stp/>
        <stp>##V3_BQLV12</stp>
        <stp>[MODL_CRM_US1.xlsx]Single Period!R61C20</stp>
        <stp>CRM US Equity</stp>
        <stp>ADJ_OPERATING_MARGIN</stp>
        <stp>FPR=2022Y</stp>
        <stp>FPT=A</stp>
        <stp>FA_ACT_EST_DATA=E, EST_SOURCE=JMP</stp>
        <stp>ACT_EST_MAPPING=PRECISE</stp>
        <stp>FS=MRC</stp>
        <stp>CURRENCY=USD</stp>
        <stp>XLFILL=b</stp>
        <tr r="T61" s="2"/>
      </tp>
      <tp t="s">
        <v/>
        <stp/>
        <stp>##V3_BQLV12</stp>
        <stp>[MODL_CRM_US1.xlsx]Single Period!R145C38</stp>
        <stp>CRM US Equity</stp>
        <stp>CB_BS_LT_BORROWING/1M</stp>
        <stp>FPR=2022Y</stp>
        <stp>FPT=A</stp>
        <stp>FA_ACT_EST_DATA=E, EST_SOURCE=MSR</stp>
        <stp>ACT_EST_MAPPING=PRECISE</stp>
        <stp>FS=MRC</stp>
        <stp>CURRENCY=USD</stp>
        <stp>XLFILL=b</stp>
        <tr r="AL145" s="2"/>
      </tp>
      <tp t="s">
        <v/>
        <stp/>
        <stp>##V3_BQLV12</stp>
        <stp>[MODL_CRM_US1.xlsx]Single Period!R145C41</stp>
        <stp>CRM US Equity</stp>
        <stp>CB_BS_LT_BORROWING/1M</stp>
        <stp>FPR=2022Y</stp>
        <stp>FPT=A</stp>
        <stp>FA_ACT_EST_DATA=E, EST_SOURCE=GSR</stp>
        <stp>ACT_EST_MAPPING=PRECISE</stp>
        <stp>FS=MRC</stp>
        <stp>CURRENCY=USD</stp>
        <stp>XLFILL=b</stp>
        <tr r="AO145" s="2"/>
      </tp>
      <tp t="s">
        <v/>
        <stp/>
        <stp>##V3_BQLV12</stp>
        <stp>[MODL_CRM_US1.xlsx]Single Period!R113C49</stp>
        <stp>CRM US Equity</stp>
        <stp>BS_MKT_SEC_OTHER_ST_INVEST/1M</stp>
        <stp>FPR=2022Y</stp>
        <stp>FPT=A</stp>
        <stp>FA_ACT_EST_DATA=E, EST_SOURCE=SGE</stp>
        <stp>ACT_EST_MAPPING=PRECISE</stp>
        <stp>FS=MRC</stp>
        <stp>CURRENCY=USD</stp>
        <stp>XLFILL=b</stp>
        <tr r="AW113" s="2"/>
      </tp>
      <tp t="s">
        <v/>
        <stp/>
        <stp>##V3_BQLV12</stp>
        <stp>[MODL_CRM_US1.xlsx]Single Period!R145C15</stp>
        <stp>CRM US Equity</stp>
        <stp>CB_BS_LT_BORROWING/1M</stp>
        <stp>FPR=2022Y</stp>
        <stp>FPT=A</stp>
        <stp>FA_ACT_EST_DATA=E, EST_SOURCE=MSV</stp>
        <stp>ACT_EST_MAPPING=PRECISE</stp>
        <stp>FS=MRC</stp>
        <stp>CURRENCY=USD</stp>
        <stp>XLFILL=b</stp>
        <tr r="O145" s="2"/>
      </tp>
      <tp t="s">
        <v/>
        <stp/>
        <stp>##V3_BQLV12</stp>
        <stp>[MODL_CRM_US1.xlsx]Single Period!R115C39</stp>
        <stp>CRM US Equity</stp>
        <stp>CB_BS_OTHER_CURRENT_ASSETS/1M</stp>
        <stp>FPR=2022Y</stp>
        <stp>FPT=A</stp>
        <stp>FA_ACT_EST_DATA=E, EST_SOURCE=KGI</stp>
        <stp>ACT_EST_MAPPING=PRECISE</stp>
        <stp>FS=MRC</stp>
        <stp>CURRENCY=USD</stp>
        <stp>XLFILL=b</stp>
        <tr r="AM115" s="2"/>
      </tp>
      <tp t="s">
        <v/>
        <stp/>
        <stp>##V3_BQLV12</stp>
        <stp>[MODL_CRM_US1.xlsx]Single Period!R53C25</stp>
        <stp>CRM US Equity</stp>
        <stp>REVENUE_GROWTH_CC_1_YR</stp>
        <stp>FPR=2022Y</stp>
        <stp>FPT=A</stp>
        <stp>FA_ACT_EST_DATA=E, EST_SOURCE=WMS</stp>
        <stp>ACT_EST_MAPPING=PRECISE</stp>
        <stp>FS=MRC</stp>
        <stp>CURRENCY=USD</stp>
        <stp>XLFILL=b</stp>
        <tr r="Y53" s="2"/>
      </tp>
      <tp t="s">
        <v/>
        <stp/>
        <stp>##V3_BQLV12</stp>
        <stp>[MODL_CRM_US1.xlsx]Single Period!R147C55</stp>
        <stp>CRM US Equity</stp>
        <stp>BV_PER_WEIGHTED_DILUTED_SHARE</stp>
        <stp>FPR=2022Y</stp>
        <stp>FPT=A</stp>
        <stp>FA_ACT_EST_DATA=E, EST_SOURCE=RED</stp>
        <stp>ACT_EST_MAPPING=PRECISE</stp>
        <stp>FS=MRC</stp>
        <stp>CURRENCY=USD</stp>
        <stp>XLFILL=b</stp>
        <tr r="BC147" s="2"/>
      </tp>
      <tp t="s">
        <v/>
        <stp/>
        <stp>##V3_BQLV12</stp>
        <stp>[MODL_CRM_US1.xlsx]Single Period!R53C20</stp>
        <stp>CRM US Equity</stp>
        <stp>REVENUE_GROWTH_CC_1_YR</stp>
        <stp>FPR=2022Y</stp>
        <stp>FPT=A</stp>
        <stp>FA_ACT_EST_DATA=E, EST_SOURCE=JMP</stp>
        <stp>ACT_EST_MAPPING=PRECISE</stp>
        <stp>FS=MRC</stp>
        <stp>CURRENCY=USD</stp>
        <stp>XLFILL=b</stp>
        <tr r="T53" s="2"/>
      </tp>
      <tp t="s">
        <v/>
        <stp/>
        <stp>##V3_BQLV12</stp>
        <stp>[MODL_CRM_US1.xlsx]Single Period!R147C34</stp>
        <stp>CRM US Equity</stp>
        <stp>BV_PER_WEIGHTED_DILUTED_SHARE</stp>
        <stp>FPR=2022Y</stp>
        <stp>FPT=A</stp>
        <stp>FA_ACT_EST_DATA=E, EST_SOURCE=JEF</stp>
        <stp>ACT_EST_MAPPING=PRECISE</stp>
        <stp>FS=MRC</stp>
        <stp>CURRENCY=USD</stp>
        <stp>XLFILL=b</stp>
        <tr r="AH147" s="2"/>
      </tp>
      <tp t="s">
        <v/>
        <stp/>
        <stp>##V3_BQLV12</stp>
        <stp>[MODL_CRM_US1.xlsx]Single Period!R155C38</stp>
        <stp>CRM US Equity</stp>
        <stp>IS_COMP_NET_INCOME_GAAP/1M</stp>
        <stp>FPR=2022Y</stp>
        <stp>FPT=A</stp>
        <stp>FA_ACT_EST_DATA=E, EST_SOURCE=MSR</stp>
        <stp>ACT_EST_MAPPING=PRECISE</stp>
        <stp>FS=MRC</stp>
        <stp>CURRENCY=USD</stp>
        <stp>XLFILL=b</stp>
        <tr r="AL155" s="2"/>
      </tp>
      <tp t="s">
        <v/>
        <stp/>
        <stp>##V3_BQLV12</stp>
        <stp>[MODL_CRM_US1.xlsx]Single Period!R155C41</stp>
        <stp>CRM US Equity</stp>
        <stp>IS_COMP_NET_INCOME_GAAP/1M</stp>
        <stp>FPR=2022Y</stp>
        <stp>FPT=A</stp>
        <stp>FA_ACT_EST_DATA=E, EST_SOURCE=GSR</stp>
        <stp>ACT_EST_MAPPING=PRECISE</stp>
        <stp>FS=MRC</stp>
        <stp>CURRENCY=USD</stp>
        <stp>XLFILL=b</stp>
        <tr r="AO155" s="2"/>
      </tp>
      <tp t="s">
        <v/>
        <stp/>
        <stp>##V3_BQLV12</stp>
        <stp>[MODL_CRM_US1.xlsx]Single Period!R163C45</stp>
        <stp>CRM US Equity</stp>
        <stp>CB_CF_OTHR_NONCSH_ITEMS/1M</stp>
        <stp>FPR=2022Y</stp>
        <stp>FPT=A</stp>
        <stp>FA_ACT_EST_DATA=E, EST_SOURCE=ARG</stp>
        <stp>ACT_EST_MAPPING=PRECISE</stp>
        <stp>FS=MRC</stp>
        <stp>CURRENCY=USD</stp>
        <stp>XLFILL=b</stp>
        <tr r="AS163" s="2"/>
      </tp>
      <tp>
        <v>1236</v>
        <stp/>
        <stp>##V3_BQLV12</stp>
        <stp>[MODL_CRM_US1.xlsx]Single Period!R155C15</stp>
        <stp>CRM US Equity</stp>
        <stp>IS_COMP_NET_INCOME_GAAP/1M</stp>
        <stp>FPR=2022Y</stp>
        <stp>FPT=A</stp>
        <stp>FA_ACT_EST_DATA=E, EST_SOURCE=MSV</stp>
        <stp>ACT_EST_MAPPING=PRECISE</stp>
        <stp>FS=MRC</stp>
        <stp>CURRENCY=USD</stp>
        <stp>XLFILL=b</stp>
        <tr r="O155" s="2"/>
      </tp>
      <tp>
        <v>10589</v>
        <stp/>
        <stp>##V3_BQLV12</stp>
        <stp>[MODL_CRM_US1.xlsx]Single Period!R133C26</stp>
        <stp>CRM US Equity</stp>
        <stp>BS_LONG_TERM_BORROWINGS/1M</stp>
        <stp>FPR=2022Y</stp>
        <stp>FPT=A</stp>
        <stp>FA_ACT_EST_DATA=E, EST_SOURCE=KEY</stp>
        <stp>ACT_EST_MAPPING=PRECISE</stp>
        <stp>FS=MRC</stp>
        <stp>CURRENCY=USD</stp>
        <stp>XLFILL=b</stp>
        <tr r="Z133" s="2"/>
      </tp>
      <tp t="s">
        <v/>
        <stp/>
        <stp>##V3_BQLV12</stp>
        <stp>[MODL_CRM_US1.xlsx]Single Period!R163C54</stp>
        <stp>CRM US Equity</stp>
        <stp>CB_CF_OTHR_NONCSH_ITEMS/1M</stp>
        <stp>FPR=2022Y</stp>
        <stp>FPT=A</stp>
        <stp>FA_ACT_EST_DATA=E, EST_SOURCE=ARE</stp>
        <stp>ACT_EST_MAPPING=PRECISE</stp>
        <stp>FS=MRC</stp>
        <stp>CURRENCY=USD</stp>
        <stp>XLFILL=b</stp>
        <tr r="BB163" s="2"/>
      </tp>
      <tp t="s">
        <v/>
        <stp/>
        <stp>##V3_BQLV12</stp>
        <stp>[MODL_CRM_US1.xlsx]Single Period!R138C29</stp>
        <stp>CRM US Equity</stp>
        <stp>BS_COMMON_STOCK/1M</stp>
        <stp>FPR=2022Y</stp>
        <stp>FPT=A</stp>
        <stp>FA_ACT_EST_DATA=E, EST_SOURCE=BNS</stp>
        <stp>ACT_EST_MAPPING=PRECISE</stp>
        <stp>FS=MRC</stp>
        <stp>CURRENCY=USD</stp>
        <stp>XLFILL=b</stp>
        <tr r="AC138" s="2"/>
      </tp>
      <tp t="s">
        <v/>
        <stp/>
        <stp>##V3_BQLV12</stp>
        <stp>[MODL_CRM_US1.xlsx]Single Period!R192C49</stp>
        <stp>CRM US Equity</stp>
        <stp>FREE_CASH_FLOW_MARGIN</stp>
        <stp>FPR=2022Y</stp>
        <stp>FPT=A</stp>
        <stp>FA_ACT_EST_DATA=E, EST_SOURCE=SGE</stp>
        <stp>ACT_EST_MAPPING=PRECISE</stp>
        <stp>FS=MRC</stp>
        <stp>CURRENCY=USD</stp>
        <stp>XLFILL=b</stp>
        <tr r="AW192" s="2"/>
      </tp>
      <tp t="s">
        <v/>
        <stp/>
        <stp>##V3_BQLV12</stp>
        <stp>[MODL_CRM_US1.xlsx]Single Period!R133C34</stp>
        <stp>CRM US Equity</stp>
        <stp>BS_LONG_TERM_BORROWINGS/1M</stp>
        <stp>FPR=2022Y</stp>
        <stp>FPT=A</stp>
        <stp>FA_ACT_EST_DATA=E, EST_SOURCE=JEF</stp>
        <stp>ACT_EST_MAPPING=PRECISE</stp>
        <stp>FS=MRC</stp>
        <stp>CURRENCY=USD</stp>
        <stp>XLFILL=b</stp>
        <tr r="AH133" s="2"/>
      </tp>
      <tp t="s">
        <v/>
        <stp/>
        <stp>##V3_BQLV12</stp>
        <stp>[MODL_CRM_US1.xlsx]Single Period!R138C14</stp>
        <stp>CRM US Equity</stp>
        <stp>BS_COMMON_STOCK/1M</stp>
        <stp>FPR=2022Y</stp>
        <stp>FPT=A</stp>
        <stp>FA_ACT_EST_DATA=E, EST_SOURCE=SNR</stp>
        <stp>ACT_EST_MAPPING=PRECISE</stp>
        <stp>FS=MRC</stp>
        <stp>CURRENCY=USD</stp>
        <stp>XLFILL=b</stp>
        <tr r="N138" s="2"/>
      </tp>
      <tp t="s">
        <v/>
        <stp/>
        <stp>##V3_BQLV12</stp>
        <stp>[MODL_CRM_US1.xlsx]Single Period!R116C39</stp>
        <stp>CRM US Equity</stp>
        <stp>PREPAID_EXPNSS_AND_OTHR/1M</stp>
        <stp>FPR=2022Y</stp>
        <stp>FPT=A</stp>
        <stp>FA_ACT_EST_DATA=E, EST_SOURCE=KGI</stp>
        <stp>ACT_EST_MAPPING=PRECISE</stp>
        <stp>FS=MRC</stp>
        <stp>CURRENCY=USD</stp>
        <stp>XLFILL=b</stp>
        <tr r="AM116" s="2"/>
      </tp>
      <tp t="s">
        <v/>
        <stp/>
        <stp>##V3_BQLV12</stp>
        <stp>[MODL_CRM_US1.xlsx]Single Period!R133C55</stp>
        <stp>CRM US Equity</stp>
        <stp>BS_LONG_TERM_BORROWINGS/1M</stp>
        <stp>FPR=2022Y</stp>
        <stp>FPT=A</stp>
        <stp>FA_ACT_EST_DATA=E, EST_SOURCE=RED</stp>
        <stp>ACT_EST_MAPPING=PRECISE</stp>
        <stp>FS=MRC</stp>
        <stp>CURRENCY=USD</stp>
        <stp>XLFILL=b</stp>
        <tr r="BC133" s="2"/>
      </tp>
      <tp t="s">
        <v/>
        <stp/>
        <stp>##V3_BQLV12</stp>
        <stp>[MODL_CRM_US1.xlsx]Single Period!R155C42</stp>
        <stp>CRM US Equity</stp>
        <stp>IS_COMP_NET_INCOME_GAAP/1M</stp>
        <stp>FPR=2022Y</stp>
        <stp>FPT=A</stp>
        <stp>FA_ACT_EST_DATA=E, EST_SOURCE=PSG</stp>
        <stp>ACT_EST_MAPPING=PRECISE</stp>
        <stp>FS=MRC</stp>
        <stp>CURRENCY=USD</stp>
        <stp>XLFILL=b</stp>
        <tr r="AP155" s="2"/>
      </tp>
      <tp t="s">
        <v/>
        <stp/>
        <stp>##V3_BQLV12</stp>
        <stp>[MODL_CRM_US1.xlsx]Single Period!R147C26</stp>
        <stp>CRM US Equity</stp>
        <stp>BV_PER_WEIGHTED_DILUTED_SHARE</stp>
        <stp>FPR=2022Y</stp>
        <stp>FPT=A</stp>
        <stp>FA_ACT_EST_DATA=E, EST_SOURCE=KEY</stp>
        <stp>ACT_EST_MAPPING=PRECISE</stp>
        <stp>FS=MRC</stp>
        <stp>CURRENCY=USD</stp>
        <stp>XLFILL=b</stp>
        <tr r="Z147" s="2"/>
      </tp>
      <tp t="s">
        <v/>
        <stp/>
        <stp>##V3_BQLV12</stp>
        <stp>[MODL_CRM_US1.xlsx]Single Period!R192C39</stp>
        <stp>CRM US Equity</stp>
        <stp>FREE_CASH_FLOW_MARGIN</stp>
        <stp>FPR=2022Y</stp>
        <stp>FPT=A</stp>
        <stp>FA_ACT_EST_DATA=E, EST_SOURCE=KGI</stp>
        <stp>ACT_EST_MAPPING=PRECISE</stp>
        <stp>FS=MRC</stp>
        <stp>CURRENCY=USD</stp>
        <stp>XLFILL=b</stp>
        <tr r="AM192" s="2"/>
      </tp>
      <tp t="s">
        <v/>
        <stp/>
        <stp>##V3_BQLV12</stp>
        <stp>[MODL_CRM_US1.xlsx]Single Period!R53C12</stp>
        <stp>CRM US Equity</stp>
        <stp>REVENUE_GROWTH_CC_1_YR</stp>
        <stp>FPR=2022Y</stp>
        <stp>FPT=A</stp>
        <stp>FA_ACT_EST_DATA=E, EST_SOURCE=BMO</stp>
        <stp>ACT_EST_MAPPING=PRECISE</stp>
        <stp>FS=MRC</stp>
        <stp>CURRENCY=USD</stp>
        <stp>XLFILL=b</stp>
        <tr r="L53" s="2"/>
      </tp>
      <tp t="s">
        <v/>
        <stp/>
        <stp>##V3_BQLV12</stp>
        <stp>[MODL_CRM_US1.xlsx]Single Period!R116C49</stp>
        <stp>CRM US Equity</stp>
        <stp>PREPAID_EXPNSS_AND_OTHR/1M</stp>
        <stp>FPR=2022Y</stp>
        <stp>FPT=A</stp>
        <stp>FA_ACT_EST_DATA=E, EST_SOURCE=SGE</stp>
        <stp>ACT_EST_MAPPING=PRECISE</stp>
        <stp>FS=MRC</stp>
        <stp>CURRENCY=USD</stp>
        <stp>XLFILL=b</stp>
        <tr r="AW116" s="2"/>
      </tp>
      <tp t="s">
        <v/>
        <stp/>
        <stp>##V3_BQLV12</stp>
        <stp>[MODL_CRM_US1.xlsx]Single Period!R157C56</stp>
        <stp>CRM US Equity</stp>
        <stp>CF_AMORTIZATN_OF_DEFRRD_COMPNSTN/1M</stp>
        <stp>FPR=2022Y</stp>
        <stp>FPT=A</stp>
        <stp>FA_ACT_EST_DATA=E, EST_SOURCE=DIR</stp>
        <stp>ACT_EST_MAPPING=PRECISE</stp>
        <stp>FS=MRC</stp>
        <stp>CURRENCY=USD</stp>
        <stp>XLFILL=b</stp>
        <tr r="BD157" s="2"/>
      </tp>
      <tp>
        <v>4939.4723127465759</v>
        <stp/>
        <stp>##V3_BQLV12</stp>
        <stp>[MODL_CRM_US1.xlsx]Single Period!R191C12</stp>
        <stp>CRM US Equity</stp>
        <stp>CF_FREE_CASH_FLOW/1M</stp>
        <stp>FPR=2022Y</stp>
        <stp>FPT=A</stp>
        <stp>FA_ACT_EST_DATA=E, EST_SOURCE=BMO</stp>
        <stp>ACT_EST_MAPPING=PRECISE</stp>
        <stp>FS=MRC</stp>
        <stp>CURRENCY=USD</stp>
        <stp>XLFILL=b</stp>
        <tr r="L191" s="2"/>
      </tp>
      <tp t="s">
        <v/>
        <stp/>
        <stp>##V3_BQLV12</stp>
        <stp>[MODL_CRM_US1.xlsx]Single Period!R34C22</stp>
        <stp>SEG0000269227 Segment</stp>
        <stp>IS_COGS_TO_FE_AND_PP_AND_G/1M</stp>
        <stp>FPR=2022Y</stp>
        <stp>FPT=A</stp>
        <stp>FA_ACT_EST_DATA=E, EST_SOURCE=OPY</stp>
        <stp>ACT_EST_MAPPING=PRECISE</stp>
        <stp>FS=MRC</stp>
        <stp>CURRENCY=USD</stp>
        <stp>XLFILL=b</stp>
        <tr r="V34" s="2"/>
      </tp>
      <tp t="s">
        <v/>
        <stp/>
        <stp>##V3_BQLV12</stp>
        <stp>[MODL_CRM_US1.xlsx]Single Period!R170C14</stp>
        <stp>CRM US Equity</stp>
        <stp>CF_CASH_FOR_ACQUIS_SUBSIDIARIES/1M</stp>
        <stp>FPR=2022Y</stp>
        <stp>FPT=A</stp>
        <stp>FA_ACT_EST_DATA=E, EST_SOURCE=SNR</stp>
        <stp>ACT_EST_MAPPING=PRECISE</stp>
        <stp>FS=MRC</stp>
        <stp>CURRENCY=USD</stp>
        <stp>XLFILL=b</stp>
        <tr r="N170" s="2"/>
      </tp>
      <tp t="s">
        <v/>
        <stp/>
        <stp>##V3_BQLV12</stp>
        <stp>[MODL_CRM_US1.xlsx]Single Period!R171C34</stp>
        <stp>CRM US Equity</stp>
        <stp>CF_PURCHASE_OF_FIXED_PROD_ASSETS/1M</stp>
        <stp>FPR=2022Y</stp>
        <stp>FPT=A</stp>
        <stp>FA_ACT_EST_DATA=E, EST_SOURCE=JEF</stp>
        <stp>ACT_EST_MAPPING=PRECISE</stp>
        <stp>FS=MRC</stp>
        <stp>CURRENCY=USD</stp>
        <stp>XLFILL=b</stp>
        <tr r="AH171" s="2"/>
      </tp>
      <tp t="s">
        <v/>
        <stp/>
        <stp>##V3_BQLV12</stp>
        <stp>[MODL_CRM_US1.xlsx]Single Period!R177C22</stp>
        <stp>CRM US Equity</stp>
        <stp>CB_CF_OTHER_FINANCING_ACTIVITIES/1M</stp>
        <stp>FPR=2022Y</stp>
        <stp>FPT=A</stp>
        <stp>FA_ACT_EST_DATA=E, EST_SOURCE=OPY</stp>
        <stp>ACT_EST_MAPPING=PRECISE</stp>
        <stp>FS=MRC</stp>
        <stp>CURRENCY=USD</stp>
        <stp>XLFILL=b</stp>
        <tr r="V177" s="2"/>
      </tp>
      <tp t="s">
        <v/>
        <stp/>
        <stp>##V3_BQLV12</stp>
        <stp>[MODL_CRM_US1.xlsx]Single Period!R170C29</stp>
        <stp>CRM US Equity</stp>
        <stp>CF_CASH_FOR_ACQUIS_SUBSIDIARIES/1M</stp>
        <stp>FPR=2022Y</stp>
        <stp>FPT=A</stp>
        <stp>FA_ACT_EST_DATA=E, EST_SOURCE=BNS</stp>
        <stp>ACT_EST_MAPPING=PRECISE</stp>
        <stp>FS=MRC</stp>
        <stp>CURRENCY=USD</stp>
        <stp>XLFILL=b</stp>
        <tr r="AC170" s="2"/>
      </tp>
      <tp t="s">
        <v/>
        <stp/>
        <stp>##V3_BQLV12</stp>
        <stp>[MODL_CRM_US1.xlsx]Single Period!R141C54</stp>
        <stp>CRM US Equity</stp>
        <stp>BS_PURE_RETAINED_EARNINGS/1M</stp>
        <stp>FPR=2022Y</stp>
        <stp>FPT=A</stp>
        <stp>FA_ACT_EST_DATA=E, EST_SOURCE=ARE</stp>
        <stp>ACT_EST_MAPPING=PRECISE</stp>
        <stp>FS=MRC</stp>
        <stp>CURRENCY=USD</stp>
        <stp>XLFILL=b</stp>
        <tr r="BB141" s="2"/>
      </tp>
      <tp t="s">
        <v/>
        <stp/>
        <stp>##V3_BQLV12</stp>
        <stp>[MODL_CRM_US1.xlsx]Single Period!R150C28</stp>
        <stp>CRM US Equity</stp>
        <stp>CURRENT_FUTURE_REV_UNDER_CONTRACT/1M</stp>
        <stp>FPR=2022Y</stp>
        <stp>FPT=A</stp>
        <stp>FA_ACT_EST_DATA=E, EST_SOURCE=CWN</stp>
        <stp>ACT_EST_MAPPING=PRECISE</stp>
        <stp>FS=MRC</stp>
        <stp>CURRENCY=USD</stp>
        <stp>XLFILL=b</stp>
        <tr r="AB150" s="2"/>
      </tp>
      <tp t="s">
        <v/>
        <stp/>
        <stp>##V3_BQLV12</stp>
        <stp>[MODL_CRM_US1.xlsx]Single Period!R176C20</stp>
        <stp>CRM US Equity</stp>
        <stp>CF_INCR_CAP_STOCK/1M</stp>
        <stp>FPR=2022Y</stp>
        <stp>FPT=A</stp>
        <stp>FA_ACT_EST_DATA=E, EST_SOURCE=JMP</stp>
        <stp>ACT_EST_MAPPING=PRECISE</stp>
        <stp>FS=MRC</stp>
        <stp>CURRENCY=USD</stp>
        <stp>XLFILL=b</stp>
        <tr r="T176" s="2"/>
      </tp>
      <tp t="s">
        <v/>
        <stp/>
        <stp>##V3_BQLV12</stp>
        <stp>[MODL_CRM_US1.xlsx]Single Period!R157C29</stp>
        <stp>CRM US Equity</stp>
        <stp>CF_AMORTIZATN_OF_DEFRRD_COMPNSTN/1M</stp>
        <stp>FPR=2022Y</stp>
        <stp>FPT=A</stp>
        <stp>FA_ACT_EST_DATA=E, EST_SOURCE=BNS</stp>
        <stp>ACT_EST_MAPPING=PRECISE</stp>
        <stp>FS=MRC</stp>
        <stp>CURRENCY=USD</stp>
        <stp>XLFILL=b</stp>
        <tr r="AC157" s="2"/>
      </tp>
      <tp>
        <v>-118</v>
        <stp/>
        <stp>##V3_BQLV12</stp>
        <stp>[MODL_CRM_US1.xlsx]Single Period!R177C15</stp>
        <stp>CRM US Equity</stp>
        <stp>CB_CF_OTHER_FINANCING_ACTIVITIES/1M</stp>
        <stp>FPR=2022Y</stp>
        <stp>FPT=A</stp>
        <stp>FA_ACT_EST_DATA=E, EST_SOURCE=MSV</stp>
        <stp>ACT_EST_MAPPING=PRECISE</stp>
        <stp>FS=MRC</stp>
        <stp>CURRENCY=USD</stp>
        <stp>XLFILL=b</stp>
        <tr r="O177" s="2"/>
      </tp>
      <tp t="s">
        <v/>
        <stp/>
        <stp>##V3_BQLV12</stp>
        <stp>[MODL_CRM_US1.xlsx]Single Period!R177C23</stp>
        <stp>CRM US Equity</stp>
        <stp>CB_CF_OTHER_FINANCING_ACTIVITIES/1M</stp>
        <stp>FPR=2022Y</stp>
        <stp>FPT=A</stp>
        <stp>FA_ACT_EST_DATA=E, EST_SOURCE=JPM</stp>
        <stp>ACT_EST_MAPPING=PRECISE</stp>
        <stp>FS=MRC</stp>
        <stp>CURRENCY=USD</stp>
        <stp>XLFILL=b</stp>
        <tr r="W177" s="2"/>
      </tp>
      <tp t="s">
        <v/>
        <stp/>
        <stp>##V3_BQLV12</stp>
        <stp>[MODL_CRM_US1.xlsx]Single Period!R34C23</stp>
        <stp>SEG0000269227 Segment</stp>
        <stp>IS_COGS_TO_FE_AND_PP_AND_G/1M</stp>
        <stp>FPR=2022Y</stp>
        <stp>FPT=A</stp>
        <stp>FA_ACT_EST_DATA=E, EST_SOURCE=JPM</stp>
        <stp>ACT_EST_MAPPING=PRECISE</stp>
        <stp>FS=MRC</stp>
        <stp>CURRENCY=USD</stp>
        <stp>XLFILL=b</stp>
        <tr r="W34" s="2"/>
      </tp>
      <tp t="s">
        <v/>
        <stp/>
        <stp>##V3_BQLV12</stp>
        <stp>[MODL_CRM_US1.xlsx]Single Period!R171C51</stp>
        <stp>CRM US Equity</stp>
        <stp>CF_PURCHASE_OF_FIXED_PROD_ASSETS/1M</stp>
        <stp>FPR=2022Y</stp>
        <stp>FPT=A</stp>
        <stp>FA_ACT_EST_DATA=E, EST_SOURCE=RCP</stp>
        <stp>ACT_EST_MAPPING=PRECISE</stp>
        <stp>FS=MRC</stp>
        <stp>CURRENCY=USD</stp>
        <stp>XLFILL=b</stp>
        <tr r="AY171" s="2"/>
      </tp>
      <tp t="s">
        <v/>
        <stp/>
        <stp>##V3_BQLV12</stp>
        <stp>[MODL_CRM_US1.xlsx]Single Period!R157C12</stp>
        <stp>CRM US Equity</stp>
        <stp>CF_AMORTIZATN_OF_DEFRRD_COMPNSTN/1M</stp>
        <stp>FPR=2022Y</stp>
        <stp>FPT=A</stp>
        <stp>FA_ACT_EST_DATA=E, EST_SOURCE=BMO</stp>
        <stp>ACT_EST_MAPPING=PRECISE</stp>
        <stp>FS=MRC</stp>
        <stp>CURRENCY=USD</stp>
        <stp>XLFILL=b</stp>
        <tr r="L157" s="2"/>
      </tp>
      <tp t="s">
        <v/>
        <stp/>
        <stp>##V3_BQLV12</stp>
        <stp>[MODL_CRM_US1.xlsx]Single Period!R111C50</stp>
        <stp>CRM US Equity</stp>
        <stp>BS_CASH_CASH_EQUIVALENTS_AND_STI/1M</stp>
        <stp>FPR=2022Y</stp>
        <stp>FPT=A</stp>
        <stp>FA_ACT_EST_DATA=E, EST_SOURCE=MZS</stp>
        <stp>ACT_EST_MAPPING=PRECISE</stp>
        <stp>FS=MRC</stp>
        <stp>CURRENCY=USD</stp>
        <stp>XLFILL=b</stp>
        <tr r="AX111" s="2"/>
      </tp>
      <tp>
        <v>7168.9196308125938</v>
        <stp/>
        <stp>##V3_BQLV12</stp>
        <stp>[MODL_CRM_US1.xlsx]Single Period!R141C15</stp>
        <stp>CRM US Equity</stp>
        <stp>BS_PURE_RETAINED_EARNINGS/1M</stp>
        <stp>FPR=2022Y</stp>
        <stp>FPT=A</stp>
        <stp>FA_ACT_EST_DATA=E, EST_SOURCE=MSV</stp>
        <stp>ACT_EST_MAPPING=PRECISE</stp>
        <stp>FS=MRC</stp>
        <stp>CURRENCY=USD</stp>
        <stp>XLFILL=b</stp>
        <tr r="O141" s="2"/>
      </tp>
      <tp t="s">
        <v/>
        <stp/>
        <stp>##V3_BQLV12</stp>
        <stp>[MODL_CRM_US1.xlsx]Single Period!R157C53</stp>
        <stp>CRM US Equity</stp>
        <stp>CF_AMORTIZATN_OF_DEFRRD_COMPNSTN/1M</stp>
        <stp>FPR=2022Y</stp>
        <stp>FPT=A</stp>
        <stp>FA_ACT_EST_DATA=E, EST_SOURCE=NIK</stp>
        <stp>ACT_EST_MAPPING=PRECISE</stp>
        <stp>FS=MRC</stp>
        <stp>CURRENCY=USD</stp>
        <stp>XLFILL=b</stp>
        <tr r="BA157" s="2"/>
      </tp>
      <tp t="s">
        <v/>
        <stp/>
        <stp>##V3_BQLV12</stp>
        <stp>[MODL_CRM_US1.xlsx]Single Period!R191C56</stp>
        <stp>CRM US Equity</stp>
        <stp>CF_FREE_CASH_FLOW/1M</stp>
        <stp>FPR=2022Y</stp>
        <stp>FPT=A</stp>
        <stp>FA_ACT_EST_DATA=E, EST_SOURCE=DIR</stp>
        <stp>ACT_EST_MAPPING=PRECISE</stp>
        <stp>FS=MRC</stp>
        <stp>CURRENCY=USD</stp>
        <stp>XLFILL=b</stp>
        <tr r="BD191" s="2"/>
      </tp>
      <tp t="s">
        <v/>
        <stp/>
        <stp>##V3_BQLV12</stp>
        <stp>[MODL_CRM_US1.xlsx]Single Period!R184C48</stp>
        <stp>CRM US Equity</stp>
        <stp>CFO_TO_SALES</stp>
        <stp>FPR=2022Y</stp>
        <stp>FPT=A</stp>
        <stp>FA_ACT_EST_DATA=E, EST_SOURCE=PJE</stp>
        <stp>ACT_EST_MAPPING=PRECISE</stp>
        <stp>FS=MRC</stp>
        <stp>CURRENCY=USD</stp>
        <stp>XLFILL=b</stp>
        <tr r="AV184" s="2"/>
      </tp>
      <tp>
        <v>0.77843657422281043</v>
        <stp/>
        <stp>##V3_BQLV12</stp>
        <stp>[MODL_CRM_US1.xlsx]Single Period!R8C8</stp>
        <stp>CRM US Equity</stp>
        <stp>CONTRIBUTOR_STATS(REVENUE_GROWTH_CC_1_YR, STD)</stp>
        <stp>FPR=2022Y</stp>
        <stp>FPT=A</stp>
        <stp>FA_ACT_EST_DATA=E</stp>
        <stp>ACT_EST_MAPPING=PRECISE</stp>
        <stp>FS=MRC</stp>
        <stp>CURRENCY=USD</stp>
        <stp>XLFILL=b</stp>
        <tr r="H8" s="2"/>
      </tp>
      <tp t="s">
        <v/>
        <stp/>
        <stp>##V3_BQLV12</stp>
        <stp>[MODL_CRM_US1.xlsx]Single Period!R92C47</stp>
        <stp>CRM US Equity</stp>
        <stp>PROF_MARGIN</stp>
        <stp>FPR=2022Y</stp>
        <stp>FPT=A</stp>
        <stp>FA_ACT_EST_DATA=E, EST_SOURCE=WFT</stp>
        <stp>ACT_EST_MAPPING=PRECISE</stp>
        <stp>FS=MRC</stp>
        <stp>CURRENCY=USD</stp>
        <stp>XLFILL=b</stp>
        <tr r="AU92" s="2"/>
      </tp>
      <tp>
        <v>4.6500000000000004</v>
        <stp/>
        <stp>##V3_BQLV12</stp>
        <stp>[MODL_CRM_US1.xlsx]Single Period!R74C17</stp>
        <stp>CRM US Equity</stp>
        <stp>IS_COMP_EPS_EXCL_STOCK_COMP</stp>
        <stp>FPR=2022Y</stp>
        <stp>FPT=A</stp>
        <stp>FA_ACT_EST_DATA=E, EST_SOURCE=NDH</stp>
        <stp>ACT_EST_MAPPING=PRECISE</stp>
        <stp>FS=MRC</stp>
        <stp>CURRENCY=USD</stp>
        <stp>XLFILL=b</stp>
        <tr r="Q74" s="2"/>
      </tp>
      <tp t="s">
        <v/>
        <stp/>
        <stp>##V3_BQLV12</stp>
        <stp>[MODL_CRM_US1.xlsx]Single Period!R121C10</stp>
        <stp>CRM US Equity</stp>
        <stp>CB_BS_INTANG_ASSETS_EX_GW_NT/1M</stp>
        <stp>FPR=2022Y</stp>
        <stp>FPT=A</stp>
        <stp>FA_ACT_EST_DATA=E, EST_SOURCE=CMPY</stp>
        <stp>ACT_EST_MAPPING=PRECISE</stp>
        <stp>FS=MRC</stp>
        <stp>CURRENCY=USD</stp>
        <stp>XLFILL=b</stp>
        <tr r="J121" s="2"/>
      </tp>
      <tp t="s">
        <v/>
        <stp/>
        <stp>##V3_BQLV12</stp>
        <stp>[MODL_CRM_US1.xlsx]Single Period!R92C36</stp>
        <stp>CRM US Equity</stp>
        <stp>PROF_MARGIN</stp>
        <stp>FPR=2022Y</stp>
        <stp>FPT=A</stp>
        <stp>FA_ACT_EST_DATA=E, EST_SOURCE=MAC</stp>
        <stp>ACT_EST_MAPPING=PRECISE</stp>
        <stp>FS=MRC</stp>
        <stp>CURRENCY=USD</stp>
        <stp>XLFILL=b</stp>
        <tr r="AJ92" s="2"/>
      </tp>
      <tp t="s">
        <v/>
        <stp/>
        <stp>##V3_BQLV12</stp>
        <stp>[MODL_CRM_US1.xlsx]Single Period!R184C51</stp>
        <stp>CRM US Equity</stp>
        <stp>CFO_TO_SALES</stp>
        <stp>FPR=2022Y</stp>
        <stp>FPT=A</stp>
        <stp>FA_ACT_EST_DATA=E, EST_SOURCE=RCP</stp>
        <stp>ACT_EST_MAPPING=PRECISE</stp>
        <stp>FS=MRC</stp>
        <stp>CURRENCY=USD</stp>
        <stp>XLFILL=b</stp>
        <tr r="AY184" s="2"/>
      </tp>
      <tp t="s">
        <v/>
        <stp/>
        <stp>##V3_BQLV12</stp>
        <stp>[MODL_CRM_US1.xlsx]Single Period!R92C13</stp>
        <stp>CRM US Equity</stp>
        <stp>PROF_MARGIN</stp>
        <stp>FPR=2022Y</stp>
        <stp>FPT=A</stp>
        <stp>FA_ACT_EST_DATA=E, EST_SOURCE=BCA</stp>
        <stp>ACT_EST_MAPPING=PRECISE</stp>
        <stp>FS=MRC</stp>
        <stp>CURRENCY=USD</stp>
        <stp>XLFILL=b</stp>
        <tr r="M92" s="2"/>
      </tp>
      <tp t="s">
        <v/>
        <stp/>
        <stp>##V3_BQLV12</stp>
        <stp>[MODL_CRM_US1.xlsx]Single Period!R92C30</stp>
        <stp>CRM US Equity</stp>
        <stp>PROF_MARGIN</stp>
        <stp>FPR=2022Y</stp>
        <stp>FPT=A</stp>
        <stp>FA_ACT_EST_DATA=E, EST_SOURCE=BAM</stp>
        <stp>ACT_EST_MAPPING=PRECISE</stp>
        <stp>FS=MRC</stp>
        <stp>CURRENCY=USD</stp>
        <stp>XLFILL=b</stp>
        <tr r="AD92" s="2"/>
      </tp>
      <tp t="s">
        <v/>
        <stp/>
        <stp>##V3_BQLV12</stp>
        <stp>[MODL_CRM_US1.xlsx]Single Period!R92C19</stp>
        <stp>CRM US Equity</stp>
        <stp>PROF_MARGIN</stp>
        <stp>FPR=2022Y</stp>
        <stp>FPT=A</stp>
        <stp>FA_ACT_EST_DATA=E, EST_SOURCE=SCB</stp>
        <stp>ACT_EST_MAPPING=PRECISE</stp>
        <stp>FS=MRC</stp>
        <stp>CURRENCY=USD</stp>
        <stp>XLFILL=b</stp>
        <tr r="S92" s="2"/>
      </tp>
      <tp t="s">
        <v/>
        <stp/>
        <stp>##V3_BQLV12</stp>
        <stp>[MODL_CRM_US1.xlsx]Single Period!R115C33</stp>
        <stp>CRM US Equity</stp>
        <stp>CB_BS_OTHER_CURRENT_ASSETS/1M</stp>
        <stp>FPR=2022Y</stp>
        <stp>FPT=A</stp>
        <stp>FA_ACT_EST_DATA=E, EST_SOURCE=RHR</stp>
        <stp>ACT_EST_MAPPING=PRECISE</stp>
        <stp>FS=MRC</stp>
        <stp>CURRENCY=USD</stp>
        <stp>XLFILL=b</stp>
        <tr r="AG115" s="2"/>
      </tp>
      <tp>
        <v>17.366813541510201</v>
        <stp/>
        <stp>##V3_BQLV12</stp>
        <stp>[MODL_CRM_US1.xlsx]Single Period!R84C7</stp>
        <stp>CRM US Equity</stp>
        <stp>CONTRIBUTOR_STATS(RD_EXPEND_TO_NET_SALES, MAX)</stp>
        <stp>FPR=2022Y</stp>
        <stp>FPT=A</stp>
        <stp>FA_ACT_EST_DATA=E</stp>
        <stp>ACT_EST_MAPPING=PRECISE</stp>
        <stp>FS=MRC</stp>
        <stp>CURRENCY=USD</stp>
        <stp>XLFILL=b</stp>
        <tr r="G84" s="2"/>
      </tp>
      <tp t="s">
        <v/>
        <stp/>
        <stp>##V3_BQLV12</stp>
        <stp>[MODL_CRM_US1.xlsx]Single Period!R113C33</stp>
        <stp>CRM US Equity</stp>
        <stp>BS_MKT_SEC_OTHER_ST_INVEST/1M</stp>
        <stp>FPR=2022Y</stp>
        <stp>FPT=A</stp>
        <stp>FA_ACT_EST_DATA=E, EST_SOURCE=RHR</stp>
        <stp>ACT_EST_MAPPING=PRECISE</stp>
        <stp>FS=MRC</stp>
        <stp>CURRENCY=USD</stp>
        <stp>XLFILL=b</stp>
        <tr r="AG113" s="2"/>
      </tp>
      <tp>
        <v>18.47989689404497</v>
        <stp/>
        <stp>##V3_BQLV12</stp>
        <stp>[MODL_CRM_US1.xlsx]Single Period!R20C24</stp>
        <stp>CRM US Equity</stp>
        <stp>ADJ_OPERATING_MARGIN</stp>
        <stp>FPR=2022Y</stp>
        <stp>FPT=A</stp>
        <stp>FA_ACT_EST_DATA=E, EST_SOURCE=FBC</stp>
        <stp>ACT_EST_MAPPING=PRECISE</stp>
        <stp>FS=MRC</stp>
        <stp>CURRENCY=USD</stp>
        <stp>XLFILL=b</stp>
        <tr r="X20" s="2"/>
      </tp>
      <tp>
        <v>9472</v>
        <stp/>
        <stp>##V3_BQLV12</stp>
        <stp>[MODL_CRM_US1.xlsx]Single Period!R121C5</stp>
        <stp>CRM US Equity</stp>
        <stp>CB_BS_INTANG_ASSETS_EX_GW_NT/1M</stp>
        <stp>FPR=2022Y</stp>
        <stp>FPT=A</stp>
        <stp>FA_ACT_EST_DATA=E</stp>
        <stp>ACT_EST_MAPPING=PRECISE</stp>
        <stp>FS=MRC</stp>
        <stp>CURRENCY=USD</stp>
        <stp>XLFILL=b</stp>
        <tr r="E121" s="2"/>
      </tp>
      <tp t="s">
        <v/>
        <stp/>
        <stp>##V3_BQLV12</stp>
        <stp>[MODL_CRM_US1.xlsx]Single Period!R61C48</stp>
        <stp>CRM US Equity</stp>
        <stp>ADJ_OPERATING_MARGIN</stp>
        <stp>FPR=2022Y</stp>
        <stp>FPT=A</stp>
        <stp>FA_ACT_EST_DATA=E, EST_SOURCE=PJE</stp>
        <stp>ACT_EST_MAPPING=PRECISE</stp>
        <stp>FS=MRC</stp>
        <stp>CURRENCY=USD</stp>
        <stp>XLFILL=b</stp>
        <tr r="AV61" s="2"/>
      </tp>
      <tp>
        <v>16.50090126991411</v>
        <stp/>
        <stp>##V3_BQLV12</stp>
        <stp>[MODL_CRM_US1.xlsx]Single Period!R84C6</stp>
        <stp>CRM US Equity</stp>
        <stp>CONTRIBUTOR_STATS(RD_EXPEND_TO_NET_SALES, MIN)</stp>
        <stp>FPR=2022Y</stp>
        <stp>FPT=A</stp>
        <stp>FA_ACT_EST_DATA=E</stp>
        <stp>ACT_EST_MAPPING=PRECISE</stp>
        <stp>FS=MRC</stp>
        <stp>CURRENCY=USD</stp>
        <stp>XLFILL=b</stp>
        <tr r="F84" s="2"/>
      </tp>
      <tp t="s">
        <v/>
        <stp/>
        <stp>##V3_BQLV12</stp>
        <stp>[MODL_CRM_US1.xlsx]Single Period!R139C39</stp>
        <stp>CRM US Equity</stp>
        <stp>BS_ADD_PAID_IN_CAP/1M</stp>
        <stp>FPR=2022Y</stp>
        <stp>FPT=A</stp>
        <stp>FA_ACT_EST_DATA=E, EST_SOURCE=KGI</stp>
        <stp>ACT_EST_MAPPING=PRECISE</stp>
        <stp>FS=MRC</stp>
        <stp>CURRENCY=USD</stp>
        <stp>XLFILL=b</stp>
        <tr r="AM139" s="2"/>
      </tp>
      <tp>
        <v>4699.1424999999999</v>
        <stp/>
        <stp>##V3_BQLV12</stp>
        <stp>[MODL_CRM_US1.xlsx]Single Period!R129C17</stp>
        <stp>CRM US Equity</stp>
        <stp>CB_BS_ACCT_PYBL_ACC_EXPNSS/1M</stp>
        <stp>FPR=2022Y</stp>
        <stp>FPT=A</stp>
        <stp>FA_ACT_EST_DATA=E, EST_SOURCE=NDH</stp>
        <stp>ACT_EST_MAPPING=PRECISE</stp>
        <stp>FS=MRC</stp>
        <stp>CURRENCY=USD</stp>
        <stp>XLFILL=b</stp>
        <tr r="Q129" s="2"/>
      </tp>
      <tp t="s">
        <v/>
        <stp/>
        <stp>##V3_BQLV12</stp>
        <stp>[MODL_CRM_US1.xlsx]Single Period!R61C51</stp>
        <stp>CRM US Equity</stp>
        <stp>ADJ_OPERATING_MARGIN</stp>
        <stp>FPR=2022Y</stp>
        <stp>FPT=A</stp>
        <stp>FA_ACT_EST_DATA=E, EST_SOURCE=RCP</stp>
        <stp>ACT_EST_MAPPING=PRECISE</stp>
        <stp>FS=MRC</stp>
        <stp>CURRENCY=USD</stp>
        <stp>XLFILL=b</stp>
        <tr r="AY61" s="2"/>
      </tp>
      <tp t="s">
        <v/>
        <stp/>
        <stp>##V3_BQLV12</stp>
        <stp>[MODL_CRM_US1.xlsx]Single Period!R139C49</stp>
        <stp>CRM US Equity</stp>
        <stp>BS_ADD_PAID_IN_CAP/1M</stp>
        <stp>FPR=2022Y</stp>
        <stp>FPT=A</stp>
        <stp>FA_ACT_EST_DATA=E, EST_SOURCE=SGE</stp>
        <stp>ACT_EST_MAPPING=PRECISE</stp>
        <stp>FS=MRC</stp>
        <stp>CURRENCY=USD</stp>
        <stp>XLFILL=b</stp>
        <tr r="AW139" s="2"/>
      </tp>
      <tp>
        <v>2796</v>
        <stp/>
        <stp>##V3_BQLV12</stp>
        <stp>[MODL_CRM_US1.xlsx]Single Period!R158C21</stp>
        <stp>CRM US Equity</stp>
        <stp>IS_SBC_NON_GAAP/1M</stp>
        <stp>FPR=2022Y</stp>
        <stp>FPT=A</stp>
        <stp>FA_ACT_EST_DATA=E, EST_SOURCE=RJA</stp>
        <stp>ACT_EST_MAPPING=PRECISE</stp>
        <stp>FS=MRC</stp>
        <stp>CURRENCY=USD</stp>
        <stp>XLFILL=b</stp>
        <tr r="U158" s="2"/>
      </tp>
      <tp t="s">
        <v/>
        <stp/>
        <stp>##V3_BQLV12</stp>
        <stp>[MODL_CRM_US1.xlsx]Single Period!R192C47</stp>
        <stp>CRM US Equity</stp>
        <stp>FREE_CASH_FLOW_MARGIN</stp>
        <stp>FPR=2022Y</stp>
        <stp>FPT=A</stp>
        <stp>FA_ACT_EST_DATA=E, EST_SOURCE=WFT</stp>
        <stp>ACT_EST_MAPPING=PRECISE</stp>
        <stp>FS=MRC</stp>
        <stp>CURRENCY=USD</stp>
        <stp>XLFILL=b</stp>
        <tr r="AU192" s="2"/>
      </tp>
      <tp t="s">
        <v/>
        <stp/>
        <stp>##V3_BQLV12</stp>
        <stp>[MODL_CRM_US1.xlsx]Single Period!R158C48</stp>
        <stp>CRM US Equity</stp>
        <stp>IS_SBC_NON_GAAP/1M</stp>
        <stp>FPR=2022Y</stp>
        <stp>FPT=A</stp>
        <stp>FA_ACT_EST_DATA=E, EST_SOURCE=PJE</stp>
        <stp>ACT_EST_MAPPING=PRECISE</stp>
        <stp>FS=MRC</stp>
        <stp>CURRENCY=USD</stp>
        <stp>XLFILL=b</stp>
        <tr r="AV158" s="2"/>
      </tp>
      <tp t="s">
        <v/>
        <stp/>
        <stp>##V3_BQLV12</stp>
        <stp>[MODL_CRM_US1.xlsx]Single Period!R192C52</stp>
        <stp>CRM US Equity</stp>
        <stp>FREE_CASH_FLOW_MARGIN</stp>
        <stp>FPR=2022Y</stp>
        <stp>FPT=A</stp>
        <stp>FA_ACT_EST_DATA=E, EST_SOURCE=WFR</stp>
        <stp>ACT_EST_MAPPING=PRECISE</stp>
        <stp>FS=MRC</stp>
        <stp>CURRENCY=USD</stp>
        <stp>XLFILL=b</stp>
        <tr r="AZ192" s="2"/>
      </tp>
      <tp t="s">
        <v/>
        <stp/>
        <stp>##V3_BQLV12</stp>
        <stp>[MODL_CRM_US1.xlsx]Single Period!R86C28</stp>
        <stp>CRM US Equity</stp>
        <stp>IS_GENERAL_AND_ADMIN_GAAP/1M</stp>
        <stp>FPR=2022Y</stp>
        <stp>FPT=A</stp>
        <stp>FA_ACT_EST_DATA=E, EST_SOURCE=CWN</stp>
        <stp>ACT_EST_MAPPING=PRECISE</stp>
        <stp>FS=MRC</stp>
        <stp>CURRENCY=USD</stp>
        <stp>XLFILL=b</stp>
        <tr r="AB86" s="2"/>
      </tp>
      <tp t="s">
        <v/>
        <stp/>
        <stp>##V3_BQLV12</stp>
        <stp>[MODL_CRM_US1.xlsx]Single Period!R116C52</stp>
        <stp>CRM US Equity</stp>
        <stp>PREPAID_EXPNSS_AND_OTHR/1M</stp>
        <stp>FPR=2022Y</stp>
        <stp>FPT=A</stp>
        <stp>FA_ACT_EST_DATA=E, EST_SOURCE=WFR</stp>
        <stp>ACT_EST_MAPPING=PRECISE</stp>
        <stp>FS=MRC</stp>
        <stp>CURRENCY=USD</stp>
        <stp>XLFILL=b</stp>
        <tr r="AZ116" s="2"/>
      </tp>
      <tp t="s">
        <v/>
        <stp/>
        <stp>##V3_BQLV12</stp>
        <stp>[MODL_CRM_US1.xlsx]Single Period!R156C10</stp>
        <stp>CRM US Equity</stp>
        <stp>CF_DEPR_AMORT/1M</stp>
        <stp>FPR=2022Y</stp>
        <stp>FPT=A</stp>
        <stp>FA_ACT_EST_DATA=E, EST_SOURCE=CMPY</stp>
        <stp>ACT_EST_MAPPING=PRECISE</stp>
        <stp>FS=MRC</stp>
        <stp>CURRENCY=USD</stp>
        <stp>XLFILL=b</stp>
        <tr r="J156" s="2"/>
      </tp>
      <tp t="s">
        <v/>
        <stp/>
        <stp>##V3_BQLV12</stp>
        <stp>[MODL_CRM_US1.xlsx]Single Period!R163C42</stp>
        <stp>CRM US Equity</stp>
        <stp>CB_CF_OTHR_NONCSH_ITEMS/1M</stp>
        <stp>FPR=2022Y</stp>
        <stp>FPT=A</stp>
        <stp>FA_ACT_EST_DATA=E, EST_SOURCE=PSG</stp>
        <stp>ACT_EST_MAPPING=PRECISE</stp>
        <stp>FS=MRC</stp>
        <stp>CURRENCY=USD</stp>
        <stp>XLFILL=b</stp>
        <tr r="AP163" s="2"/>
      </tp>
      <tp t="s">
        <v/>
        <stp/>
        <stp>##V3_BQLV12</stp>
        <stp>[MODL_CRM_US1.xlsx]Single Period!R147C17</stp>
        <stp>CRM US Equity</stp>
        <stp>BV_PER_WEIGHTED_DILUTED_SHARE</stp>
        <stp>FPR=2022Y</stp>
        <stp>FPT=A</stp>
        <stp>FA_ACT_EST_DATA=E, EST_SOURCE=NDH</stp>
        <stp>ACT_EST_MAPPING=PRECISE</stp>
        <stp>FS=MRC</stp>
        <stp>CURRENCY=USD</stp>
        <stp>XLFILL=b</stp>
        <tr r="Q147" s="2"/>
      </tp>
      <tp>
        <v>4926.105263157895</v>
        <stp/>
        <stp>##V3_BQLV12</stp>
        <stp>[MODL_CRM_US1.xlsx]Single Period!R60C5</stp>
        <stp>CRM US Equity</stp>
        <stp>IS_COMPARABLE_EBIT/1M</stp>
        <stp>FPR=2022Y</stp>
        <stp>FPT=A</stp>
        <stp>FA_ACT_EST_DATA=E</stp>
        <stp>ACT_EST_MAPPING=PRECISE</stp>
        <stp>FS=MRC</stp>
        <stp>CURRENCY=USD</stp>
        <stp>XLFILL=b</stp>
        <tr r="E60" s="2"/>
      </tp>
      <tp t="s">
        <v/>
        <stp/>
        <stp>##V3_BQLV12</stp>
        <stp>[MODL_CRM_US1.xlsx]Single Period!R116C47</stp>
        <stp>CRM US Equity</stp>
        <stp>PREPAID_EXPNSS_AND_OTHR/1M</stp>
        <stp>FPR=2022Y</stp>
        <stp>FPT=A</stp>
        <stp>FA_ACT_EST_DATA=E, EST_SOURCE=WFT</stp>
        <stp>ACT_EST_MAPPING=PRECISE</stp>
        <stp>FS=MRC</stp>
        <stp>CURRENCY=USD</stp>
        <stp>XLFILL=b</stp>
        <tr r="AU116" s="2"/>
      </tp>
      <tp t="s">
        <v/>
        <stp/>
        <stp>##V3_BQLV12</stp>
        <stp>[MODL_CRM_US1.xlsx]Single Period!R178C29</stp>
        <stp>CRM US Equity</stp>
        <stp>CB_CF_REPAYMENT_LT_DEBT/1M</stp>
        <stp>FPR=2022Y</stp>
        <stp>FPT=A</stp>
        <stp>FA_ACT_EST_DATA=E, EST_SOURCE=BNS</stp>
        <stp>ACT_EST_MAPPING=PRECISE</stp>
        <stp>FS=MRC</stp>
        <stp>CURRENCY=USD</stp>
        <stp>XLFILL=b</stp>
        <tr r="AC178" s="2"/>
      </tp>
      <tp t="s">
        <v/>
        <stp/>
        <stp>##V3_BQLV12</stp>
        <stp>[MODL_CRM_US1.xlsx]Single Period!R178C14</stp>
        <stp>CRM US Equity</stp>
        <stp>CB_CF_REPAYMENT_LT_DEBT/1M</stp>
        <stp>FPR=2022Y</stp>
        <stp>FPT=A</stp>
        <stp>FA_ACT_EST_DATA=E, EST_SOURCE=SNR</stp>
        <stp>ACT_EST_MAPPING=PRECISE</stp>
        <stp>FS=MRC</stp>
        <stp>CURRENCY=USD</stp>
        <stp>XLFILL=b</stp>
        <tr r="N178" s="2"/>
      </tp>
      <tp>
        <v>-1223</v>
        <stp/>
        <stp>##V3_BQLV12</stp>
        <stp>[MODL_CRM_US1.xlsx]Single Period!R163C15</stp>
        <stp>CRM US Equity</stp>
        <stp>CB_CF_OTHR_NONCSH_ITEMS/1M</stp>
        <stp>FPR=2022Y</stp>
        <stp>FPT=A</stp>
        <stp>FA_ACT_EST_DATA=E, EST_SOURCE=MSV</stp>
        <stp>ACT_EST_MAPPING=PRECISE</stp>
        <stp>FS=MRC</stp>
        <stp>CURRENCY=USD</stp>
        <stp>XLFILL=b</stp>
        <tr r="O163" s="2"/>
      </tp>
      <tp t="s">
        <v/>
        <stp/>
        <stp>##V3_BQLV12</stp>
        <stp>[MODL_CRM_US1.xlsx]Single Period!R163C41</stp>
        <stp>CRM US Equity</stp>
        <stp>CB_CF_OTHR_NONCSH_ITEMS/1M</stp>
        <stp>FPR=2022Y</stp>
        <stp>FPT=A</stp>
        <stp>FA_ACT_EST_DATA=E, EST_SOURCE=GSR</stp>
        <stp>ACT_EST_MAPPING=PRECISE</stp>
        <stp>FS=MRC</stp>
        <stp>CURRENCY=USD</stp>
        <stp>XLFILL=b</stp>
        <tr r="AO163" s="2"/>
      </tp>
      <tp t="s">
        <v/>
        <stp/>
        <stp>##V3_BQLV12</stp>
        <stp>[MODL_CRM_US1.xlsx]Single Period!R155C45</stp>
        <stp>CRM US Equity</stp>
        <stp>IS_COMP_NET_INCOME_GAAP/1M</stp>
        <stp>FPR=2022Y</stp>
        <stp>FPT=A</stp>
        <stp>FA_ACT_EST_DATA=E, EST_SOURCE=ARG</stp>
        <stp>ACT_EST_MAPPING=PRECISE</stp>
        <stp>FS=MRC</stp>
        <stp>CURRENCY=USD</stp>
        <stp>XLFILL=b</stp>
        <tr r="AS155" s="2"/>
      </tp>
      <tp t="s">
        <v/>
        <stp/>
        <stp>##V3_BQLV12</stp>
        <stp>[MODL_CRM_US1.xlsx]Single Period!R155C54</stp>
        <stp>CRM US Equity</stp>
        <stp>IS_COMP_NET_INCOME_GAAP/1M</stp>
        <stp>FPR=2022Y</stp>
        <stp>FPT=A</stp>
        <stp>FA_ACT_EST_DATA=E, EST_SOURCE=ARE</stp>
        <stp>ACT_EST_MAPPING=PRECISE</stp>
        <stp>FS=MRC</stp>
        <stp>CURRENCY=USD</stp>
        <stp>XLFILL=b</stp>
        <tr r="BB155" s="2"/>
      </tp>
      <tp t="s">
        <v/>
        <stp/>
        <stp>##V3_BQLV12</stp>
        <stp>[MODL_CRM_US1.xlsx]Single Period!R133C17</stp>
        <stp>CRM US Equity</stp>
        <stp>BS_LONG_TERM_BORROWINGS/1M</stp>
        <stp>FPR=2022Y</stp>
        <stp>FPT=A</stp>
        <stp>FA_ACT_EST_DATA=E, EST_SOURCE=NDH</stp>
        <stp>ACT_EST_MAPPING=PRECISE</stp>
        <stp>FS=MRC</stp>
        <stp>CURRENCY=USD</stp>
        <stp>XLFILL=b</stp>
        <tr r="Q133" s="2"/>
      </tp>
      <tp t="s">
        <v/>
        <stp/>
        <stp>##V3_BQLV12</stp>
        <stp>[MODL_CRM_US1.xlsx]Single Period!R163C38</stp>
        <stp>CRM US Equity</stp>
        <stp>CB_CF_OTHR_NONCSH_ITEMS/1M</stp>
        <stp>FPR=2022Y</stp>
        <stp>FPT=A</stp>
        <stp>FA_ACT_EST_DATA=E, EST_SOURCE=MSR</stp>
        <stp>ACT_EST_MAPPING=PRECISE</stp>
        <stp>FS=MRC</stp>
        <stp>CURRENCY=USD</stp>
        <stp>XLFILL=b</stp>
        <tr r="AL163" s="2"/>
      </tp>
      <tp t="s">
        <v/>
        <stp/>
        <stp>##V3_BQLV12</stp>
        <stp>[MODL_CRM_US1.xlsx]Single Period!R164C20</stp>
        <stp>CRM US Equity</stp>
        <stp>CHG_IN_ACCT_PYBL_AND_ACC_EXPNSS/1M</stp>
        <stp>FPR=2022Y</stp>
        <stp>FPT=A</stp>
        <stp>FA_ACT_EST_DATA=E, EST_SOURCE=JMP</stp>
        <stp>ACT_EST_MAPPING=PRECISE</stp>
        <stp>FS=MRC</stp>
        <stp>CURRENCY=USD</stp>
        <stp>XLFILL=b</stp>
        <tr r="T164" s="2"/>
      </tp>
      <tp t="s">
        <v/>
        <stp/>
        <stp>##V3_BQLV12</stp>
        <stp>[MODL_CRM_US1.xlsx]Single Period!R164C25</stp>
        <stp>CRM US Equity</stp>
        <stp>CHG_IN_ACCT_PYBL_AND_ACC_EXPNSS/1M</stp>
        <stp>FPR=2022Y</stp>
        <stp>FPT=A</stp>
        <stp>FA_ACT_EST_DATA=E, EST_SOURCE=WMS</stp>
        <stp>ACT_EST_MAPPING=PRECISE</stp>
        <stp>FS=MRC</stp>
        <stp>CURRENCY=USD</stp>
        <stp>XLFILL=b</stp>
        <tr r="Y164" s="2"/>
      </tp>
      <tp t="s">
        <v/>
        <stp/>
        <stp>##V3_BQLV12</stp>
        <stp>[MODL_CRM_US1.xlsx]Single Period!R171C40</stp>
        <stp>CRM US Equity</stp>
        <stp>CF_PURCHASE_OF_FIXED_PROD_ASSETS/1M</stp>
        <stp>FPR=2022Y</stp>
        <stp>FPT=A</stp>
        <stp>FA_ACT_EST_DATA=E, EST_SOURCE=ACC</stp>
        <stp>ACT_EST_MAPPING=PRECISE</stp>
        <stp>FS=MRC</stp>
        <stp>CURRENCY=USD</stp>
        <stp>XLFILL=b</stp>
        <tr r="AN171" s="2"/>
      </tp>
      <tp t="s">
        <v/>
        <stp/>
        <stp>##V3_BQLV12</stp>
        <stp>[MODL_CRM_US1.xlsx]Single Period!R191C39</stp>
        <stp>CRM US Equity</stp>
        <stp>CF_FREE_CASH_FLOW/1M</stp>
        <stp>FPR=2022Y</stp>
        <stp>FPT=A</stp>
        <stp>FA_ACT_EST_DATA=E, EST_SOURCE=KGI</stp>
        <stp>ACT_EST_MAPPING=PRECISE</stp>
        <stp>FS=MRC</stp>
        <stp>CURRENCY=USD</stp>
        <stp>XLFILL=b</stp>
        <tr r="AM191" s="2"/>
      </tp>
      <tp t="s">
        <v/>
        <stp/>
        <stp>##V3_BQLV12</stp>
        <stp>[MODL_CRM_US1.xlsx]Single Period!R191C49</stp>
        <stp>CRM US Equity</stp>
        <stp>CF_FREE_CASH_FLOW/1M</stp>
        <stp>FPR=2022Y</stp>
        <stp>FPT=A</stp>
        <stp>FA_ACT_EST_DATA=E, EST_SOURCE=SGE</stp>
        <stp>ACT_EST_MAPPING=PRECISE</stp>
        <stp>FS=MRC</stp>
        <stp>CURRENCY=USD</stp>
        <stp>XLFILL=b</stp>
        <tr r="AW191" s="2"/>
      </tp>
      <tp t="s">
        <v/>
        <stp/>
        <stp>##V3_BQLV12</stp>
        <stp>[MODL_CRM_US1.xlsx]Single Period!R141C45</stp>
        <stp>CRM US Equity</stp>
        <stp>BS_PURE_RETAINED_EARNINGS/1M</stp>
        <stp>FPR=2022Y</stp>
        <stp>FPT=A</stp>
        <stp>FA_ACT_EST_DATA=E, EST_SOURCE=ARG</stp>
        <stp>ACT_EST_MAPPING=PRECISE</stp>
        <stp>FS=MRC</stp>
        <stp>CURRENCY=USD</stp>
        <stp>XLFILL=b</stp>
        <tr r="AS141" s="2"/>
      </tp>
      <tp t="s">
        <v/>
        <stp/>
        <stp>##V3_BQLV12</stp>
        <stp>[MODL_CRM_US1.xlsx]Single Period!R177C43</stp>
        <stp>CRM US Equity</stp>
        <stp>CB_CF_OTHER_FINANCING_ACTIVITIES/1M</stp>
        <stp>FPR=2022Y</stp>
        <stp>FPT=A</stp>
        <stp>FA_ACT_EST_DATA=E, EST_SOURCE=DWI</stp>
        <stp>ACT_EST_MAPPING=PRECISE</stp>
        <stp>FS=MRC</stp>
        <stp>CURRENCY=USD</stp>
        <stp>XLFILL=b</stp>
        <tr r="AQ177" s="2"/>
      </tp>
      <tp>
        <v>-776.31174799999997</v>
        <stp/>
        <stp>##V3_BQLV12</stp>
        <stp>[MODL_CRM_US1.xlsx]Single Period!R171C26</stp>
        <stp>CRM US Equity</stp>
        <stp>CF_PURCHASE_OF_FIXED_PROD_ASSETS/1M</stp>
        <stp>FPR=2022Y</stp>
        <stp>FPT=A</stp>
        <stp>FA_ACT_EST_DATA=E, EST_SOURCE=KEY</stp>
        <stp>ACT_EST_MAPPING=PRECISE</stp>
        <stp>FS=MRC</stp>
        <stp>CURRENCY=USD</stp>
        <stp>XLFILL=b</stp>
        <tr r="Z171" s="2"/>
      </tp>
      <tp t="s">
        <v/>
        <stp/>
        <stp>##V3_BQLV12</stp>
        <stp>[MODL_CRM_US1.xlsx]Single Period!R30C35</stp>
        <stp>SEG0000269238 Segment</stp>
        <stp>IS_COGS_TO_FE_AND_PP_AND_G/1M</stp>
        <stp>FPR=2022Y</stp>
        <stp>FPT=A</stp>
        <stp>FA_ACT_EST_DATA=E, EST_SOURCE=ATL</stp>
        <stp>ACT_EST_MAPPING=PRECISE</stp>
        <stp>FS=MRC</stp>
        <stp>CURRENCY=USD</stp>
        <stp>XLFILL=b</stp>
        <tr r="AI30" s="2"/>
      </tp>
      <tp t="s">
        <v/>
        <stp/>
        <stp>##V3_BQLV12</stp>
        <stp>[MODL_CRM_US1.xlsx]Single Period!R177C44</stp>
        <stp>CRM US Equity</stp>
        <stp>CB_CF_OTHER_FINANCING_ACTIVITIES/1M</stp>
        <stp>FPR=2022Y</stp>
        <stp>FPT=A</stp>
        <stp>FA_ACT_EST_DATA=E, EST_SOURCE=RWB</stp>
        <stp>ACT_EST_MAPPING=PRECISE</stp>
        <stp>FS=MRC</stp>
        <stp>CURRENCY=USD</stp>
        <stp>XLFILL=b</stp>
        <tr r="AR177" s="2"/>
      </tp>
      <tp t="s">
        <v/>
        <stp/>
        <stp>##V3_BQLV12</stp>
        <stp>[MODL_CRM_US1.xlsx]Single Period!R164C12</stp>
        <stp>CRM US Equity</stp>
        <stp>CHG_IN_ACCT_PYBL_AND_ACC_EXPNSS/1M</stp>
        <stp>FPR=2022Y</stp>
        <stp>FPT=A</stp>
        <stp>FA_ACT_EST_DATA=E, EST_SOURCE=BMO</stp>
        <stp>ACT_EST_MAPPING=PRECISE</stp>
        <stp>FS=MRC</stp>
        <stp>CURRENCY=USD</stp>
        <stp>XLFILL=b</stp>
        <tr r="L164" s="2"/>
      </tp>
      <tp t="s">
        <v/>
        <stp/>
        <stp>##V3_BQLV12</stp>
        <stp>[MODL_CRM_US1.xlsx]Single Period!R30C46</stp>
        <stp>SEG0000269238 Segment</stp>
        <stp>IS_COGS_TO_FE_AND_PP_AND_G/1M</stp>
        <stp>FPR=2022Y</stp>
        <stp>FPT=A</stp>
        <stp>FA_ACT_EST_DATA=E, EST_SOURCE=CTI</stp>
        <stp>ACT_EST_MAPPING=PRECISE</stp>
        <stp>FS=MRC</stp>
        <stp>CURRENCY=USD</stp>
        <stp>XLFILL=b</stp>
        <tr r="AT30" s="2"/>
      </tp>
      <tp t="s">
        <v/>
        <stp/>
        <stp>##V3_BQLV12</stp>
        <stp>[MODL_CRM_US1.xlsx]Single Period!R92C52</stp>
        <stp>CRM US Equity</stp>
        <stp>PROF_MARGIN</stp>
        <stp>FPR=2022Y</stp>
        <stp>FPT=A</stp>
        <stp>FA_ACT_EST_DATA=E, EST_SOURCE=WFR</stp>
        <stp>ACT_EST_MAPPING=PRECISE</stp>
        <stp>FS=MRC</stp>
        <stp>CURRENCY=USD</stp>
        <stp>XLFILL=b</stp>
        <tr r="AZ92" s="2"/>
      </tp>
      <tp t="s">
        <v/>
        <stp/>
        <stp>##V3_BQLV12</stp>
        <stp>[MODL_CRM_US1.xlsx]Single Period!R184C31</stp>
        <stp>CRM US Equity</stp>
        <stp>CFO_TO_SALES</stp>
        <stp>FPR=2022Y</stp>
        <stp>FPT=A</stp>
        <stp>FA_ACT_EST_DATA=E, EST_SOURCE=RBC</stp>
        <stp>ACT_EST_MAPPING=PRECISE</stp>
        <stp>FS=MRC</stp>
        <stp>CURRENCY=USD</stp>
        <stp>XLFILL=b</stp>
        <tr r="AE184" s="2"/>
      </tp>
      <tp t="s">
        <v/>
        <stp/>
        <stp>##V3_BQLV12</stp>
        <stp>[MODL_CRM_US1.xlsx]Single Period!R184C40</stp>
        <stp>CRM US Equity</stp>
        <stp>CFO_TO_SALES</stp>
        <stp>FPR=2022Y</stp>
        <stp>FPT=A</stp>
        <stp>FA_ACT_EST_DATA=E, EST_SOURCE=ACC</stp>
        <stp>ACT_EST_MAPPING=PRECISE</stp>
        <stp>FS=MRC</stp>
        <stp>CURRENCY=USD</stp>
        <stp>XLFILL=b</stp>
        <tr r="AN184" s="2"/>
      </tp>
      <tp>
        <v>4.75</v>
        <stp/>
        <stp>##V3_BQLV12</stp>
        <stp>[MODL_CRM_US1.xlsx]Single Period!R74C39</stp>
        <stp>CRM US Equity</stp>
        <stp>IS_COMP_EPS_EXCL_STOCK_COMP</stp>
        <stp>FPR=2022Y</stp>
        <stp>FPT=A</stp>
        <stp>FA_ACT_EST_DATA=E, EST_SOURCE=KGI</stp>
        <stp>ACT_EST_MAPPING=PRECISE</stp>
        <stp>FS=MRC</stp>
        <stp>CURRENCY=USD</stp>
        <stp>XLFILL=b</stp>
        <tr r="AM74" s="2"/>
      </tp>
      <tp t="s">
        <v/>
        <stp/>
        <stp>##V3_BQLV12</stp>
        <stp>[MODL_CRM_US1.xlsx]Single Period!R184C11</stp>
        <stp>CRM US Equity</stp>
        <stp>CFO_TO_SALES</stp>
        <stp>FPR=2022Y</stp>
        <stp>FPT=A</stp>
        <stp>FA_ACT_EST_DATA=E, EST_SOURCE=WBL</stp>
        <stp>ACT_EST_MAPPING=PRECISE</stp>
        <stp>FS=MRC</stp>
        <stp>CURRENCY=USD</stp>
        <stp>XLFILL=b</stp>
        <tr r="K184" s="2"/>
      </tp>
      <tp t="s">
        <v/>
        <stp/>
        <stp>##V3_BQLV12</stp>
        <stp>[MODL_CRM_US1.xlsx]Single Period!R184C17</stp>
        <stp>CRM US Equity</stp>
        <stp>CFO_TO_SALES</stp>
        <stp>FPR=2022Y</stp>
        <stp>FPT=A</stp>
        <stp>FA_ACT_EST_DATA=E, EST_SOURCE=NDH</stp>
        <stp>ACT_EST_MAPPING=PRECISE</stp>
        <stp>FS=MRC</stp>
        <stp>CURRENCY=USD</stp>
        <stp>XLFILL=b</stp>
        <tr r="Q184" s="2"/>
      </tp>
      <tp t="s">
        <v/>
        <stp/>
        <stp>##V3_BQLV12</stp>
        <stp>[MODL_CRM_US1.xlsx]Single Period!R92C16</stp>
        <stp>CRM US Equity</stp>
        <stp>PROF_MARGIN</stp>
        <stp>FPR=2022Y</stp>
        <stp>FPT=A</stp>
        <stp>FA_ACT_EST_DATA=E, EST_SOURCE=DBG</stp>
        <stp>ACT_EST_MAPPING=PRECISE</stp>
        <stp>FS=MRC</stp>
        <stp>CURRENCY=USD</stp>
        <stp>XLFILL=b</stp>
        <tr r="P92" s="2"/>
      </tp>
      <tp t="s">
        <v/>
        <stp/>
        <stp>##V3_BQLV12</stp>
        <stp>[MODL_CRM_US1.xlsx]Single Period!R92C49</stp>
        <stp>CRM US Equity</stp>
        <stp>PROF_MARGIN</stp>
        <stp>FPR=2022Y</stp>
        <stp>FPT=A</stp>
        <stp>FA_ACT_EST_DATA=E, EST_SOURCE=SGE</stp>
        <stp>ACT_EST_MAPPING=PRECISE</stp>
        <stp>FS=MRC</stp>
        <stp>CURRENCY=USD</stp>
        <stp>XLFILL=b</stp>
        <tr r="AW92" s="2"/>
      </tp>
      <tp t="s">
        <v/>
        <stp/>
        <stp>##V3_BQLV12</stp>
        <stp>[MODL_CRM_US1.xlsx]Single Period!R92C11</stp>
        <stp>CRM US Equity</stp>
        <stp>PROF_MARGIN</stp>
        <stp>FPR=2022Y</stp>
        <stp>FPT=A</stp>
        <stp>FA_ACT_EST_DATA=E, EST_SOURCE=WBL</stp>
        <stp>ACT_EST_MAPPING=PRECISE</stp>
        <stp>FS=MRC</stp>
        <stp>CURRENCY=USD</stp>
        <stp>XLFILL=b</stp>
        <tr r="K92" s="2"/>
      </tp>
      <tp>
        <v>21.09897200517651</v>
        <stp/>
        <stp>##V3_BQLV12</stp>
        <stp>[MODL_CRM_US1.xlsx]Single Period!R184C26</stp>
        <stp>CRM US Equity</stp>
        <stp>CFO_TO_SALES</stp>
        <stp>FPR=2022Y</stp>
        <stp>FPT=A</stp>
        <stp>FA_ACT_EST_DATA=E, EST_SOURCE=KEY</stp>
        <stp>ACT_EST_MAPPING=PRECISE</stp>
        <stp>FS=MRC</stp>
        <stp>CURRENCY=USD</stp>
        <stp>XLFILL=b</stp>
        <tr r="Z184" s="2"/>
      </tp>
      <tp>
        <v>18.646212320684061</v>
        <stp/>
        <stp>##V3_BQLV12</stp>
        <stp>[MODL_CRM_US1.xlsx]Single Period!R61C17</stp>
        <stp>CRM US Equity</stp>
        <stp>ADJ_OPERATING_MARGIN</stp>
        <stp>FPR=2022Y</stp>
        <stp>FPT=A</stp>
        <stp>FA_ACT_EST_DATA=E, EST_SOURCE=NDH</stp>
        <stp>ACT_EST_MAPPING=PRECISE</stp>
        <stp>FS=MRC</stp>
        <stp>CURRENCY=USD</stp>
        <stp>XLFILL=b</stp>
        <tr r="Q61" s="2"/>
      </tp>
      <tp t="s">
        <v/>
        <stp/>
        <stp>##V3_BQLV12</stp>
        <stp>[MODL_CRM_US1.xlsx]Single Period!R61C11</stp>
        <stp>CRM US Equity</stp>
        <stp>ADJ_OPERATING_MARGIN</stp>
        <stp>FPR=2022Y</stp>
        <stp>FPT=A</stp>
        <stp>FA_ACT_EST_DATA=E, EST_SOURCE=WBL</stp>
        <stp>ACT_EST_MAPPING=PRECISE</stp>
        <stp>FS=MRC</stp>
        <stp>CURRENCY=USD</stp>
        <stp>XLFILL=b</stp>
        <tr r="K61" s="2"/>
      </tp>
      <tp t="s">
        <v/>
        <stp/>
        <stp>##V3_BQLV12</stp>
        <stp>[MODL_CRM_US1.xlsx]Single Period!R115C56</stp>
        <stp>CRM US Equity</stp>
        <stp>CB_BS_OTHER_CURRENT_ASSETS/1M</stp>
        <stp>FPR=2022Y</stp>
        <stp>FPT=A</stp>
        <stp>FA_ACT_EST_DATA=E, EST_SOURCE=DIR</stp>
        <stp>ACT_EST_MAPPING=PRECISE</stp>
        <stp>FS=MRC</stp>
        <stp>CURRENCY=USD</stp>
        <stp>XLFILL=b</stp>
        <tr r="BD115" s="2"/>
      </tp>
      <tp>
        <v>5579.0395739940013</v>
        <stp/>
        <stp>##V3_BQLV12</stp>
        <stp>[MODL_CRM_US1.xlsx]Single Period!R129C26</stp>
        <stp>CRM US Equity</stp>
        <stp>CB_BS_ACCT_PYBL_ACC_EXPNSS/1M</stp>
        <stp>FPR=2022Y</stp>
        <stp>FPT=A</stp>
        <stp>FA_ACT_EST_DATA=E, EST_SOURCE=KEY</stp>
        <stp>ACT_EST_MAPPING=PRECISE</stp>
        <stp>FS=MRC</stp>
        <stp>CURRENCY=USD</stp>
        <stp>XLFILL=b</stp>
        <tr r="Z129" s="2"/>
      </tp>
      <tp t="s">
        <v/>
        <stp/>
        <stp>##V3_BQLV12</stp>
        <stp>[MODL_CRM_US1.xlsx]Single Period!R80C37</stp>
        <stp>CRM US Equity</stp>
        <stp>GROSS_MARGIN</stp>
        <stp>FPR=2022Y</stp>
        <stp>FPT=A</stp>
        <stp>FA_ACT_EST_DATA=E, EST_SOURCE=EVR</stp>
        <stp>ACT_EST_MAPPING=PRECISE</stp>
        <stp>FS=MRC</stp>
        <stp>CURRENCY=USD</stp>
        <stp>XLFILL=b</stp>
        <tr r="AK80" s="2"/>
      </tp>
      <tp t="s">
        <v/>
        <stp/>
        <stp>##V3_BQLV12</stp>
        <stp>[MODL_CRM_US1.xlsx]Single Period!R139C52</stp>
        <stp>CRM US Equity</stp>
        <stp>BS_ADD_PAID_IN_CAP/1M</stp>
        <stp>FPR=2022Y</stp>
        <stp>FPT=A</stp>
        <stp>FA_ACT_EST_DATA=E, EST_SOURCE=WFR</stp>
        <stp>ACT_EST_MAPPING=PRECISE</stp>
        <stp>FS=MRC</stp>
        <stp>CURRENCY=USD</stp>
        <stp>XLFILL=b</stp>
        <tr r="AZ139" s="2"/>
      </tp>
      <tp t="s">
        <v/>
        <stp/>
        <stp>##V3_BQLV12</stp>
        <stp>[MODL_CRM_US1.xlsx]Single Period!R61C40</stp>
        <stp>CRM US Equity</stp>
        <stp>ADJ_OPERATING_MARGIN</stp>
        <stp>FPR=2022Y</stp>
        <stp>FPT=A</stp>
        <stp>FA_ACT_EST_DATA=E, EST_SOURCE=ACC</stp>
        <stp>ACT_EST_MAPPING=PRECISE</stp>
        <stp>FS=MRC</stp>
        <stp>CURRENCY=USD</stp>
        <stp>XLFILL=b</stp>
        <tr r="AN61" s="2"/>
      </tp>
      <tp t="s">
        <v/>
        <stp/>
        <stp>##V3_BQLV12</stp>
        <stp>[MODL_CRM_US1.xlsx]Single Period!R61C31</stp>
        <stp>CRM US Equity</stp>
        <stp>ADJ_OPERATING_MARGIN</stp>
        <stp>FPR=2022Y</stp>
        <stp>FPT=A</stp>
        <stp>FA_ACT_EST_DATA=E, EST_SOURCE=RBC</stp>
        <stp>ACT_EST_MAPPING=PRECISE</stp>
        <stp>FS=MRC</stp>
        <stp>CURRENCY=USD</stp>
        <stp>XLFILL=b</stp>
        <tr r="AE61" s="2"/>
      </tp>
      <tp t="s">
        <v/>
        <stp/>
        <stp>##V3_BQLV12</stp>
        <stp>[MODL_CRM_US1.xlsx]Single Period!R113C56</stp>
        <stp>CRM US Equity</stp>
        <stp>BS_MKT_SEC_OTHER_ST_INVEST/1M</stp>
        <stp>FPR=2022Y</stp>
        <stp>FPT=A</stp>
        <stp>FA_ACT_EST_DATA=E, EST_SOURCE=DIR</stp>
        <stp>ACT_EST_MAPPING=PRECISE</stp>
        <stp>FS=MRC</stp>
        <stp>CURRENCY=USD</stp>
        <stp>XLFILL=b</stp>
        <tr r="BD113" s="2"/>
      </tp>
      <tp t="s">
        <v/>
        <stp/>
        <stp>##V3_BQLV12</stp>
        <stp>[MODL_CRM_US1.xlsx]Single Period!R20C36</stp>
        <stp>CRM US Equity</stp>
        <stp>ADJ_OPERATING_MARGIN</stp>
        <stp>FPR=2022Y</stp>
        <stp>FPT=A</stp>
        <stp>FA_ACT_EST_DATA=E, EST_SOURCE=MAC</stp>
        <stp>ACT_EST_MAPPING=PRECISE</stp>
        <stp>FS=MRC</stp>
        <stp>CURRENCY=USD</stp>
        <stp>XLFILL=b</stp>
        <tr r="AJ20" s="2"/>
      </tp>
      <tp t="s">
        <v/>
        <stp/>
        <stp>##V3_BQLV12</stp>
        <stp>[MODL_CRM_US1.xlsx]Single Period!R139C47</stp>
        <stp>CRM US Equity</stp>
        <stp>BS_ADD_PAID_IN_CAP/1M</stp>
        <stp>FPR=2022Y</stp>
        <stp>FPT=A</stp>
        <stp>FA_ACT_EST_DATA=E, EST_SOURCE=WFT</stp>
        <stp>ACT_EST_MAPPING=PRECISE</stp>
        <stp>FS=MRC</stp>
        <stp>CURRENCY=USD</stp>
        <stp>XLFILL=b</stp>
        <tr r="AU139" s="2"/>
      </tp>
      <tp>
        <v>18.56302150942296</v>
        <stp/>
        <stp>##V3_BQLV12</stp>
        <stp>[MODL_CRM_US1.xlsx]Single Period!R61C26</stp>
        <stp>CRM US Equity</stp>
        <stp>ADJ_OPERATING_MARGIN</stp>
        <stp>FPR=2022Y</stp>
        <stp>FPT=A</stp>
        <stp>FA_ACT_EST_DATA=E, EST_SOURCE=KEY</stp>
        <stp>ACT_EST_MAPPING=PRECISE</stp>
        <stp>FS=MRC</stp>
        <stp>CURRENCY=USD</stp>
        <stp>XLFILL=b</stp>
        <tr r="Z61" s="2"/>
      </tp>
      <tp t="s">
        <v/>
        <stp/>
        <stp>##V3_BQLV12</stp>
        <stp>[MODL_CRM_US1.xlsx]Single Period!R103C50</stp>
        <stp>CRM US Equity</stp>
        <stp>IS_SBC_ATT_TO_GENL_AND_ADMIN_PRETX/1M</stp>
        <stp>FPR=2022Y</stp>
        <stp>FPT=A</stp>
        <stp>FA_ACT_EST_DATA=E, EST_SOURCE=MZS</stp>
        <stp>ACT_EST_MAPPING=PRECISE</stp>
        <stp>FS=MRC</stp>
        <stp>CURRENCY=USD</stp>
        <stp>XLFILL=b</stp>
        <tr r="AX103" s="2"/>
      </tp>
      <tp t="s">
        <v/>
        <stp/>
        <stp>##V3_BQLV12</stp>
        <stp>[MODL_CRM_US1.xlsx]Single Period!R113C53</stp>
        <stp>CRM US Equity</stp>
        <stp>BS_MKT_SEC_OTHER_ST_INVEST/1M</stp>
        <stp>FPR=2022Y</stp>
        <stp>FPT=A</stp>
        <stp>FA_ACT_EST_DATA=E, EST_SOURCE=NIK</stp>
        <stp>ACT_EST_MAPPING=PRECISE</stp>
        <stp>FS=MRC</stp>
        <stp>CURRENCY=USD</stp>
        <stp>XLFILL=b</stp>
        <tr r="BA113" s="2"/>
      </tp>
      <tp t="s">
        <v/>
        <stp/>
        <stp>##V3_BQLV12</stp>
        <stp>[MODL_CRM_US1.xlsx]Single Period!R80C35</stp>
        <stp>CRM US Equity</stp>
        <stp>GROSS_MARGIN</stp>
        <stp>FPR=2022Y</stp>
        <stp>FPT=A</stp>
        <stp>FA_ACT_EST_DATA=E, EST_SOURCE=ATL</stp>
        <stp>ACT_EST_MAPPING=PRECISE</stp>
        <stp>FS=MRC</stp>
        <stp>CURRENCY=USD</stp>
        <stp>XLFILL=b</stp>
        <tr r="AI80" s="2"/>
      </tp>
      <tp t="s">
        <v/>
        <stp/>
        <stp>##V3_BQLV12</stp>
        <stp>[MODL_CRM_US1.xlsx]Single Period!R129C34</stp>
        <stp>CRM US Equity</stp>
        <stp>CB_BS_ACCT_PYBL_ACC_EXPNSS/1M</stp>
        <stp>FPR=2022Y</stp>
        <stp>FPT=A</stp>
        <stp>FA_ACT_EST_DATA=E, EST_SOURCE=JEF</stp>
        <stp>ACT_EST_MAPPING=PRECISE</stp>
        <stp>FS=MRC</stp>
        <stp>CURRENCY=USD</stp>
        <stp>XLFILL=b</stp>
        <tr r="AH129" s="2"/>
      </tp>
      <tp t="s">
        <v/>
        <stp/>
        <stp>##V3_BQLV12</stp>
        <stp>[MODL_CRM_US1.xlsx]Single Period!R129C55</stp>
        <stp>CRM US Equity</stp>
        <stp>CB_BS_ACCT_PYBL_ACC_EXPNSS/1M</stp>
        <stp>FPR=2022Y</stp>
        <stp>FPT=A</stp>
        <stp>FA_ACT_EST_DATA=E, EST_SOURCE=RED</stp>
        <stp>ACT_EST_MAPPING=PRECISE</stp>
        <stp>FS=MRC</stp>
        <stp>CURRENCY=USD</stp>
        <stp>XLFILL=b</stp>
        <tr r="BC129" s="2"/>
      </tp>
      <tp t="s">
        <v/>
        <stp/>
        <stp>##V3_BQLV12</stp>
        <stp>[MODL_CRM_US1.xlsx]Single Period!R20C29</stp>
        <stp>CRM US Equity</stp>
        <stp>ADJ_OPERATING_MARGIN</stp>
        <stp>FPR=2022Y</stp>
        <stp>FPT=A</stp>
        <stp>FA_ACT_EST_DATA=E, EST_SOURCE=BNS</stp>
        <stp>ACT_EST_MAPPING=PRECISE</stp>
        <stp>FS=MRC</stp>
        <stp>CURRENCY=USD</stp>
        <stp>XLFILL=b</stp>
        <tr r="AC20" s="2"/>
      </tp>
      <tp t="s">
        <v/>
        <stp/>
        <stp>##V3_BQLV12</stp>
        <stp>[MODL_CRM_US1.xlsx]Single Period!R118C48</stp>
        <stp>CRM US Equity</stp>
        <stp>CB_BS_PP_AND_E_NET/1M</stp>
        <stp>FPR=2022Y</stp>
        <stp>FPT=A</stp>
        <stp>FA_ACT_EST_DATA=E, EST_SOURCE=PJE</stp>
        <stp>ACT_EST_MAPPING=PRECISE</stp>
        <stp>FS=MRC</stp>
        <stp>CURRENCY=USD</stp>
        <stp>XLFILL=b</stp>
        <tr r="AV118" s="2"/>
      </tp>
      <tp t="s">
        <v/>
        <stp/>
        <stp>##V3_BQLV12</stp>
        <stp>[MODL_CRM_US1.xlsx]Single Period!R115C53</stp>
        <stp>CRM US Equity</stp>
        <stp>CB_BS_OTHER_CURRENT_ASSETS/1M</stp>
        <stp>FPR=2022Y</stp>
        <stp>FPT=A</stp>
        <stp>FA_ACT_EST_DATA=E, EST_SOURCE=NIK</stp>
        <stp>ACT_EST_MAPPING=PRECISE</stp>
        <stp>FS=MRC</stp>
        <stp>CURRENCY=USD</stp>
        <stp>XLFILL=b</stp>
        <tr r="BA115" s="2"/>
      </tp>
      <tp t="s">
        <v/>
        <stp/>
        <stp>##V3_BQLV12</stp>
        <stp>[MODL_CRM_US1.xlsx]Single Period!R80C42</stp>
        <stp>CRM US Equity</stp>
        <stp>GROSS_MARGIN</stp>
        <stp>FPR=2022Y</stp>
        <stp>FPT=A</stp>
        <stp>FA_ACT_EST_DATA=E, EST_SOURCE=PSG</stp>
        <stp>ACT_EST_MAPPING=PRECISE</stp>
        <stp>FS=MRC</stp>
        <stp>CURRENCY=USD</stp>
        <stp>XLFILL=b</stp>
        <tr r="AP80" s="2"/>
      </tp>
      <tp t="s">
        <v/>
        <stp/>
        <stp>##V3_BQLV12</stp>
        <stp>[MODL_CRM_US1.xlsx]Single Period!R115C10</stp>
        <stp>CRM US Equity</stp>
        <stp>CB_BS_OTHER_CURRENT_ASSETS/1M</stp>
        <stp>FPR=2022Y</stp>
        <stp>FPT=A</stp>
        <stp>FA_ACT_EST_DATA=E, EST_SOURCE=CMPY</stp>
        <stp>ACT_EST_MAPPING=PRECISE</stp>
        <stp>FS=MRC</stp>
        <stp>CURRENCY=USD</stp>
        <stp>XLFILL=b</stp>
        <tr r="J115" s="2"/>
      </tp>
      <tp t="s">
        <v/>
        <stp/>
        <stp>##V3_BQLV12</stp>
        <stp>[MODL_CRM_US1.xlsx]Single Period!R118C21</stp>
        <stp>CRM US Equity</stp>
        <stp>CB_BS_PP_AND_E_NET/1M</stp>
        <stp>FPR=2022Y</stp>
        <stp>FPT=A</stp>
        <stp>FA_ACT_EST_DATA=E, EST_SOURCE=RJA</stp>
        <stp>ACT_EST_MAPPING=PRECISE</stp>
        <stp>FS=MRC</stp>
        <stp>CURRENCY=USD</stp>
        <stp>XLFILL=b</stp>
        <tr r="U118" s="2"/>
      </tp>
      <tp t="s">
        <v/>
        <stp/>
        <stp>##V3_BQLV12</stp>
        <stp>[MODL_CRM_US1.xlsx]Single Period!R147C49</stp>
        <stp>CRM US Equity</stp>
        <stp>BV_PER_WEIGHTED_DILUTED_SHARE</stp>
        <stp>FPR=2022Y</stp>
        <stp>FPT=A</stp>
        <stp>FA_ACT_EST_DATA=E, EST_SOURCE=SGE</stp>
        <stp>ACT_EST_MAPPING=PRECISE</stp>
        <stp>FS=MRC</stp>
        <stp>CURRENCY=USD</stp>
        <stp>XLFILL=b</stp>
        <tr r="AW147" s="2"/>
      </tp>
      <tp t="s">
        <v/>
        <stp/>
        <stp>##V3_BQLV12</stp>
        <stp>[MODL_CRM_US1.xlsx]Single Period!R163C23</stp>
        <stp>CRM US Equity</stp>
        <stp>CB_CF_OTHR_NONCSH_ITEMS/1M</stp>
        <stp>FPR=2022Y</stp>
        <stp>FPT=A</stp>
        <stp>FA_ACT_EST_DATA=E, EST_SOURCE=JPM</stp>
        <stp>ACT_EST_MAPPING=PRECISE</stp>
        <stp>FS=MRC</stp>
        <stp>CURRENCY=USD</stp>
        <stp>XLFILL=b</stp>
        <tr r="W163" s="2"/>
      </tp>
      <tp>
        <v>1080.785174648003</v>
        <stp/>
        <stp>##V3_BQLV12</stp>
        <stp>[MODL_CRM_US1.xlsx]Single Period!R116C26</stp>
        <stp>CRM US Equity</stp>
        <stp>PREPAID_EXPNSS_AND_OTHR/1M</stp>
        <stp>FPR=2022Y</stp>
        <stp>FPT=A</stp>
        <stp>FA_ACT_EST_DATA=E, EST_SOURCE=KEY</stp>
        <stp>ACT_EST_MAPPING=PRECISE</stp>
        <stp>FS=MRC</stp>
        <stp>CURRENCY=USD</stp>
        <stp>XLFILL=b</stp>
        <tr r="Z116" s="2"/>
      </tp>
      <tp t="s">
        <v/>
        <stp/>
        <stp>##V3_BQLV12</stp>
        <stp>[MODL_CRM_US1.xlsx]Single Period!R13C38</stp>
        <stp>CRM US Equity</stp>
        <stp>CURRENT_FUTURE_REV_UNDER_CONTRACT/1M</stp>
        <stp>FPR=2022Y</stp>
        <stp>FPT=A</stp>
        <stp>FA_ACT_EST_DATA=E, EST_SOURCE=MSR</stp>
        <stp>ACT_EST_MAPPING=PRECISE</stp>
        <stp>FS=MRC</stp>
        <stp>CURRENCY=USD</stp>
        <stp>XLFILL=b</stp>
        <tr r="AL13" s="2"/>
      </tp>
      <tp t="s">
        <v/>
        <stp/>
        <stp>##V3_BQLV12</stp>
        <stp>[MODL_CRM_US1.xlsx]Single Period!R147C39</stp>
        <stp>CRM US Equity</stp>
        <stp>BV_PER_WEIGHTED_DILUTED_SHARE</stp>
        <stp>FPR=2022Y</stp>
        <stp>FPT=A</stp>
        <stp>FA_ACT_EST_DATA=E, EST_SOURCE=KGI</stp>
        <stp>ACT_EST_MAPPING=PRECISE</stp>
        <stp>FS=MRC</stp>
        <stp>CURRENCY=USD</stp>
        <stp>XLFILL=b</stp>
        <tr r="AM147" s="2"/>
      </tp>
      <tp>
        <v>18.14709744870672</v>
        <stp/>
        <stp>##V3_BQLV12</stp>
        <stp>[MODL_CRM_US1.xlsx]Single Period!R192C26</stp>
        <stp>CRM US Equity</stp>
        <stp>FREE_CASH_FLOW_MARGIN</stp>
        <stp>FPR=2022Y</stp>
        <stp>FPT=A</stp>
        <stp>FA_ACT_EST_DATA=E, EST_SOURCE=KEY</stp>
        <stp>ACT_EST_MAPPING=PRECISE</stp>
        <stp>FS=MRC</stp>
        <stp>CURRENCY=USD</stp>
        <stp>XLFILL=b</stp>
        <tr r="Z192" s="2"/>
      </tp>
      <tp t="s">
        <v/>
        <stp/>
        <stp>##V3_BQLV12</stp>
        <stp>[MODL_CRM_US1.xlsx]Single Period!R158C53</stp>
        <stp>CRM US Equity</stp>
        <stp>IS_SBC_NON_GAAP/1M</stp>
        <stp>FPR=2022Y</stp>
        <stp>FPT=A</stp>
        <stp>FA_ACT_EST_DATA=E, EST_SOURCE=NIK</stp>
        <stp>ACT_EST_MAPPING=PRECISE</stp>
        <stp>FS=MRC</stp>
        <stp>CURRENCY=USD</stp>
        <stp>XLFILL=b</stp>
        <tr r="BA158" s="2"/>
      </tp>
      <tp t="s">
        <v/>
        <stp/>
        <stp>##V3_BQLV12</stp>
        <stp>[MODL_CRM_US1.xlsx]Single Period!R178C12</stp>
        <stp>CRM US Equity</stp>
        <stp>CB_CF_REPAYMENT_LT_DEBT/1M</stp>
        <stp>FPR=2022Y</stp>
        <stp>FPT=A</stp>
        <stp>FA_ACT_EST_DATA=E, EST_SOURCE=BMO</stp>
        <stp>ACT_EST_MAPPING=PRECISE</stp>
        <stp>FS=MRC</stp>
        <stp>CURRENCY=USD</stp>
        <stp>XLFILL=b</stp>
        <tr r="L178" s="2"/>
      </tp>
      <tp t="s">
        <v/>
        <stp/>
        <stp>##V3_BQLV12</stp>
        <stp>[MODL_CRM_US1.xlsx]Single Period!R178C25</stp>
        <stp>CRM US Equity</stp>
        <stp>CB_CF_REPAYMENT_LT_DEBT/1M</stp>
        <stp>FPR=2022Y</stp>
        <stp>FPT=A</stp>
        <stp>FA_ACT_EST_DATA=E, EST_SOURCE=WMS</stp>
        <stp>ACT_EST_MAPPING=PRECISE</stp>
        <stp>FS=MRC</stp>
        <stp>CURRENCY=USD</stp>
        <stp>XLFILL=b</stp>
        <tr r="Y178" s="2"/>
      </tp>
      <tp t="s">
        <v/>
        <stp/>
        <stp>##V3_BQLV12</stp>
        <stp>[MODL_CRM_US1.xlsx]Single Period!R192C55</stp>
        <stp>CRM US Equity</stp>
        <stp>FREE_CASH_FLOW_MARGIN</stp>
        <stp>FPR=2022Y</stp>
        <stp>FPT=A</stp>
        <stp>FA_ACT_EST_DATA=E, EST_SOURCE=RED</stp>
        <stp>ACT_EST_MAPPING=PRECISE</stp>
        <stp>FS=MRC</stp>
        <stp>CURRENCY=USD</stp>
        <stp>XLFILL=b</stp>
        <tr r="BC192" s="2"/>
      </tp>
      <tp t="s">
        <v/>
        <stp/>
        <stp>##V3_BQLV12</stp>
        <stp>[MODL_CRM_US1.xlsx]Single Period!R178C20</stp>
        <stp>CRM US Equity</stp>
        <stp>CB_CF_REPAYMENT_LT_DEBT/1M</stp>
        <stp>FPR=2022Y</stp>
        <stp>FPT=A</stp>
        <stp>FA_ACT_EST_DATA=E, EST_SOURCE=JMP</stp>
        <stp>ACT_EST_MAPPING=PRECISE</stp>
        <stp>FS=MRC</stp>
        <stp>CURRENCY=USD</stp>
        <stp>XLFILL=b</stp>
        <tr r="T178" s="2"/>
      </tp>
      <tp t="s">
        <v/>
        <stp/>
        <stp>##V3_BQLV12</stp>
        <stp>[MODL_CRM_US1.xlsx]Single Period!R192C34</stp>
        <stp>CRM US Equity</stp>
        <stp>FREE_CASH_FLOW_MARGIN</stp>
        <stp>FPR=2022Y</stp>
        <stp>FPT=A</stp>
        <stp>FA_ACT_EST_DATA=E, EST_SOURCE=JEF</stp>
        <stp>ACT_EST_MAPPING=PRECISE</stp>
        <stp>FS=MRC</stp>
        <stp>CURRENCY=USD</stp>
        <stp>XLFILL=b</stp>
        <tr r="AH192" s="2"/>
      </tp>
      <tp t="s">
        <v/>
        <stp/>
        <stp>##V3_BQLV12</stp>
        <stp>[MODL_CRM_US1.xlsx]Single Period!R158C56</stp>
        <stp>CRM US Equity</stp>
        <stp>IS_SBC_NON_GAAP/1M</stp>
        <stp>FPR=2022Y</stp>
        <stp>FPT=A</stp>
        <stp>FA_ACT_EST_DATA=E, EST_SOURCE=DIR</stp>
        <stp>ACT_EST_MAPPING=PRECISE</stp>
        <stp>FS=MRC</stp>
        <stp>CURRENCY=USD</stp>
        <stp>XLFILL=b</stp>
        <tr r="BD158" s="2"/>
      </tp>
      <tp t="s">
        <v/>
        <stp/>
        <stp>##V3_BQLV12</stp>
        <stp>[MODL_CRM_US1.xlsx]Single Period!R163C22</stp>
        <stp>CRM US Equity</stp>
        <stp>CB_CF_OTHR_NONCSH_ITEMS/1M</stp>
        <stp>FPR=2022Y</stp>
        <stp>FPT=A</stp>
        <stp>FA_ACT_EST_DATA=E, EST_SOURCE=OPY</stp>
        <stp>ACT_EST_MAPPING=PRECISE</stp>
        <stp>FS=MRC</stp>
        <stp>CURRENCY=USD</stp>
        <stp>XLFILL=b</stp>
        <tr r="V163" s="2"/>
      </tp>
      <tp t="s">
        <v/>
        <stp/>
        <stp>##V3_BQLV12</stp>
        <stp>[MODL_CRM_US1.xlsx]Single Period!R133C49</stp>
        <stp>CRM US Equity</stp>
        <stp>BS_LONG_TERM_BORROWINGS/1M</stp>
        <stp>FPR=2022Y</stp>
        <stp>FPT=A</stp>
        <stp>FA_ACT_EST_DATA=E, EST_SOURCE=SGE</stp>
        <stp>ACT_EST_MAPPING=PRECISE</stp>
        <stp>FS=MRC</stp>
        <stp>CURRENCY=USD</stp>
        <stp>XLFILL=b</stp>
        <tr r="AW133" s="2"/>
      </tp>
      <tp t="s">
        <v/>
        <stp/>
        <stp>##V3_BQLV12</stp>
        <stp>[MODL_CRM_US1.xlsx]Single Period!R116C34</stp>
        <stp>CRM US Equity</stp>
        <stp>PREPAID_EXPNSS_AND_OTHR/1M</stp>
        <stp>FPR=2022Y</stp>
        <stp>FPT=A</stp>
        <stp>FA_ACT_EST_DATA=E, EST_SOURCE=JEF</stp>
        <stp>ACT_EST_MAPPING=PRECISE</stp>
        <stp>FS=MRC</stp>
        <stp>CURRENCY=USD</stp>
        <stp>XLFILL=b</stp>
        <tr r="AH116" s="2"/>
      </tp>
      <tp t="s">
        <v/>
        <stp/>
        <stp>##V3_BQLV12</stp>
        <stp>[MODL_CRM_US1.xlsx]Single Period!R133C39</stp>
        <stp>CRM US Equity</stp>
        <stp>BS_LONG_TERM_BORROWINGS/1M</stp>
        <stp>FPR=2022Y</stp>
        <stp>FPT=A</stp>
        <stp>FA_ACT_EST_DATA=E, EST_SOURCE=KGI</stp>
        <stp>ACT_EST_MAPPING=PRECISE</stp>
        <stp>FS=MRC</stp>
        <stp>CURRENCY=USD</stp>
        <stp>XLFILL=b</stp>
        <tr r="AM133" s="2"/>
      </tp>
      <tp t="s">
        <v/>
        <stp/>
        <stp>##V3_BQLV12</stp>
        <stp>[MODL_CRM_US1.xlsx]Single Period!R116C55</stp>
        <stp>CRM US Equity</stp>
        <stp>PREPAID_EXPNSS_AND_OTHR/1M</stp>
        <stp>FPR=2022Y</stp>
        <stp>FPT=A</stp>
        <stp>FA_ACT_EST_DATA=E, EST_SOURCE=RED</stp>
        <stp>ACT_EST_MAPPING=PRECISE</stp>
        <stp>FS=MRC</stp>
        <stp>CURRENCY=USD</stp>
        <stp>XLFILL=b</stp>
        <tr r="BC116" s="2"/>
      </tp>
      <tp t="s">
        <v/>
        <stp/>
        <stp>##V3_BQLV12</stp>
        <stp>[MODL_CRM_US1.xlsx]Single Period!R164C14</stp>
        <stp>CRM US Equity</stp>
        <stp>CHG_IN_ACCT_PYBL_AND_ACC_EXPNSS/1M</stp>
        <stp>FPR=2022Y</stp>
        <stp>FPT=A</stp>
        <stp>FA_ACT_EST_DATA=E, EST_SOURCE=SNR</stp>
        <stp>ACT_EST_MAPPING=PRECISE</stp>
        <stp>FS=MRC</stp>
        <stp>CURRENCY=USD</stp>
        <stp>XLFILL=b</stp>
        <tr r="N164" s="2"/>
      </tp>
      <tp t="s">
        <v/>
        <stp/>
        <stp>##V3_BQLV12</stp>
        <stp>[MODL_CRM_US1.xlsx]Single Period!R164C29</stp>
        <stp>CRM US Equity</stp>
        <stp>CHG_IN_ACCT_PYBL_AND_ACC_EXPNSS/1M</stp>
        <stp>FPR=2022Y</stp>
        <stp>FPT=A</stp>
        <stp>FA_ACT_EST_DATA=E, EST_SOURCE=BNS</stp>
        <stp>ACT_EST_MAPPING=PRECISE</stp>
        <stp>FS=MRC</stp>
        <stp>CURRENCY=USD</stp>
        <stp>XLFILL=b</stp>
        <tr r="AC164" s="2"/>
      </tp>
      <tp t="s">
        <v/>
        <stp/>
        <stp>##V3_BQLV12</stp>
        <stp>[MODL_CRM_US1.xlsx]Single Period!R141C43</stp>
        <stp>CRM US Equity</stp>
        <stp>BS_PURE_RETAINED_EARNINGS/1M</stp>
        <stp>FPR=2022Y</stp>
        <stp>FPT=A</stp>
        <stp>FA_ACT_EST_DATA=E, EST_SOURCE=DWI</stp>
        <stp>ACT_EST_MAPPING=PRECISE</stp>
        <stp>FS=MRC</stp>
        <stp>CURRENCY=USD</stp>
        <stp>XLFILL=b</stp>
        <tr r="AQ141" s="2"/>
      </tp>
      <tp t="s">
        <v/>
        <stp/>
        <stp>##V3_BQLV12</stp>
        <stp>[MODL_CRM_US1.xlsx]Single Period!R171C39</stp>
        <stp>CRM US Equity</stp>
        <stp>CF_PURCHASE_OF_FIXED_PROD_ASSETS/1M</stp>
        <stp>FPR=2022Y</stp>
        <stp>FPT=A</stp>
        <stp>FA_ACT_EST_DATA=E, EST_SOURCE=KGI</stp>
        <stp>ACT_EST_MAPPING=PRECISE</stp>
        <stp>FS=MRC</stp>
        <stp>CURRENCY=USD</stp>
        <stp>XLFILL=b</stp>
        <tr r="AM171" s="2"/>
      </tp>
      <tp t="s">
        <v/>
        <stp/>
        <stp>##V3_BQLV12</stp>
        <stp>[MODL_CRM_US1.xlsx]Single Period!R177C38</stp>
        <stp>CRM US Equity</stp>
        <stp>CB_CF_OTHER_FINANCING_ACTIVITIES/1M</stp>
        <stp>FPR=2022Y</stp>
        <stp>FPT=A</stp>
        <stp>FA_ACT_EST_DATA=E, EST_SOURCE=MSR</stp>
        <stp>ACT_EST_MAPPING=PRECISE</stp>
        <stp>FS=MRC</stp>
        <stp>CURRENCY=USD</stp>
        <stp>XLFILL=b</stp>
        <tr r="AL177" s="2"/>
      </tp>
      <tp t="s">
        <v/>
        <stp/>
        <stp>##V3_BQLV12</stp>
        <stp>[MODL_CRM_US1.xlsx]Single Period!R176C56</stp>
        <stp>CRM US Equity</stp>
        <stp>CF_INCR_CAP_STOCK/1M</stp>
        <stp>FPR=2022Y</stp>
        <stp>FPT=A</stp>
        <stp>FA_ACT_EST_DATA=E, EST_SOURCE=DIR</stp>
        <stp>ACT_EST_MAPPING=PRECISE</stp>
        <stp>FS=MRC</stp>
        <stp>CURRENCY=USD</stp>
        <stp>XLFILL=b</stp>
        <tr r="BD176" s="2"/>
      </tp>
      <tp t="s">
        <v/>
        <stp/>
        <stp>##V3_BQLV12</stp>
        <stp>[MODL_CRM_US1.xlsx]Single Period!R177C46</stp>
        <stp>CRM US Equity</stp>
        <stp>CB_CF_OTHER_FINANCING_ACTIVITIES/1M</stp>
        <stp>FPR=2022Y</stp>
        <stp>FPT=A</stp>
        <stp>FA_ACT_EST_DATA=E, EST_SOURCE=CTI</stp>
        <stp>ACT_EST_MAPPING=PRECISE</stp>
        <stp>FS=MRC</stp>
        <stp>CURRENCY=USD</stp>
        <stp>XLFILL=b</stp>
        <tr r="AT177" s="2"/>
      </tp>
      <tp t="s">
        <v/>
        <stp/>
        <stp>##V3_BQLV12</stp>
        <stp>[MODL_CRM_US1.xlsx]Single Period!R176C12</stp>
        <stp>CRM US Equity</stp>
        <stp>CF_INCR_CAP_STOCK/1M</stp>
        <stp>FPR=2022Y</stp>
        <stp>FPT=A</stp>
        <stp>FA_ACT_EST_DATA=E, EST_SOURCE=BMO</stp>
        <stp>ACT_EST_MAPPING=PRECISE</stp>
        <stp>FS=MRC</stp>
        <stp>CURRENCY=USD</stp>
        <stp>XLFILL=b</stp>
        <tr r="L176" s="2"/>
      </tp>
      <tp t="s">
        <v/>
        <stp/>
        <stp>##V3_BQLV12</stp>
        <stp>[MODL_CRM_US1.xlsx]Single Period!R30C44</stp>
        <stp>SEG0000269238 Segment</stp>
        <stp>IS_COGS_TO_FE_AND_PP_AND_G/1M</stp>
        <stp>FPR=2022Y</stp>
        <stp>FPT=A</stp>
        <stp>FA_ACT_EST_DATA=E, EST_SOURCE=RWB</stp>
        <stp>ACT_EST_MAPPING=PRECISE</stp>
        <stp>FS=MRC</stp>
        <stp>CURRENCY=USD</stp>
        <stp>XLFILL=b</stp>
        <tr r="AR30" s="2"/>
      </tp>
      <tp>
        <v>25.333333333333339</v>
        <stp/>
        <stp>##V3_BQLV12</stp>
        <stp>[MODL_CRM_US1.xlsx]Single Period!R45C5</stp>
        <stp>SEG0000269240 Segment</stp>
        <stp>REVENUE_GROWTH_CC_1_YR</stp>
        <stp>FPR=2022Y</stp>
        <stp>FPT=A</stp>
        <stp>FA_ACT_EST_DATA=E</stp>
        <stp>ACT_EST_MAPPING=PRECISE</stp>
        <stp>FS=MRC</stp>
        <stp>CURRENCY=USD</stp>
        <stp>XLFILL=b</stp>
        <tr r="E45" s="2"/>
      </tp>
      <tp t="s">
        <v/>
        <stp/>
        <stp>##V3_BQLV12</stp>
        <stp>[MODL_CRM_US1.xlsx]Single Period!R30C28</stp>
        <stp>SEG0000269238 Segment</stp>
        <stp>IS_COGS_TO_FE_AND_PP_AND_G/1M</stp>
        <stp>FPR=2022Y</stp>
        <stp>FPT=A</stp>
        <stp>FA_ACT_EST_DATA=E, EST_SOURCE=CWN</stp>
        <stp>ACT_EST_MAPPING=PRECISE</stp>
        <stp>FS=MRC</stp>
        <stp>CURRENCY=USD</stp>
        <stp>XLFILL=b</stp>
        <tr r="AB30" s="2"/>
      </tp>
      <tp t="s">
        <v/>
        <stp/>
        <stp>##V3_BQLV12</stp>
        <stp>[MODL_CRM_US1.xlsx]Single Period!R157C48</stp>
        <stp>CRM US Equity</stp>
        <stp>CF_AMORTIZATN_OF_DEFRRD_COMPNSTN/1M</stp>
        <stp>FPR=2022Y</stp>
        <stp>FPT=A</stp>
        <stp>FA_ACT_EST_DATA=E, EST_SOURCE=PJE</stp>
        <stp>ACT_EST_MAPPING=PRECISE</stp>
        <stp>FS=MRC</stp>
        <stp>CURRENCY=USD</stp>
        <stp>XLFILL=b</stp>
        <tr r="AV157" s="2"/>
      </tp>
      <tp t="s">
        <v/>
        <stp/>
        <stp>##V3_BQLV12</stp>
        <stp>[MODL_CRM_US1.xlsx]Single Period!R34C54</stp>
        <stp>SEG0000269227 Segment</stp>
        <stp>IS_COGS_TO_FE_AND_PP_AND_G/1M</stp>
        <stp>FPR=2022Y</stp>
        <stp>FPT=A</stp>
        <stp>FA_ACT_EST_DATA=E, EST_SOURCE=ARE</stp>
        <stp>ACT_EST_MAPPING=PRECISE</stp>
        <stp>FS=MRC</stp>
        <stp>CURRENCY=USD</stp>
        <stp>XLFILL=b</stp>
        <tr r="BB34" s="2"/>
      </tp>
      <tp t="s">
        <v/>
        <stp/>
        <stp>##V3_BQLV12</stp>
        <stp>[MODL_CRM_US1.xlsx]Single Period!R30C43</stp>
        <stp>SEG0000269238 Segment</stp>
        <stp>IS_COGS_TO_FE_AND_PP_AND_G/1M</stp>
        <stp>FPR=2022Y</stp>
        <stp>FPT=A</stp>
        <stp>FA_ACT_EST_DATA=E, EST_SOURCE=DWI</stp>
        <stp>ACT_EST_MAPPING=PRECISE</stp>
        <stp>FS=MRC</stp>
        <stp>CURRENCY=USD</stp>
        <stp>XLFILL=b</stp>
        <tr r="AQ30" s="2"/>
      </tp>
      <tp t="s">
        <v/>
        <stp/>
        <stp>##V3_BQLV12</stp>
        <stp>[MODL_CRM_US1.xlsx]Single Period!R34C45</stp>
        <stp>SEG0000269227 Segment</stp>
        <stp>IS_COGS_TO_FE_AND_PP_AND_G/1M</stp>
        <stp>FPR=2022Y</stp>
        <stp>FPT=A</stp>
        <stp>FA_ACT_EST_DATA=E, EST_SOURCE=ARG</stp>
        <stp>ACT_EST_MAPPING=PRECISE</stp>
        <stp>FS=MRC</stp>
        <stp>CURRENCY=USD</stp>
        <stp>XLFILL=b</stp>
        <tr r="AS34" s="2"/>
      </tp>
      <tp>
        <v>4895.0249999999996</v>
        <stp/>
        <stp>##V3_BQLV12</stp>
        <stp>[MODL_CRM_US1.xlsx]Single Period!R191C20</stp>
        <stp>CRM US Equity</stp>
        <stp>CF_FREE_CASH_FLOW/1M</stp>
        <stp>FPR=2022Y</stp>
        <stp>FPT=A</stp>
        <stp>FA_ACT_EST_DATA=E, EST_SOURCE=JMP</stp>
        <stp>ACT_EST_MAPPING=PRECISE</stp>
        <stp>FS=MRC</stp>
        <stp>CURRENCY=USD</stp>
        <stp>XLFILL=b</stp>
        <tr r="T191" s="2"/>
      </tp>
      <tp t="s">
        <v/>
        <stp/>
        <stp>##V3_BQLV12</stp>
        <stp>[MODL_CRM_US1.xlsx]Single Period!R184C55</stp>
        <stp>CRM US Equity</stp>
        <stp>CFO_TO_SALES</stp>
        <stp>FPR=2022Y</stp>
        <stp>FPT=A</stp>
        <stp>FA_ACT_EST_DATA=E, EST_SOURCE=RED</stp>
        <stp>ACT_EST_MAPPING=PRECISE</stp>
        <stp>FS=MRC</stp>
        <stp>CURRENCY=USD</stp>
        <stp>XLFILL=b</stp>
        <tr r="BC184" s="2"/>
      </tp>
      <tp t="s">
        <v/>
        <stp/>
        <stp>##V3_BQLV12</stp>
        <stp>[MODL_CRM_US1.xlsx]Single Period!R87C10</stp>
        <stp>CRM US Equity</stp>
        <stp>IS_EBIT_AS_REPORTED/1M</stp>
        <stp>FPR=2022Y</stp>
        <stp>FPT=A</stp>
        <stp>FA_ACT_EST_DATA=E, EST_SOURCE=CMPY</stp>
        <stp>ACT_EST_MAPPING=PRECISE</stp>
        <stp>FS=MRC</stp>
        <stp>CURRENCY=USD</stp>
        <stp>XLFILL=b</stp>
        <tr r="J87" s="2"/>
      </tp>
      <tp>
        <v>4.67</v>
        <stp/>
        <stp>##V3_BQLV12</stp>
        <stp>[MODL_CRM_US1.xlsx]Single Period!R74C40</stp>
        <stp>CRM US Equity</stp>
        <stp>IS_COMP_EPS_EXCL_STOCK_COMP</stp>
        <stp>FPR=2022Y</stp>
        <stp>FPT=A</stp>
        <stp>FA_ACT_EST_DATA=E, EST_SOURCE=ACC</stp>
        <stp>ACT_EST_MAPPING=PRECISE</stp>
        <stp>FS=MRC</stp>
        <stp>CURRENCY=USD</stp>
        <stp>XLFILL=b</stp>
        <tr r="AN74" s="2"/>
      </tp>
      <tp>
        <v>21.563512274544689</v>
        <stp/>
        <stp>##V3_BQLV12</stp>
        <stp>[MODL_CRM_US1.xlsx]Single Period!R184C13</stp>
        <stp>CRM US Equity</stp>
        <stp>CFO_TO_SALES</stp>
        <stp>FPR=2022Y</stp>
        <stp>FPT=A</stp>
        <stp>FA_ACT_EST_DATA=E, EST_SOURCE=BCA</stp>
        <stp>ACT_EST_MAPPING=PRECISE</stp>
        <stp>FS=MRC</stp>
        <stp>CURRENCY=USD</stp>
        <stp>XLFILL=b</stp>
        <tr r="M184" s="2"/>
      </tp>
      <tp t="s">
        <v/>
        <stp/>
        <stp>##V3_BQLV12</stp>
        <stp>[MODL_CRM_US1.xlsx]Single Period!R92C18</stp>
        <stp>CRM US Equity</stp>
        <stp>PROF_MARGIN</stp>
        <stp>FPR=2022Y</stp>
        <stp>FPT=A</stp>
        <stp>FA_ACT_EST_DATA=E, EST_SOURCE=CAN</stp>
        <stp>ACT_EST_MAPPING=PRECISE</stp>
        <stp>FS=MRC</stp>
        <stp>CURRENCY=USD</stp>
        <stp>XLFILL=b</stp>
        <tr r="R92" s="2"/>
      </tp>
      <tp>
        <v>3.0886888677840831</v>
        <stp/>
        <stp>##V3_BQLV12</stp>
        <stp>[MODL_CRM_US1.xlsx]Single Period!R92C24</stp>
        <stp>CRM US Equity</stp>
        <stp>PROF_MARGIN</stp>
        <stp>FPR=2022Y</stp>
        <stp>FPT=A</stp>
        <stp>FA_ACT_EST_DATA=E, EST_SOURCE=FBC</stp>
        <stp>ACT_EST_MAPPING=PRECISE</stp>
        <stp>FS=MRC</stp>
        <stp>CURRENCY=USD</stp>
        <stp>XLFILL=b</stp>
        <tr r="X92" s="2"/>
      </tp>
      <tp t="s">
        <v/>
        <stp/>
        <stp>##V3_BQLV12</stp>
        <stp>[MODL_CRM_US1.xlsx]Single Period!R92C55</stp>
        <stp>CRM US Equity</stp>
        <stp>PROF_MARGIN</stp>
        <stp>FPR=2022Y</stp>
        <stp>FPT=A</stp>
        <stp>FA_ACT_EST_DATA=E, EST_SOURCE=RED</stp>
        <stp>ACT_EST_MAPPING=PRECISE</stp>
        <stp>FS=MRC</stp>
        <stp>CURRENCY=USD</stp>
        <stp>XLFILL=b</stp>
        <tr r="BC92" s="2"/>
      </tp>
      <tp t="s">
        <v/>
        <stp/>
        <stp>##V3_BQLV12</stp>
        <stp>[MODL_CRM_US1.xlsx]Single Period!R184C32</stp>
        <stp>CRM US Equity</stp>
        <stp>CFO_TO_SALES</stp>
        <stp>FPR=2022Y</stp>
        <stp>FPT=A</stp>
        <stp>FA_ACT_EST_DATA=E, EST_SOURCE=UBS</stp>
        <stp>ACT_EST_MAPPING=PRECISE</stp>
        <stp>FS=MRC</stp>
        <stp>CURRENCY=USD</stp>
        <stp>XLFILL=b</stp>
        <tr r="AF184" s="2"/>
      </tp>
      <tp>
        <v>4.67</v>
        <stp/>
        <stp>##V3_BQLV12</stp>
        <stp>[MODL_CRM_US1.xlsx]Single Period!R74C26</stp>
        <stp>CRM US Equity</stp>
        <stp>IS_COMP_EPS_EXCL_STOCK_COMP</stp>
        <stp>FPR=2022Y</stp>
        <stp>FPT=A</stp>
        <stp>FA_ACT_EST_DATA=E, EST_SOURCE=KEY</stp>
        <stp>ACT_EST_MAPPING=PRECISE</stp>
        <stp>FS=MRC</stp>
        <stp>CURRENCY=USD</stp>
        <stp>XLFILL=b</stp>
        <tr r="Z74" s="2"/>
      </tp>
      <tp>
        <v>10.67822379078785</v>
        <stp/>
        <stp>##V3_BQLV12</stp>
        <stp>[MODL_CRM_US1.xlsx]Single Period!R159C5</stp>
        <stp>CRM US Equity</stp>
        <stp>SBC_NON_GAAP_TO_SALES</stp>
        <stp>FPR=2022Y</stp>
        <stp>FPT=A</stp>
        <stp>FA_ACT_EST_DATA=E</stp>
        <stp>ACT_EST_MAPPING=PRECISE</stp>
        <stp>FS=MRC</stp>
        <stp>CURRENCY=USD</stp>
        <stp>XLFILL=b</stp>
        <tr r="E159" s="2"/>
      </tp>
      <tp t="s">
        <v/>
        <stp/>
        <stp>##V3_BQLV12</stp>
        <stp>[MODL_CRM_US1.xlsx]Single Period!R139C26</stp>
        <stp>CRM US Equity</stp>
        <stp>BS_ADD_PAID_IN_CAP/1M</stp>
        <stp>FPR=2022Y</stp>
        <stp>FPT=A</stp>
        <stp>FA_ACT_EST_DATA=E, EST_SOURCE=KEY</stp>
        <stp>ACT_EST_MAPPING=PRECISE</stp>
        <stp>FS=MRC</stp>
        <stp>CURRENCY=USD</stp>
        <stp>XLFILL=b</stp>
        <tr r="Z139" s="2"/>
      </tp>
      <tp t="s">
        <v/>
        <stp/>
        <stp>##V3_BQLV12</stp>
        <stp>[MODL_CRM_US1.xlsx]Single Period!R80C22</stp>
        <stp>CRM US Equity</stp>
        <stp>GROSS_MARGIN</stp>
        <stp>FPR=2022Y</stp>
        <stp>FPT=A</stp>
        <stp>FA_ACT_EST_DATA=E, EST_SOURCE=OPY</stp>
        <stp>ACT_EST_MAPPING=PRECISE</stp>
        <stp>FS=MRC</stp>
        <stp>CURRENCY=USD</stp>
        <stp>XLFILL=b</stp>
        <tr r="V80" s="2"/>
      </tp>
      <tp t="s">
        <v/>
        <stp/>
        <stp>##V3_BQLV12</stp>
        <stp>[MODL_CRM_US1.xlsx]Single Period!R20C27</stp>
        <stp>CRM US Equity</stp>
        <stp>ADJ_OPERATING_MARGIN</stp>
        <stp>FPR=2022Y</stp>
        <stp>FPT=A</stp>
        <stp>FA_ACT_EST_DATA=E, EST_SOURCE=LCM</stp>
        <stp>ACT_EST_MAPPING=PRECISE</stp>
        <stp>FS=MRC</stp>
        <stp>CURRENCY=USD</stp>
        <stp>XLFILL=b</stp>
        <tr r="AA20" s="2"/>
      </tp>
      <tp>
        <v>18.64281282128038</v>
        <stp/>
        <stp>##V3_BQLV12</stp>
        <stp>[MODL_CRM_US1.xlsx]Single Period!R61C13</stp>
        <stp>CRM US Equity</stp>
        <stp>ADJ_OPERATING_MARGIN</stp>
        <stp>FPR=2022Y</stp>
        <stp>FPT=A</stp>
        <stp>FA_ACT_EST_DATA=E, EST_SOURCE=BCA</stp>
        <stp>ACT_EST_MAPPING=PRECISE</stp>
        <stp>FS=MRC</stp>
        <stp>CURRENCY=USD</stp>
        <stp>XLFILL=b</stp>
        <tr r="M61" s="2"/>
      </tp>
      <tp t="s">
        <v/>
        <stp/>
        <stp>##V3_BQLV12</stp>
        <stp>[MODL_CRM_US1.xlsx]Single Period!R80C41</stp>
        <stp>CRM US Equity</stp>
        <stp>GROSS_MARGIN</stp>
        <stp>FPR=2022Y</stp>
        <stp>FPT=A</stp>
        <stp>FA_ACT_EST_DATA=E, EST_SOURCE=GSR</stp>
        <stp>ACT_EST_MAPPING=PRECISE</stp>
        <stp>FS=MRC</stp>
        <stp>CURRENCY=USD</stp>
        <stp>XLFILL=b</stp>
        <tr r="AO80" s="2"/>
      </tp>
      <tp t="s">
        <v/>
        <stp/>
        <stp>##V3_BQLV12</stp>
        <stp>[MODL_CRM_US1.xlsx]Single Period!R129C47</stp>
        <stp>CRM US Equity</stp>
        <stp>CB_BS_ACCT_PYBL_ACC_EXPNSS/1M</stp>
        <stp>FPR=2022Y</stp>
        <stp>FPT=A</stp>
        <stp>FA_ACT_EST_DATA=E, EST_SOURCE=WFT</stp>
        <stp>ACT_EST_MAPPING=PRECISE</stp>
        <stp>FS=MRC</stp>
        <stp>CURRENCY=USD</stp>
        <stp>XLFILL=b</stp>
        <tr r="AU129" s="2"/>
      </tp>
      <tp t="s">
        <v/>
        <stp/>
        <stp>##V3_BQLV12</stp>
        <stp>[MODL_CRM_US1.xlsx]Single Period!R129C52</stp>
        <stp>CRM US Equity</stp>
        <stp>CB_BS_ACCT_PYBL_ACC_EXPNSS/1M</stp>
        <stp>FPR=2022Y</stp>
        <stp>FPT=A</stp>
        <stp>FA_ACT_EST_DATA=E, EST_SOURCE=WFR</stp>
        <stp>ACT_EST_MAPPING=PRECISE</stp>
        <stp>FS=MRC</stp>
        <stp>CURRENCY=USD</stp>
        <stp>XLFILL=b</stp>
        <tr r="AZ129" s="2"/>
      </tp>
      <tp t="s">
        <v/>
        <stp/>
        <stp>##V3_BQLV12</stp>
        <stp>[MODL_CRM_US1.xlsx]Single Period!R118C56</stp>
        <stp>CRM US Equity</stp>
        <stp>CB_BS_PP_AND_E_NET/1M</stp>
        <stp>FPR=2022Y</stp>
        <stp>FPT=A</stp>
        <stp>FA_ACT_EST_DATA=E, EST_SOURCE=DIR</stp>
        <stp>ACT_EST_MAPPING=PRECISE</stp>
        <stp>FS=MRC</stp>
        <stp>CURRENCY=USD</stp>
        <stp>XLFILL=b</stp>
        <tr r="BD118" s="2"/>
      </tp>
      <tp t="s">
        <v/>
        <stp/>
        <stp>##V3_BQLV12</stp>
        <stp>[MODL_CRM_US1.xlsx]Single Period!R61C55</stp>
        <stp>CRM US Equity</stp>
        <stp>ADJ_OPERATING_MARGIN</stp>
        <stp>FPR=2022Y</stp>
        <stp>FPT=A</stp>
        <stp>FA_ACT_EST_DATA=E, EST_SOURCE=RED</stp>
        <stp>ACT_EST_MAPPING=PRECISE</stp>
        <stp>FS=MRC</stp>
        <stp>CURRENCY=USD</stp>
        <stp>XLFILL=b</stp>
        <tr r="BC61" s="2"/>
      </tp>
      <tp t="s">
        <v/>
        <stp/>
        <stp>##V3_BQLV12</stp>
        <stp>[MODL_CRM_US1.xlsx]Single Period!R20C16</stp>
        <stp>CRM US Equity</stp>
        <stp>ADJ_OPERATING_MARGIN</stp>
        <stp>FPR=2022Y</stp>
        <stp>FPT=A</stp>
        <stp>FA_ACT_EST_DATA=E, EST_SOURCE=DBG</stp>
        <stp>ACT_EST_MAPPING=PRECISE</stp>
        <stp>FS=MRC</stp>
        <stp>CURRENCY=USD</stp>
        <stp>XLFILL=b</stp>
        <tr r="P20" s="2"/>
      </tp>
      <tp t="s">
        <v/>
        <stp/>
        <stp>##V3_BQLV12</stp>
        <stp>[MODL_CRM_US1.xlsx]Single Period!R115C48</stp>
        <stp>CRM US Equity</stp>
        <stp>CB_BS_OTHER_CURRENT_ASSETS/1M</stp>
        <stp>FPR=2022Y</stp>
        <stp>FPT=A</stp>
        <stp>FA_ACT_EST_DATA=E, EST_SOURCE=PJE</stp>
        <stp>ACT_EST_MAPPING=PRECISE</stp>
        <stp>FS=MRC</stp>
        <stp>CURRENCY=USD</stp>
        <stp>XLFILL=b</stp>
        <tr r="AV115" s="2"/>
      </tp>
      <tp t="s">
        <v/>
        <stp/>
        <stp>##V3_BQLV12</stp>
        <stp>[MODL_CRM_US1.xlsx]Single Period!R80C46</stp>
        <stp>CRM US Equity</stp>
        <stp>GROSS_MARGIN</stp>
        <stp>FPR=2022Y</stp>
        <stp>FPT=A</stp>
        <stp>FA_ACT_EST_DATA=E, EST_SOURCE=CTI</stp>
        <stp>ACT_EST_MAPPING=PRECISE</stp>
        <stp>FS=MRC</stp>
        <stp>CURRENCY=USD</stp>
        <stp>XLFILL=b</stp>
        <tr r="AT80" s="2"/>
      </tp>
      <tp t="s">
        <v/>
        <stp/>
        <stp>##V3_BQLV12</stp>
        <stp>[MODL_CRM_US1.xlsx]Single Period!R118C53</stp>
        <stp>CRM US Equity</stp>
        <stp>CB_BS_PP_AND_E_NET/1M</stp>
        <stp>FPR=2022Y</stp>
        <stp>FPT=A</stp>
        <stp>FA_ACT_EST_DATA=E, EST_SOURCE=NIK</stp>
        <stp>ACT_EST_MAPPING=PRECISE</stp>
        <stp>FS=MRC</stp>
        <stp>CURRENCY=USD</stp>
        <stp>XLFILL=b</stp>
        <tr r="BA118" s="2"/>
      </tp>
      <tp t="s">
        <v/>
        <stp/>
        <stp>##V3_BQLV12</stp>
        <stp>[MODL_CRM_US1.xlsx]Single Period!R115C21</stp>
        <stp>CRM US Equity</stp>
        <stp>CB_BS_OTHER_CURRENT_ASSETS/1M</stp>
        <stp>FPR=2022Y</stp>
        <stp>FPT=A</stp>
        <stp>FA_ACT_EST_DATA=E, EST_SOURCE=RJA</stp>
        <stp>ACT_EST_MAPPING=PRECISE</stp>
        <stp>FS=MRC</stp>
        <stp>CURRENCY=USD</stp>
        <stp>XLFILL=b</stp>
        <tr r="U115" s="2"/>
      </tp>
      <tp t="s">
        <v/>
        <stp/>
        <stp>##V3_BQLV12</stp>
        <stp>[MODL_CRM_US1.xlsx]Single Period!R113C21</stp>
        <stp>CRM US Equity</stp>
        <stp>BS_MKT_SEC_OTHER_ST_INVEST/1M</stp>
        <stp>FPR=2022Y</stp>
        <stp>FPT=A</stp>
        <stp>FA_ACT_EST_DATA=E, EST_SOURCE=RJA</stp>
        <stp>ACT_EST_MAPPING=PRECISE</stp>
        <stp>FS=MRC</stp>
        <stp>CURRENCY=USD</stp>
        <stp>XLFILL=b</stp>
        <tr r="U113" s="2"/>
      </tp>
      <tp t="s">
        <v/>
        <stp/>
        <stp>##V3_BQLV12</stp>
        <stp>[MODL_CRM_US1.xlsx]Single Period!R61C32</stp>
        <stp>CRM US Equity</stp>
        <stp>ADJ_OPERATING_MARGIN</stp>
        <stp>FPR=2022Y</stp>
        <stp>FPT=A</stp>
        <stp>FA_ACT_EST_DATA=E, EST_SOURCE=UBS</stp>
        <stp>ACT_EST_MAPPING=PRECISE</stp>
        <stp>FS=MRC</stp>
        <stp>CURRENCY=USD</stp>
        <stp>XLFILL=b</stp>
        <tr r="AF61" s="2"/>
      </tp>
      <tp t="s">
        <v/>
        <stp/>
        <stp>##V3_BQLV12</stp>
        <stp>[MODL_CRM_US1.xlsx]Single Period!R20C52</stp>
        <stp>CRM US Equity</stp>
        <stp>ADJ_OPERATING_MARGIN</stp>
        <stp>FPR=2022Y</stp>
        <stp>FPT=A</stp>
        <stp>FA_ACT_EST_DATA=E, EST_SOURCE=WFR</stp>
        <stp>ACT_EST_MAPPING=PRECISE</stp>
        <stp>FS=MRC</stp>
        <stp>CURRENCY=USD</stp>
        <stp>XLFILL=b</stp>
        <tr r="AZ20" s="2"/>
      </tp>
      <tp t="s">
        <v/>
        <stp/>
        <stp>##V3_BQLV12</stp>
        <stp>[MODL_CRM_US1.xlsx]Single Period!R113C48</stp>
        <stp>CRM US Equity</stp>
        <stp>BS_MKT_SEC_OTHER_ST_INVEST/1M</stp>
        <stp>FPR=2022Y</stp>
        <stp>FPT=A</stp>
        <stp>FA_ACT_EST_DATA=E, EST_SOURCE=PJE</stp>
        <stp>ACT_EST_MAPPING=PRECISE</stp>
        <stp>FS=MRC</stp>
        <stp>CURRENCY=USD</stp>
        <stp>XLFILL=b</stp>
        <tr r="AV113" s="2"/>
      </tp>
      <tp t="s">
        <v/>
        <stp/>
        <stp>##V3_BQLV12</stp>
        <stp>[MODL_CRM_US1.xlsx]Single Period!R139C34</stp>
        <stp>CRM US Equity</stp>
        <stp>BS_ADD_PAID_IN_CAP/1M</stp>
        <stp>FPR=2022Y</stp>
        <stp>FPT=A</stp>
        <stp>FA_ACT_EST_DATA=E, EST_SOURCE=JEF</stp>
        <stp>ACT_EST_MAPPING=PRECISE</stp>
        <stp>FS=MRC</stp>
        <stp>CURRENCY=USD</stp>
        <stp>XLFILL=b</stp>
        <tr r="AH139" s="2"/>
      </tp>
      <tp t="s">
        <v/>
        <stp/>
        <stp>##V3_BQLV12</stp>
        <stp>[MODL_CRM_US1.xlsx]Single Period!R139C55</stp>
        <stp>CRM US Equity</stp>
        <stp>BS_ADD_PAID_IN_CAP/1M</stp>
        <stp>FPR=2022Y</stp>
        <stp>FPT=A</stp>
        <stp>FA_ACT_EST_DATA=E, EST_SOURCE=RED</stp>
        <stp>ACT_EST_MAPPING=PRECISE</stp>
        <stp>FS=MRC</stp>
        <stp>CURRENCY=USD</stp>
        <stp>XLFILL=b</stp>
        <tr r="BC139" s="2"/>
      </tp>
      <tp t="s">
        <v/>
        <stp/>
        <stp>##V3_BQLV12</stp>
        <stp>[MODL_CRM_US1.xlsx]Single Period!R53C29</stp>
        <stp>CRM US Equity</stp>
        <stp>REVENUE_GROWTH_CC_1_YR</stp>
        <stp>FPR=2022Y</stp>
        <stp>FPT=A</stp>
        <stp>FA_ACT_EST_DATA=E, EST_SOURCE=BNS</stp>
        <stp>ACT_EST_MAPPING=PRECISE</stp>
        <stp>FS=MRC</stp>
        <stp>CURRENCY=USD</stp>
        <stp>XLFILL=b</stp>
        <tr r="AC53" s="2"/>
      </tp>
      <tp>
        <v>1236</v>
        <stp/>
        <stp>##V3_BQLV12</stp>
        <stp>[MODL_CRM_US1.xlsx]Single Period!R155C22</stp>
        <stp>CRM US Equity</stp>
        <stp>IS_COMP_NET_INCOME_GAAP/1M</stp>
        <stp>FPR=2022Y</stp>
        <stp>FPT=A</stp>
        <stp>FA_ACT_EST_DATA=E, EST_SOURCE=OPY</stp>
        <stp>ACT_EST_MAPPING=PRECISE</stp>
        <stp>FS=MRC</stp>
        <stp>CURRENCY=USD</stp>
        <stp>XLFILL=b</stp>
        <tr r="V155" s="2"/>
      </tp>
      <tp t="s">
        <v/>
        <stp/>
        <stp>##V3_BQLV12</stp>
        <stp>[MODL_CRM_US1.xlsx]Single Period!R53C14</stp>
        <stp>CRM US Equity</stp>
        <stp>REVENUE_GROWTH_CC_1_YR</stp>
        <stp>FPR=2022Y</stp>
        <stp>FPT=A</stp>
        <stp>FA_ACT_EST_DATA=E, EST_SOURCE=SNR</stp>
        <stp>ACT_EST_MAPPING=PRECISE</stp>
        <stp>FS=MRC</stp>
        <stp>CURRENCY=USD</stp>
        <stp>XLFILL=b</stp>
        <tr r="N53" s="2"/>
      </tp>
      <tp t="s">
        <v/>
        <stp/>
        <stp>##V3_BQLV12</stp>
        <stp>[MODL_CRM_US1.xlsx]Single Period!R133C52</stp>
        <stp>CRM US Equity</stp>
        <stp>BS_LONG_TERM_BORROWINGS/1M</stp>
        <stp>FPR=2022Y</stp>
        <stp>FPT=A</stp>
        <stp>FA_ACT_EST_DATA=E, EST_SOURCE=WFR</stp>
        <stp>ACT_EST_MAPPING=PRECISE</stp>
        <stp>FS=MRC</stp>
        <stp>CURRENCY=USD</stp>
        <stp>XLFILL=b</stp>
        <tr r="AZ133" s="2"/>
      </tp>
      <tp t="s">
        <v/>
        <stp/>
        <stp>##V3_BQLV12</stp>
        <stp>[MODL_CRM_US1.xlsx]Single Period!R133C47</stp>
        <stp>CRM US Equity</stp>
        <stp>BS_LONG_TERM_BORROWINGS/1M</stp>
        <stp>FPR=2022Y</stp>
        <stp>FPT=A</stp>
        <stp>FA_ACT_EST_DATA=E, EST_SOURCE=WFT</stp>
        <stp>ACT_EST_MAPPING=PRECISE</stp>
        <stp>FS=MRC</stp>
        <stp>CURRENCY=USD</stp>
        <stp>XLFILL=b</stp>
        <tr r="AU133" s="2"/>
      </tp>
      <tp t="s">
        <v/>
        <stp/>
        <stp>##V3_BQLV12</stp>
        <stp>[MODL_CRM_US1.xlsx]Single Period!R13C50</stp>
        <stp>CRM US Equity</stp>
        <stp>CURRENT_FUTURE_REV_UNDER_CONTRACT/1M</stp>
        <stp>FPR=2022Y</stp>
        <stp>FPT=A</stp>
        <stp>FA_ACT_EST_DATA=E, EST_SOURCE=MZS</stp>
        <stp>ACT_EST_MAPPING=PRECISE</stp>
        <stp>FS=MRC</stp>
        <stp>CURRENCY=USD</stp>
        <stp>XLFILL=b</stp>
        <tr r="AX13" s="2"/>
      </tp>
      <tp t="s">
        <v/>
        <stp/>
        <stp>##V3_BQLV12</stp>
        <stp>[MODL_CRM_US1.xlsx]Single Period!R138C12</stp>
        <stp>CRM US Equity</stp>
        <stp>BS_COMMON_STOCK/1M</stp>
        <stp>FPR=2022Y</stp>
        <stp>FPT=A</stp>
        <stp>FA_ACT_EST_DATA=E, EST_SOURCE=BMO</stp>
        <stp>ACT_EST_MAPPING=PRECISE</stp>
        <stp>FS=MRC</stp>
        <stp>CURRENCY=USD</stp>
        <stp>XLFILL=b</stp>
        <tr r="L138" s="2"/>
      </tp>
      <tp t="s">
        <v/>
        <stp/>
        <stp>##V3_BQLV12</stp>
        <stp>[MODL_CRM_US1.xlsx]Single Period!R138C25</stp>
        <stp>CRM US Equity</stp>
        <stp>BS_COMMON_STOCK/1M</stp>
        <stp>FPR=2022Y</stp>
        <stp>FPT=A</stp>
        <stp>FA_ACT_EST_DATA=E, EST_SOURCE=WMS</stp>
        <stp>ACT_EST_MAPPING=PRECISE</stp>
        <stp>FS=MRC</stp>
        <stp>CURRENCY=USD</stp>
        <stp>XLFILL=b</stp>
        <tr r="Y138" s="2"/>
      </tp>
      <tp t="s">
        <v/>
        <stp/>
        <stp>##V3_BQLV12</stp>
        <stp>[MODL_CRM_US1.xlsx]Single Period!R147C47</stp>
        <stp>CRM US Equity</stp>
        <stp>BV_PER_WEIGHTED_DILUTED_SHARE</stp>
        <stp>FPR=2022Y</stp>
        <stp>FPT=A</stp>
        <stp>FA_ACT_EST_DATA=E, EST_SOURCE=WFT</stp>
        <stp>ACT_EST_MAPPING=PRECISE</stp>
        <stp>FS=MRC</stp>
        <stp>CURRENCY=USD</stp>
        <stp>XLFILL=b</stp>
        <tr r="AU147" s="2"/>
      </tp>
      <tp t="s">
        <v/>
        <stp/>
        <stp>##V3_BQLV12</stp>
        <stp>[MODL_CRM_US1.xlsx]Single Period!R158C33</stp>
        <stp>CRM US Equity</stp>
        <stp>IS_SBC_NON_GAAP/1M</stp>
        <stp>FPR=2022Y</stp>
        <stp>FPT=A</stp>
        <stp>FA_ACT_EST_DATA=E, EST_SOURCE=RHR</stp>
        <stp>ACT_EST_MAPPING=PRECISE</stp>
        <stp>FS=MRC</stp>
        <stp>CURRENCY=USD</stp>
        <stp>XLFILL=b</stp>
        <tr r="AG158" s="2"/>
      </tp>
      <tp t="s">
        <v/>
        <stp/>
        <stp>##V3_BQLV12</stp>
        <stp>[MODL_CRM_US1.xlsx]Single Period!R138C20</stp>
        <stp>CRM US Equity</stp>
        <stp>BS_COMMON_STOCK/1M</stp>
        <stp>FPR=2022Y</stp>
        <stp>FPT=A</stp>
        <stp>FA_ACT_EST_DATA=E, EST_SOURCE=JMP</stp>
        <stp>ACT_EST_MAPPING=PRECISE</stp>
        <stp>FS=MRC</stp>
        <stp>CURRENCY=USD</stp>
        <stp>XLFILL=b</stp>
        <tr r="T138" s="2"/>
      </tp>
      <tp>
        <v>1221</v>
        <stp/>
        <stp>##V3_BQLV12</stp>
        <stp>[MODL_CRM_US1.xlsx]Single Period!R155C23</stp>
        <stp>CRM US Equity</stp>
        <stp>IS_COMP_NET_INCOME_GAAP/1M</stp>
        <stp>FPR=2022Y</stp>
        <stp>FPT=A</stp>
        <stp>FA_ACT_EST_DATA=E, EST_SOURCE=JPM</stp>
        <stp>ACT_EST_MAPPING=PRECISE</stp>
        <stp>FS=MRC</stp>
        <stp>CURRENCY=USD</stp>
        <stp>XLFILL=b</stp>
        <tr r="W155" s="2"/>
      </tp>
      <tp t="s">
        <v/>
        <stp/>
        <stp>##V3_BQLV12</stp>
        <stp>[MODL_CRM_US1.xlsx]Single Period!R147C52</stp>
        <stp>CRM US Equity</stp>
        <stp>BV_PER_WEIGHTED_DILUTED_SHARE</stp>
        <stp>FPR=2022Y</stp>
        <stp>FPT=A</stp>
        <stp>FA_ACT_EST_DATA=E, EST_SOURCE=WFR</stp>
        <stp>ACT_EST_MAPPING=PRECISE</stp>
        <stp>FS=MRC</stp>
        <stp>CURRENCY=USD</stp>
        <stp>XLFILL=b</stp>
        <tr r="AZ147" s="2"/>
      </tp>
      <tp>
        <v>1012.123</v>
        <stp/>
        <stp>##V3_BQLV12</stp>
        <stp>[MODL_CRM_US1.xlsx]Single Period!R116C17</stp>
        <stp>CRM US Equity</stp>
        <stp>PREPAID_EXPNSS_AND_OTHR/1M</stp>
        <stp>FPR=2022Y</stp>
        <stp>FPT=A</stp>
        <stp>FA_ACT_EST_DATA=E, EST_SOURCE=NDH</stp>
        <stp>ACT_EST_MAPPING=PRECISE</stp>
        <stp>FS=MRC</stp>
        <stp>CURRENCY=USD</stp>
        <stp>XLFILL=b</stp>
        <tr r="Q116" s="2"/>
      </tp>
      <tp t="s">
        <v/>
        <stp/>
        <stp>##V3_BQLV12</stp>
        <stp>[MODL_CRM_US1.xlsx]Single Period!R192C17</stp>
        <stp>CRM US Equity</stp>
        <stp>FREE_CASH_FLOW_MARGIN</stp>
        <stp>FPR=2022Y</stp>
        <stp>FPT=A</stp>
        <stp>FA_ACT_EST_DATA=E, EST_SOURCE=NDH</stp>
        <stp>ACT_EST_MAPPING=PRECISE</stp>
        <stp>FS=MRC</stp>
        <stp>CURRENCY=USD</stp>
        <stp>XLFILL=b</stp>
        <tr r="Q192" s="2"/>
      </tp>
      <tp t="s">
        <v/>
        <stp/>
        <stp>##V3_BQLV12</stp>
        <stp>[MODL_CRM_US1.xlsx]Single Period!R157C14</stp>
        <stp>CRM US Equity</stp>
        <stp>CF_AMORTIZATN_OF_DEFRRD_COMPNSTN/1M</stp>
        <stp>FPR=2022Y</stp>
        <stp>FPT=A</stp>
        <stp>FA_ACT_EST_DATA=E, EST_SOURCE=SNR</stp>
        <stp>ACT_EST_MAPPING=PRECISE</stp>
        <stp>FS=MRC</stp>
        <stp>CURRENCY=USD</stp>
        <stp>XLFILL=b</stp>
        <tr r="N157" s="2"/>
      </tp>
      <tp>
        <v>1205.3210020144279</v>
        <stp/>
        <stp>##V3_BQLV12</stp>
        <stp>[MODL_CRM_US1.xlsx]Single Period!R157C25</stp>
        <stp>CRM US Equity</stp>
        <stp>CF_AMORTIZATN_OF_DEFRRD_COMPNSTN/1M</stp>
        <stp>FPR=2022Y</stp>
        <stp>FPT=A</stp>
        <stp>FA_ACT_EST_DATA=E, EST_SOURCE=WMS</stp>
        <stp>ACT_EST_MAPPING=PRECISE</stp>
        <stp>FS=MRC</stp>
        <stp>CURRENCY=USD</stp>
        <stp>XLFILL=b</stp>
        <tr r="Y157" s="2"/>
      </tp>
      <tp>
        <v>1314</v>
        <stp/>
        <stp>##V3_BQLV12</stp>
        <stp>[MODL_CRM_US1.xlsx]Single Period!R157C20</stp>
        <stp>CRM US Equity</stp>
        <stp>CF_AMORTIZATN_OF_DEFRRD_COMPNSTN/1M</stp>
        <stp>FPR=2022Y</stp>
        <stp>FPT=A</stp>
        <stp>FA_ACT_EST_DATA=E, EST_SOURCE=JMP</stp>
        <stp>ACT_EST_MAPPING=PRECISE</stp>
        <stp>FS=MRC</stp>
        <stp>CURRENCY=USD</stp>
        <stp>XLFILL=b</stp>
        <tr r="T157" s="2"/>
      </tp>
      <tp t="s">
        <v/>
        <stp/>
        <stp>##V3_BQLV12</stp>
        <stp>[MODL_CRM_US1.xlsx]Single Period!R30C37</stp>
        <stp>SEG0000269238 Segment</stp>
        <stp>IS_COGS_TO_FE_AND_PP_AND_G/1M</stp>
        <stp>FPR=2022Y</stp>
        <stp>FPT=A</stp>
        <stp>FA_ACT_EST_DATA=E, EST_SOURCE=EVR</stp>
        <stp>ACT_EST_MAPPING=PRECISE</stp>
        <stp>FS=MRC</stp>
        <stp>CURRENCY=USD</stp>
        <stp>XLFILL=b</stp>
        <tr r="AK30" s="2"/>
      </tp>
      <tp>
        <v>-14816</v>
        <stp/>
        <stp>##V3_BQLV12</stp>
        <stp>[MODL_CRM_US1.xlsx]Single Period!R170C20</stp>
        <stp>CRM US Equity</stp>
        <stp>CF_CASH_FOR_ACQUIS_SUBSIDIARIES/1M</stp>
        <stp>FPR=2022Y</stp>
        <stp>FPT=A</stp>
        <stp>FA_ACT_EST_DATA=E, EST_SOURCE=JMP</stp>
        <stp>ACT_EST_MAPPING=PRECISE</stp>
        <stp>FS=MRC</stp>
        <stp>CURRENCY=USD</stp>
        <stp>XLFILL=b</stp>
        <tr r="T170" s="2"/>
      </tp>
      <tp t="s">
        <v/>
        <stp/>
        <stp>##V3_BQLV12</stp>
        <stp>[MODL_CRM_US1.xlsx]Single Period!R170C25</stp>
        <stp>CRM US Equity</stp>
        <stp>CF_CASH_FOR_ACQUIS_SUBSIDIARIES/1M</stp>
        <stp>FPR=2022Y</stp>
        <stp>FPT=A</stp>
        <stp>FA_ACT_EST_DATA=E, EST_SOURCE=WMS</stp>
        <stp>ACT_EST_MAPPING=PRECISE</stp>
        <stp>FS=MRC</stp>
        <stp>CURRENCY=USD</stp>
        <stp>XLFILL=b</stp>
        <tr r="Y170" s="2"/>
      </tp>
      <tp>
        <v>-750</v>
        <stp/>
        <stp>##V3_BQLV12</stp>
        <stp>[MODL_CRM_US1.xlsx]Single Period!R171C17</stp>
        <stp>CRM US Equity</stp>
        <stp>CF_PURCHASE_OF_FIXED_PROD_ASSETS/1M</stp>
        <stp>FPR=2022Y</stp>
        <stp>FPT=A</stp>
        <stp>FA_ACT_EST_DATA=E, EST_SOURCE=NDH</stp>
        <stp>ACT_EST_MAPPING=PRECISE</stp>
        <stp>FS=MRC</stp>
        <stp>CURRENCY=USD</stp>
        <stp>XLFILL=b</stp>
        <tr r="Q171" s="2"/>
      </tp>
      <tp t="s">
        <v/>
        <stp/>
        <stp>##V3_BQLV12</stp>
        <stp>[MODL_CRM_US1.xlsx]Single Period!R34C38</stp>
        <stp>SEG0000269227 Segment</stp>
        <stp>IS_COGS_TO_FE_AND_PP_AND_G/1M</stp>
        <stp>FPR=2022Y</stp>
        <stp>FPT=A</stp>
        <stp>FA_ACT_EST_DATA=E, EST_SOURCE=MSR</stp>
        <stp>ACT_EST_MAPPING=PRECISE</stp>
        <stp>FS=MRC</stp>
        <stp>CURRENCY=USD</stp>
        <stp>XLFILL=b</stp>
        <tr r="AL34" s="2"/>
      </tp>
      <tp t="s">
        <v/>
        <stp/>
        <stp>##V3_BQLV12</stp>
        <stp>[MODL_CRM_US1.xlsx]Single Period!R34C41</stp>
        <stp>SEG0000269227 Segment</stp>
        <stp>IS_COGS_TO_FE_AND_PP_AND_G/1M</stp>
        <stp>FPR=2022Y</stp>
        <stp>FPT=A</stp>
        <stp>FA_ACT_EST_DATA=E, EST_SOURCE=GSR</stp>
        <stp>ACT_EST_MAPPING=PRECISE</stp>
        <stp>FS=MRC</stp>
        <stp>CURRENCY=USD</stp>
        <stp>XLFILL=b</stp>
        <tr r="AO34" s="2"/>
      </tp>
      <tp>
        <v>1874.124</v>
        <stp/>
        <stp>##V3_BQLV12</stp>
        <stp>[MODL_CRM_US1.xlsx]Single Period!R34C15</stp>
        <stp>SEG0000269227 Segment</stp>
        <stp>IS_COGS_TO_FE_AND_PP_AND_G/1M</stp>
        <stp>FPR=2022Y</stp>
        <stp>FPT=A</stp>
        <stp>FA_ACT_EST_DATA=E, EST_SOURCE=MSV</stp>
        <stp>ACT_EST_MAPPING=PRECISE</stp>
        <stp>FS=MRC</stp>
        <stp>CURRENCY=USD</stp>
        <stp>XLFILL=b</stp>
        <tr r="O34" s="2"/>
      </tp>
      <tp t="s">
        <v/>
        <stp/>
        <stp>##V3_BQLV12</stp>
        <stp>[MODL_CRM_US1.xlsx]Single Period!R176C39</stp>
        <stp>CRM US Equity</stp>
        <stp>CF_INCR_CAP_STOCK/1M</stp>
        <stp>FPR=2022Y</stp>
        <stp>FPT=A</stp>
        <stp>FA_ACT_EST_DATA=E, EST_SOURCE=KGI</stp>
        <stp>ACT_EST_MAPPING=PRECISE</stp>
        <stp>FS=MRC</stp>
        <stp>CURRENCY=USD</stp>
        <stp>XLFILL=b</stp>
        <tr r="AM176" s="2"/>
      </tp>
      <tp t="s">
        <v/>
        <stp/>
        <stp>##V3_BQLV12</stp>
        <stp>[MODL_CRM_US1.xlsx]Single Period!R170C12</stp>
        <stp>CRM US Equity</stp>
        <stp>CF_CASH_FOR_ACQUIS_SUBSIDIARIES/1M</stp>
        <stp>FPR=2022Y</stp>
        <stp>FPT=A</stp>
        <stp>FA_ACT_EST_DATA=E, EST_SOURCE=BMO</stp>
        <stp>ACT_EST_MAPPING=PRECISE</stp>
        <stp>FS=MRC</stp>
        <stp>CURRENCY=USD</stp>
        <stp>XLFILL=b</stp>
        <tr r="L170" s="2"/>
      </tp>
      <tp t="s">
        <v/>
        <stp/>
        <stp>##V3_BQLV12</stp>
        <stp>[MODL_CRM_US1.xlsx]Single Period!R176C49</stp>
        <stp>CRM US Equity</stp>
        <stp>CF_INCR_CAP_STOCK/1M</stp>
        <stp>FPR=2022Y</stp>
        <stp>FPT=A</stp>
        <stp>FA_ACT_EST_DATA=E, EST_SOURCE=SGE</stp>
        <stp>ACT_EST_MAPPING=PRECISE</stp>
        <stp>FS=MRC</stp>
        <stp>CURRENCY=USD</stp>
        <stp>XLFILL=b</stp>
        <tr r="AW176" s="2"/>
      </tp>
      <tp t="s">
        <v/>
        <stp/>
        <stp>##V3_BQLV12</stp>
        <stp>[MODL_CRM_US1.xlsx]Single Period!R34C42</stp>
        <stp>SEG0000269227 Segment</stp>
        <stp>IS_COGS_TO_FE_AND_PP_AND_G/1M</stp>
        <stp>FPR=2022Y</stp>
        <stp>FPT=A</stp>
        <stp>FA_ACT_EST_DATA=E, EST_SOURCE=PSG</stp>
        <stp>ACT_EST_MAPPING=PRECISE</stp>
        <stp>FS=MRC</stp>
        <stp>CURRENCY=USD</stp>
        <stp>XLFILL=b</stp>
        <tr r="AP34" s="2"/>
      </tp>
      <tp t="s">
        <v/>
        <stp/>
        <stp>##V3_BQLV12</stp>
        <stp>[MODL_CRM_US1.xlsx]Single Period!R184C34</stp>
        <stp>CRM US Equity</stp>
        <stp>CFO_TO_SALES</stp>
        <stp>FPR=2022Y</stp>
        <stp>FPT=A</stp>
        <stp>FA_ACT_EST_DATA=E, EST_SOURCE=JEF</stp>
        <stp>ACT_EST_MAPPING=PRECISE</stp>
        <stp>FS=MRC</stp>
        <stp>CURRENCY=USD</stp>
        <stp>XLFILL=b</stp>
        <tr r="AH184" s="2"/>
      </tp>
      <tp>
        <v>4.66</v>
        <stp/>
        <stp>##V3_BQLV12</stp>
        <stp>[MODL_CRM_US1.xlsx]Single Period!R74C34</stp>
        <stp>CRM US Equity</stp>
        <stp>IS_COMP_EPS_EXCL_STOCK_COMP</stp>
        <stp>FPR=2022Y</stp>
        <stp>FPT=A</stp>
        <stp>FA_ACT_EST_DATA=E, EST_SOURCE=JEF</stp>
        <stp>ACT_EST_MAPPING=PRECISE</stp>
        <stp>FS=MRC</stp>
        <stp>CURRENCY=USD</stp>
        <stp>XLFILL=b</stp>
        <tr r="AH74" s="2"/>
      </tp>
      <tp t="s">
        <v/>
        <stp/>
        <stp>##V3_BQLV12</stp>
        <stp>[MODL_CRM_US1.xlsx]Single Period!R92C32</stp>
        <stp>CRM US Equity</stp>
        <stp>PROF_MARGIN</stp>
        <stp>FPR=2022Y</stp>
        <stp>FPT=A</stp>
        <stp>FA_ACT_EST_DATA=E, EST_SOURCE=UBS</stp>
        <stp>ACT_EST_MAPPING=PRECISE</stp>
        <stp>FS=MRC</stp>
        <stp>CURRENCY=USD</stp>
        <stp>XLFILL=b</stp>
        <tr r="AF92" s="2"/>
      </tp>
      <tp t="s">
        <v/>
        <stp/>
        <stp>##V3_BQLV12</stp>
        <stp>[MODL_CRM_US1.xlsx]Single Period!R184C30</stp>
        <stp>CRM US Equity</stp>
        <stp>CFO_TO_SALES</stp>
        <stp>FPR=2022Y</stp>
        <stp>FPT=A</stp>
        <stp>FA_ACT_EST_DATA=E, EST_SOURCE=BAM</stp>
        <stp>ACT_EST_MAPPING=PRECISE</stp>
        <stp>FS=MRC</stp>
        <stp>CURRENCY=USD</stp>
        <stp>XLFILL=b</stp>
        <tr r="AD184" s="2"/>
      </tp>
      <tp t="s">
        <v/>
        <stp/>
        <stp>##V3_BQLV12</stp>
        <stp>[MODL_CRM_US1.xlsx]Single Period!R184C47</stp>
        <stp>CRM US Equity</stp>
        <stp>CFO_TO_SALES</stp>
        <stp>FPR=2022Y</stp>
        <stp>FPT=A</stp>
        <stp>FA_ACT_EST_DATA=E, EST_SOURCE=WFT</stp>
        <stp>ACT_EST_MAPPING=PRECISE</stp>
        <stp>FS=MRC</stp>
        <stp>CURRENCY=USD</stp>
        <stp>XLFILL=b</stp>
        <tr r="AU184" s="2"/>
      </tp>
      <tp t="s">
        <v/>
        <stp/>
        <stp>##V3_BQLV12</stp>
        <stp>[MODL_CRM_US1.xlsx]Single Period!R74C51</stp>
        <stp>CRM US Equity</stp>
        <stp>IS_COMP_EPS_EXCL_STOCK_COMP</stp>
        <stp>FPR=2022Y</stp>
        <stp>FPT=A</stp>
        <stp>FA_ACT_EST_DATA=E, EST_SOURCE=RCP</stp>
        <stp>ACT_EST_MAPPING=PRECISE</stp>
        <stp>FS=MRC</stp>
        <stp>CURRENCY=USD</stp>
        <stp>XLFILL=b</stp>
        <tr r="AY74" s="2"/>
      </tp>
      <tp t="s">
        <v/>
        <stp/>
        <stp>##V3_BQLV12</stp>
        <stp>[MODL_CRM_US1.xlsx]Single Period!R92C31</stp>
        <stp>CRM US Equity</stp>
        <stp>PROF_MARGIN</stp>
        <stp>FPR=2022Y</stp>
        <stp>FPT=A</stp>
        <stp>FA_ACT_EST_DATA=E, EST_SOURCE=RBC</stp>
        <stp>ACT_EST_MAPPING=PRECISE</stp>
        <stp>FS=MRC</stp>
        <stp>CURRENCY=USD</stp>
        <stp>XLFILL=b</stp>
        <tr r="AE92" s="2"/>
      </tp>
      <tp t="s">
        <v/>
        <stp/>
        <stp>##V3_BQLV12</stp>
        <stp>[MODL_CRM_US1.xlsx]Single Period!R92C27</stp>
        <stp>CRM US Equity</stp>
        <stp>PROF_MARGIN</stp>
        <stp>FPR=2022Y</stp>
        <stp>FPT=A</stp>
        <stp>FA_ACT_EST_DATA=E, EST_SOURCE=LCM</stp>
        <stp>ACT_EST_MAPPING=PRECISE</stp>
        <stp>FS=MRC</stp>
        <stp>CURRENCY=USD</stp>
        <stp>XLFILL=b</stp>
        <tr r="AA92" s="2"/>
      </tp>
      <tp t="s">
        <v/>
        <stp/>
        <stp>##V3_BQLV12</stp>
        <stp>[MODL_CRM_US1.xlsx]Single Period!R61C30</stp>
        <stp>CRM US Equity</stp>
        <stp>ADJ_OPERATING_MARGIN</stp>
        <stp>FPR=2022Y</stp>
        <stp>FPT=A</stp>
        <stp>FA_ACT_EST_DATA=E, EST_SOURCE=BAM</stp>
        <stp>ACT_EST_MAPPING=PRECISE</stp>
        <stp>FS=MRC</stp>
        <stp>CURRENCY=USD</stp>
        <stp>XLFILL=b</stp>
        <tr r="AD61" s="2"/>
      </tp>
      <tp t="s">
        <v/>
        <stp/>
        <stp>##V3_BQLV12</stp>
        <stp>[MODL_CRM_US1.xlsx]Single Period!R118C33</stp>
        <stp>CRM US Equity</stp>
        <stp>CB_BS_PP_AND_E_NET/1M</stp>
        <stp>FPR=2022Y</stp>
        <stp>FPT=A</stp>
        <stp>FA_ACT_EST_DATA=E, EST_SOURCE=RHR</stp>
        <stp>ACT_EST_MAPPING=PRECISE</stp>
        <stp>FS=MRC</stp>
        <stp>CURRENCY=USD</stp>
        <stp>XLFILL=b</stp>
        <tr r="AG118" s="2"/>
      </tp>
      <tp t="s">
        <v/>
        <stp/>
        <stp>##V3_BQLV12</stp>
        <stp>[MODL_CRM_US1.xlsx]Single Period!R61C34</stp>
        <stp>CRM US Equity</stp>
        <stp>ADJ_OPERATING_MARGIN</stp>
        <stp>FPR=2022Y</stp>
        <stp>FPT=A</stp>
        <stp>FA_ACT_EST_DATA=E, EST_SOURCE=JEF</stp>
        <stp>ACT_EST_MAPPING=PRECISE</stp>
        <stp>FS=MRC</stp>
        <stp>CURRENCY=USD</stp>
        <stp>XLFILL=b</stp>
        <tr r="AH61" s="2"/>
      </tp>
      <tp t="s">
        <v/>
        <stp/>
        <stp>##V3_BQLV12</stp>
        <stp>[MODL_CRM_US1.xlsx]Single Period!R139C17</stp>
        <stp>CRM US Equity</stp>
        <stp>BS_ADD_PAID_IN_CAP/1M</stp>
        <stp>FPR=2022Y</stp>
        <stp>FPT=A</stp>
        <stp>FA_ACT_EST_DATA=E, EST_SOURCE=NDH</stp>
        <stp>ACT_EST_MAPPING=PRECISE</stp>
        <stp>FS=MRC</stp>
        <stp>CURRENCY=USD</stp>
        <stp>XLFILL=b</stp>
        <tr r="Q139" s="2"/>
      </tp>
      <tp t="s">
        <v/>
        <stp/>
        <stp>##V3_BQLV12</stp>
        <stp>[MODL_CRM_US1.xlsx]Single Period!R80C23</stp>
        <stp>CRM US Equity</stp>
        <stp>GROSS_MARGIN</stp>
        <stp>FPR=2022Y</stp>
        <stp>FPT=A</stp>
        <stp>FA_ACT_EST_DATA=E, EST_SOURCE=JPM</stp>
        <stp>ACT_EST_MAPPING=PRECISE</stp>
        <stp>FS=MRC</stp>
        <stp>CURRENCY=USD</stp>
        <stp>XLFILL=b</stp>
        <tr r="W80" s="2"/>
      </tp>
      <tp t="s">
        <v/>
        <stp/>
        <stp>##V3_BQLV12</stp>
        <stp>[MODL_CRM_US1.xlsx]Single Period!R129C39</stp>
        <stp>CRM US Equity</stp>
        <stp>CB_BS_ACCT_PYBL_ACC_EXPNSS/1M</stp>
        <stp>FPR=2022Y</stp>
        <stp>FPT=A</stp>
        <stp>FA_ACT_EST_DATA=E, EST_SOURCE=KGI</stp>
        <stp>ACT_EST_MAPPING=PRECISE</stp>
        <stp>FS=MRC</stp>
        <stp>CURRENCY=USD</stp>
        <stp>XLFILL=b</stp>
        <tr r="AM129" s="2"/>
      </tp>
      <tp t="s">
        <v/>
        <stp/>
        <stp>##V3_BQLV12</stp>
        <stp>[MODL_CRM_US1.xlsx]Single Period!R80C44</stp>
        <stp>CRM US Equity</stp>
        <stp>GROSS_MARGIN</stp>
        <stp>FPR=2022Y</stp>
        <stp>FPT=A</stp>
        <stp>FA_ACT_EST_DATA=E, EST_SOURCE=RWB</stp>
        <stp>ACT_EST_MAPPING=PRECISE</stp>
        <stp>FS=MRC</stp>
        <stp>CURRENCY=USD</stp>
        <stp>XLFILL=b</stp>
        <tr r="AR80" s="2"/>
      </tp>
      <tp t="s">
        <v/>
        <stp/>
        <stp>##V3_BQLV12</stp>
        <stp>[MODL_CRM_US1.xlsx]Single Period!R129C49</stp>
        <stp>CRM US Equity</stp>
        <stp>CB_BS_ACCT_PYBL_ACC_EXPNSS/1M</stp>
        <stp>FPR=2022Y</stp>
        <stp>FPT=A</stp>
        <stp>FA_ACT_EST_DATA=E, EST_SOURCE=SGE</stp>
        <stp>ACT_EST_MAPPING=PRECISE</stp>
        <stp>FS=MRC</stp>
        <stp>CURRENCY=USD</stp>
        <stp>XLFILL=b</stp>
        <tr r="AW129" s="2"/>
      </tp>
      <tp t="s">
        <v/>
        <stp/>
        <stp>##V3_BQLV12</stp>
        <stp>[MODL_CRM_US1.xlsx]Single Period!R61C47</stp>
        <stp>CRM US Equity</stp>
        <stp>ADJ_OPERATING_MARGIN</stp>
        <stp>FPR=2022Y</stp>
        <stp>FPT=A</stp>
        <stp>FA_ACT_EST_DATA=E, EST_SOURCE=WFT</stp>
        <stp>ACT_EST_MAPPING=PRECISE</stp>
        <stp>FS=MRC</stp>
        <stp>CURRENCY=USD</stp>
        <stp>XLFILL=b</stp>
        <tr r="AU61" s="2"/>
      </tp>
      <tp t="s">
        <v/>
        <stp/>
        <stp>##V3_BQLV12</stp>
        <stp>[MODL_CRM_US1.xlsx]Single Period!R138C48</stp>
        <stp>CRM US Equity</stp>
        <stp>BS_COMMON_STOCK/1M</stp>
        <stp>FPR=2022Y</stp>
        <stp>FPT=A</stp>
        <stp>FA_ACT_EST_DATA=E, EST_SOURCE=PJE</stp>
        <stp>ACT_EST_MAPPING=PRECISE</stp>
        <stp>FS=MRC</stp>
        <stp>CURRENCY=USD</stp>
        <stp>XLFILL=b</stp>
        <tr r="AV138" s="2"/>
      </tp>
      <tp t="s">
        <v/>
        <stp/>
        <stp>##V3_BQLV12</stp>
        <stp>[MODL_CRM_US1.xlsx]Single Period!R138C21</stp>
        <stp>CRM US Equity</stp>
        <stp>BS_COMMON_STOCK/1M</stp>
        <stp>FPR=2022Y</stp>
        <stp>FPT=A</stp>
        <stp>FA_ACT_EST_DATA=E, EST_SOURCE=RJA</stp>
        <stp>ACT_EST_MAPPING=PRECISE</stp>
        <stp>FS=MRC</stp>
        <stp>CURRENCY=USD</stp>
        <stp>XLFILL=b</stp>
        <tr r="U138" s="2"/>
      </tp>
      <tp t="s">
        <v/>
        <stp/>
        <stp>##V3_BQLV12</stp>
        <stp>[MODL_CRM_US1.xlsx]Single Period!R192C51</stp>
        <stp>CRM US Equity</stp>
        <stp>FREE_CASH_FLOW_MARGIN</stp>
        <stp>FPR=2022Y</stp>
        <stp>FPT=A</stp>
        <stp>FA_ACT_EST_DATA=E, EST_SOURCE=RCP</stp>
        <stp>ACT_EST_MAPPING=PRECISE</stp>
        <stp>FS=MRC</stp>
        <stp>CURRENCY=USD</stp>
        <stp>XLFILL=b</stp>
        <tr r="AY192" s="2"/>
      </tp>
      <tp t="s">
        <v/>
        <stp/>
        <stp>##V3_BQLV12</stp>
        <stp>[MODL_CRM_US1.xlsx]Single Period!R53C56</stp>
        <stp>CRM US Equity</stp>
        <stp>REVENUE_GROWTH_CC_1_YR</stp>
        <stp>FPR=2022Y</stp>
        <stp>FPT=A</stp>
        <stp>FA_ACT_EST_DATA=E, EST_SOURCE=DIR</stp>
        <stp>ACT_EST_MAPPING=PRECISE</stp>
        <stp>FS=MRC</stp>
        <stp>CURRENCY=USD</stp>
        <stp>XLFILL=b</stp>
        <tr r="BD53" s="2"/>
      </tp>
      <tp t="s">
        <v/>
        <stp/>
        <stp>##V3_BQLV12</stp>
        <stp>[MODL_CRM_US1.xlsx]Single Period!R147C36</stp>
        <stp>CRM US Equity</stp>
        <stp>BV_PER_WEIGHTED_DILUTED_SHARE</stp>
        <stp>FPR=2022Y</stp>
        <stp>FPT=A</stp>
        <stp>FA_ACT_EST_DATA=E, EST_SOURCE=MAC</stp>
        <stp>ACT_EST_MAPPING=PRECISE</stp>
        <stp>FS=MRC</stp>
        <stp>CURRENCY=USD</stp>
        <stp>XLFILL=b</stp>
        <tr r="AJ147" s="2"/>
      </tp>
      <tp t="s">
        <v/>
        <stp/>
        <stp>##V3_BQLV12</stp>
        <stp>[MODL_CRM_US1.xlsx]Single Period!R147C30</stp>
        <stp>CRM US Equity</stp>
        <stp>BV_PER_WEIGHTED_DILUTED_SHARE</stp>
        <stp>FPR=2022Y</stp>
        <stp>FPT=A</stp>
        <stp>FA_ACT_EST_DATA=E, EST_SOURCE=BAM</stp>
        <stp>ACT_EST_MAPPING=PRECISE</stp>
        <stp>FS=MRC</stp>
        <stp>CURRENCY=USD</stp>
        <stp>XLFILL=b</stp>
        <tr r="AD147" s="2"/>
      </tp>
      <tp t="s">
        <v/>
        <stp/>
        <stp>##V3_BQLV12</stp>
        <stp>[MODL_CRM_US1.xlsx]Single Period!R147C18</stp>
        <stp>CRM US Equity</stp>
        <stp>BV_PER_WEIGHTED_DILUTED_SHARE</stp>
        <stp>FPR=2022Y</stp>
        <stp>FPT=A</stp>
        <stp>FA_ACT_EST_DATA=E, EST_SOURCE=CAN</stp>
        <stp>ACT_EST_MAPPING=PRECISE</stp>
        <stp>FS=MRC</stp>
        <stp>CURRENCY=USD</stp>
        <stp>XLFILL=b</stp>
        <tr r="R147" s="2"/>
      </tp>
      <tp t="s">
        <v/>
        <stp/>
        <stp>##V3_BQLV12</stp>
        <stp>[MODL_CRM_US1.xlsx]Single Period!R116C51</stp>
        <stp>CRM US Equity</stp>
        <stp>PREPAID_EXPNSS_AND_OTHR/1M</stp>
        <stp>FPR=2022Y</stp>
        <stp>FPT=A</stp>
        <stp>FA_ACT_EST_DATA=E, EST_SOURCE=RCP</stp>
        <stp>ACT_EST_MAPPING=PRECISE</stp>
        <stp>FS=MRC</stp>
        <stp>CURRENCY=USD</stp>
        <stp>XLFILL=b</stp>
        <tr r="AY116" s="2"/>
      </tp>
      <tp t="s">
        <v/>
        <stp/>
        <stp>##V3_BQLV12</stp>
        <stp>[MODL_CRM_US1.xlsx]Single Period!R116C27</stp>
        <stp>CRM US Equity</stp>
        <stp>PREPAID_EXPNSS_AND_OTHR/1M</stp>
        <stp>FPR=2022Y</stp>
        <stp>FPT=A</stp>
        <stp>FA_ACT_EST_DATA=E, EST_SOURCE=LCM</stp>
        <stp>ACT_EST_MAPPING=PRECISE</stp>
        <stp>FS=MRC</stp>
        <stp>CURRENCY=USD</stp>
        <stp>XLFILL=b</stp>
        <tr r="AA116" s="2"/>
      </tp>
      <tp>
        <v>18.541102272727279</v>
        <stp/>
        <stp>##V3_BQLV12</stp>
        <stp>[MODL_CRM_US1.xlsx]Single Period!R61C6</stp>
        <stp>CRM US Equity</stp>
        <stp>CONTRIBUTOR_STATS(ADJ_OPERATING_MARGIN, MIN)</stp>
        <stp>FPR=2022Y</stp>
        <stp>FPT=A</stp>
        <stp>FA_ACT_EST_DATA=E</stp>
        <stp>ACT_EST_MAPPING=PRECISE</stp>
        <stp>FS=MRC</stp>
        <stp>CURRENCY=USD</stp>
        <stp>XLFILL=b</stp>
        <tr r="F61" s="2"/>
      </tp>
      <tp t="s">
        <v/>
        <stp/>
        <stp>##V3_BQLV12</stp>
        <stp>[MODL_CRM_US1.xlsx]Single Period!R159C50</stp>
        <stp>CRM US Equity</stp>
        <stp>SBC_NON_GAAP_TO_SALES</stp>
        <stp>FPR=2022Y</stp>
        <stp>FPT=A</stp>
        <stp>FA_ACT_EST_DATA=E, EST_SOURCE=MZS</stp>
        <stp>ACT_EST_MAPPING=PRECISE</stp>
        <stp>FS=MRC</stp>
        <stp>CURRENCY=USD</stp>
        <stp>XLFILL=b</stp>
        <tr r="AX159" s="2"/>
      </tp>
      <tp t="s">
        <v/>
        <stp/>
        <stp>##V3_BQLV12</stp>
        <stp>[MODL_CRM_US1.xlsx]Single Period!R133C36</stp>
        <stp>CRM US Equity</stp>
        <stp>BS_LONG_TERM_BORROWINGS/1M</stp>
        <stp>FPR=2022Y</stp>
        <stp>FPT=A</stp>
        <stp>FA_ACT_EST_DATA=E, EST_SOURCE=MAC</stp>
        <stp>ACT_EST_MAPPING=PRECISE</stp>
        <stp>FS=MRC</stp>
        <stp>CURRENCY=USD</stp>
        <stp>XLFILL=b</stp>
        <tr r="AJ133" s="2"/>
      </tp>
      <tp>
        <v>18.589685794726631</v>
        <stp/>
        <stp>##V3_BQLV12</stp>
        <stp>[MODL_CRM_US1.xlsx]Single Period!R192C13</stp>
        <stp>CRM US Equity</stp>
        <stp>FREE_CASH_FLOW_MARGIN</stp>
        <stp>FPR=2022Y</stp>
        <stp>FPT=A</stp>
        <stp>FA_ACT_EST_DATA=E, EST_SOURCE=BCA</stp>
        <stp>ACT_EST_MAPPING=PRECISE</stp>
        <stp>FS=MRC</stp>
        <stp>CURRENCY=USD</stp>
        <stp>XLFILL=b</stp>
        <tr r="M192" s="2"/>
      </tp>
      <tp t="s">
        <v/>
        <stp/>
        <stp>##V3_BQLV12</stp>
        <stp>[MODL_CRM_US1.xlsx]Single Period!R86C50</stp>
        <stp>CRM US Equity</stp>
        <stp>IS_GENERAL_AND_ADMIN_GAAP/1M</stp>
        <stp>FPR=2022Y</stp>
        <stp>FPT=A</stp>
        <stp>FA_ACT_EST_DATA=E, EST_SOURCE=MZS</stp>
        <stp>ACT_EST_MAPPING=PRECISE</stp>
        <stp>FS=MRC</stp>
        <stp>CURRENCY=USD</stp>
        <stp>XLFILL=b</stp>
        <tr r="AX86" s="2"/>
      </tp>
      <tp>
        <v>18.541102272727279</v>
        <stp/>
        <stp>##V3_BQLV12</stp>
        <stp>[MODL_CRM_US1.xlsx]Single Period!R20C6</stp>
        <stp>CRM US Equity</stp>
        <stp>CONTRIBUTOR_STATS(ADJ_OPERATING_MARGIN, MIN)</stp>
        <stp>FPR=2022Y</stp>
        <stp>FPT=A</stp>
        <stp>FA_ACT_EST_DATA=E</stp>
        <stp>ACT_EST_MAPPING=PRECISE</stp>
        <stp>FS=MRC</stp>
        <stp>CURRENCY=USD</stp>
        <stp>XLFILL=b</stp>
        <tr r="F20" s="2"/>
      </tp>
      <tp>
        <v>1256</v>
        <stp/>
        <stp>##V3_BQLV12</stp>
        <stp>[MODL_CRM_US1.xlsx]Single Period!R155C28</stp>
        <stp>CRM US Equity</stp>
        <stp>IS_COMP_NET_INCOME_GAAP/1M</stp>
        <stp>FPR=2022Y</stp>
        <stp>FPT=A</stp>
        <stp>FA_ACT_EST_DATA=E, EST_SOURCE=CWN</stp>
        <stp>ACT_EST_MAPPING=PRECISE</stp>
        <stp>FS=MRC</stp>
        <stp>CURRENCY=USD</stp>
        <stp>XLFILL=b</stp>
        <tr r="AB155" s="2"/>
      </tp>
      <tp t="s">
        <v/>
        <stp/>
        <stp>##V3_BQLV12</stp>
        <stp>[MODL_CRM_US1.xlsx]Single Period!R192C40</stp>
        <stp>CRM US Equity</stp>
        <stp>FREE_CASH_FLOW_MARGIN</stp>
        <stp>FPR=2022Y</stp>
        <stp>FPT=A</stp>
        <stp>FA_ACT_EST_DATA=E, EST_SOURCE=ACC</stp>
        <stp>ACT_EST_MAPPING=PRECISE</stp>
        <stp>FS=MRC</stp>
        <stp>CURRENCY=USD</stp>
        <stp>XLFILL=b</stp>
        <tr r="AN192" s="2"/>
      </tp>
      <tp t="s">
        <v/>
        <stp/>
        <stp>##V3_BQLV12</stp>
        <stp>[MODL_CRM_US1.xlsx]Single Period!R192C19</stp>
        <stp>CRM US Equity</stp>
        <stp>FREE_CASH_FLOW_MARGIN</stp>
        <stp>FPR=2022Y</stp>
        <stp>FPT=A</stp>
        <stp>FA_ACT_EST_DATA=E, EST_SOURCE=SCB</stp>
        <stp>ACT_EST_MAPPING=PRECISE</stp>
        <stp>FS=MRC</stp>
        <stp>CURRENCY=USD</stp>
        <stp>XLFILL=b</stp>
        <tr r="S192" s="2"/>
      </tp>
      <tp t="s">
        <v/>
        <stp/>
        <stp>##V3_BQLV12</stp>
        <stp>[MODL_CRM_US1.xlsx]Single Period!R155C43</stp>
        <stp>CRM US Equity</stp>
        <stp>IS_COMP_NET_INCOME_GAAP/1M</stp>
        <stp>FPR=2022Y</stp>
        <stp>FPT=A</stp>
        <stp>FA_ACT_EST_DATA=E, EST_SOURCE=DWI</stp>
        <stp>ACT_EST_MAPPING=PRECISE</stp>
        <stp>FS=MRC</stp>
        <stp>CURRENCY=USD</stp>
        <stp>XLFILL=b</stp>
        <tr r="AQ155" s="2"/>
      </tp>
      <tp t="s">
        <v/>
        <stp/>
        <stp>##V3_BQLV12</stp>
        <stp>[MODL_CRM_US1.xlsx]Single Period!R192C27</stp>
        <stp>CRM US Equity</stp>
        <stp>FREE_CASH_FLOW_MARGIN</stp>
        <stp>FPR=2022Y</stp>
        <stp>FPT=A</stp>
        <stp>FA_ACT_EST_DATA=E, EST_SOURCE=LCM</stp>
        <stp>ACT_EST_MAPPING=PRECISE</stp>
        <stp>FS=MRC</stp>
        <stp>CURRENCY=USD</stp>
        <stp>XLFILL=b</stp>
        <tr r="AA192" s="2"/>
      </tp>
      <tp t="s">
        <v/>
        <stp/>
        <stp>##V3_BQLV12</stp>
        <stp>[MODL_CRM_US1.xlsx]Single Period!R116C40</stp>
        <stp>CRM US Equity</stp>
        <stp>PREPAID_EXPNSS_AND_OTHR/1M</stp>
        <stp>FPR=2022Y</stp>
        <stp>FPT=A</stp>
        <stp>FA_ACT_EST_DATA=E, EST_SOURCE=ACC</stp>
        <stp>ACT_EST_MAPPING=PRECISE</stp>
        <stp>FS=MRC</stp>
        <stp>CURRENCY=USD</stp>
        <stp>XLFILL=b</stp>
        <tr r="AN116" s="2"/>
      </tp>
      <tp t="s">
        <v/>
        <stp/>
        <stp>##V3_BQLV12</stp>
        <stp>[MODL_CRM_US1.xlsx]Single Period!R133C30</stp>
        <stp>CRM US Equity</stp>
        <stp>BS_LONG_TERM_BORROWINGS/1M</stp>
        <stp>FPR=2022Y</stp>
        <stp>FPT=A</stp>
        <stp>FA_ACT_EST_DATA=E, EST_SOURCE=BAM</stp>
        <stp>ACT_EST_MAPPING=PRECISE</stp>
        <stp>FS=MRC</stp>
        <stp>CURRENCY=USD</stp>
        <stp>XLFILL=b</stp>
        <tr r="AD133" s="2"/>
      </tp>
      <tp t="s">
        <v/>
        <stp/>
        <stp>##V3_BQLV12</stp>
        <stp>[MODL_CRM_US1.xlsx]Single Period!R133C18</stp>
        <stp>CRM US Equity</stp>
        <stp>BS_LONG_TERM_BORROWINGS/1M</stp>
        <stp>FPR=2022Y</stp>
        <stp>FPT=A</stp>
        <stp>FA_ACT_EST_DATA=E, EST_SOURCE=CAN</stp>
        <stp>ACT_EST_MAPPING=PRECISE</stp>
        <stp>FS=MRC</stp>
        <stp>CURRENCY=USD</stp>
        <stp>XLFILL=b</stp>
        <tr r="R133" s="2"/>
      </tp>
      <tp>
        <v>584</v>
        <stp/>
        <stp>##V3_BQLV12</stp>
        <stp>[MODL_CRM_US1.xlsx]Single Period!R155C44</stp>
        <stp>CRM US Equity</stp>
        <stp>IS_COMP_NET_INCOME_GAAP/1M</stp>
        <stp>FPR=2022Y</stp>
        <stp>FPT=A</stp>
        <stp>FA_ACT_EST_DATA=E, EST_SOURCE=RWB</stp>
        <stp>ACT_EST_MAPPING=PRECISE</stp>
        <stp>FS=MRC</stp>
        <stp>CURRENCY=USD</stp>
        <stp>XLFILL=b</stp>
        <tr r="AR155" s="2"/>
      </tp>
      <tp t="s">
        <v/>
        <stp/>
        <stp>##V3_BQLV12</stp>
        <stp>[MODL_CRM_US1.xlsx]Single Period!R116C19</stp>
        <stp>CRM US Equity</stp>
        <stp>PREPAID_EXPNSS_AND_OTHR/1M</stp>
        <stp>FPR=2022Y</stp>
        <stp>FPT=A</stp>
        <stp>FA_ACT_EST_DATA=E, EST_SOURCE=SCB</stp>
        <stp>ACT_EST_MAPPING=PRECISE</stp>
        <stp>FS=MRC</stp>
        <stp>CURRENCY=USD</stp>
        <stp>XLFILL=b</stp>
        <tr r="S116" s="2"/>
      </tp>
      <tp>
        <v>1139.6500000000001</v>
        <stp/>
        <stp>##V3_BQLV12</stp>
        <stp>[MODL_CRM_US1.xlsx]Single Period!R116C13</stp>
        <stp>CRM US Equity</stp>
        <stp>PREPAID_EXPNSS_AND_OTHR/1M</stp>
        <stp>FPR=2022Y</stp>
        <stp>FPT=A</stp>
        <stp>FA_ACT_EST_DATA=E, EST_SOURCE=BCA</stp>
        <stp>ACT_EST_MAPPING=PRECISE</stp>
        <stp>FS=MRC</stp>
        <stp>CURRENCY=USD</stp>
        <stp>XLFILL=b</stp>
        <tr r="M116" s="2"/>
      </tp>
      <tp t="s">
        <v/>
        <stp/>
        <stp>##V3_BQLV12</stp>
        <stp>[MODL_CRM_US1.xlsx]Single Period!R163C37</stp>
        <stp>CRM US Equity</stp>
        <stp>CB_CF_OTHR_NONCSH_ITEMS/1M</stp>
        <stp>FPR=2022Y</stp>
        <stp>FPT=A</stp>
        <stp>FA_ACT_EST_DATA=E, EST_SOURCE=EVR</stp>
        <stp>ACT_EST_MAPPING=PRECISE</stp>
        <stp>FS=MRC</stp>
        <stp>CURRENCY=USD</stp>
        <stp>XLFILL=b</stp>
        <tr r="AK163" s="2"/>
      </tp>
      <tp t="s">
        <v/>
        <stp/>
        <stp>##V3_BQLV12</stp>
        <stp>[MODL_CRM_US1.xlsx]Single Period!R53C53</stp>
        <stp>CRM US Equity</stp>
        <stp>REVENUE_GROWTH_CC_1_YR</stp>
        <stp>FPR=2022Y</stp>
        <stp>FPT=A</stp>
        <stp>FA_ACT_EST_DATA=E, EST_SOURCE=NIK</stp>
        <stp>ACT_EST_MAPPING=PRECISE</stp>
        <stp>FS=MRC</stp>
        <stp>CURRENCY=USD</stp>
        <stp>XLFILL=b</stp>
        <tr r="BA53" s="2"/>
      </tp>
      <tp t="s">
        <v/>
        <stp/>
        <stp>##V3_BQLV12</stp>
        <stp>[MODL_CRM_US1.xlsx]Single Period!R164C33</stp>
        <stp>CRM US Equity</stp>
        <stp>CHG_IN_ACCT_PYBL_AND_ACC_EXPNSS/1M</stp>
        <stp>FPR=2022Y</stp>
        <stp>FPT=A</stp>
        <stp>FA_ACT_EST_DATA=E, EST_SOURCE=RHR</stp>
        <stp>ACT_EST_MAPPING=PRECISE</stp>
        <stp>FS=MRC</stp>
        <stp>CURRENCY=USD</stp>
        <stp>XLFILL=b</stp>
        <tr r="AG164" s="2"/>
      </tp>
      <tp t="s">
        <v/>
        <stp/>
        <stp>##V3_BQLV12</stp>
        <stp>[MODL_CRM_US1.xlsx]Single Period!R171C36</stp>
        <stp>CRM US Equity</stp>
        <stp>CF_PURCHASE_OF_FIXED_PROD_ASSETS/1M</stp>
        <stp>FPR=2022Y</stp>
        <stp>FPT=A</stp>
        <stp>FA_ACT_EST_DATA=E, EST_SOURCE=MAC</stp>
        <stp>ACT_EST_MAPPING=PRECISE</stp>
        <stp>FS=MRC</stp>
        <stp>CURRENCY=USD</stp>
        <stp>XLFILL=b</stp>
        <tr r="AJ171" s="2"/>
      </tp>
      <tp>
        <v>-784.93072436319471</v>
        <stp/>
        <stp>##V3_BQLV12</stp>
        <stp>[MODL_CRM_US1.xlsx]Single Period!R171C13</stp>
        <stp>CRM US Equity</stp>
        <stp>CF_PURCHASE_OF_FIXED_PROD_ASSETS/1M</stp>
        <stp>FPR=2022Y</stp>
        <stp>FPT=A</stp>
        <stp>FA_ACT_EST_DATA=E, EST_SOURCE=BCA</stp>
        <stp>ACT_EST_MAPPING=PRECISE</stp>
        <stp>FS=MRC</stp>
        <stp>CURRENCY=USD</stp>
        <stp>XLFILL=b</stp>
        <tr r="M171" s="2"/>
      </tp>
      <tp t="s">
        <v/>
        <stp/>
        <stp>##V3_BQLV12</stp>
        <stp>[MODL_CRM_US1.xlsx]Single Period!R141C46</stp>
        <stp>CRM US Equity</stp>
        <stp>BS_PURE_RETAINED_EARNINGS/1M</stp>
        <stp>FPR=2022Y</stp>
        <stp>FPT=A</stp>
        <stp>FA_ACT_EST_DATA=E, EST_SOURCE=CTI</stp>
        <stp>ACT_EST_MAPPING=PRECISE</stp>
        <stp>FS=MRC</stp>
        <stp>CURRENCY=USD</stp>
        <stp>XLFILL=b</stp>
        <tr r="AT141" s="2"/>
      </tp>
      <tp t="s">
        <v/>
        <stp/>
        <stp>##V3_BQLV12</stp>
        <stp>[MODL_CRM_US1.xlsx]Single Period!R171C30</stp>
        <stp>CRM US Equity</stp>
        <stp>CF_PURCHASE_OF_FIXED_PROD_ASSETS/1M</stp>
        <stp>FPR=2022Y</stp>
        <stp>FPT=A</stp>
        <stp>FA_ACT_EST_DATA=E, EST_SOURCE=BAM</stp>
        <stp>ACT_EST_MAPPING=PRECISE</stp>
        <stp>FS=MRC</stp>
        <stp>CURRENCY=USD</stp>
        <stp>XLFILL=b</stp>
        <tr r="AD171" s="2"/>
      </tp>
      <tp t="s">
        <v/>
        <stp/>
        <stp>##V3_BQLV12</stp>
        <stp>[MODL_CRM_US1.xlsx]Single Period!R171C19</stp>
        <stp>CRM US Equity</stp>
        <stp>CF_PURCHASE_OF_FIXED_PROD_ASSETS/1M</stp>
        <stp>FPR=2022Y</stp>
        <stp>FPT=A</stp>
        <stp>FA_ACT_EST_DATA=E, EST_SOURCE=SCB</stp>
        <stp>ACT_EST_MAPPING=PRECISE</stp>
        <stp>FS=MRC</stp>
        <stp>CURRENCY=USD</stp>
        <stp>XLFILL=b</stp>
        <tr r="S171" s="2"/>
      </tp>
      <tp>
        <v>4900.4728187291703</v>
        <stp/>
        <stp>##V3_BQLV12</stp>
        <stp>[MODL_CRM_US1.xlsx]Single Period!R191C21</stp>
        <stp>CRM US Equity</stp>
        <stp>CF_FREE_CASH_FLOW/1M</stp>
        <stp>FPR=2022Y</stp>
        <stp>FPT=A</stp>
        <stp>FA_ACT_EST_DATA=E, EST_SOURCE=RJA</stp>
        <stp>ACT_EST_MAPPING=PRECISE</stp>
        <stp>FS=MRC</stp>
        <stp>CURRENCY=USD</stp>
        <stp>XLFILL=b</stp>
        <tr r="U191" s="2"/>
      </tp>
      <tp t="s">
        <v/>
        <stp/>
        <stp>##V3_BQLV12</stp>
        <stp>[MODL_CRM_US1.xlsx]Single Period!R150C38</stp>
        <stp>CRM US Equity</stp>
        <stp>CURRENT_FUTURE_REV_UNDER_CONTRACT/1M</stp>
        <stp>FPR=2022Y</stp>
        <stp>FPT=A</stp>
        <stp>FA_ACT_EST_DATA=E, EST_SOURCE=MSR</stp>
        <stp>ACT_EST_MAPPING=PRECISE</stp>
        <stp>FS=MRC</stp>
        <stp>CURRENCY=USD</stp>
        <stp>XLFILL=b</stp>
        <tr r="AL150" s="2"/>
      </tp>
      <tp t="s">
        <v/>
        <stp/>
        <stp>##V3_BQLV12</stp>
        <stp>[MODL_CRM_US1.xlsx]Single Period!R34C46</stp>
        <stp>SEG0000269227 Segment</stp>
        <stp>IS_COGS_TO_FE_AND_PP_AND_G/1M</stp>
        <stp>FPR=2022Y</stp>
        <stp>FPT=A</stp>
        <stp>FA_ACT_EST_DATA=E, EST_SOURCE=CTI</stp>
        <stp>ACT_EST_MAPPING=PRECISE</stp>
        <stp>FS=MRC</stp>
        <stp>CURRENCY=USD</stp>
        <stp>XLFILL=b</stp>
        <tr r="AT34" s="2"/>
      </tp>
      <tp t="s">
        <v/>
        <stp/>
        <stp>##V3_BQLV12</stp>
        <stp>[MODL_CRM_US1.xlsx]Single Period!R176C18</stp>
        <stp>CRM US Equity</stp>
        <stp>CF_INCR_CAP_STOCK/1M</stp>
        <stp>FPR=2022Y</stp>
        <stp>FPT=A</stp>
        <stp>FA_ACT_EST_DATA=E, EST_SOURCE=CAN</stp>
        <stp>ACT_EST_MAPPING=PRECISE</stp>
        <stp>FS=MRC</stp>
        <stp>CURRENCY=USD</stp>
        <stp>XLFILL=b</stp>
        <tr r="R176" s="2"/>
      </tp>
      <tp t="s">
        <v/>
        <stp/>
        <stp>##V3_BQLV12</stp>
        <stp>[MODL_CRM_US1.xlsx]Single Period!R34C35</stp>
        <stp>SEG0000269227 Segment</stp>
        <stp>IS_COGS_TO_FE_AND_PP_AND_G/1M</stp>
        <stp>FPR=2022Y</stp>
        <stp>FPT=A</stp>
        <stp>FA_ACT_EST_DATA=E, EST_SOURCE=ATL</stp>
        <stp>ACT_EST_MAPPING=PRECISE</stp>
        <stp>FS=MRC</stp>
        <stp>CURRENCY=USD</stp>
        <stp>XLFILL=b</stp>
        <tr r="AI34" s="2"/>
      </tp>
      <tp t="s">
        <v/>
        <stp/>
        <stp>##V3_BQLV12</stp>
        <stp>[MODL_CRM_US1.xlsx]Single Period!R157C21</stp>
        <stp>CRM US Equity</stp>
        <stp>CF_AMORTIZATN_OF_DEFRRD_COMPNSTN/1M</stp>
        <stp>FPR=2022Y</stp>
        <stp>FPT=A</stp>
        <stp>FA_ACT_EST_DATA=E, EST_SOURCE=RJA</stp>
        <stp>ACT_EST_MAPPING=PRECISE</stp>
        <stp>FS=MRC</stp>
        <stp>CURRENCY=USD</stp>
        <stp>XLFILL=b</stp>
        <tr r="U157" s="2"/>
      </tp>
      <tp t="s">
        <v/>
        <stp/>
        <stp>##V3_BQLV12</stp>
        <stp>[MODL_CRM_US1.xlsx]Single Period!R170C21</stp>
        <stp>CRM US Equity</stp>
        <stp>CF_CASH_FOR_ACQUIS_SUBSIDIARIES/1M</stp>
        <stp>FPR=2022Y</stp>
        <stp>FPT=A</stp>
        <stp>FA_ACT_EST_DATA=E, EST_SOURCE=RJA</stp>
        <stp>ACT_EST_MAPPING=PRECISE</stp>
        <stp>FS=MRC</stp>
        <stp>CURRENCY=USD</stp>
        <stp>XLFILL=b</stp>
        <tr r="U170" s="2"/>
      </tp>
      <tp t="s">
        <v/>
        <stp/>
        <stp>##V3_BQLV12</stp>
        <stp>[MODL_CRM_US1.xlsx]Single Period!R141C22</stp>
        <stp>CRM US Equity</stp>
        <stp>BS_PURE_RETAINED_EARNINGS/1M</stp>
        <stp>FPR=2022Y</stp>
        <stp>FPT=A</stp>
        <stp>FA_ACT_EST_DATA=E, EST_SOURCE=OPY</stp>
        <stp>ACT_EST_MAPPING=PRECISE</stp>
        <stp>FS=MRC</stp>
        <stp>CURRENCY=USD</stp>
        <stp>XLFILL=b</stp>
        <tr r="V141" s="2"/>
      </tp>
      <tp t="s">
        <v/>
        <stp/>
        <stp>##V3_BQLV12</stp>
        <stp>[MODL_CRM_US1.xlsx]Single Period!R171C47</stp>
        <stp>CRM US Equity</stp>
        <stp>CF_PURCHASE_OF_FIXED_PROD_ASSETS/1M</stp>
        <stp>FPR=2022Y</stp>
        <stp>FPT=A</stp>
        <stp>FA_ACT_EST_DATA=E, EST_SOURCE=WFT</stp>
        <stp>ACT_EST_MAPPING=PRECISE</stp>
        <stp>FS=MRC</stp>
        <stp>CURRENCY=USD</stp>
        <stp>XLFILL=b</stp>
        <tr r="AU171" s="2"/>
      </tp>
      <tp t="s">
        <v/>
        <stp/>
        <stp>##V3_BQLV12</stp>
        <stp>[MODL_CRM_US1.xlsx]Single Period!R170C48</stp>
        <stp>CRM US Equity</stp>
        <stp>CF_CASH_FOR_ACQUIS_SUBSIDIARIES/1M</stp>
        <stp>FPR=2022Y</stp>
        <stp>FPT=A</stp>
        <stp>FA_ACT_EST_DATA=E, EST_SOURCE=PJE</stp>
        <stp>ACT_EST_MAPPING=PRECISE</stp>
        <stp>FS=MRC</stp>
        <stp>CURRENCY=USD</stp>
        <stp>XLFILL=b</stp>
        <tr r="AV170" s="2"/>
      </tp>
      <tp>
        <v>4713.2215555125977</v>
        <stp/>
        <stp>##V3_BQLV12</stp>
        <stp>[MODL_CRM_US1.xlsx]Single Period!R191C33</stp>
        <stp>CRM US Equity</stp>
        <stp>CF_FREE_CASH_FLOW/1M</stp>
        <stp>FPR=2022Y</stp>
        <stp>FPT=A</stp>
        <stp>FA_ACT_EST_DATA=E, EST_SOURCE=RHR</stp>
        <stp>ACT_EST_MAPPING=PRECISE</stp>
        <stp>FS=MRC</stp>
        <stp>CURRENCY=USD</stp>
        <stp>XLFILL=b</stp>
        <tr r="AG191" s="2"/>
      </tp>
      <tp t="s">
        <v/>
        <stp/>
        <stp>##V3_BQLV12</stp>
        <stp>[MODL_CRM_US1.xlsx]Single Period!R177C45</stp>
        <stp>CRM US Equity</stp>
        <stp>CB_CF_OTHER_FINANCING_ACTIVITIES/1M</stp>
        <stp>FPR=2022Y</stp>
        <stp>FPT=A</stp>
        <stp>FA_ACT_EST_DATA=E, EST_SOURCE=ARG</stp>
        <stp>ACT_EST_MAPPING=PRECISE</stp>
        <stp>FS=MRC</stp>
        <stp>CURRENCY=USD</stp>
        <stp>XLFILL=b</stp>
        <tr r="AS177" s="2"/>
      </tp>
      <tp t="s">
        <v/>
        <stp/>
        <stp>##V3_BQLV12</stp>
        <stp>[MODL_CRM_US1.xlsx]Single Period!R141C41</stp>
        <stp>CRM US Equity</stp>
        <stp>BS_PURE_RETAINED_EARNINGS/1M</stp>
        <stp>FPR=2022Y</stp>
        <stp>FPT=A</stp>
        <stp>FA_ACT_EST_DATA=E, EST_SOURCE=GSR</stp>
        <stp>ACT_EST_MAPPING=PRECISE</stp>
        <stp>FS=MRC</stp>
        <stp>CURRENCY=USD</stp>
        <stp>XLFILL=b</stp>
        <tr r="AO141" s="2"/>
      </tp>
      <tp>
        <v>4.66</v>
        <stp/>
        <stp>##V3_BQLV12</stp>
        <stp>[MODL_CRM_US1.xlsx]Single Period!R74C31</stp>
        <stp>CRM US Equity</stp>
        <stp>IS_COMP_EPS_EXCL_STOCK_COMP</stp>
        <stp>FPR=2022Y</stp>
        <stp>FPT=A</stp>
        <stp>FA_ACT_EST_DATA=E, EST_SOURCE=RBC</stp>
        <stp>ACT_EST_MAPPING=PRECISE</stp>
        <stp>FS=MRC</stp>
        <stp>CURRENCY=USD</stp>
        <stp>XLFILL=b</stp>
        <tr r="AE74" s="2"/>
      </tp>
      <tp t="s">
        <v/>
        <stp/>
        <stp>##V3_BQLV12</stp>
        <stp>[MODL_CRM_US1.xlsx]Single Period!R92C51</stp>
        <stp>CRM US Equity</stp>
        <stp>PROF_MARGIN</stp>
        <stp>FPR=2022Y</stp>
        <stp>FPT=A</stp>
        <stp>FA_ACT_EST_DATA=E, EST_SOURCE=RCP</stp>
        <stp>ACT_EST_MAPPING=PRECISE</stp>
        <stp>FS=MRC</stp>
        <stp>CURRENCY=USD</stp>
        <stp>XLFILL=b</stp>
        <tr r="AY92" s="2"/>
      </tp>
      <tp>
        <v>20.920747320213689</v>
        <stp/>
        <stp>##V3_BQLV12</stp>
        <stp>[MODL_CRM_US1.xlsx]Single Period!R184C24</stp>
        <stp>CRM US Equity</stp>
        <stp>CFO_TO_SALES</stp>
        <stp>FPR=2022Y</stp>
        <stp>FPT=A</stp>
        <stp>FA_ACT_EST_DATA=E, EST_SOURCE=FBC</stp>
        <stp>ACT_EST_MAPPING=PRECISE</stp>
        <stp>FS=MRC</stp>
        <stp>CURRENCY=USD</stp>
        <stp>XLFILL=b</stp>
        <tr r="X184" s="2"/>
      </tp>
      <tp>
        <v>4.67</v>
        <stp/>
        <stp>##V3_BQLV12</stp>
        <stp>[MODL_CRM_US1.xlsx]Single Period!R74C27</stp>
        <stp>CRM US Equity</stp>
        <stp>IS_COMP_EPS_EXCL_STOCK_COMP</stp>
        <stp>FPR=2022Y</stp>
        <stp>FPT=A</stp>
        <stp>FA_ACT_EST_DATA=E, EST_SOURCE=LCM</stp>
        <stp>ACT_EST_MAPPING=PRECISE</stp>
        <stp>FS=MRC</stp>
        <stp>CURRENCY=USD</stp>
        <stp>XLFILL=b</stp>
        <tr r="AA74" s="2"/>
      </tp>
      <tp>
        <v>21000</v>
        <stp/>
        <stp>##V3_BQLV12</stp>
        <stp>[MODL_CRM_US1.xlsx]Single Period!R151C9</stp>
        <stp>CRM US Equity</stp>
        <stp>CONTRIBUTOR_STATS(NON_CURRENT_FUTURE_REV_UNDER_CONTRACT, MEDIAN)/1M</stp>
        <stp>FPR=2022Y</stp>
        <stp>FPT=A</stp>
        <stp>FA_ACT_EST_DATA=E</stp>
        <stp>ACT_EST_MAPPING=PRECISE</stp>
        <stp>FS=MRC</stp>
        <stp>CURRENCY=USD</stp>
        <stp>XLFILL=b</stp>
        <tr r="I151" s="2"/>
      </tp>
      <tp>
        <v>5.820156576566772</v>
        <stp/>
        <stp>##V3_BQLV12</stp>
        <stp>[MODL_CRM_US1.xlsx]Single Period!R183C9</stp>
        <stp>CRM US Equity</stp>
        <stp>CONTRIBUTOR_STATS(CASH_FLOW_PER_SH, MEDIAN)</stp>
        <stp>FPR=2022Y</stp>
        <stp>FPT=A</stp>
        <stp>FA_ACT_EST_DATA=E</stp>
        <stp>ACT_EST_MAPPING=PRECISE</stp>
        <stp>FS=MRC</stp>
        <stp>CURRENCY=USD</stp>
        <stp>XLFILL=b</stp>
        <tr r="I183" s="2"/>
      </tp>
      <tp>
        <v>4.7</v>
        <stp/>
        <stp>##V3_BQLV12</stp>
        <stp>[MODL_CRM_US1.xlsx]Single Period!R74C32</stp>
        <stp>CRM US Equity</stp>
        <stp>IS_COMP_EPS_EXCL_STOCK_COMP</stp>
        <stp>FPR=2022Y</stp>
        <stp>FPT=A</stp>
        <stp>FA_ACT_EST_DATA=E, EST_SOURCE=UBS</stp>
        <stp>ACT_EST_MAPPING=PRECISE</stp>
        <stp>FS=MRC</stp>
        <stp>CURRENCY=USD</stp>
        <stp>XLFILL=b</stp>
        <tr r="AF74" s="2"/>
      </tp>
      <tp t="s">
        <v/>
        <stp/>
        <stp>##V3_BQLV12</stp>
        <stp>[MODL_CRM_US1.xlsx]Single Period!R92C34</stp>
        <stp>CRM US Equity</stp>
        <stp>PROF_MARGIN</stp>
        <stp>FPR=2022Y</stp>
        <stp>FPT=A</stp>
        <stp>FA_ACT_EST_DATA=E, EST_SOURCE=JEF</stp>
        <stp>ACT_EST_MAPPING=PRECISE</stp>
        <stp>FS=MRC</stp>
        <stp>CURRENCY=USD</stp>
        <stp>XLFILL=b</stp>
        <tr r="AH92" s="2"/>
      </tp>
      <tp>
        <v>2059.8571193573221</v>
        <stp/>
        <stp>##V3_BQLV12</stp>
        <stp>[MODL_CRM_US1.xlsx]Single Period!R135C5</stp>
        <stp>CRM US Equity</stp>
        <stp>CB_BS_OTHER_NONCURRENT_LIABS/1M</stp>
        <stp>FPR=2022Y</stp>
        <stp>FPT=A</stp>
        <stp>FA_ACT_EST_DATA=E</stp>
        <stp>ACT_EST_MAPPING=PRECISE</stp>
        <stp>FS=MRC</stp>
        <stp>CURRENCY=USD</stp>
        <stp>XLFILL=b</stp>
        <tr r="E135" s="2"/>
      </tp>
      <tp>
        <v>18.47989689404497</v>
        <stp/>
        <stp>##V3_BQLV12</stp>
        <stp>[MODL_CRM_US1.xlsx]Single Period!R61C24</stp>
        <stp>CRM US Equity</stp>
        <stp>ADJ_OPERATING_MARGIN</stp>
        <stp>FPR=2022Y</stp>
        <stp>FPT=A</stp>
        <stp>FA_ACT_EST_DATA=E, EST_SOURCE=FBC</stp>
        <stp>ACT_EST_MAPPING=PRECISE</stp>
        <stp>FS=MRC</stp>
        <stp>CURRENCY=USD</stp>
        <stp>XLFILL=b</stp>
        <tr r="X61" s="2"/>
      </tp>
      <tp t="s">
        <v/>
        <stp/>
        <stp>##V3_BQLV12</stp>
        <stp>[MODL_CRM_US1.xlsx]Single Period!R139C51</stp>
        <stp>CRM US Equity</stp>
        <stp>BS_ADD_PAID_IN_CAP/1M</stp>
        <stp>FPR=2022Y</stp>
        <stp>FPT=A</stp>
        <stp>FA_ACT_EST_DATA=E, EST_SOURCE=RCP</stp>
        <stp>ACT_EST_MAPPING=PRECISE</stp>
        <stp>FS=MRC</stp>
        <stp>CURRENCY=USD</stp>
        <stp>XLFILL=b</stp>
        <tr r="AY139" s="2"/>
      </tp>
      <tp t="s">
        <v/>
        <stp/>
        <stp>##V3_BQLV12</stp>
        <stp>[MODL_CRM_US1.xlsx]Single Period!R20C48</stp>
        <stp>CRM US Equity</stp>
        <stp>ADJ_OPERATING_MARGIN</stp>
        <stp>FPR=2022Y</stp>
        <stp>FPT=A</stp>
        <stp>FA_ACT_EST_DATA=E, EST_SOURCE=PJE</stp>
        <stp>ACT_EST_MAPPING=PRECISE</stp>
        <stp>FS=MRC</stp>
        <stp>CURRENCY=USD</stp>
        <stp>XLFILL=b</stp>
        <tr r="AV20" s="2"/>
      </tp>
      <tp t="s">
        <v/>
        <stp/>
        <stp>##V3_BQLV12</stp>
        <stp>[MODL_CRM_US1.xlsx]Single Period!R80C43</stp>
        <stp>CRM US Equity</stp>
        <stp>GROSS_MARGIN</stp>
        <stp>FPR=2022Y</stp>
        <stp>FPT=A</stp>
        <stp>FA_ACT_EST_DATA=E, EST_SOURCE=DWI</stp>
        <stp>ACT_EST_MAPPING=PRECISE</stp>
        <stp>FS=MRC</stp>
        <stp>CURRENCY=USD</stp>
        <stp>XLFILL=b</stp>
        <tr r="AQ80" s="2"/>
      </tp>
      <tp t="s">
        <v/>
        <stp/>
        <stp>##V3_BQLV12</stp>
        <stp>[MODL_CRM_US1.xlsx]Single Period!R139C27</stp>
        <stp>CRM US Equity</stp>
        <stp>BS_ADD_PAID_IN_CAP/1M</stp>
        <stp>FPR=2022Y</stp>
        <stp>FPT=A</stp>
        <stp>FA_ACT_EST_DATA=E, EST_SOURCE=LCM</stp>
        <stp>ACT_EST_MAPPING=PRECISE</stp>
        <stp>FS=MRC</stp>
        <stp>CURRENCY=USD</stp>
        <stp>XLFILL=b</stp>
        <tr r="AA139" s="2"/>
      </tp>
      <tp t="s">
        <v/>
        <stp/>
        <stp>##V3_BQLV12</stp>
        <stp>[MODL_CRM_US1.xlsx]Single Period!R20C51</stp>
        <stp>CRM US Equity</stp>
        <stp>ADJ_OPERATING_MARGIN</stp>
        <stp>FPR=2022Y</stp>
        <stp>FPT=A</stp>
        <stp>FA_ACT_EST_DATA=E, EST_SOURCE=RCP</stp>
        <stp>ACT_EST_MAPPING=PRECISE</stp>
        <stp>FS=MRC</stp>
        <stp>CURRENCY=USD</stp>
        <stp>XLFILL=b</stp>
        <tr r="AY20" s="2"/>
      </tp>
      <tp t="s">
        <v/>
        <stp/>
        <stp>##V3_BQLV12</stp>
        <stp>[MODL_CRM_US1.xlsx]Single Period!R139C40</stp>
        <stp>CRM US Equity</stp>
        <stp>BS_ADD_PAID_IN_CAP/1M</stp>
        <stp>FPR=2022Y</stp>
        <stp>FPT=A</stp>
        <stp>FA_ACT_EST_DATA=E, EST_SOURCE=ACC</stp>
        <stp>ACT_EST_MAPPING=PRECISE</stp>
        <stp>FS=MRC</stp>
        <stp>CURRENCY=USD</stp>
        <stp>XLFILL=b</stp>
        <tr r="AN139" s="2"/>
      </tp>
      <tp t="s">
        <v/>
        <stp/>
        <stp>##V3_BQLV12</stp>
        <stp>[MODL_CRM_US1.xlsx]Single Period!R139C19</stp>
        <stp>CRM US Equity</stp>
        <stp>BS_ADD_PAID_IN_CAP/1M</stp>
        <stp>FPR=2022Y</stp>
        <stp>FPT=A</stp>
        <stp>FA_ACT_EST_DATA=E, EST_SOURCE=SCB</stp>
        <stp>ACT_EST_MAPPING=PRECISE</stp>
        <stp>FS=MRC</stp>
        <stp>CURRENCY=USD</stp>
        <stp>XLFILL=b</stp>
        <tr r="S139" s="2"/>
      </tp>
      <tp>
        <v>50585</v>
        <stp/>
        <stp>##V3_BQLV12</stp>
        <stp>[MODL_CRM_US1.xlsx]Single Period!R139C13</stp>
        <stp>CRM US Equity</stp>
        <stp>BS_ADD_PAID_IN_CAP/1M</stp>
        <stp>FPR=2022Y</stp>
        <stp>FPT=A</stp>
        <stp>FA_ACT_EST_DATA=E, EST_SOURCE=BCA</stp>
        <stp>ACT_EST_MAPPING=PRECISE</stp>
        <stp>FS=MRC</stp>
        <stp>CURRENCY=USD</stp>
        <stp>XLFILL=b</stp>
        <tr r="M139" s="2"/>
      </tp>
      <tp t="s">
        <v/>
        <stp/>
        <stp>##V3_BQLV12</stp>
        <stp>[MODL_CRM_US1.xlsx]Single Period!R53C33</stp>
        <stp>CRM US Equity</stp>
        <stp>REVENUE_GROWTH_CC_1_YR</stp>
        <stp>FPR=2022Y</stp>
        <stp>FPT=A</stp>
        <stp>FA_ACT_EST_DATA=E, EST_SOURCE=RHR</stp>
        <stp>ACT_EST_MAPPING=PRECISE</stp>
        <stp>FS=MRC</stp>
        <stp>CURRENCY=USD</stp>
        <stp>XLFILL=b</stp>
        <tr r="AG53" s="2"/>
      </tp>
      <tp t="s">
        <v/>
        <stp/>
        <stp>##V3_BQLV12</stp>
        <stp>[MODL_CRM_US1.xlsx]Single Period!R178C48</stp>
        <stp>CRM US Equity</stp>
        <stp>CB_CF_REPAYMENT_LT_DEBT/1M</stp>
        <stp>FPR=2022Y</stp>
        <stp>FPT=A</stp>
        <stp>FA_ACT_EST_DATA=E, EST_SOURCE=PJE</stp>
        <stp>ACT_EST_MAPPING=PRECISE</stp>
        <stp>FS=MRC</stp>
        <stp>CURRENCY=USD</stp>
        <stp>XLFILL=b</stp>
        <tr r="AV178" s="2"/>
      </tp>
      <tp t="s">
        <v/>
        <stp/>
        <stp>##V3_BQLV12</stp>
        <stp>[MODL_CRM_US1.xlsx]Single Period!R178C21</stp>
        <stp>CRM US Equity</stp>
        <stp>CB_CF_REPAYMENT_LT_DEBT/1M</stp>
        <stp>FPR=2022Y</stp>
        <stp>FPT=A</stp>
        <stp>FA_ACT_EST_DATA=E, EST_SOURCE=RJA</stp>
        <stp>ACT_EST_MAPPING=PRECISE</stp>
        <stp>FS=MRC</stp>
        <stp>CURRENCY=USD</stp>
        <stp>XLFILL=b</stp>
        <tr r="U178" s="2"/>
      </tp>
      <tp t="s">
        <v/>
        <stp/>
        <stp>##V3_BQLV12</stp>
        <stp>[MODL_CRM_US1.xlsx]Single Period!R163C43</stp>
        <stp>CRM US Equity</stp>
        <stp>CB_CF_OTHR_NONCSH_ITEMS/1M</stp>
        <stp>FPR=2022Y</stp>
        <stp>FPT=A</stp>
        <stp>FA_ACT_EST_DATA=E, EST_SOURCE=DWI</stp>
        <stp>ACT_EST_MAPPING=PRECISE</stp>
        <stp>FS=MRC</stp>
        <stp>CURRENCY=USD</stp>
        <stp>XLFILL=b</stp>
        <tr r="AQ163" s="2"/>
      </tp>
      <tp t="s">
        <v/>
        <stp/>
        <stp>##V3_BQLV12</stp>
        <stp>[MODL_CRM_US1.xlsx]Single Period!R163C28</stp>
        <stp>CRM US Equity</stp>
        <stp>CB_CF_OTHR_NONCSH_ITEMS/1M</stp>
        <stp>FPR=2022Y</stp>
        <stp>FPT=A</stp>
        <stp>FA_ACT_EST_DATA=E, EST_SOURCE=CWN</stp>
        <stp>ACT_EST_MAPPING=PRECISE</stp>
        <stp>FS=MRC</stp>
        <stp>CURRENCY=USD</stp>
        <stp>XLFILL=b</stp>
        <tr r="AB163" s="2"/>
      </tp>
      <tp t="s">
        <v/>
        <stp/>
        <stp>##V3_BQLV12</stp>
        <stp>[MODL_CRM_US1.xlsx]Single Period!R192C32</stp>
        <stp>CRM US Equity</stp>
        <stp>FREE_CASH_FLOW_MARGIN</stp>
        <stp>FPR=2022Y</stp>
        <stp>FPT=A</stp>
        <stp>FA_ACT_EST_DATA=E, EST_SOURCE=UBS</stp>
        <stp>ACT_EST_MAPPING=PRECISE</stp>
        <stp>FS=MRC</stp>
        <stp>CURRENCY=USD</stp>
        <stp>XLFILL=b</stp>
        <tr r="AF192" s="2"/>
      </tp>
      <tp t="s">
        <v/>
        <stp/>
        <stp>##V3_BQLV12</stp>
        <stp>[MODL_CRM_US1.xlsx]Single Period!R163C44</stp>
        <stp>CRM US Equity</stp>
        <stp>CB_CF_OTHR_NONCSH_ITEMS/1M</stp>
        <stp>FPR=2022Y</stp>
        <stp>FPT=A</stp>
        <stp>FA_ACT_EST_DATA=E, EST_SOURCE=RWB</stp>
        <stp>ACT_EST_MAPPING=PRECISE</stp>
        <stp>FS=MRC</stp>
        <stp>CURRENCY=USD</stp>
        <stp>XLFILL=b</stp>
        <tr r="AR163" s="2"/>
      </tp>
      <tp t="s">
        <v/>
        <stp/>
        <stp>##V3_BQLV12</stp>
        <stp>[MODL_CRM_US1.xlsx]Single Period!R155C37</stp>
        <stp>CRM US Equity</stp>
        <stp>IS_COMP_NET_INCOME_GAAP/1M</stp>
        <stp>FPR=2022Y</stp>
        <stp>FPT=A</stp>
        <stp>FA_ACT_EST_DATA=E, EST_SOURCE=EVR</stp>
        <stp>ACT_EST_MAPPING=PRECISE</stp>
        <stp>FS=MRC</stp>
        <stp>CURRENCY=USD</stp>
        <stp>XLFILL=b</stp>
        <tr r="AK155" s="2"/>
      </tp>
      <tp t="s">
        <v/>
        <stp/>
        <stp>##V3_BQLV12</stp>
        <stp>[MODL_CRM_US1.xlsx]Single Period!R116C32</stp>
        <stp>CRM US Equity</stp>
        <stp>PREPAID_EXPNSS_AND_OTHR/1M</stp>
        <stp>FPR=2022Y</stp>
        <stp>FPT=A</stp>
        <stp>FA_ACT_EST_DATA=E, EST_SOURCE=UBS</stp>
        <stp>ACT_EST_MAPPING=PRECISE</stp>
        <stp>FS=MRC</stp>
        <stp>CURRENCY=USD</stp>
        <stp>XLFILL=b</stp>
        <tr r="AF116" s="2"/>
      </tp>
      <tp t="s">
        <v/>
        <stp/>
        <stp>##V3_BQLV12</stp>
        <stp>[MODL_CRM_US1.xlsx]Single Period!R158C14</stp>
        <stp>CRM US Equity</stp>
        <stp>IS_SBC_NON_GAAP/1M</stp>
        <stp>FPR=2022Y</stp>
        <stp>FPT=A</stp>
        <stp>FA_ACT_EST_DATA=E, EST_SOURCE=SNR</stp>
        <stp>ACT_EST_MAPPING=PRECISE</stp>
        <stp>FS=MRC</stp>
        <stp>CURRENCY=USD</stp>
        <stp>XLFILL=b</stp>
        <tr r="N158" s="2"/>
      </tp>
      <tp t="s">
        <v/>
        <stp/>
        <stp>##V3_BQLV12</stp>
        <stp>[MODL_CRM_US1.xlsx]Single Period!R158C29</stp>
        <stp>CRM US Equity</stp>
        <stp>IS_SBC_NON_GAAP/1M</stp>
        <stp>FPR=2022Y</stp>
        <stp>FPT=A</stp>
        <stp>FA_ACT_EST_DATA=E, EST_SOURCE=BNS</stp>
        <stp>ACT_EST_MAPPING=PRECISE</stp>
        <stp>FS=MRC</stp>
        <stp>CURRENCY=USD</stp>
        <stp>XLFILL=b</stp>
        <tr r="AC158" s="2"/>
      </tp>
      <tp t="s">
        <v/>
        <stp/>
        <stp>##V3_BQLV12</stp>
        <stp>[MODL_CRM_US1.xlsx]Single Period!R192C16</stp>
        <stp>CRM US Equity</stp>
        <stp>FREE_CASH_FLOW_MARGIN</stp>
        <stp>FPR=2022Y</stp>
        <stp>FPT=A</stp>
        <stp>FA_ACT_EST_DATA=E, EST_SOURCE=DBG</stp>
        <stp>ACT_EST_MAPPING=PRECISE</stp>
        <stp>FS=MRC</stp>
        <stp>CURRENCY=USD</stp>
        <stp>XLFILL=b</stp>
        <tr r="P192" s="2"/>
      </tp>
      <tp t="s">
        <v/>
        <stp/>
        <stp>##V3_BQLV12</stp>
        <stp>[MODL_CRM_US1.xlsx]Single Period!R116C11</stp>
        <stp>CRM US Equity</stp>
        <stp>PREPAID_EXPNSS_AND_OTHR/1M</stp>
        <stp>FPR=2022Y</stp>
        <stp>FPT=A</stp>
        <stp>FA_ACT_EST_DATA=E, EST_SOURCE=WBL</stp>
        <stp>ACT_EST_MAPPING=PRECISE</stp>
        <stp>FS=MRC</stp>
        <stp>CURRENCY=USD</stp>
        <stp>XLFILL=b</stp>
        <tr r="K116" s="2"/>
      </tp>
      <tp t="s">
        <v/>
        <stp/>
        <stp>##V3_BQLV12</stp>
        <stp>[MODL_CRM_US1.xlsx]Single Period!R86C38</stp>
        <stp>CRM US Equity</stp>
        <stp>IS_GENERAL_AND_ADMIN_GAAP/1M</stp>
        <stp>FPR=2022Y</stp>
        <stp>FPT=A</stp>
        <stp>FA_ACT_EST_DATA=E, EST_SOURCE=MSR</stp>
        <stp>ACT_EST_MAPPING=PRECISE</stp>
        <stp>FS=MRC</stp>
        <stp>CURRENCY=USD</stp>
        <stp>XLFILL=b</stp>
        <tr r="AL86" s="2"/>
      </tp>
      <tp>
        <v>17.97010885857711</v>
        <stp/>
        <stp>##V3_BQLV12</stp>
        <stp>[MODL_CRM_US1.xlsx]Single Period!R192C24</stp>
        <stp>CRM US Equity</stp>
        <stp>FREE_CASH_FLOW_MARGIN</stp>
        <stp>FPR=2022Y</stp>
        <stp>FPT=A</stp>
        <stp>FA_ACT_EST_DATA=E, EST_SOURCE=FBC</stp>
        <stp>ACT_EST_MAPPING=PRECISE</stp>
        <stp>FS=MRC</stp>
        <stp>CURRENCY=USD</stp>
        <stp>XLFILL=b</stp>
        <tr r="X192" s="2"/>
      </tp>
      <tp t="s">
        <v/>
        <stp/>
        <stp>##V3_BQLV12</stp>
        <stp>[MODL_CRM_US1.xlsx]Single Period!R192C31</stp>
        <stp>CRM US Equity</stp>
        <stp>FREE_CASH_FLOW_MARGIN</stp>
        <stp>FPR=2022Y</stp>
        <stp>FPT=A</stp>
        <stp>FA_ACT_EST_DATA=E, EST_SOURCE=RBC</stp>
        <stp>ACT_EST_MAPPING=PRECISE</stp>
        <stp>FS=MRC</stp>
        <stp>CURRENCY=USD</stp>
        <stp>XLFILL=b</stp>
        <tr r="AE192" s="2"/>
      </tp>
      <tp>
        <v>1305</v>
        <stp/>
        <stp>##V3_BQLV12</stp>
        <stp>[MODL_CRM_US1.xlsx]Single Period!R116C16</stp>
        <stp>CRM US Equity</stp>
        <stp>PREPAID_EXPNSS_AND_OTHR/1M</stp>
        <stp>FPR=2022Y</stp>
        <stp>FPT=A</stp>
        <stp>FA_ACT_EST_DATA=E, EST_SOURCE=DBG</stp>
        <stp>ACT_EST_MAPPING=PRECISE</stp>
        <stp>FS=MRC</stp>
        <stp>CURRENCY=USD</stp>
        <stp>XLFILL=b</stp>
        <tr r="P116" s="2"/>
      </tp>
      <tp t="s">
        <v/>
        <stp/>
        <stp>##V3_BQLV12</stp>
        <stp>[MODL_CRM_US1.xlsx]Single Period!R192C11</stp>
        <stp>CRM US Equity</stp>
        <stp>FREE_CASH_FLOW_MARGIN</stp>
        <stp>FPR=2022Y</stp>
        <stp>FPT=A</stp>
        <stp>FA_ACT_EST_DATA=E, EST_SOURCE=WBL</stp>
        <stp>ACT_EST_MAPPING=PRECISE</stp>
        <stp>FS=MRC</stp>
        <stp>CURRENCY=USD</stp>
        <stp>XLFILL=b</stp>
        <tr r="K192" s="2"/>
      </tp>
      <tp>
        <v>19.196068038204121</v>
        <stp/>
        <stp>##V3_BQLV12</stp>
        <stp>[MODL_CRM_US1.xlsx]Single Period!R61C7</stp>
        <stp>CRM US Equity</stp>
        <stp>CONTRIBUTOR_STATS(ADJ_OPERATING_MARGIN, MAX)</stp>
        <stp>FPR=2022Y</stp>
        <stp>FPT=A</stp>
        <stp>FA_ACT_EST_DATA=E</stp>
        <stp>ACT_EST_MAPPING=PRECISE</stp>
        <stp>FS=MRC</stp>
        <stp>CURRENCY=USD</stp>
        <stp>XLFILL=b</stp>
        <tr r="G61" s="2"/>
      </tp>
      <tp>
        <v>2621.0082609801752</v>
        <stp/>
        <stp>##V3_BQLV12</stp>
        <stp>[MODL_CRM_US1.xlsx]Single Period!R86C5</stp>
        <stp>CRM US Equity</stp>
        <stp>IS_GENERAL_AND_ADMIN_GAAP/1M</stp>
        <stp>FPR=2022Y</stp>
        <stp>FPT=A</stp>
        <stp>FA_ACT_EST_DATA=E</stp>
        <stp>ACT_EST_MAPPING=PRECISE</stp>
        <stp>FS=MRC</stp>
        <stp>CURRENCY=USD</stp>
        <stp>XLFILL=b</stp>
        <tr r="E86" s="2"/>
      </tp>
      <tp>
        <v>19.196068038204121</v>
        <stp/>
        <stp>##V3_BQLV12</stp>
        <stp>[MODL_CRM_US1.xlsx]Single Period!R20C7</stp>
        <stp>CRM US Equity</stp>
        <stp>CONTRIBUTOR_STATS(ADJ_OPERATING_MARGIN, MAX)</stp>
        <stp>FPR=2022Y</stp>
        <stp>FPT=A</stp>
        <stp>FA_ACT_EST_DATA=E</stp>
        <stp>ACT_EST_MAPPING=PRECISE</stp>
        <stp>FS=MRC</stp>
        <stp>CURRENCY=USD</stp>
        <stp>XLFILL=b</stp>
        <tr r="G20" s="2"/>
      </tp>
      <tp t="s">
        <v/>
        <stp/>
        <stp>##V3_BQLV12</stp>
        <stp>[MODL_CRM_US1.xlsx]Single Period!R116C31</stp>
        <stp>CRM US Equity</stp>
        <stp>PREPAID_EXPNSS_AND_OTHR/1M</stp>
        <stp>FPR=2022Y</stp>
        <stp>FPT=A</stp>
        <stp>FA_ACT_EST_DATA=E, EST_SOURCE=RBC</stp>
        <stp>ACT_EST_MAPPING=PRECISE</stp>
        <stp>FS=MRC</stp>
        <stp>CURRENCY=USD</stp>
        <stp>XLFILL=b</stp>
        <tr r="AE116" s="2"/>
      </tp>
      <tp>
        <v>1236.481213877486</v>
        <stp/>
        <stp>##V3_BQLV12</stp>
        <stp>[MODL_CRM_US1.xlsx]Single Period!R116C24</stp>
        <stp>CRM US Equity</stp>
        <stp>PREPAID_EXPNSS_AND_OTHR/1M</stp>
        <stp>FPR=2022Y</stp>
        <stp>FPT=A</stp>
        <stp>FA_ACT_EST_DATA=E, EST_SOURCE=FBC</stp>
        <stp>ACT_EST_MAPPING=PRECISE</stp>
        <stp>FS=MRC</stp>
        <stp>CURRENCY=USD</stp>
        <stp>XLFILL=b</stp>
        <tr r="X116" s="2"/>
      </tp>
      <tp t="s">
        <v/>
        <stp/>
        <stp>##V3_BQLV12</stp>
        <stp>[MODL_CRM_US1.xlsx]Single Period!R141C23</stp>
        <stp>CRM US Equity</stp>
        <stp>BS_PURE_RETAINED_EARNINGS/1M</stp>
        <stp>FPR=2022Y</stp>
        <stp>FPT=A</stp>
        <stp>FA_ACT_EST_DATA=E, EST_SOURCE=JPM</stp>
        <stp>ACT_EST_MAPPING=PRECISE</stp>
        <stp>FS=MRC</stp>
        <stp>CURRENCY=USD</stp>
        <stp>XLFILL=b</stp>
        <tr r="W141" s="2"/>
      </tp>
      <tp t="s">
        <v/>
        <stp/>
        <stp>##V3_BQLV12</stp>
        <stp>[MODL_CRM_US1.xlsx]Single Period!R164C56</stp>
        <stp>CRM US Equity</stp>
        <stp>CHG_IN_ACCT_PYBL_AND_ACC_EXPNSS/1M</stp>
        <stp>FPR=2022Y</stp>
        <stp>FPT=A</stp>
        <stp>FA_ACT_EST_DATA=E, EST_SOURCE=DIR</stp>
        <stp>ACT_EST_MAPPING=PRECISE</stp>
        <stp>FS=MRC</stp>
        <stp>CURRENCY=USD</stp>
        <stp>XLFILL=b</stp>
        <tr r="BD164" s="2"/>
      </tp>
      <tp>
        <v>474.42144705896129</v>
        <stp/>
        <stp>##V3_BQLV12</stp>
        <stp>[MODL_CRM_US1.xlsx]Single Period!R87C5</stp>
        <stp>CRM US Equity</stp>
        <stp>IS_EBIT_AS_REPORTED/1M</stp>
        <stp>FPR=2022Y</stp>
        <stp>FPT=A</stp>
        <stp>FA_ACT_EST_DATA=E</stp>
        <stp>ACT_EST_MAPPING=PRECISE</stp>
        <stp>FS=MRC</stp>
        <stp>CURRENCY=USD</stp>
        <stp>XLFILL=b</stp>
        <tr r="E87" s="2"/>
      </tp>
      <tp t="s">
        <v/>
        <stp/>
        <stp>##V3_BQLV12</stp>
        <stp>[MODL_CRM_US1.xlsx]Single Period!R191C53</stp>
        <stp>CRM US Equity</stp>
        <stp>CF_FREE_CASH_FLOW/1M</stp>
        <stp>FPR=2022Y</stp>
        <stp>FPT=A</stp>
        <stp>FA_ACT_EST_DATA=E, EST_SOURCE=NIK</stp>
        <stp>ACT_EST_MAPPING=PRECISE</stp>
        <stp>FS=MRC</stp>
        <stp>CURRENCY=USD</stp>
        <stp>XLFILL=b</stp>
        <tr r="BA191" s="2"/>
      </tp>
      <tp>
        <v>-763.2930475521689</v>
        <stp/>
        <stp>##V3_BQLV12</stp>
        <stp>[MODL_CRM_US1.xlsx]Single Period!R171C16</stp>
        <stp>CRM US Equity</stp>
        <stp>CF_PURCHASE_OF_FIXED_PROD_ASSETS/1M</stp>
        <stp>FPR=2022Y</stp>
        <stp>FPT=A</stp>
        <stp>FA_ACT_EST_DATA=E, EST_SOURCE=DBG</stp>
        <stp>ACT_EST_MAPPING=PRECISE</stp>
        <stp>FS=MRC</stp>
        <stp>CURRENCY=USD</stp>
        <stp>XLFILL=b</stp>
        <tr r="P171" s="2"/>
      </tp>
      <tp t="s">
        <v/>
        <stp/>
        <stp>##V3_BQLV12</stp>
        <stp>[MODL_CRM_US1.xlsx]Single Period!R171C49</stp>
        <stp>CRM US Equity</stp>
        <stp>CF_PURCHASE_OF_FIXED_PROD_ASSETS/1M</stp>
        <stp>FPR=2022Y</stp>
        <stp>FPT=A</stp>
        <stp>FA_ACT_EST_DATA=E, EST_SOURCE=SGE</stp>
        <stp>ACT_EST_MAPPING=PRECISE</stp>
        <stp>FS=MRC</stp>
        <stp>CURRENCY=USD</stp>
        <stp>XLFILL=b</stp>
        <tr r="AW171" s="2"/>
      </tp>
      <tp t="s">
        <v/>
        <stp/>
        <stp>##V3_BQLV12</stp>
        <stp>[MODL_CRM_US1.xlsx]Single Period!R171C11</stp>
        <stp>CRM US Equity</stp>
        <stp>CF_PURCHASE_OF_FIXED_PROD_ASSETS/1M</stp>
        <stp>FPR=2022Y</stp>
        <stp>FPT=A</stp>
        <stp>FA_ACT_EST_DATA=E, EST_SOURCE=WBL</stp>
        <stp>ACT_EST_MAPPING=PRECISE</stp>
        <stp>FS=MRC</stp>
        <stp>CURRENCY=USD</stp>
        <stp>XLFILL=b</stp>
        <tr r="K171" s="2"/>
      </tp>
      <tp>
        <v>4962.6235082849553</v>
        <stp/>
        <stp>##V3_BQLV12</stp>
        <stp>[MODL_CRM_US1.xlsx]Single Period!R191C19</stp>
        <stp>CRM US Equity</stp>
        <stp>CF_FREE_CASH_FLOW/1M</stp>
        <stp>FPR=2022Y</stp>
        <stp>FPT=A</stp>
        <stp>FA_ACT_EST_DATA=E, EST_SOURCE=SCB</stp>
        <stp>ACT_EST_MAPPING=PRECISE</stp>
        <stp>FS=MRC</stp>
        <stp>CURRENCY=USD</stp>
        <stp>XLFILL=b</stp>
        <tr r="S191" s="2"/>
      </tp>
      <tp t="s">
        <v/>
        <stp/>
        <stp>##V3_BQLV12</stp>
        <stp>[MODL_CRM_US1.xlsx]Single Period!R30C22</stp>
        <stp>SEG0000269238 Segment</stp>
        <stp>IS_COGS_TO_FE_AND_PP_AND_G/1M</stp>
        <stp>FPR=2022Y</stp>
        <stp>FPT=A</stp>
        <stp>FA_ACT_EST_DATA=E, EST_SOURCE=OPY</stp>
        <stp>ACT_EST_MAPPING=PRECISE</stp>
        <stp>FS=MRC</stp>
        <stp>CURRENCY=USD</stp>
        <stp>XLFILL=b</stp>
        <tr r="V30" s="2"/>
      </tp>
      <tp t="s">
        <v/>
        <stp/>
        <stp>##V3_BQLV12</stp>
        <stp>[MODL_CRM_US1.xlsx]Single Period!R177C41</stp>
        <stp>CRM US Equity</stp>
        <stp>CB_CF_OTHER_FINANCING_ACTIVITIES/1M</stp>
        <stp>FPR=2022Y</stp>
        <stp>FPT=A</stp>
        <stp>FA_ACT_EST_DATA=E, EST_SOURCE=GSR</stp>
        <stp>ACT_EST_MAPPING=PRECISE</stp>
        <stp>FS=MRC</stp>
        <stp>CURRENCY=USD</stp>
        <stp>XLFILL=b</stp>
        <tr r="AO177" s="2"/>
      </tp>
      <tp t="s">
        <v/>
        <stp/>
        <stp>##V3_BQLV12</stp>
        <stp>[MODL_CRM_US1.xlsx]Single Period!R141C44</stp>
        <stp>CRM US Equity</stp>
        <stp>BS_PURE_RETAINED_EARNINGS/1M</stp>
        <stp>FPR=2022Y</stp>
        <stp>FPT=A</stp>
        <stp>FA_ACT_EST_DATA=E, EST_SOURCE=RWB</stp>
        <stp>ACT_EST_MAPPING=PRECISE</stp>
        <stp>FS=MRC</stp>
        <stp>CURRENCY=USD</stp>
        <stp>XLFILL=b</stp>
        <tr r="AR141" s="2"/>
      </tp>
      <tp>
        <v>1501.523768809077</v>
        <stp/>
        <stp>##V3_BQLV12</stp>
        <stp>[MODL_CRM_US1.xlsx]Single Period!R176C25</stp>
        <stp>CRM US Equity</stp>
        <stp>CF_INCR_CAP_STOCK/1M</stp>
        <stp>FPR=2022Y</stp>
        <stp>FPT=A</stp>
        <stp>FA_ACT_EST_DATA=E, EST_SOURCE=WMS</stp>
        <stp>ACT_EST_MAPPING=PRECISE</stp>
        <stp>FS=MRC</stp>
        <stp>CURRENCY=USD</stp>
        <stp>XLFILL=b</stp>
        <tr r="Y176" s="2"/>
      </tp>
      <tp t="s">
        <v/>
        <stp/>
        <stp>##V3_BQLV12</stp>
        <stp>[MODL_CRM_US1.xlsx]Single Period!R150C50</stp>
        <stp>CRM US Equity</stp>
        <stp>CURRENT_FUTURE_REV_UNDER_CONTRACT/1M</stp>
        <stp>FPR=2022Y</stp>
        <stp>FPT=A</stp>
        <stp>FA_ACT_EST_DATA=E, EST_SOURCE=MZS</stp>
        <stp>ACT_EST_MAPPING=PRECISE</stp>
        <stp>FS=MRC</stp>
        <stp>CURRENCY=USD</stp>
        <stp>XLFILL=b</stp>
        <tr r="AX150" s="2"/>
      </tp>
      <tp t="s">
        <v/>
        <stp/>
        <stp>##V3_BQLV12</stp>
        <stp>[MODL_CRM_US1.xlsx]Single Period!R177C35</stp>
        <stp>CRM US Equity</stp>
        <stp>CB_CF_OTHER_FINANCING_ACTIVITIES/1M</stp>
        <stp>FPR=2022Y</stp>
        <stp>FPT=A</stp>
        <stp>FA_ACT_EST_DATA=E, EST_SOURCE=ATL</stp>
        <stp>ACT_EST_MAPPING=PRECISE</stp>
        <stp>FS=MRC</stp>
        <stp>CURRENCY=USD</stp>
        <stp>XLFILL=b</stp>
        <tr r="AI177" s="2"/>
      </tp>
      <tp t="s">
        <v/>
        <stp/>
        <stp>##V3_BQLV12</stp>
        <stp>[MODL_CRM_US1.xlsx]Single Period!R171C52</stp>
        <stp>CRM US Equity</stp>
        <stp>CF_PURCHASE_OF_FIXED_PROD_ASSETS/1M</stp>
        <stp>FPR=2022Y</stp>
        <stp>FPT=A</stp>
        <stp>FA_ACT_EST_DATA=E, EST_SOURCE=WFR</stp>
        <stp>ACT_EST_MAPPING=PRECISE</stp>
        <stp>FS=MRC</stp>
        <stp>CURRENCY=USD</stp>
        <stp>XLFILL=b</stp>
        <tr r="AZ171" s="2"/>
      </tp>
      <tp t="s">
        <v/>
        <stp/>
        <stp>##V3_BQLV12</stp>
        <stp>[MODL_CRM_US1.xlsx]Single Period!R177C42</stp>
        <stp>CRM US Equity</stp>
        <stp>CB_CF_OTHER_FINANCING_ACTIVITIES/1M</stp>
        <stp>FPR=2022Y</stp>
        <stp>FPT=A</stp>
        <stp>FA_ACT_EST_DATA=E, EST_SOURCE=PSG</stp>
        <stp>ACT_EST_MAPPING=PRECISE</stp>
        <stp>FS=MRC</stp>
        <stp>CURRENCY=USD</stp>
        <stp>XLFILL=b</stp>
        <tr r="AP177" s="2"/>
      </tp>
      <tp>
        <v>3603</v>
        <stp/>
        <stp>##V3_BQLV12</stp>
        <stp>[MODL_CRM_US1.xlsx]Single Period!R30C23</stp>
        <stp>SEG0000269238 Segment</stp>
        <stp>IS_COGS_TO_FE_AND_PP_AND_G/1M</stp>
        <stp>FPR=2022Y</stp>
        <stp>FPT=A</stp>
        <stp>FA_ACT_EST_DATA=E, EST_SOURCE=JPM</stp>
        <stp>ACT_EST_MAPPING=PRECISE</stp>
        <stp>FS=MRC</stp>
        <stp>CURRENCY=USD</stp>
        <stp>XLFILL=b</stp>
        <tr r="W30" s="2"/>
      </tp>
      <tp t="s">
        <v/>
        <stp/>
        <stp>##V3_BQLV12</stp>
        <stp>[MODL_CRM_US1.xlsx]Single Period!R177C54</stp>
        <stp>CRM US Equity</stp>
        <stp>CB_CF_OTHER_FINANCING_ACTIVITIES/1M</stp>
        <stp>FPR=2022Y</stp>
        <stp>FPT=A</stp>
        <stp>FA_ACT_EST_DATA=E, EST_SOURCE=ARE</stp>
        <stp>ACT_EST_MAPPING=PRECISE</stp>
        <stp>FS=MRC</stp>
        <stp>CURRENCY=USD</stp>
        <stp>XLFILL=b</stp>
        <tr r="BB177" s="2"/>
      </tp>
      <tp t="s">
        <v/>
        <stp/>
        <stp>##V3_BQLV12</stp>
        <stp>[MODL_CRM_US1.xlsx]Single Period!R164C53</stp>
        <stp>CRM US Equity</stp>
        <stp>CHG_IN_ACCT_PYBL_AND_ACC_EXPNSS/1M</stp>
        <stp>FPR=2022Y</stp>
        <stp>FPT=A</stp>
        <stp>FA_ACT_EST_DATA=E, EST_SOURCE=NIK</stp>
        <stp>ACT_EST_MAPPING=PRECISE</stp>
        <stp>FS=MRC</stp>
        <stp>CURRENCY=USD</stp>
        <stp>XLFILL=b</stp>
        <tr r="BA164" s="2"/>
      </tp>
      <tp>
        <v>4925.0000000000018</v>
        <stp/>
        <stp>##V3_BQLV12</stp>
        <stp>[MODL_CRM_US1.xlsx]Single Period!R191C14</stp>
        <stp>CRM US Equity</stp>
        <stp>CF_FREE_CASH_FLOW/1M</stp>
        <stp>FPR=2022Y</stp>
        <stp>FPT=A</stp>
        <stp>FA_ACT_EST_DATA=E, EST_SOURCE=SNR</stp>
        <stp>ACT_EST_MAPPING=PRECISE</stp>
        <stp>FS=MRC</stp>
        <stp>CURRENCY=USD</stp>
        <stp>XLFILL=b</stp>
        <tr r="N191" s="2"/>
      </tp>
      <tp>
        <v>4.66</v>
        <stp/>
        <stp>##V3_BQLV12</stp>
        <stp>[MODL_CRM_US1.xlsx]Single Period!R74C24</stp>
        <stp>CRM US Equity</stp>
        <stp>IS_COMP_EPS_EXCL_STOCK_COMP</stp>
        <stp>FPR=2022Y</stp>
        <stp>FPT=A</stp>
        <stp>FA_ACT_EST_DATA=E, EST_SOURCE=FBC</stp>
        <stp>ACT_EST_MAPPING=PRECISE</stp>
        <stp>FS=MRC</stp>
        <stp>CURRENCY=USD</stp>
        <stp>XLFILL=b</stp>
        <tr r="X74" s="2"/>
      </tp>
      <tp>
        <v>4.68</v>
        <stp/>
        <stp>##V3_BQLV12</stp>
        <stp>[MODL_CRM_US1.xlsx]Single Period!R74C18</stp>
        <stp>CRM US Equity</stp>
        <stp>IS_COMP_EPS_EXCL_STOCK_COMP</stp>
        <stp>FPR=2022Y</stp>
        <stp>FPT=A</stp>
        <stp>FA_ACT_EST_DATA=E, EST_SOURCE=CAN</stp>
        <stp>ACT_EST_MAPPING=PRECISE</stp>
        <stp>FS=MRC</stp>
        <stp>CURRENCY=USD</stp>
        <stp>XLFILL=b</stp>
        <tr r="R74" s="2"/>
      </tp>
      <tp t="s">
        <v/>
        <stp/>
        <stp>##V3_BQLV12</stp>
        <stp>[MODL_CRM_US1.xlsx]Single Period!R74C55</stp>
        <stp>CRM US Equity</stp>
        <stp>IS_COMP_EPS_EXCL_STOCK_COMP</stp>
        <stp>FPR=2022Y</stp>
        <stp>FPT=A</stp>
        <stp>FA_ACT_EST_DATA=E, EST_SOURCE=RED</stp>
        <stp>ACT_EST_MAPPING=PRECISE</stp>
        <stp>FS=MRC</stp>
        <stp>CURRENCY=USD</stp>
        <stp>XLFILL=b</stp>
        <tr r="BC74" s="2"/>
      </tp>
      <tp>
        <v>18.645669521832328</v>
        <stp/>
        <stp>##V3_BQLV12</stp>
        <stp>[MODL_CRM_US1.xlsx]Single Period!R192C9</stp>
        <stp>CRM US Equity</stp>
        <stp>CONTRIBUTOR_STATS(FREE_CASH_FLOW_MARGIN, MEDIAN)</stp>
        <stp>FPR=2022Y</stp>
        <stp>FPT=A</stp>
        <stp>FA_ACT_EST_DATA=E</stp>
        <stp>ACT_EST_MAPPING=PRECISE</stp>
        <stp>FS=MRC</stp>
        <stp>CURRENCY=USD</stp>
        <stp>XLFILL=b</stp>
        <tr r="I192" s="2"/>
      </tp>
      <tp t="s">
        <v/>
        <stp/>
        <stp>##V3_BQLV12</stp>
        <stp>[MODL_CRM_US1.xlsx]Single Period!R184C36</stp>
        <stp>CRM US Equity</stp>
        <stp>CFO_TO_SALES</stp>
        <stp>FPR=2022Y</stp>
        <stp>FPT=A</stp>
        <stp>FA_ACT_EST_DATA=E, EST_SOURCE=MAC</stp>
        <stp>ACT_EST_MAPPING=PRECISE</stp>
        <stp>FS=MRC</stp>
        <stp>CURRENCY=USD</stp>
        <stp>XLFILL=b</stp>
        <tr r="AJ184" s="2"/>
      </tp>
      <tp t="s">
        <v/>
        <stp/>
        <stp>##V3_BQLV12</stp>
        <stp>[MODL_CRM_US1.xlsx]Single Period!R92C26</stp>
        <stp>CRM US Equity</stp>
        <stp>PROF_MARGIN</stp>
        <stp>FPR=2022Y</stp>
        <stp>FPT=A</stp>
        <stp>FA_ACT_EST_DATA=E, EST_SOURCE=KEY</stp>
        <stp>ACT_EST_MAPPING=PRECISE</stp>
        <stp>FS=MRC</stp>
        <stp>CURRENCY=USD</stp>
        <stp>XLFILL=b</stp>
        <tr r="Z92" s="2"/>
      </tp>
      <tp t="s">
        <v/>
        <stp/>
        <stp>##V3_BQLV12</stp>
        <stp>[MODL_CRM_US1.xlsx]Single Period!R124C10</stp>
        <stp>CRM US Equity</stp>
        <stp>CAPITALIZED_SOFTWARE/1M</stp>
        <stp>FPR=2022Y</stp>
        <stp>FPT=A</stp>
        <stp>FA_ACT_EST_DATA=E, EST_SOURCE=CMPY</stp>
        <stp>ACT_EST_MAPPING=PRECISE</stp>
        <stp>FS=MRC</stp>
        <stp>CURRENCY=USD</stp>
        <stp>XLFILL=b</stp>
        <tr r="J124" s="2"/>
      </tp>
      <tp>
        <v>4.684999942779541</v>
        <stp/>
        <stp>##V3_BQLV12</stp>
        <stp>[MODL_CRM_US1.xlsx]Single Period!R6C10</stp>
        <stp>CRM US Equity</stp>
        <stp>IS_COMP_EPS_EXCL_STOCK_COMP</stp>
        <stp>FPR=2022Y</stp>
        <stp>FPT=A</stp>
        <stp>FA_ACT_EST_DATA=E, EST_SOURCE=CMPY</stp>
        <stp>ACT_EST_MAPPING=PRECISE</stp>
        <stp>FS=MRC</stp>
        <stp>CURRENCY=USD</stp>
        <stp>XLFILL=b</stp>
        <tr r="J6" s="2"/>
      </tp>
      <tp t="s">
        <v/>
        <stp/>
        <stp>##V3_BQLV12</stp>
        <stp>[MODL_CRM_US1.xlsx]Single Period!R184C29</stp>
        <stp>CRM US Equity</stp>
        <stp>CFO_TO_SALES</stp>
        <stp>FPR=2022Y</stp>
        <stp>FPT=A</stp>
        <stp>FA_ACT_EST_DATA=E, EST_SOURCE=BNS</stp>
        <stp>ACT_EST_MAPPING=PRECISE</stp>
        <stp>FS=MRC</stp>
        <stp>CURRENCY=USD</stp>
        <stp>XLFILL=b</stp>
        <tr r="AC184" s="2"/>
      </tp>
      <tp t="s">
        <v/>
        <stp/>
        <stp>##V3_BQLV12</stp>
        <stp>[MODL_CRM_US1.xlsx]Single Period!R92C40</stp>
        <stp>CRM US Equity</stp>
        <stp>PROF_MARGIN</stp>
        <stp>FPR=2022Y</stp>
        <stp>FPT=A</stp>
        <stp>FA_ACT_EST_DATA=E, EST_SOURCE=ACC</stp>
        <stp>ACT_EST_MAPPING=PRECISE</stp>
        <stp>FS=MRC</stp>
        <stp>CURRENCY=USD</stp>
        <stp>XLFILL=b</stp>
        <tr r="AN92" s="2"/>
      </tp>
      <tp>
        <v>18.646212320684061</v>
        <stp/>
        <stp>##V3_BQLV12</stp>
        <stp>[MODL_CRM_US1.xlsx]Single Period!R20C17</stp>
        <stp>CRM US Equity</stp>
        <stp>ADJ_OPERATING_MARGIN</stp>
        <stp>FPR=2022Y</stp>
        <stp>FPT=A</stp>
        <stp>FA_ACT_EST_DATA=E, EST_SOURCE=NDH</stp>
        <stp>ACT_EST_MAPPING=PRECISE</stp>
        <stp>FS=MRC</stp>
        <stp>CURRENCY=USD</stp>
        <stp>XLFILL=b</stp>
        <tr r="Q20" s="2"/>
      </tp>
      <tp t="s">
        <v/>
        <stp/>
        <stp>##V3_BQLV12</stp>
        <stp>[MODL_CRM_US1.xlsx]Single Period!R20C11</stp>
        <stp>CRM US Equity</stp>
        <stp>ADJ_OPERATING_MARGIN</stp>
        <stp>FPR=2022Y</stp>
        <stp>FPT=A</stp>
        <stp>FA_ACT_EST_DATA=E, EST_SOURCE=WBL</stp>
        <stp>ACT_EST_MAPPING=PRECISE</stp>
        <stp>FS=MRC</stp>
        <stp>CURRENCY=USD</stp>
        <stp>XLFILL=b</stp>
        <tr r="K20" s="2"/>
      </tp>
      <tp t="s">
        <v/>
        <stp/>
        <stp>##V3_BQLV12</stp>
        <stp>[MODL_CRM_US1.xlsx]Single Period!R115C25</stp>
        <stp>CRM US Equity</stp>
        <stp>CB_BS_OTHER_CURRENT_ASSETS/1M</stp>
        <stp>FPR=2022Y</stp>
        <stp>FPT=A</stp>
        <stp>FA_ACT_EST_DATA=E, EST_SOURCE=WMS</stp>
        <stp>ACT_EST_MAPPING=PRECISE</stp>
        <stp>FS=MRC</stp>
        <stp>CURRENCY=USD</stp>
        <stp>XLFILL=b</stp>
        <tr r="Y115" s="2"/>
      </tp>
      <tp t="s">
        <v/>
        <stp/>
        <stp>##V3_BQLV12</stp>
        <stp>[MODL_CRM_US1.xlsx]Single Period!R115C20</stp>
        <stp>CRM US Equity</stp>
        <stp>CB_BS_OTHER_CURRENT_ASSETS/1M</stp>
        <stp>FPR=2022Y</stp>
        <stp>FPT=A</stp>
        <stp>FA_ACT_EST_DATA=E, EST_SOURCE=JMP</stp>
        <stp>ACT_EST_MAPPING=PRECISE</stp>
        <stp>FS=MRC</stp>
        <stp>CURRENCY=USD</stp>
        <stp>XLFILL=b</stp>
        <tr r="T115" s="2"/>
      </tp>
      <tp t="s">
        <v/>
        <stp/>
        <stp>##V3_BQLV12</stp>
        <stp>[MODL_CRM_US1.xlsx]Single Period!R113C20</stp>
        <stp>CRM US Equity</stp>
        <stp>BS_MKT_SEC_OTHER_ST_INVEST/1M</stp>
        <stp>FPR=2022Y</stp>
        <stp>FPT=A</stp>
        <stp>FA_ACT_EST_DATA=E, EST_SOURCE=JMP</stp>
        <stp>ACT_EST_MAPPING=PRECISE</stp>
        <stp>FS=MRC</stp>
        <stp>CURRENCY=USD</stp>
        <stp>XLFILL=b</stp>
        <tr r="T113" s="2"/>
      </tp>
      <tp t="s">
        <v/>
        <stp/>
        <stp>##V3_BQLV12</stp>
        <stp>[MODL_CRM_US1.xlsx]Single Period!R139C32</stp>
        <stp>CRM US Equity</stp>
        <stp>BS_ADD_PAID_IN_CAP/1M</stp>
        <stp>FPR=2022Y</stp>
        <stp>FPT=A</stp>
        <stp>FA_ACT_EST_DATA=E, EST_SOURCE=UBS</stp>
        <stp>ACT_EST_MAPPING=PRECISE</stp>
        <stp>FS=MRC</stp>
        <stp>CURRENCY=USD</stp>
        <stp>XLFILL=b</stp>
        <tr r="AF139" s="2"/>
      </tp>
      <tp t="s">
        <v/>
        <stp/>
        <stp>##V3_BQLV12</stp>
        <stp>[MODL_CRM_US1.xlsx]Single Period!R61C36</stp>
        <stp>CRM US Equity</stp>
        <stp>ADJ_OPERATING_MARGIN</stp>
        <stp>FPR=2022Y</stp>
        <stp>FPT=A</stp>
        <stp>FA_ACT_EST_DATA=E, EST_SOURCE=MAC</stp>
        <stp>ACT_EST_MAPPING=PRECISE</stp>
        <stp>FS=MRC</stp>
        <stp>CURRENCY=USD</stp>
        <stp>XLFILL=b</stp>
        <tr r="AJ61" s="2"/>
      </tp>
      <tp t="s">
        <v/>
        <stp/>
        <stp>##V3_BQLV12</stp>
        <stp>[MODL_CRM_US1.xlsx]Single Period!R20C40</stp>
        <stp>CRM US Equity</stp>
        <stp>ADJ_OPERATING_MARGIN</stp>
        <stp>FPR=2022Y</stp>
        <stp>FPT=A</stp>
        <stp>FA_ACT_EST_DATA=E, EST_SOURCE=ACC</stp>
        <stp>ACT_EST_MAPPING=PRECISE</stp>
        <stp>FS=MRC</stp>
        <stp>CURRENCY=USD</stp>
        <stp>XLFILL=b</stp>
        <tr r="AN20" s="2"/>
      </tp>
      <tp t="s">
        <v/>
        <stp/>
        <stp>##V3_BQLV12</stp>
        <stp>[MODL_CRM_US1.xlsx]Single Period!R20C31</stp>
        <stp>CRM US Equity</stp>
        <stp>ADJ_OPERATING_MARGIN</stp>
        <stp>FPR=2022Y</stp>
        <stp>FPT=A</stp>
        <stp>FA_ACT_EST_DATA=E, EST_SOURCE=RBC</stp>
        <stp>ACT_EST_MAPPING=PRECISE</stp>
        <stp>FS=MRC</stp>
        <stp>CURRENCY=USD</stp>
        <stp>XLFILL=b</stp>
        <tr r="AE20" s="2"/>
      </tp>
      <tp t="s">
        <v/>
        <stp/>
        <stp>##V3_BQLV12</stp>
        <stp>[MODL_CRM_US1.xlsx]Single Period!R113C25</stp>
        <stp>CRM US Equity</stp>
        <stp>BS_MKT_SEC_OTHER_ST_INVEST/1M</stp>
        <stp>FPR=2022Y</stp>
        <stp>FPT=A</stp>
        <stp>FA_ACT_EST_DATA=E, EST_SOURCE=WMS</stp>
        <stp>ACT_EST_MAPPING=PRECISE</stp>
        <stp>FS=MRC</stp>
        <stp>CURRENCY=USD</stp>
        <stp>XLFILL=b</stp>
        <tr r="Y113" s="2"/>
      </tp>
      <tp t="s">
        <v/>
        <stp/>
        <stp>##V3_BQLV12</stp>
        <stp>[MODL_CRM_US1.xlsx]Single Period!R118C14</stp>
        <stp>CRM US Equity</stp>
        <stp>CB_BS_PP_AND_E_NET/1M</stp>
        <stp>FPR=2022Y</stp>
        <stp>FPT=A</stp>
        <stp>FA_ACT_EST_DATA=E, EST_SOURCE=SNR</stp>
        <stp>ACT_EST_MAPPING=PRECISE</stp>
        <stp>FS=MRC</stp>
        <stp>CURRENCY=USD</stp>
        <stp>XLFILL=b</stp>
        <tr r="N118" s="2"/>
      </tp>
      <tp t="s">
        <v/>
        <stp/>
        <stp>##V3_BQLV12</stp>
        <stp>[MODL_CRM_US1.xlsx]Single Period!R118C29</stp>
        <stp>CRM US Equity</stp>
        <stp>CB_BS_PP_AND_E_NET/1M</stp>
        <stp>FPR=2022Y</stp>
        <stp>FPT=A</stp>
        <stp>FA_ACT_EST_DATA=E, EST_SOURCE=BNS</stp>
        <stp>ACT_EST_MAPPING=PRECISE</stp>
        <stp>FS=MRC</stp>
        <stp>CURRENCY=USD</stp>
        <stp>XLFILL=b</stp>
        <tr r="AC118" s="2"/>
      </tp>
      <tp t="s">
        <v/>
        <stp/>
        <stp>##V3_BQLV12</stp>
        <stp>[MODL_CRM_US1.xlsx]Single Period!R129C18</stp>
        <stp>CRM US Equity</stp>
        <stp>CB_BS_ACCT_PYBL_ACC_EXPNSS/1M</stp>
        <stp>FPR=2022Y</stp>
        <stp>FPT=A</stp>
        <stp>FA_ACT_EST_DATA=E, EST_SOURCE=CAN</stp>
        <stp>ACT_EST_MAPPING=PRECISE</stp>
        <stp>FS=MRC</stp>
        <stp>CURRENCY=USD</stp>
        <stp>XLFILL=b</stp>
        <tr r="R129" s="2"/>
      </tp>
      <tp>
        <v>18.56302150942296</v>
        <stp/>
        <stp>##V3_BQLV12</stp>
        <stp>[MODL_CRM_US1.xlsx]Single Period!R20C26</stp>
        <stp>CRM US Equity</stp>
        <stp>ADJ_OPERATING_MARGIN</stp>
        <stp>FPR=2022Y</stp>
        <stp>FPT=A</stp>
        <stp>FA_ACT_EST_DATA=E, EST_SOURCE=KEY</stp>
        <stp>ACT_EST_MAPPING=PRECISE</stp>
        <stp>FS=MRC</stp>
        <stp>CURRENCY=USD</stp>
        <stp>XLFILL=b</stp>
        <tr r="Z20" s="2"/>
      </tp>
      <tp t="s">
        <v/>
        <stp/>
        <stp>##V3_BQLV12</stp>
        <stp>[MODL_CRM_US1.xlsx]Single Period!R129C30</stp>
        <stp>CRM US Equity</stp>
        <stp>CB_BS_ACCT_PYBL_ACC_EXPNSS/1M</stp>
        <stp>FPR=2022Y</stp>
        <stp>FPT=A</stp>
        <stp>FA_ACT_EST_DATA=E, EST_SOURCE=BAM</stp>
        <stp>ACT_EST_MAPPING=PRECISE</stp>
        <stp>FS=MRC</stp>
        <stp>CURRENCY=USD</stp>
        <stp>XLFILL=b</stp>
        <tr r="AD129" s="2"/>
      </tp>
      <tp t="s">
        <v/>
        <stp/>
        <stp>##V3_BQLV12</stp>
        <stp>[MODL_CRM_US1.xlsx]Single Period!R113C12</stp>
        <stp>CRM US Equity</stp>
        <stp>BS_MKT_SEC_OTHER_ST_INVEST/1M</stp>
        <stp>FPR=2022Y</stp>
        <stp>FPT=A</stp>
        <stp>FA_ACT_EST_DATA=E, EST_SOURCE=BMO</stp>
        <stp>ACT_EST_MAPPING=PRECISE</stp>
        <stp>FS=MRC</stp>
        <stp>CURRENCY=USD</stp>
        <stp>XLFILL=b</stp>
        <tr r="L113" s="2"/>
      </tp>
      <tp t="s">
        <v/>
        <stp/>
        <stp>##V3_BQLV12</stp>
        <stp>[MODL_CRM_US1.xlsx]Single Period!R139C11</stp>
        <stp>CRM US Equity</stp>
        <stp>BS_ADD_PAID_IN_CAP/1M</stp>
        <stp>FPR=2022Y</stp>
        <stp>FPT=A</stp>
        <stp>FA_ACT_EST_DATA=E, EST_SOURCE=WBL</stp>
        <stp>ACT_EST_MAPPING=PRECISE</stp>
        <stp>FS=MRC</stp>
        <stp>CURRENCY=USD</stp>
        <stp>XLFILL=b</stp>
        <tr r="K139" s="2"/>
      </tp>
      <tp>
        <v>48769.698052031148</v>
        <stp/>
        <stp>##V3_BQLV12</stp>
        <stp>[MODL_CRM_US1.xlsx]Single Period!R139C24</stp>
        <stp>CRM US Equity</stp>
        <stp>BS_ADD_PAID_IN_CAP/1M</stp>
        <stp>FPR=2022Y</stp>
        <stp>FPT=A</stp>
        <stp>FA_ACT_EST_DATA=E, EST_SOURCE=FBC</stp>
        <stp>ACT_EST_MAPPING=PRECISE</stp>
        <stp>FS=MRC</stp>
        <stp>CURRENCY=USD</stp>
        <stp>XLFILL=b</stp>
        <tr r="X139" s="2"/>
      </tp>
      <tp t="s">
        <v/>
        <stp/>
        <stp>##V3_BQLV12</stp>
        <stp>[MODL_CRM_US1.xlsx]Single Period!R139C31</stp>
        <stp>CRM US Equity</stp>
        <stp>BS_ADD_PAID_IN_CAP/1M</stp>
        <stp>FPR=2022Y</stp>
        <stp>FPT=A</stp>
        <stp>FA_ACT_EST_DATA=E, EST_SOURCE=RBC</stp>
        <stp>ACT_EST_MAPPING=PRECISE</stp>
        <stp>FS=MRC</stp>
        <stp>CURRENCY=USD</stp>
        <stp>XLFILL=b</stp>
        <tr r="AE139" s="2"/>
      </tp>
      <tp t="s">
        <v/>
        <stp/>
        <stp>##V3_BQLV12</stp>
        <stp>[MODL_CRM_US1.xlsx]Single Period!R115C12</stp>
        <stp>CRM US Equity</stp>
        <stp>CB_BS_OTHER_CURRENT_ASSETS/1M</stp>
        <stp>FPR=2022Y</stp>
        <stp>FPT=A</stp>
        <stp>FA_ACT_EST_DATA=E, EST_SOURCE=BMO</stp>
        <stp>ACT_EST_MAPPING=PRECISE</stp>
        <stp>FS=MRC</stp>
        <stp>CURRENCY=USD</stp>
        <stp>XLFILL=b</stp>
        <tr r="L115" s="2"/>
      </tp>
      <tp>
        <v>93097.638062725164</v>
        <stp/>
        <stp>##V3_BQLV12</stp>
        <stp>[MODL_CRM_US1.xlsx]Single Period!R125C5</stp>
        <stp>CRM US Equity</stp>
        <stp>BS_TOT_ASSET/1M</stp>
        <stp>FPR=2022Y</stp>
        <stp>FPT=A</stp>
        <stp>FA_ACT_EST_DATA=E</stp>
        <stp>ACT_EST_MAPPING=PRECISE</stp>
        <stp>FS=MRC</stp>
        <stp>CURRENCY=USD</stp>
        <stp>XLFILL=b</stp>
        <tr r="E125" s="2"/>
      </tp>
      <tp>
        <v>93097.638062725164</v>
        <stp/>
        <stp>##V3_BQLV12</stp>
        <stp>[MODL_CRM_US1.xlsx]Single Period!R142C5</stp>
        <stp>CRM US Equity</stp>
        <stp>BS_TOT_ASSET/1M</stp>
        <stp>FPR=2022Y</stp>
        <stp>FPT=A</stp>
        <stp>FA_ACT_EST_DATA=E</stp>
        <stp>ACT_EST_MAPPING=PRECISE</stp>
        <stp>FS=MRC</stp>
        <stp>CURRENCY=USD</stp>
        <stp>XLFILL=b</stp>
        <tr r="E142" s="2"/>
      </tp>
      <tp t="s">
        <v/>
        <stp/>
        <stp>##V3_BQLV12</stp>
        <stp>[MODL_CRM_US1.xlsx]Single Period!R61C29</stp>
        <stp>CRM US Equity</stp>
        <stp>ADJ_OPERATING_MARGIN</stp>
        <stp>FPR=2022Y</stp>
        <stp>FPT=A</stp>
        <stp>FA_ACT_EST_DATA=E, EST_SOURCE=BNS</stp>
        <stp>ACT_EST_MAPPING=PRECISE</stp>
        <stp>FS=MRC</stp>
        <stp>CURRENCY=USD</stp>
        <stp>XLFILL=b</stp>
        <tr r="AC61" s="2"/>
      </tp>
      <tp t="s">
        <v/>
        <stp/>
        <stp>##V3_BQLV12</stp>
        <stp>[MODL_CRM_US1.xlsx]Single Period!R139C16</stp>
        <stp>CRM US Equity</stp>
        <stp>BS_ADD_PAID_IN_CAP/1M</stp>
        <stp>FPR=2022Y</stp>
        <stp>FPT=A</stp>
        <stp>FA_ACT_EST_DATA=E, EST_SOURCE=DBG</stp>
        <stp>ACT_EST_MAPPING=PRECISE</stp>
        <stp>FS=MRC</stp>
        <stp>CURRENCY=USD</stp>
        <stp>XLFILL=b</stp>
        <tr r="P139" s="2"/>
      </tp>
      <tp t="s">
        <v/>
        <stp/>
        <stp>##V3_BQLV12</stp>
        <stp>[MODL_CRM_US1.xlsx]Single Period!R129C36</stp>
        <stp>CRM US Equity</stp>
        <stp>CB_BS_ACCT_PYBL_ACC_EXPNSS/1M</stp>
        <stp>FPR=2022Y</stp>
        <stp>FPT=A</stp>
        <stp>FA_ACT_EST_DATA=E, EST_SOURCE=MAC</stp>
        <stp>ACT_EST_MAPPING=PRECISE</stp>
        <stp>FS=MRC</stp>
        <stp>CURRENCY=USD</stp>
        <stp>XLFILL=b</stp>
        <tr r="AJ129" s="2"/>
      </tp>
      <tp t="s">
        <v/>
        <stp/>
        <stp>##V3_BQLV12</stp>
        <stp>[MODL_CRM_US1.xlsx]Single Period!R163C35</stp>
        <stp>CRM US Equity</stp>
        <stp>CB_CF_OTHR_NONCSH_ITEMS/1M</stp>
        <stp>FPR=2022Y</stp>
        <stp>FPT=A</stp>
        <stp>FA_ACT_EST_DATA=E, EST_SOURCE=ATL</stp>
        <stp>ACT_EST_MAPPING=PRECISE</stp>
        <stp>FS=MRC</stp>
        <stp>CURRENCY=USD</stp>
        <stp>XLFILL=b</stp>
        <tr r="AI163" s="2"/>
      </tp>
      <tp t="s">
        <v/>
        <stp/>
        <stp>##V3_BQLV12</stp>
        <stp>[MODL_CRM_US1.xlsx]Single Period!R133C51</stp>
        <stp>CRM US Equity</stp>
        <stp>BS_LONG_TERM_BORROWINGS/1M</stp>
        <stp>FPR=2022Y</stp>
        <stp>FPT=A</stp>
        <stp>FA_ACT_EST_DATA=E, EST_SOURCE=RCP</stp>
        <stp>ACT_EST_MAPPING=PRECISE</stp>
        <stp>FS=MRC</stp>
        <stp>CURRENCY=USD</stp>
        <stp>XLFILL=b</stp>
        <tr r="AY133" s="2"/>
      </tp>
      <tp t="s">
        <v/>
        <stp/>
        <stp>##V3_BQLV12</stp>
        <stp>[MODL_CRM_US1.xlsx]Single Period!R163C46</stp>
        <stp>CRM US Equity</stp>
        <stp>CB_CF_OTHR_NONCSH_ITEMS/1M</stp>
        <stp>FPR=2022Y</stp>
        <stp>FPT=A</stp>
        <stp>FA_ACT_EST_DATA=E, EST_SOURCE=CTI</stp>
        <stp>ACT_EST_MAPPING=PRECISE</stp>
        <stp>FS=MRC</stp>
        <stp>CURRENCY=USD</stp>
        <stp>XLFILL=b</stp>
        <tr r="AT163" s="2"/>
      </tp>
      <tp t="s">
        <v/>
        <stp/>
        <stp>##V3_BQLV12</stp>
        <stp>[MODL_CRM_US1.xlsx]Single Period!R147C13</stp>
        <stp>CRM US Equity</stp>
        <stp>BV_PER_WEIGHTED_DILUTED_SHARE</stp>
        <stp>FPR=2022Y</stp>
        <stp>FPT=A</stp>
        <stp>FA_ACT_EST_DATA=E, EST_SOURCE=BCA</stp>
        <stp>ACT_EST_MAPPING=PRECISE</stp>
        <stp>FS=MRC</stp>
        <stp>CURRENCY=USD</stp>
        <stp>XLFILL=b</stp>
        <tr r="M147" s="2"/>
      </tp>
      <tp>
        <v>4926.105263157895</v>
        <stp/>
        <stp>##V3_BQLV12</stp>
        <stp>[MODL_CRM_US1.xlsx]Single Period!R19C5</stp>
        <stp>CRM US Equity</stp>
        <stp>IS_COMPARABLE_EBIT/1M</stp>
        <stp>FPR=2022Y</stp>
        <stp>FPT=A</stp>
        <stp>FA_ACT_EST_DATA=E</stp>
        <stp>ACT_EST_MAPPING=PRECISE</stp>
        <stp>FS=MRC</stp>
        <stp>CURRENCY=USD</stp>
        <stp>XLFILL=b</stp>
        <tr r="E19" s="2"/>
      </tp>
      <tp t="s">
        <v/>
        <stp/>
        <stp>##V3_BQLV12</stp>
        <stp>[MODL_CRM_US1.xlsx]Single Period!R147C40</stp>
        <stp>CRM US Equity</stp>
        <stp>BV_PER_WEIGHTED_DILUTED_SHARE</stp>
        <stp>FPR=2022Y</stp>
        <stp>FPT=A</stp>
        <stp>FA_ACT_EST_DATA=E, EST_SOURCE=ACC</stp>
        <stp>ACT_EST_MAPPING=PRECISE</stp>
        <stp>FS=MRC</stp>
        <stp>CURRENCY=USD</stp>
        <stp>XLFILL=b</stp>
        <tr r="AN147" s="2"/>
      </tp>
      <tp t="s">
        <v/>
        <stp/>
        <stp>##V3_BQLV12</stp>
        <stp>[MODL_CRM_US1.xlsx]Single Period!R147C19</stp>
        <stp>CRM US Equity</stp>
        <stp>BV_PER_WEIGHTED_DILUTED_SHARE</stp>
        <stp>FPR=2022Y</stp>
        <stp>FPT=A</stp>
        <stp>FA_ACT_EST_DATA=E, EST_SOURCE=SCB</stp>
        <stp>ACT_EST_MAPPING=PRECISE</stp>
        <stp>FS=MRC</stp>
        <stp>CURRENCY=USD</stp>
        <stp>XLFILL=b</stp>
        <tr r="S147" s="2"/>
      </tp>
      <tp t="s">
        <v/>
        <stp/>
        <stp>##V3_BQLV12</stp>
        <stp>[MODL_CRM_US1.xlsx]Single Period!R147C27</stp>
        <stp>CRM US Equity</stp>
        <stp>BV_PER_WEIGHTED_DILUTED_SHARE</stp>
        <stp>FPR=2022Y</stp>
        <stp>FPT=A</stp>
        <stp>FA_ACT_EST_DATA=E, EST_SOURCE=LCM</stp>
        <stp>ACT_EST_MAPPING=PRECISE</stp>
        <stp>FS=MRC</stp>
        <stp>CURRENCY=USD</stp>
        <stp>XLFILL=b</stp>
        <tr r="AA147" s="2"/>
      </tp>
      <tp t="s">
        <v/>
        <stp/>
        <stp>##V3_BQLV12</stp>
        <stp>[MODL_CRM_US1.xlsx]Single Period!R158C12</stp>
        <stp>CRM US Equity</stp>
        <stp>IS_SBC_NON_GAAP/1M</stp>
        <stp>FPR=2022Y</stp>
        <stp>FPT=A</stp>
        <stp>FA_ACT_EST_DATA=E, EST_SOURCE=BMO</stp>
        <stp>ACT_EST_MAPPING=PRECISE</stp>
        <stp>FS=MRC</stp>
        <stp>CURRENCY=USD</stp>
        <stp>XLFILL=b</stp>
        <tr r="L158" s="2"/>
      </tp>
      <tp t="s">
        <v/>
        <stp/>
        <stp>##V3_BQLV12</stp>
        <stp>[MODL_CRM_US1.xlsx]Single Period!R178C53</stp>
        <stp>CRM US Equity</stp>
        <stp>CB_CF_REPAYMENT_LT_DEBT/1M</stp>
        <stp>FPR=2022Y</stp>
        <stp>FPT=A</stp>
        <stp>FA_ACT_EST_DATA=E, EST_SOURCE=NIK</stp>
        <stp>ACT_EST_MAPPING=PRECISE</stp>
        <stp>FS=MRC</stp>
        <stp>CURRENCY=USD</stp>
        <stp>XLFILL=b</stp>
        <tr r="BA178" s="2"/>
      </tp>
      <tp t="s">
        <v/>
        <stp/>
        <stp>##V3_BQLV12</stp>
        <stp>[MODL_CRM_US1.xlsx]Single Period!R116C30</stp>
        <stp>CRM US Equity</stp>
        <stp>PREPAID_EXPNSS_AND_OTHR/1M</stp>
        <stp>FPR=2022Y</stp>
        <stp>FPT=A</stp>
        <stp>FA_ACT_EST_DATA=E, EST_SOURCE=BAM</stp>
        <stp>ACT_EST_MAPPING=PRECISE</stp>
        <stp>FS=MRC</stp>
        <stp>CURRENCY=USD</stp>
        <stp>XLFILL=b</stp>
        <tr r="AD116" s="2"/>
      </tp>
      <tp t="s">
        <v/>
        <stp/>
        <stp>##V3_BQLV12</stp>
        <stp>[MODL_CRM_US1.xlsx]Single Period!R138C33</stp>
        <stp>CRM US Equity</stp>
        <stp>BS_COMMON_STOCK/1M</stp>
        <stp>FPR=2022Y</stp>
        <stp>FPT=A</stp>
        <stp>FA_ACT_EST_DATA=E, EST_SOURCE=RHR</stp>
        <stp>ACT_EST_MAPPING=PRECISE</stp>
        <stp>FS=MRC</stp>
        <stp>CURRENCY=USD</stp>
        <stp>XLFILL=b</stp>
        <tr r="AG138" s="2"/>
      </tp>
      <tp t="s">
        <v/>
        <stp/>
        <stp>##V3_BQLV12</stp>
        <stp>[MODL_CRM_US1.xlsx]Single Period!R116C18</stp>
        <stp>CRM US Equity</stp>
        <stp>PREPAID_EXPNSS_AND_OTHR/1M</stp>
        <stp>FPR=2022Y</stp>
        <stp>FPT=A</stp>
        <stp>FA_ACT_EST_DATA=E, EST_SOURCE=CAN</stp>
        <stp>ACT_EST_MAPPING=PRECISE</stp>
        <stp>FS=MRC</stp>
        <stp>CURRENCY=USD</stp>
        <stp>XLFILL=b</stp>
        <tr r="R116" s="2"/>
      </tp>
      <tp>
        <v>2806</v>
        <stp/>
        <stp>##V3_BQLV12</stp>
        <stp>[MODL_CRM_US1.xlsx]Single Period!R158C20</stp>
        <stp>CRM US Equity</stp>
        <stp>IS_SBC_NON_GAAP/1M</stp>
        <stp>FPR=2022Y</stp>
        <stp>FPT=A</stp>
        <stp>FA_ACT_EST_DATA=E, EST_SOURCE=JMP</stp>
        <stp>ACT_EST_MAPPING=PRECISE</stp>
        <stp>FS=MRC</stp>
        <stp>CURRENCY=USD</stp>
        <stp>XLFILL=b</stp>
        <tr r="T158" s="2"/>
      </tp>
      <tp>
        <v>2764</v>
        <stp/>
        <stp>##V3_BQLV12</stp>
        <stp>[MODL_CRM_US1.xlsx]Single Period!R158C25</stp>
        <stp>CRM US Equity</stp>
        <stp>IS_SBC_NON_GAAP/1M</stp>
        <stp>FPR=2022Y</stp>
        <stp>FPT=A</stp>
        <stp>FA_ACT_EST_DATA=E, EST_SOURCE=WMS</stp>
        <stp>ACT_EST_MAPPING=PRECISE</stp>
        <stp>FS=MRC</stp>
        <stp>CURRENCY=USD</stp>
        <stp>XLFILL=b</stp>
        <tr r="Y158" s="2"/>
      </tp>
      <tp t="s">
        <v/>
        <stp/>
        <stp>##V3_BQLV12</stp>
        <stp>[MODL_CRM_US1.xlsx]Single Period!R133C40</stp>
        <stp>CRM US Equity</stp>
        <stp>BS_LONG_TERM_BORROWINGS/1M</stp>
        <stp>FPR=2022Y</stp>
        <stp>FPT=A</stp>
        <stp>FA_ACT_EST_DATA=E, EST_SOURCE=ACC</stp>
        <stp>ACT_EST_MAPPING=PRECISE</stp>
        <stp>FS=MRC</stp>
        <stp>CURRENCY=USD</stp>
        <stp>XLFILL=b</stp>
        <tr r="AN133" s="2"/>
      </tp>
      <tp>
        <v>10591</v>
        <stp/>
        <stp>##V3_BQLV12</stp>
        <stp>[MODL_CRM_US1.xlsx]Single Period!R133C13</stp>
        <stp>CRM US Equity</stp>
        <stp>BS_LONG_TERM_BORROWINGS/1M</stp>
        <stp>FPR=2022Y</stp>
        <stp>FPT=A</stp>
        <stp>FA_ACT_EST_DATA=E, EST_SOURCE=BCA</stp>
        <stp>ACT_EST_MAPPING=PRECISE</stp>
        <stp>FS=MRC</stp>
        <stp>CURRENCY=USD</stp>
        <stp>XLFILL=b</stp>
        <tr r="M133" s="2"/>
      </tp>
      <tp t="s">
        <v/>
        <stp/>
        <stp>##V3_BQLV12</stp>
        <stp>[MODL_CRM_US1.xlsx]Single Period!R147C51</stp>
        <stp>CRM US Equity</stp>
        <stp>BV_PER_WEIGHTED_DILUTED_SHARE</stp>
        <stp>FPR=2022Y</stp>
        <stp>FPT=A</stp>
        <stp>FA_ACT_EST_DATA=E, EST_SOURCE=RCP</stp>
        <stp>ACT_EST_MAPPING=PRECISE</stp>
        <stp>FS=MRC</stp>
        <stp>CURRENCY=USD</stp>
        <stp>XLFILL=b</stp>
        <tr r="AY147" s="2"/>
      </tp>
      <tp t="s">
        <v/>
        <stp/>
        <stp>##V3_BQLV12</stp>
        <stp>[MODL_CRM_US1.xlsx]Single Period!R178C56</stp>
        <stp>CRM US Equity</stp>
        <stp>CB_CF_REPAYMENT_LT_DEBT/1M</stp>
        <stp>FPR=2022Y</stp>
        <stp>FPT=A</stp>
        <stp>FA_ACT_EST_DATA=E, EST_SOURCE=DIR</stp>
        <stp>ACT_EST_MAPPING=PRECISE</stp>
        <stp>FS=MRC</stp>
        <stp>CURRENCY=USD</stp>
        <stp>XLFILL=b</stp>
        <tr r="BD178" s="2"/>
      </tp>
      <tp t="s">
        <v/>
        <stp/>
        <stp>##V3_BQLV12</stp>
        <stp>[MODL_CRM_US1.xlsx]Single Period!R192C36</stp>
        <stp>CRM US Equity</stp>
        <stp>FREE_CASH_FLOW_MARGIN</stp>
        <stp>FPR=2022Y</stp>
        <stp>FPT=A</stp>
        <stp>FA_ACT_EST_DATA=E, EST_SOURCE=MAC</stp>
        <stp>ACT_EST_MAPPING=PRECISE</stp>
        <stp>FS=MRC</stp>
        <stp>CURRENCY=USD</stp>
        <stp>XLFILL=b</stp>
        <tr r="AJ192" s="2"/>
      </tp>
      <tp t="s">
        <v/>
        <stp/>
        <stp>##V3_BQLV12</stp>
        <stp>[MODL_CRM_US1.xlsx]Single Period!R133C19</stp>
        <stp>CRM US Equity</stp>
        <stp>BS_LONG_TERM_BORROWINGS/1M</stp>
        <stp>FPR=2022Y</stp>
        <stp>FPT=A</stp>
        <stp>FA_ACT_EST_DATA=E, EST_SOURCE=SCB</stp>
        <stp>ACT_EST_MAPPING=PRECISE</stp>
        <stp>FS=MRC</stp>
        <stp>CURRENCY=USD</stp>
        <stp>XLFILL=b</stp>
        <tr r="S133" s="2"/>
      </tp>
      <tp t="s">
        <v/>
        <stp/>
        <stp>##V3_BQLV12</stp>
        <stp>[MODL_CRM_US1.xlsx]Single Period!R192C30</stp>
        <stp>CRM US Equity</stp>
        <stp>FREE_CASH_FLOW_MARGIN</stp>
        <stp>FPR=2022Y</stp>
        <stp>FPT=A</stp>
        <stp>FA_ACT_EST_DATA=E, EST_SOURCE=BAM</stp>
        <stp>ACT_EST_MAPPING=PRECISE</stp>
        <stp>FS=MRC</stp>
        <stp>CURRENCY=USD</stp>
        <stp>XLFILL=b</stp>
        <tr r="AD192" s="2"/>
      </tp>
      <tp t="s">
        <v/>
        <stp/>
        <stp>##V3_BQLV12</stp>
        <stp>[MODL_CRM_US1.xlsx]Single Period!R13C28</stp>
        <stp>CRM US Equity</stp>
        <stp>CURRENT_FUTURE_REV_UNDER_CONTRACT/1M</stp>
        <stp>FPR=2022Y</stp>
        <stp>FPT=A</stp>
        <stp>FA_ACT_EST_DATA=E, EST_SOURCE=CWN</stp>
        <stp>ACT_EST_MAPPING=PRECISE</stp>
        <stp>FS=MRC</stp>
        <stp>CURRENCY=USD</stp>
        <stp>XLFILL=b</stp>
        <tr r="AB13" s="2"/>
      </tp>
      <tp t="s">
        <v/>
        <stp/>
        <stp>##V3_BQLV12</stp>
        <stp>[MODL_CRM_US1.xlsx]Single Period!R133C27</stp>
        <stp>CRM US Equity</stp>
        <stp>BS_LONG_TERM_BORROWINGS/1M</stp>
        <stp>FPR=2022Y</stp>
        <stp>FPT=A</stp>
        <stp>FA_ACT_EST_DATA=E, EST_SOURCE=LCM</stp>
        <stp>ACT_EST_MAPPING=PRECISE</stp>
        <stp>FS=MRC</stp>
        <stp>CURRENCY=USD</stp>
        <stp>XLFILL=b</stp>
        <tr r="AA133" s="2"/>
      </tp>
      <tp t="s">
        <v/>
        <stp/>
        <stp>##V3_BQLV12</stp>
        <stp>[MODL_CRM_US1.xlsx]Single Period!R192C18</stp>
        <stp>CRM US Equity</stp>
        <stp>FREE_CASH_FLOW_MARGIN</stp>
        <stp>FPR=2022Y</stp>
        <stp>FPT=A</stp>
        <stp>FA_ACT_EST_DATA=E, EST_SOURCE=CAN</stp>
        <stp>ACT_EST_MAPPING=PRECISE</stp>
        <stp>FS=MRC</stp>
        <stp>CURRENCY=USD</stp>
        <stp>XLFILL=b</stp>
        <tr r="R192" s="2"/>
      </tp>
      <tp t="s">
        <v/>
        <stp/>
        <stp>##V3_BQLV12</stp>
        <stp>[MODL_CRM_US1.xlsx]Single Period!R116C36</stp>
        <stp>CRM US Equity</stp>
        <stp>PREPAID_EXPNSS_AND_OTHR/1M</stp>
        <stp>FPR=2022Y</stp>
        <stp>FPT=A</stp>
        <stp>FA_ACT_EST_DATA=E, EST_SOURCE=MAC</stp>
        <stp>ACT_EST_MAPPING=PRECISE</stp>
        <stp>FS=MRC</stp>
        <stp>CURRENCY=USD</stp>
        <stp>XLFILL=b</stp>
        <tr r="AJ116" s="2"/>
      </tp>
      <tp t="s">
        <v/>
        <stp/>
        <stp>##V3_BQLV12</stp>
        <stp>[MODL_CRM_US1.xlsx]Single Period!R171C18</stp>
        <stp>CRM US Equity</stp>
        <stp>CF_PURCHASE_OF_FIXED_PROD_ASSETS/1M</stp>
        <stp>FPR=2022Y</stp>
        <stp>FPT=A</stp>
        <stp>FA_ACT_EST_DATA=E, EST_SOURCE=CAN</stp>
        <stp>ACT_EST_MAPPING=PRECISE</stp>
        <stp>FS=MRC</stp>
        <stp>CURRENCY=USD</stp>
        <stp>XLFILL=b</stp>
        <tr r="R171" s="2"/>
      </tp>
      <tp>
        <v>4987.6522409999998</v>
        <stp/>
        <stp>##V3_BQLV12</stp>
        <stp>[MODL_CRM_US1.xlsx]Single Period!R30C15</stp>
        <stp>SEG0000269238 Segment</stp>
        <stp>IS_COGS_TO_FE_AND_PP_AND_G/1M</stp>
        <stp>FPR=2022Y</stp>
        <stp>FPT=A</stp>
        <stp>FA_ACT_EST_DATA=E, EST_SOURCE=MSV</stp>
        <stp>ACT_EST_MAPPING=PRECISE</stp>
        <stp>FS=MRC</stp>
        <stp>CURRENCY=USD</stp>
        <stp>XLFILL=b</stp>
        <tr r="O30" s="2"/>
      </tp>
      <tp>
        <v>-855.93905131800557</v>
        <stp/>
        <stp>##V3_BQLV12</stp>
        <stp>[MODL_CRM_US1.xlsx]Single Period!R171C24</stp>
        <stp>CRM US Equity</stp>
        <stp>CF_PURCHASE_OF_FIXED_PROD_ASSETS/1M</stp>
        <stp>FPR=2022Y</stp>
        <stp>FPT=A</stp>
        <stp>FA_ACT_EST_DATA=E, EST_SOURCE=FBC</stp>
        <stp>ACT_EST_MAPPING=PRECISE</stp>
        <stp>FS=MRC</stp>
        <stp>CURRENCY=USD</stp>
        <stp>XLFILL=b</stp>
        <tr r="X171" s="2"/>
      </tp>
      <tp>
        <v>4919.913507527468</v>
        <stp/>
        <stp>##V3_BQLV12</stp>
        <stp>[MODL_CRM_US1.xlsx]Single Period!R191C18</stp>
        <stp>CRM US Equity</stp>
        <stp>CF_FREE_CASH_FLOW/1M</stp>
        <stp>FPR=2022Y</stp>
        <stp>FPT=A</stp>
        <stp>FA_ACT_EST_DATA=E, EST_SOURCE=CAN</stp>
        <stp>ACT_EST_MAPPING=PRECISE</stp>
        <stp>FS=MRC</stp>
        <stp>CURRENCY=USD</stp>
        <stp>XLFILL=b</stp>
        <tr r="R191" s="2"/>
      </tp>
      <tp t="s">
        <v/>
        <stp/>
        <stp>##V3_BQLV12</stp>
        <stp>[MODL_CRM_US1.xlsx]Single Period!R30C38</stp>
        <stp>SEG0000269238 Segment</stp>
        <stp>IS_COGS_TO_FE_AND_PP_AND_G/1M</stp>
        <stp>FPR=2022Y</stp>
        <stp>FPT=A</stp>
        <stp>FA_ACT_EST_DATA=E, EST_SOURCE=MSR</stp>
        <stp>ACT_EST_MAPPING=PRECISE</stp>
        <stp>FS=MRC</stp>
        <stp>CURRENCY=USD</stp>
        <stp>XLFILL=b</stp>
        <tr r="AL30" s="2"/>
      </tp>
      <tp t="s">
        <v/>
        <stp/>
        <stp>##V3_BQLV12</stp>
        <stp>[MODL_CRM_US1.xlsx]Single Period!R30C41</stp>
        <stp>SEG0000269238 Segment</stp>
        <stp>IS_COGS_TO_FE_AND_PP_AND_G/1M</stp>
        <stp>FPR=2022Y</stp>
        <stp>FPT=A</stp>
        <stp>FA_ACT_EST_DATA=E, EST_SOURCE=GSR</stp>
        <stp>ACT_EST_MAPPING=PRECISE</stp>
        <stp>FS=MRC</stp>
        <stp>CURRENCY=USD</stp>
        <stp>XLFILL=b</stp>
        <tr r="AO30" s="2"/>
      </tp>
      <tp t="s">
        <v/>
        <stp/>
        <stp>##V3_BQLV12</stp>
        <stp>[MODL_CRM_US1.xlsx]Single Period!R170C33</stp>
        <stp>CRM US Equity</stp>
        <stp>CF_CASH_FOR_ACQUIS_SUBSIDIARIES/1M</stp>
        <stp>FPR=2022Y</stp>
        <stp>FPT=A</stp>
        <stp>FA_ACT_EST_DATA=E, EST_SOURCE=RHR</stp>
        <stp>ACT_EST_MAPPING=PRECISE</stp>
        <stp>FS=MRC</stp>
        <stp>CURRENCY=USD</stp>
        <stp>XLFILL=b</stp>
        <tr r="AG170" s="2"/>
      </tp>
      <tp t="s">
        <v/>
        <stp/>
        <stp>##V3_BQLV12</stp>
        <stp>[MODL_CRM_US1.xlsx]Single Period!R171C55</stp>
        <stp>CRM US Equity</stp>
        <stp>CF_PURCHASE_OF_FIXED_PROD_ASSETS/1M</stp>
        <stp>FPR=2022Y</stp>
        <stp>FPT=A</stp>
        <stp>FA_ACT_EST_DATA=E, EST_SOURCE=RED</stp>
        <stp>ACT_EST_MAPPING=PRECISE</stp>
        <stp>FS=MRC</stp>
        <stp>CURRENCY=USD</stp>
        <stp>XLFILL=b</stp>
        <tr r="BC171" s="2"/>
      </tp>
      <tp t="s">
        <v/>
        <stp/>
        <stp>##V3_BQLV12</stp>
        <stp>[MODL_CRM_US1.xlsx]Single Period!R34C37</stp>
        <stp>SEG0000269227 Segment</stp>
        <stp>IS_COGS_TO_FE_AND_PP_AND_G/1M</stp>
        <stp>FPR=2022Y</stp>
        <stp>FPT=A</stp>
        <stp>FA_ACT_EST_DATA=E, EST_SOURCE=EVR</stp>
        <stp>ACT_EST_MAPPING=PRECISE</stp>
        <stp>FS=MRC</stp>
        <stp>CURRENCY=USD</stp>
        <stp>XLFILL=b</stp>
        <tr r="AK34" s="2"/>
      </tp>
      <tp t="s">
        <v/>
        <stp/>
        <stp>##V3_BQLV12</stp>
        <stp>[MODL_CRM_US1.xlsx]Single Period!R176C33</stp>
        <stp>CRM US Equity</stp>
        <stp>CF_INCR_CAP_STOCK/1M</stp>
        <stp>FPR=2022Y</stp>
        <stp>FPT=A</stp>
        <stp>FA_ACT_EST_DATA=E, EST_SOURCE=RHR</stp>
        <stp>ACT_EST_MAPPING=PRECISE</stp>
        <stp>FS=MRC</stp>
        <stp>CURRENCY=USD</stp>
        <stp>XLFILL=b</stp>
        <tr r="AG176" s="2"/>
      </tp>
      <tp t="s">
        <v/>
        <stp/>
        <stp>##V3_BQLV12</stp>
        <stp>[MODL_CRM_US1.xlsx]Single Period!R30C42</stp>
        <stp>SEG0000269238 Segment</stp>
        <stp>IS_COGS_TO_FE_AND_PP_AND_G/1M</stp>
        <stp>FPR=2022Y</stp>
        <stp>FPT=A</stp>
        <stp>FA_ACT_EST_DATA=E, EST_SOURCE=PSG</stp>
        <stp>ACT_EST_MAPPING=PRECISE</stp>
        <stp>FS=MRC</stp>
        <stp>CURRENCY=USD</stp>
        <stp>XLFILL=b</stp>
        <tr r="AP30" s="2"/>
      </tp>
      <tp t="s">
        <v/>
        <stp/>
        <stp>##V3_BQLV12</stp>
        <stp>[MODL_CRM_US1.xlsx]Single Period!R164C21</stp>
        <stp>CRM US Equity</stp>
        <stp>CHG_IN_ACCT_PYBL_AND_ACC_EXPNSS/1M</stp>
        <stp>FPR=2022Y</stp>
        <stp>FPT=A</stp>
        <stp>FA_ACT_EST_DATA=E, EST_SOURCE=RJA</stp>
        <stp>ACT_EST_MAPPING=PRECISE</stp>
        <stp>FS=MRC</stp>
        <stp>CURRENCY=USD</stp>
        <stp>XLFILL=b</stp>
        <tr r="U164" s="2"/>
      </tp>
      <tp t="s">
        <v/>
        <stp/>
        <stp>##V3_BQLV12</stp>
        <stp>[MODL_CRM_US1.xlsx]Single Period!R164C48</stp>
        <stp>CRM US Equity</stp>
        <stp>CHG_IN_ACCT_PYBL_AND_ACC_EXPNSS/1M</stp>
        <stp>FPR=2022Y</stp>
        <stp>FPT=A</stp>
        <stp>FA_ACT_EST_DATA=E, EST_SOURCE=PJE</stp>
        <stp>ACT_EST_MAPPING=PRECISE</stp>
        <stp>FS=MRC</stp>
        <stp>CURRENCY=USD</stp>
        <stp>XLFILL=b</stp>
        <tr r="AV164" s="2"/>
      </tp>
      <tp>
        <v>79.069213087557301</v>
        <stp/>
        <stp>##V3_BQLV12</stp>
        <stp>[MODL_CRM_US1.xlsx]Single Period!R56C7</stp>
        <stp>CRM US Equity</stp>
        <stp>CONTRIBUTOR_STATS(IS_COMP_GROSS_MARGIN_PERCENTAGE, MAX)</stp>
        <stp>FPR=2022Y</stp>
        <stp>FPT=A</stp>
        <stp>FA_ACT_EST_DATA=E</stp>
        <stp>ACT_EST_MAPPING=PRECISE</stp>
        <stp>FS=MRC</stp>
        <stp>CURRENCY=USD</stp>
        <stp>XLFILL=b</stp>
        <tr r="G56" s="2"/>
      </tp>
      <tp>
        <v>79.069213087557301</v>
        <stp/>
        <stp>##V3_BQLV12</stp>
        <stp>[MODL_CRM_US1.xlsx]Single Period!R17C7</stp>
        <stp>CRM US Equity</stp>
        <stp>CONTRIBUTOR_STATS(IS_COMP_GROSS_MARGIN_PERCENTAGE, MAX)</stp>
        <stp>FPR=2022Y</stp>
        <stp>FPT=A</stp>
        <stp>FA_ACT_EST_DATA=E</stp>
        <stp>ACT_EST_MAPPING=PRECISE</stp>
        <stp>FS=MRC</stp>
        <stp>CURRENCY=USD</stp>
        <stp>XLFILL=b</stp>
        <tr r="G17" s="2"/>
      </tp>
      <tp>
        <v>1030</v>
        <stp/>
        <stp>##V3_BQLV12</stp>
        <stp>[MODL_CRM_US1.xlsx]Single Period!R176C21</stp>
        <stp>CRM US Equity</stp>
        <stp>CF_INCR_CAP_STOCK/1M</stp>
        <stp>FPR=2022Y</stp>
        <stp>FPT=A</stp>
        <stp>FA_ACT_EST_DATA=E, EST_SOURCE=RJA</stp>
        <stp>ACT_EST_MAPPING=PRECISE</stp>
        <stp>FS=MRC</stp>
        <stp>CURRENCY=USD</stp>
        <stp>XLFILL=b</stp>
        <tr r="U176" s="2"/>
      </tp>
      <tp>
        <v>78</v>
        <stp/>
        <stp>##V3_BQLV12</stp>
        <stp>[MODL_CRM_US1.xlsx]Single Period!R17C6</stp>
        <stp>CRM US Equity</stp>
        <stp>CONTRIBUTOR_STATS(IS_COMP_GROSS_MARGIN_PERCENTAGE, MIN)</stp>
        <stp>FPR=2022Y</stp>
        <stp>FPT=A</stp>
        <stp>FA_ACT_EST_DATA=E</stp>
        <stp>ACT_EST_MAPPING=PRECISE</stp>
        <stp>FS=MRC</stp>
        <stp>CURRENCY=USD</stp>
        <stp>XLFILL=b</stp>
        <tr r="F17" s="2"/>
      </tp>
      <tp>
        <v>78</v>
        <stp/>
        <stp>##V3_BQLV12</stp>
        <stp>[MODL_CRM_US1.xlsx]Single Period!R56C6</stp>
        <stp>CRM US Equity</stp>
        <stp>CONTRIBUTOR_STATS(IS_COMP_GROSS_MARGIN_PERCENTAGE, MIN)</stp>
        <stp>FPR=2022Y</stp>
        <stp>FPT=A</stp>
        <stp>FA_ACT_EST_DATA=E</stp>
        <stp>ACT_EST_MAPPING=PRECISE</stp>
        <stp>FS=MRC</stp>
        <stp>CURRENCY=USD</stp>
        <stp>XLFILL=b</stp>
        <tr r="F56" s="2"/>
      </tp>
      <tp t="s">
        <v/>
        <stp/>
        <stp>##V3_BQLV12</stp>
        <stp>[MODL_CRM_US1.xlsx]Single Period!R184C16</stp>
        <stp>CRM US Equity</stp>
        <stp>CFO_TO_SALES</stp>
        <stp>FPR=2022Y</stp>
        <stp>FPT=A</stp>
        <stp>FA_ACT_EST_DATA=E, EST_SOURCE=DBG</stp>
        <stp>ACT_EST_MAPPING=PRECISE</stp>
        <stp>FS=MRC</stp>
        <stp>CURRENCY=USD</stp>
        <stp>XLFILL=b</stp>
        <tr r="P184" s="2"/>
      </tp>
      <tp>
        <v>4.6900000000000004</v>
        <stp/>
        <stp>##V3_BQLV12</stp>
        <stp>[MODL_CRM_US1.xlsx]Single Period!R74C16</stp>
        <stp>CRM US Equity</stp>
        <stp>IS_COMP_EPS_EXCL_STOCK_COMP</stp>
        <stp>FPR=2022Y</stp>
        <stp>FPT=A</stp>
        <stp>FA_ACT_EST_DATA=E, EST_SOURCE=DBG</stp>
        <stp>ACT_EST_MAPPING=PRECISE</stp>
        <stp>FS=MRC</stp>
        <stp>CURRENCY=USD</stp>
        <stp>XLFILL=b</stp>
        <tr r="P74" s="2"/>
      </tp>
      <tp t="s">
        <v/>
        <stp/>
        <stp>##V3_BQLV12</stp>
        <stp>[MODL_CRM_US1.xlsx]Single Period!R184C27</stp>
        <stp>CRM US Equity</stp>
        <stp>CFO_TO_SALES</stp>
        <stp>FPR=2022Y</stp>
        <stp>FPT=A</stp>
        <stp>FA_ACT_EST_DATA=E, EST_SOURCE=LCM</stp>
        <stp>ACT_EST_MAPPING=PRECISE</stp>
        <stp>FS=MRC</stp>
        <stp>CURRENCY=USD</stp>
        <stp>XLFILL=b</stp>
        <tr r="AA184" s="2"/>
      </tp>
      <tp>
        <v>4.66</v>
        <stp/>
        <stp>##V3_BQLV12</stp>
        <stp>[MODL_CRM_US1.xlsx]Single Period!R74C11</stp>
        <stp>CRM US Equity</stp>
        <stp>IS_COMP_EPS_EXCL_STOCK_COMP</stp>
        <stp>FPR=2022Y</stp>
        <stp>FPT=A</stp>
        <stp>FA_ACT_EST_DATA=E, EST_SOURCE=WBL</stp>
        <stp>ACT_EST_MAPPING=PRECISE</stp>
        <stp>FS=MRC</stp>
        <stp>CURRENCY=USD</stp>
        <stp>XLFILL=b</stp>
        <tr r="K74" s="2"/>
      </tp>
      <tp t="s">
        <v/>
        <stp/>
        <stp>##V3_BQLV12</stp>
        <stp>[MODL_CRM_US1.xlsx]Single Period!R74C49</stp>
        <stp>CRM US Equity</stp>
        <stp>IS_COMP_EPS_EXCL_STOCK_COMP</stp>
        <stp>FPR=2022Y</stp>
        <stp>FPT=A</stp>
        <stp>FA_ACT_EST_DATA=E, EST_SOURCE=SGE</stp>
        <stp>ACT_EST_MAPPING=PRECISE</stp>
        <stp>FS=MRC</stp>
        <stp>CURRENCY=USD</stp>
        <stp>XLFILL=b</stp>
        <tr r="AW74" s="2"/>
      </tp>
      <tp t="s">
        <v/>
        <stp/>
        <stp>##V3_BQLV12</stp>
        <stp>[MODL_CRM_US1.xlsx]Single Period!R92C39</stp>
        <stp>CRM US Equity</stp>
        <stp>PROF_MARGIN</stp>
        <stp>FPR=2022Y</stp>
        <stp>FPT=A</stp>
        <stp>FA_ACT_EST_DATA=E, EST_SOURCE=KGI</stp>
        <stp>ACT_EST_MAPPING=PRECISE</stp>
        <stp>FS=MRC</stp>
        <stp>CURRENCY=USD</stp>
        <stp>XLFILL=b</stp>
        <tr r="AM92" s="2"/>
      </tp>
      <tp t="s">
        <v/>
        <stp/>
        <stp>##V3_BQLV12</stp>
        <stp>[MODL_CRM_US1.xlsx]Single Period!R184C52</stp>
        <stp>CRM US Equity</stp>
        <stp>CFO_TO_SALES</stp>
        <stp>FPR=2022Y</stp>
        <stp>FPT=A</stp>
        <stp>FA_ACT_EST_DATA=E, EST_SOURCE=WFR</stp>
        <stp>ACT_EST_MAPPING=PRECISE</stp>
        <stp>FS=MRC</stp>
        <stp>CURRENCY=USD</stp>
        <stp>XLFILL=b</stp>
        <tr r="AZ184" s="2"/>
      </tp>
      <tp t="s">
        <v/>
        <stp/>
        <stp>##V3_BQLV12</stp>
        <stp>[MODL_CRM_US1.xlsx]Single Period!R74C52</stp>
        <stp>CRM US Equity</stp>
        <stp>IS_COMP_EPS_EXCL_STOCK_COMP</stp>
        <stp>FPR=2022Y</stp>
        <stp>FPT=A</stp>
        <stp>FA_ACT_EST_DATA=E, EST_SOURCE=WFR</stp>
        <stp>ACT_EST_MAPPING=PRECISE</stp>
        <stp>FS=MRC</stp>
        <stp>CURRENCY=USD</stp>
        <stp>XLFILL=b</stp>
        <tr r="AZ74" s="2"/>
      </tp>
      <tp t="s">
        <v/>
        <stp/>
        <stp>##V3_BQLV12</stp>
        <stp>[MODL_CRM_US1.xlsx]Single Period!R48C10</stp>
        <stp>SEG0000269229 Segment</stp>
        <stp>SALES_REV_TURN/1M</stp>
        <stp>FPR=2022Y</stp>
        <stp>FPT=A</stp>
        <stp>FA_ACT_EST_DATA=E, EST_SOURCE=CMPY</stp>
        <stp>ACT_EST_MAPPING=PRECISE</stp>
        <stp>FS=MRC</stp>
        <stp>CURRENCY=USD</stp>
        <stp>XLFILL=b</stp>
        <tr r="J48" s="2"/>
      </tp>
      <tp t="s">
        <v/>
        <stp/>
        <stp>##V3_BQLV12</stp>
        <stp>[MODL_CRM_US1.xlsx]Single Period!R61C27</stp>
        <stp>CRM US Equity</stp>
        <stp>ADJ_OPERATING_MARGIN</stp>
        <stp>FPR=2022Y</stp>
        <stp>FPT=A</stp>
        <stp>FA_ACT_EST_DATA=E, EST_SOURCE=LCM</stp>
        <stp>ACT_EST_MAPPING=PRECISE</stp>
        <stp>FS=MRC</stp>
        <stp>CURRENCY=USD</stp>
        <stp>XLFILL=b</stp>
        <tr r="AA61" s="2"/>
      </tp>
      <tp t="s">
        <v/>
        <stp/>
        <stp>##V3_BQLV12</stp>
        <stp>[MODL_CRM_US1.xlsx]Single Period!R115C29</stp>
        <stp>CRM US Equity</stp>
        <stp>CB_BS_OTHER_CURRENT_ASSETS/1M</stp>
        <stp>FPR=2022Y</stp>
        <stp>FPT=A</stp>
        <stp>FA_ACT_EST_DATA=E, EST_SOURCE=BNS</stp>
        <stp>ACT_EST_MAPPING=PRECISE</stp>
        <stp>FS=MRC</stp>
        <stp>CURRENCY=USD</stp>
        <stp>XLFILL=b</stp>
        <tr r="AC115" s="2"/>
      </tp>
      <tp t="s">
        <v/>
        <stp/>
        <stp>##V3_BQLV12</stp>
        <stp>[MODL_CRM_US1.xlsx]Single Period!R115C14</stp>
        <stp>CRM US Equity</stp>
        <stp>CB_BS_OTHER_CURRENT_ASSETS/1M</stp>
        <stp>FPR=2022Y</stp>
        <stp>FPT=A</stp>
        <stp>FA_ACT_EST_DATA=E, EST_SOURCE=SNR</stp>
        <stp>ACT_EST_MAPPING=PRECISE</stp>
        <stp>FS=MRC</stp>
        <stp>CURRENCY=USD</stp>
        <stp>XLFILL=b</stp>
        <tr r="N115" s="2"/>
      </tp>
      <tp>
        <v>18.64281282128038</v>
        <stp/>
        <stp>##V3_BQLV12</stp>
        <stp>[MODL_CRM_US1.xlsx]Single Period!R20C13</stp>
        <stp>CRM US Equity</stp>
        <stp>ADJ_OPERATING_MARGIN</stp>
        <stp>FPR=2022Y</stp>
        <stp>FPT=A</stp>
        <stp>FA_ACT_EST_DATA=E, EST_SOURCE=BCA</stp>
        <stp>ACT_EST_MAPPING=PRECISE</stp>
        <stp>FS=MRC</stp>
        <stp>CURRENCY=USD</stp>
        <stp>XLFILL=b</stp>
        <tr r="M20" s="2"/>
      </tp>
      <tp t="s">
        <v/>
        <stp/>
        <stp>##V3_BQLV12</stp>
        <stp>[MODL_CRM_US1.xlsx]Single Period!R113C14</stp>
        <stp>CRM US Equity</stp>
        <stp>BS_MKT_SEC_OTHER_ST_INVEST/1M</stp>
        <stp>FPR=2022Y</stp>
        <stp>FPT=A</stp>
        <stp>FA_ACT_EST_DATA=E, EST_SOURCE=SNR</stp>
        <stp>ACT_EST_MAPPING=PRECISE</stp>
        <stp>FS=MRC</stp>
        <stp>CURRENCY=USD</stp>
        <stp>XLFILL=b</stp>
        <tr r="N113" s="2"/>
      </tp>
      <tp t="s">
        <v/>
        <stp/>
        <stp>##V3_BQLV12</stp>
        <stp>[MODL_CRM_US1.xlsx]Single Period!R113C29</stp>
        <stp>CRM US Equity</stp>
        <stp>BS_MKT_SEC_OTHER_ST_INVEST/1M</stp>
        <stp>FPR=2022Y</stp>
        <stp>FPT=A</stp>
        <stp>FA_ACT_EST_DATA=E, EST_SOURCE=BNS</stp>
        <stp>ACT_EST_MAPPING=PRECISE</stp>
        <stp>FS=MRC</stp>
        <stp>CURRENCY=USD</stp>
        <stp>XLFILL=b</stp>
        <tr r="AC113" s="2"/>
      </tp>
      <tp t="s">
        <v/>
        <stp/>
        <stp>##V3_BQLV12</stp>
        <stp>[MODL_CRM_US1.xlsx]Single Period!R20C55</stp>
        <stp>CRM US Equity</stp>
        <stp>ADJ_OPERATING_MARGIN</stp>
        <stp>FPR=2022Y</stp>
        <stp>FPT=A</stp>
        <stp>FA_ACT_EST_DATA=E, EST_SOURCE=RED</stp>
        <stp>ACT_EST_MAPPING=PRECISE</stp>
        <stp>FS=MRC</stp>
        <stp>CURRENCY=USD</stp>
        <stp>XLFILL=b</stp>
        <tr r="BC20" s="2"/>
      </tp>
      <tp>
        <v>74.018055348193471</v>
        <stp/>
        <stp>##V3_BQLV12</stp>
        <stp>[MODL_CRM_US1.xlsx]Single Period!R80C15</stp>
        <stp>CRM US Equity</stp>
        <stp>GROSS_MARGIN</stp>
        <stp>FPR=2022Y</stp>
        <stp>FPT=A</stp>
        <stp>FA_ACT_EST_DATA=E, EST_SOURCE=MSV</stp>
        <stp>ACT_EST_MAPPING=PRECISE</stp>
        <stp>FS=MRC</stp>
        <stp>CURRENCY=USD</stp>
        <stp>XLFILL=b</stp>
        <tr r="O80" s="2"/>
      </tp>
      <tp t="s">
        <v/>
        <stp/>
        <stp>##V3_BQLV12</stp>
        <stp>[MODL_CRM_US1.xlsx]Single Period!R129C32</stp>
        <stp>CRM US Equity</stp>
        <stp>CB_BS_ACCT_PYBL_ACC_EXPNSS/1M</stp>
        <stp>FPR=2022Y</stp>
        <stp>FPT=A</stp>
        <stp>FA_ACT_EST_DATA=E, EST_SOURCE=UBS</stp>
        <stp>ACT_EST_MAPPING=PRECISE</stp>
        <stp>FS=MRC</stp>
        <stp>CURRENCY=USD</stp>
        <stp>XLFILL=b</stp>
        <tr r="AF129" s="2"/>
      </tp>
      <tp t="s">
        <v/>
        <stp/>
        <stp>##V3_BQLV12</stp>
        <stp>[MODL_CRM_US1.xlsx]Single Period!R118C25</stp>
        <stp>CRM US Equity</stp>
        <stp>CB_BS_PP_AND_E_NET/1M</stp>
        <stp>FPR=2022Y</stp>
        <stp>FPT=A</stp>
        <stp>FA_ACT_EST_DATA=E, EST_SOURCE=WMS</stp>
        <stp>ACT_EST_MAPPING=PRECISE</stp>
        <stp>FS=MRC</stp>
        <stp>CURRENCY=USD</stp>
        <stp>XLFILL=b</stp>
        <tr r="Y118" s="2"/>
      </tp>
      <tp t="s">
        <v/>
        <stp/>
        <stp>##V3_BQLV12</stp>
        <stp>[MODL_CRM_US1.xlsx]Single Period!R61C16</stp>
        <stp>CRM US Equity</stp>
        <stp>ADJ_OPERATING_MARGIN</stp>
        <stp>FPR=2022Y</stp>
        <stp>FPT=A</stp>
        <stp>FA_ACT_EST_DATA=E, EST_SOURCE=DBG</stp>
        <stp>ACT_EST_MAPPING=PRECISE</stp>
        <stp>FS=MRC</stp>
        <stp>CURRENCY=USD</stp>
        <stp>XLFILL=b</stp>
        <tr r="P61" s="2"/>
      </tp>
      <tp t="s">
        <v/>
        <stp/>
        <stp>##V3_BQLV12</stp>
        <stp>[MODL_CRM_US1.xlsx]Single Period!R118C20</stp>
        <stp>CRM US Equity</stp>
        <stp>CB_BS_PP_AND_E_NET/1M</stp>
        <stp>FPR=2022Y</stp>
        <stp>FPT=A</stp>
        <stp>FA_ACT_EST_DATA=E, EST_SOURCE=JMP</stp>
        <stp>ACT_EST_MAPPING=PRECISE</stp>
        <stp>FS=MRC</stp>
        <stp>CURRENCY=USD</stp>
        <stp>XLFILL=b</stp>
        <tr r="T118" s="2"/>
      </tp>
      <tp t="s">
        <v/>
        <stp/>
        <stp>##V3_BQLV12</stp>
        <stp>[MODL_CRM_US1.xlsx]Single Period!R118C12</stp>
        <stp>CRM US Equity</stp>
        <stp>CB_BS_PP_AND_E_NET/1M</stp>
        <stp>FPR=2022Y</stp>
        <stp>FPT=A</stp>
        <stp>FA_ACT_EST_DATA=E, EST_SOURCE=BMO</stp>
        <stp>ACT_EST_MAPPING=PRECISE</stp>
        <stp>FS=MRC</stp>
        <stp>CURRENCY=USD</stp>
        <stp>XLFILL=b</stp>
        <tr r="L118" s="2"/>
      </tp>
      <tp t="s">
        <v/>
        <stp/>
        <stp>##V3_BQLV12</stp>
        <stp>[MODL_CRM_US1.xlsx]Single Period!R129C11</stp>
        <stp>CRM US Equity</stp>
        <stp>CB_BS_ACCT_PYBL_ACC_EXPNSS/1M</stp>
        <stp>FPR=2022Y</stp>
        <stp>FPT=A</stp>
        <stp>FA_ACT_EST_DATA=E, EST_SOURCE=WBL</stp>
        <stp>ACT_EST_MAPPING=PRECISE</stp>
        <stp>FS=MRC</stp>
        <stp>CURRENCY=USD</stp>
        <stp>XLFILL=b</stp>
        <tr r="K129" s="2"/>
      </tp>
      <tp t="s">
        <v/>
        <stp/>
        <stp>##V3_BQLV12</stp>
        <stp>[MODL_CRM_US1.xlsx]Single Period!R139C18</stp>
        <stp>CRM US Equity</stp>
        <stp>BS_ADD_PAID_IN_CAP/1M</stp>
        <stp>FPR=2022Y</stp>
        <stp>FPT=A</stp>
        <stp>FA_ACT_EST_DATA=E, EST_SOURCE=CAN</stp>
        <stp>ACT_EST_MAPPING=PRECISE</stp>
        <stp>FS=MRC</stp>
        <stp>CURRENCY=USD</stp>
        <stp>XLFILL=b</stp>
        <tr r="R139" s="2"/>
      </tp>
      <tp t="s">
        <v/>
        <stp/>
        <stp>##V3_BQLV12</stp>
        <stp>[MODL_CRM_US1.xlsx]Single Period!R139C30</stp>
        <stp>CRM US Equity</stp>
        <stp>BS_ADD_PAID_IN_CAP/1M</stp>
        <stp>FPR=2022Y</stp>
        <stp>FPT=A</stp>
        <stp>FA_ACT_EST_DATA=E, EST_SOURCE=BAM</stp>
        <stp>ACT_EST_MAPPING=PRECISE</stp>
        <stp>FS=MRC</stp>
        <stp>CURRENCY=USD</stp>
        <stp>XLFILL=b</stp>
        <tr r="AD139" s="2"/>
      </tp>
      <tp t="s">
        <v/>
        <stp/>
        <stp>##V3_BQLV12</stp>
        <stp>[MODL_CRM_US1.xlsx]Single Period!R139C36</stp>
        <stp>CRM US Equity</stp>
        <stp>BS_ADD_PAID_IN_CAP/1M</stp>
        <stp>FPR=2022Y</stp>
        <stp>FPT=A</stp>
        <stp>FA_ACT_EST_DATA=E, EST_SOURCE=MAC</stp>
        <stp>ACT_EST_MAPPING=PRECISE</stp>
        <stp>FS=MRC</stp>
        <stp>CURRENCY=USD</stp>
        <stp>XLFILL=b</stp>
        <tr r="AJ139" s="2"/>
      </tp>
      <tp t="s">
        <v/>
        <stp/>
        <stp>##V3_BQLV12</stp>
        <stp>[MODL_CRM_US1.xlsx]Single Period!R145C50</stp>
        <stp>CRM US Equity</stp>
        <stp>CB_BS_LT_BORROWING/1M</stp>
        <stp>FPR=2022Y</stp>
        <stp>FPT=A</stp>
        <stp>FA_ACT_EST_DATA=E, EST_SOURCE=MZS</stp>
        <stp>ACT_EST_MAPPING=PRECISE</stp>
        <stp>FS=MRC</stp>
        <stp>CURRENCY=USD</stp>
        <stp>XLFILL=b</stp>
        <tr r="AX145" s="2"/>
      </tp>
      <tp>
        <v>4735.8286829379886</v>
        <stp/>
        <stp>##V3_BQLV12</stp>
        <stp>[MODL_CRM_US1.xlsx]Single Period!R129C16</stp>
        <stp>CRM US Equity</stp>
        <stp>CB_BS_ACCT_PYBL_ACC_EXPNSS/1M</stp>
        <stp>FPR=2022Y</stp>
        <stp>FPT=A</stp>
        <stp>FA_ACT_EST_DATA=E, EST_SOURCE=DBG</stp>
        <stp>ACT_EST_MAPPING=PRECISE</stp>
        <stp>FS=MRC</stp>
        <stp>CURRENCY=USD</stp>
        <stp>XLFILL=b</stp>
        <tr r="P129" s="2"/>
      </tp>
      <tp t="s">
        <v/>
        <stp/>
        <stp>##V3_BQLV12</stp>
        <stp>[MODL_CRM_US1.xlsx]Single Period!R20C32</stp>
        <stp>CRM US Equity</stp>
        <stp>ADJ_OPERATING_MARGIN</stp>
        <stp>FPR=2022Y</stp>
        <stp>FPT=A</stp>
        <stp>FA_ACT_EST_DATA=E, EST_SOURCE=UBS</stp>
        <stp>ACT_EST_MAPPING=PRECISE</stp>
        <stp>FS=MRC</stp>
        <stp>CURRENCY=USD</stp>
        <stp>XLFILL=b</stp>
        <tr r="AF20" s="2"/>
      </tp>
      <tp t="s">
        <v/>
        <stp/>
        <stp>##V3_BQLV12</stp>
        <stp>[MODL_CRM_US1.xlsx]Single Period!R61C52</stp>
        <stp>CRM US Equity</stp>
        <stp>ADJ_OPERATING_MARGIN</stp>
        <stp>FPR=2022Y</stp>
        <stp>FPT=A</stp>
        <stp>FA_ACT_EST_DATA=E, EST_SOURCE=WFR</stp>
        <stp>ACT_EST_MAPPING=PRECISE</stp>
        <stp>FS=MRC</stp>
        <stp>CURRENCY=USD</stp>
        <stp>XLFILL=b</stp>
        <tr r="AZ61" s="2"/>
      </tp>
      <tp>
        <v>3943.0820453894439</v>
        <stp/>
        <stp>##V3_BQLV12</stp>
        <stp>[MODL_CRM_US1.xlsx]Single Period!R129C24</stp>
        <stp>CRM US Equity</stp>
        <stp>CB_BS_ACCT_PYBL_ACC_EXPNSS/1M</stp>
        <stp>FPR=2022Y</stp>
        <stp>FPT=A</stp>
        <stp>FA_ACT_EST_DATA=E, EST_SOURCE=FBC</stp>
        <stp>ACT_EST_MAPPING=PRECISE</stp>
        <stp>FS=MRC</stp>
        <stp>CURRENCY=USD</stp>
        <stp>XLFILL=b</stp>
        <tr r="X129" s="2"/>
      </tp>
      <tp t="s">
        <v/>
        <stp/>
        <stp>##V3_BQLV12</stp>
        <stp>[MODL_CRM_US1.xlsx]Single Period!R129C31</stp>
        <stp>CRM US Equity</stp>
        <stp>CB_BS_ACCT_PYBL_ACC_EXPNSS/1M</stp>
        <stp>FPR=2022Y</stp>
        <stp>FPT=A</stp>
        <stp>FA_ACT_EST_DATA=E, EST_SOURCE=RBC</stp>
        <stp>ACT_EST_MAPPING=PRECISE</stp>
        <stp>FS=MRC</stp>
        <stp>CURRENCY=USD</stp>
        <stp>XLFILL=b</stp>
        <tr r="AE129" s="2"/>
      </tp>
      <tp t="s">
        <v/>
        <stp/>
        <stp>##V3_BQLV12</stp>
        <stp>[MODL_CRM_US1.xlsx]Single Period!R80C54</stp>
        <stp>CRM US Equity</stp>
        <stp>GROSS_MARGIN</stp>
        <stp>FPR=2022Y</stp>
        <stp>FPT=A</stp>
        <stp>FA_ACT_EST_DATA=E, EST_SOURCE=ARE</stp>
        <stp>ACT_EST_MAPPING=PRECISE</stp>
        <stp>FS=MRC</stp>
        <stp>CURRENCY=USD</stp>
        <stp>XLFILL=b</stp>
        <tr r="BB80" s="2"/>
      </tp>
      <tp t="s">
        <v/>
        <stp/>
        <stp>##V3_BQLV12</stp>
        <stp>[MODL_CRM_US1.xlsx]Single Period!R147C16</stp>
        <stp>CRM US Equity</stp>
        <stp>BV_PER_WEIGHTED_DILUTED_SHARE</stp>
        <stp>FPR=2022Y</stp>
        <stp>FPT=A</stp>
        <stp>FA_ACT_EST_DATA=E, EST_SOURCE=DBG</stp>
        <stp>ACT_EST_MAPPING=PRECISE</stp>
        <stp>FS=MRC</stp>
        <stp>CURRENCY=USD</stp>
        <stp>XLFILL=b</stp>
        <tr r="P147" s="2"/>
      </tp>
      <tp t="s">
        <v/>
        <stp/>
        <stp>##V3_BQLV12</stp>
        <stp>[MODL_CRM_US1.xlsx]Single Period!R133C32</stp>
        <stp>CRM US Equity</stp>
        <stp>BS_LONG_TERM_BORROWINGS/1M</stp>
        <stp>FPR=2022Y</stp>
        <stp>FPT=A</stp>
        <stp>FA_ACT_EST_DATA=E, EST_SOURCE=UBS</stp>
        <stp>ACT_EST_MAPPING=PRECISE</stp>
        <stp>FS=MRC</stp>
        <stp>CURRENCY=USD</stp>
        <stp>XLFILL=b</stp>
        <tr r="AF133" s="2"/>
      </tp>
      <tp t="s">
        <v/>
        <stp/>
        <stp>##V3_BQLV12</stp>
        <stp>[MODL_CRM_US1.xlsx]Single Period!R147C24</stp>
        <stp>CRM US Equity</stp>
        <stp>BV_PER_WEIGHTED_DILUTED_SHARE</stp>
        <stp>FPR=2022Y</stp>
        <stp>FPT=A</stp>
        <stp>FA_ACT_EST_DATA=E, EST_SOURCE=FBC</stp>
        <stp>ACT_EST_MAPPING=PRECISE</stp>
        <stp>FS=MRC</stp>
        <stp>CURRENCY=USD</stp>
        <stp>XLFILL=b</stp>
        <tr r="X147" s="2"/>
      </tp>
      <tp t="s">
        <v/>
        <stp/>
        <stp>##V3_BQLV12</stp>
        <stp>[MODL_CRM_US1.xlsx]Single Period!R147C31</stp>
        <stp>CRM US Equity</stp>
        <stp>BV_PER_WEIGHTED_DILUTED_SHARE</stp>
        <stp>FPR=2022Y</stp>
        <stp>FPT=A</stp>
        <stp>FA_ACT_EST_DATA=E, EST_SOURCE=RBC</stp>
        <stp>ACT_EST_MAPPING=PRECISE</stp>
        <stp>FS=MRC</stp>
        <stp>CURRENCY=USD</stp>
        <stp>XLFILL=b</stp>
        <tr r="AE147" s="2"/>
      </tp>
      <tp t="s">
        <v/>
        <stp/>
        <stp>##V3_BQLV12</stp>
        <stp>[MODL_CRM_US1.xlsx]Single Period!R147C11</stp>
        <stp>CRM US Equity</stp>
        <stp>BV_PER_WEIGHTED_DILUTED_SHARE</stp>
        <stp>FPR=2022Y</stp>
        <stp>FPT=A</stp>
        <stp>FA_ACT_EST_DATA=E, EST_SOURCE=WBL</stp>
        <stp>ACT_EST_MAPPING=PRECISE</stp>
        <stp>FS=MRC</stp>
        <stp>CURRENCY=USD</stp>
        <stp>XLFILL=b</stp>
        <tr r="K147" s="2"/>
      </tp>
      <tp t="s">
        <v/>
        <stp/>
        <stp>##V3_BQLV12</stp>
        <stp>[MODL_CRM_US1.xlsx]Single Period!R138C53</stp>
        <stp>CRM US Equity</stp>
        <stp>BS_COMMON_STOCK/1M</stp>
        <stp>FPR=2022Y</stp>
        <stp>FPT=A</stp>
        <stp>FA_ACT_EST_DATA=E, EST_SOURCE=NIK</stp>
        <stp>ACT_EST_MAPPING=PRECISE</stp>
        <stp>FS=MRC</stp>
        <stp>CURRENCY=USD</stp>
        <stp>XLFILL=b</stp>
        <tr r="BA138" s="2"/>
      </tp>
      <tp t="s">
        <v/>
        <stp/>
        <stp>##V3_BQLV12</stp>
        <stp>[MODL_CRM_US1.xlsx]Single Period!R53C48</stp>
        <stp>CRM US Equity</stp>
        <stp>REVENUE_GROWTH_CC_1_YR</stp>
        <stp>FPR=2022Y</stp>
        <stp>FPT=A</stp>
        <stp>FA_ACT_EST_DATA=E, EST_SOURCE=PJE</stp>
        <stp>ACT_EST_MAPPING=PRECISE</stp>
        <stp>FS=MRC</stp>
        <stp>CURRENCY=USD</stp>
        <stp>XLFILL=b</stp>
        <tr r="AV53" s="2"/>
      </tp>
      <tp t="s">
        <v/>
        <stp/>
        <stp>##V3_BQLV12</stp>
        <stp>[MODL_CRM_US1.xlsx]Single Period!R178C33</stp>
        <stp>CRM US Equity</stp>
        <stp>CB_CF_REPAYMENT_LT_DEBT/1M</stp>
        <stp>FPR=2022Y</stp>
        <stp>FPT=A</stp>
        <stp>FA_ACT_EST_DATA=E, EST_SOURCE=RHR</stp>
        <stp>ACT_EST_MAPPING=PRECISE</stp>
        <stp>FS=MRC</stp>
        <stp>CURRENCY=USD</stp>
        <stp>XLFILL=b</stp>
        <tr r="AG178" s="2"/>
      </tp>
      <tp t="s">
        <v/>
        <stp/>
        <stp>##V3_BQLV12</stp>
        <stp>[MODL_CRM_US1.xlsx]Single Period!R53C21</stp>
        <stp>CRM US Equity</stp>
        <stp>REVENUE_GROWTH_CC_1_YR</stp>
        <stp>FPR=2022Y</stp>
        <stp>FPT=A</stp>
        <stp>FA_ACT_EST_DATA=E, EST_SOURCE=RJA</stp>
        <stp>ACT_EST_MAPPING=PRECISE</stp>
        <stp>FS=MRC</stp>
        <stp>CURRENCY=USD</stp>
        <stp>XLFILL=b</stp>
        <tr r="U53" s="2"/>
      </tp>
      <tp>
        <v>10591</v>
        <stp/>
        <stp>##V3_BQLV12</stp>
        <stp>[MODL_CRM_US1.xlsx]Single Period!R133C16</stp>
        <stp>CRM US Equity</stp>
        <stp>BS_LONG_TERM_BORROWINGS/1M</stp>
        <stp>FPR=2022Y</stp>
        <stp>FPT=A</stp>
        <stp>FA_ACT_EST_DATA=E, EST_SOURCE=DBG</stp>
        <stp>ACT_EST_MAPPING=PRECISE</stp>
        <stp>FS=MRC</stp>
        <stp>CURRENCY=USD</stp>
        <stp>XLFILL=b</stp>
        <tr r="P133" s="2"/>
      </tp>
      <tp t="s">
        <v/>
        <stp/>
        <stp>##V3_BQLV12</stp>
        <stp>[MODL_CRM_US1.xlsx]Single Period!R133C31</stp>
        <stp>CRM US Equity</stp>
        <stp>BS_LONG_TERM_BORROWINGS/1M</stp>
        <stp>FPR=2022Y</stp>
        <stp>FPT=A</stp>
        <stp>FA_ACT_EST_DATA=E, EST_SOURCE=RBC</stp>
        <stp>ACT_EST_MAPPING=PRECISE</stp>
        <stp>FS=MRC</stp>
        <stp>CURRENCY=USD</stp>
        <stp>XLFILL=b</stp>
        <tr r="AE133" s="2"/>
      </tp>
      <tp>
        <v>10589</v>
        <stp/>
        <stp>##V3_BQLV12</stp>
        <stp>[MODL_CRM_US1.xlsx]Single Period!R133C24</stp>
        <stp>CRM US Equity</stp>
        <stp>BS_LONG_TERM_BORROWINGS/1M</stp>
        <stp>FPR=2022Y</stp>
        <stp>FPT=A</stp>
        <stp>FA_ACT_EST_DATA=E, EST_SOURCE=FBC</stp>
        <stp>ACT_EST_MAPPING=PRECISE</stp>
        <stp>FS=MRC</stp>
        <stp>CURRENCY=USD</stp>
        <stp>XLFILL=b</stp>
        <tr r="X133" s="2"/>
      </tp>
      <tp>
        <v>1108</v>
        <stp/>
        <stp>##V3_BQLV12</stp>
        <stp>[MODL_CRM_US1.xlsx]Single Period!R155C35</stp>
        <stp>CRM US Equity</stp>
        <stp>IS_COMP_NET_INCOME_GAAP/1M</stp>
        <stp>FPR=2022Y</stp>
        <stp>FPT=A</stp>
        <stp>FA_ACT_EST_DATA=E, EST_SOURCE=ATL</stp>
        <stp>ACT_EST_MAPPING=PRECISE</stp>
        <stp>FS=MRC</stp>
        <stp>CURRENCY=USD</stp>
        <stp>XLFILL=b</stp>
        <tr r="AI155" s="2"/>
      </tp>
      <tp t="s">
        <v/>
        <stp/>
        <stp>##V3_BQLV12</stp>
        <stp>[MODL_CRM_US1.xlsx]Single Period!R147C32</stp>
        <stp>CRM US Equity</stp>
        <stp>BV_PER_WEIGHTED_DILUTED_SHARE</stp>
        <stp>FPR=2022Y</stp>
        <stp>FPT=A</stp>
        <stp>FA_ACT_EST_DATA=E, EST_SOURCE=UBS</stp>
        <stp>ACT_EST_MAPPING=PRECISE</stp>
        <stp>FS=MRC</stp>
        <stp>CURRENCY=USD</stp>
        <stp>XLFILL=b</stp>
        <tr r="AF147" s="2"/>
      </tp>
      <tp t="s">
        <v/>
        <stp/>
        <stp>##V3_BQLV12</stp>
        <stp>[MODL_CRM_US1.xlsx]Single Period!R138C56</stp>
        <stp>CRM US Equity</stp>
        <stp>BS_COMMON_STOCK/1M</stp>
        <stp>FPR=2022Y</stp>
        <stp>FPT=A</stp>
        <stp>FA_ACT_EST_DATA=E, EST_SOURCE=DIR</stp>
        <stp>ACT_EST_MAPPING=PRECISE</stp>
        <stp>FS=MRC</stp>
        <stp>CURRENCY=USD</stp>
        <stp>XLFILL=b</stp>
        <tr r="BD138" s="2"/>
      </tp>
      <tp t="s">
        <v/>
        <stp/>
        <stp>##V3_BQLV12</stp>
        <stp>[MODL_CRM_US1.xlsx]Single Period!R155C46</stp>
        <stp>CRM US Equity</stp>
        <stp>IS_COMP_NET_INCOME_GAAP/1M</stp>
        <stp>FPR=2022Y</stp>
        <stp>FPT=A</stp>
        <stp>FA_ACT_EST_DATA=E, EST_SOURCE=CTI</stp>
        <stp>ACT_EST_MAPPING=PRECISE</stp>
        <stp>FS=MRC</stp>
        <stp>CURRENCY=USD</stp>
        <stp>XLFILL=b</stp>
        <tr r="AT155" s="2"/>
      </tp>
      <tp t="s">
        <v/>
        <stp/>
        <stp>##V3_BQLV12</stp>
        <stp>[MODL_CRM_US1.xlsx]Single Period!R133C11</stp>
        <stp>CRM US Equity</stp>
        <stp>BS_LONG_TERM_BORROWINGS/1M</stp>
        <stp>FPR=2022Y</stp>
        <stp>FPT=A</stp>
        <stp>FA_ACT_EST_DATA=E, EST_SOURCE=WBL</stp>
        <stp>ACT_EST_MAPPING=PRECISE</stp>
        <stp>FS=MRC</stp>
        <stp>CURRENCY=USD</stp>
        <stp>XLFILL=b</stp>
        <tr r="K133" s="2"/>
      </tp>
      <tp t="s">
        <v/>
        <stp/>
        <stp>##V3_BQLV12</stp>
        <stp>[MODL_CRM_US1.xlsx]Single Period!R170C56</stp>
        <stp>CRM US Equity</stp>
        <stp>CF_CASH_FOR_ACQUIS_SUBSIDIARIES/1M</stp>
        <stp>FPR=2022Y</stp>
        <stp>FPT=A</stp>
        <stp>FA_ACT_EST_DATA=E, EST_SOURCE=DIR</stp>
        <stp>ACT_EST_MAPPING=PRECISE</stp>
        <stp>FS=MRC</stp>
        <stp>CURRENCY=USD</stp>
        <stp>XLFILL=b</stp>
        <tr r="BD170" s="2"/>
      </tp>
      <tp t="s">
        <v/>
        <stp/>
        <stp>##V3_BQLV12</stp>
        <stp>[MODL_CRM_US1.xlsx]Single Period!R141C35</stp>
        <stp>CRM US Equity</stp>
        <stp>BS_PURE_RETAINED_EARNINGS/1M</stp>
        <stp>FPR=2022Y</stp>
        <stp>FPT=A</stp>
        <stp>FA_ACT_EST_DATA=E, EST_SOURCE=ATL</stp>
        <stp>ACT_EST_MAPPING=PRECISE</stp>
        <stp>FS=MRC</stp>
        <stp>CURRENCY=USD</stp>
        <stp>XLFILL=b</stp>
        <tr r="AI141" s="2"/>
      </tp>
      <tp t="s">
        <v/>
        <stp/>
        <stp>##V3_BQLV12</stp>
        <stp>[MODL_CRM_US1.xlsx]Single Period!R171C31</stp>
        <stp>CRM US Equity</stp>
        <stp>CF_PURCHASE_OF_FIXED_PROD_ASSETS/1M</stp>
        <stp>FPR=2022Y</stp>
        <stp>FPT=A</stp>
        <stp>FA_ACT_EST_DATA=E, EST_SOURCE=RBC</stp>
        <stp>ACT_EST_MAPPING=PRECISE</stp>
        <stp>FS=MRC</stp>
        <stp>CURRENCY=USD</stp>
        <stp>XLFILL=b</stp>
        <tr r="AE171" s="2"/>
      </tp>
      <tp t="s">
        <v/>
        <stp/>
        <stp>##V3_BQLV12</stp>
        <stp>[MODL_CRM_US1.xlsx]Single Period!R157C33</stp>
        <stp>CRM US Equity</stp>
        <stp>CF_AMORTIZATN_OF_DEFRRD_COMPNSTN/1M</stp>
        <stp>FPR=2022Y</stp>
        <stp>FPT=A</stp>
        <stp>FA_ACT_EST_DATA=E, EST_SOURCE=RHR</stp>
        <stp>ACT_EST_MAPPING=PRECISE</stp>
        <stp>FS=MRC</stp>
        <stp>CURRENCY=USD</stp>
        <stp>XLFILL=b</stp>
        <tr r="AG157" s="2"/>
      </tp>
      <tp t="s">
        <v/>
        <stp/>
        <stp>##V3_BQLV12</stp>
        <stp>[MODL_CRM_US1.xlsx]Single Period!R177C37</stp>
        <stp>CRM US Equity</stp>
        <stp>CB_CF_OTHER_FINANCING_ACTIVITIES/1M</stp>
        <stp>FPR=2022Y</stp>
        <stp>FPT=A</stp>
        <stp>FA_ACT_EST_DATA=E, EST_SOURCE=EVR</stp>
        <stp>ACT_EST_MAPPING=PRECISE</stp>
        <stp>FS=MRC</stp>
        <stp>CURRENCY=USD</stp>
        <stp>XLFILL=b</stp>
        <tr r="AK177" s="2"/>
      </tp>
      <tp t="s">
        <v/>
        <stp/>
        <stp>##V3_BQLV12</stp>
        <stp>[MODL_CRM_US1.xlsx]Single Period!R141C42</stp>
        <stp>CRM US Equity</stp>
        <stp>BS_PURE_RETAINED_EARNINGS/1M</stp>
        <stp>FPR=2022Y</stp>
        <stp>FPT=A</stp>
        <stp>FA_ACT_EST_DATA=E, EST_SOURCE=PSG</stp>
        <stp>ACT_EST_MAPPING=PRECISE</stp>
        <stp>FS=MRC</stp>
        <stp>CURRENCY=USD</stp>
        <stp>XLFILL=b</stp>
        <tr r="AP141" s="2"/>
      </tp>
      <tp t="s">
        <v/>
        <stp/>
        <stp>##V3_BQLV12</stp>
        <stp>[MODL_CRM_US1.xlsx]Single Period!R171C27</stp>
        <stp>CRM US Equity</stp>
        <stp>CF_PURCHASE_OF_FIXED_PROD_ASSETS/1M</stp>
        <stp>FPR=2022Y</stp>
        <stp>FPT=A</stp>
        <stp>FA_ACT_EST_DATA=E, EST_SOURCE=LCM</stp>
        <stp>ACT_EST_MAPPING=PRECISE</stp>
        <stp>FS=MRC</stp>
        <stp>CURRENCY=USD</stp>
        <stp>XLFILL=b</stp>
        <tr r="AA171" s="2"/>
      </tp>
      <tp t="s">
        <v/>
        <stp/>
        <stp>##V3_BQLV12</stp>
        <stp>[MODL_CRM_US1.xlsx]Single Period!R176C14</stp>
        <stp>CRM US Equity</stp>
        <stp>CF_INCR_CAP_STOCK/1M</stp>
        <stp>FPR=2022Y</stp>
        <stp>FPT=A</stp>
        <stp>FA_ACT_EST_DATA=E, EST_SOURCE=SNR</stp>
        <stp>ACT_EST_MAPPING=PRECISE</stp>
        <stp>FS=MRC</stp>
        <stp>CURRENCY=USD</stp>
        <stp>XLFILL=b</stp>
        <tr r="N176" s="2"/>
      </tp>
      <tp t="s">
        <v/>
        <stp/>
        <stp>##V3_BQLV12</stp>
        <stp>[MODL_CRM_US1.xlsx]Single Period!R30C45</stp>
        <stp>SEG0000269238 Segment</stp>
        <stp>IS_COGS_TO_FE_AND_PP_AND_G/1M</stp>
        <stp>FPR=2022Y</stp>
        <stp>FPT=A</stp>
        <stp>FA_ACT_EST_DATA=E, EST_SOURCE=ARG</stp>
        <stp>ACT_EST_MAPPING=PRECISE</stp>
        <stp>FS=MRC</stp>
        <stp>CURRENCY=USD</stp>
        <stp>XLFILL=b</stp>
        <tr r="AS30" s="2"/>
      </tp>
      <tp t="s">
        <v/>
        <stp/>
        <stp>##V3_BQLV12</stp>
        <stp>[MODL_CRM_US1.xlsx]Single Period!R34C43</stp>
        <stp>SEG0000269227 Segment</stp>
        <stp>IS_COGS_TO_FE_AND_PP_AND_G/1M</stp>
        <stp>FPR=2022Y</stp>
        <stp>FPT=A</stp>
        <stp>FA_ACT_EST_DATA=E, EST_SOURCE=DWI</stp>
        <stp>ACT_EST_MAPPING=PRECISE</stp>
        <stp>FS=MRC</stp>
        <stp>CURRENCY=USD</stp>
        <stp>XLFILL=b</stp>
        <tr r="AQ34" s="2"/>
      </tp>
      <tp t="s">
        <v/>
        <stp/>
        <stp>##V3_BQLV12</stp>
        <stp>[MODL_CRM_US1.xlsx]Single Period!R30C54</stp>
        <stp>SEG0000269238 Segment</stp>
        <stp>IS_COGS_TO_FE_AND_PP_AND_G/1M</stp>
        <stp>FPR=2022Y</stp>
        <stp>FPT=A</stp>
        <stp>FA_ACT_EST_DATA=E, EST_SOURCE=ARE</stp>
        <stp>ACT_EST_MAPPING=PRECISE</stp>
        <stp>FS=MRC</stp>
        <stp>CURRENCY=USD</stp>
        <stp>XLFILL=b</stp>
        <tr r="BB30" s="2"/>
      </tp>
      <tp t="s">
        <v/>
        <stp/>
        <stp>##V3_BQLV12</stp>
        <stp>[MODL_CRM_US1.xlsx]Single Period!R34C28</stp>
        <stp>SEG0000269227 Segment</stp>
        <stp>IS_COGS_TO_FE_AND_PP_AND_G/1M</stp>
        <stp>FPR=2022Y</stp>
        <stp>FPT=A</stp>
        <stp>FA_ACT_EST_DATA=E, EST_SOURCE=CWN</stp>
        <stp>ACT_EST_MAPPING=PRECISE</stp>
        <stp>FS=MRC</stp>
        <stp>CURRENCY=USD</stp>
        <stp>XLFILL=b</stp>
        <tr r="AB34" s="2"/>
      </tp>
      <tp t="s">
        <v/>
        <stp/>
        <stp>##V3_BQLV12</stp>
        <stp>[MODL_CRM_US1.xlsx]Single Period!R171C32</stp>
        <stp>CRM US Equity</stp>
        <stp>CF_PURCHASE_OF_FIXED_PROD_ASSETS/1M</stp>
        <stp>FPR=2022Y</stp>
        <stp>FPT=A</stp>
        <stp>FA_ACT_EST_DATA=E, EST_SOURCE=UBS</stp>
        <stp>ACT_EST_MAPPING=PRECISE</stp>
        <stp>FS=MRC</stp>
        <stp>CURRENCY=USD</stp>
        <stp>XLFILL=b</stp>
        <tr r="AF171" s="2"/>
      </tp>
      <tp t="s">
        <v/>
        <stp/>
        <stp>##V3_BQLV12</stp>
        <stp>[MODL_CRM_US1.xlsx]Single Period!R176C53</stp>
        <stp>CRM US Equity</stp>
        <stp>CF_INCR_CAP_STOCK/1M</stp>
        <stp>FPR=2022Y</stp>
        <stp>FPT=A</stp>
        <stp>FA_ACT_EST_DATA=E, EST_SOURCE=NIK</stp>
        <stp>ACT_EST_MAPPING=PRECISE</stp>
        <stp>FS=MRC</stp>
        <stp>CURRENCY=USD</stp>
        <stp>XLFILL=b</stp>
        <tr r="BA176" s="2"/>
      </tp>
      <tp t="s">
        <v/>
        <stp/>
        <stp>##V3_BQLV12</stp>
        <stp>[MODL_CRM_US1.xlsx]Single Period!R170C53</stp>
        <stp>CRM US Equity</stp>
        <stp>CF_CASH_FOR_ACQUIS_SUBSIDIARIES/1M</stp>
        <stp>FPR=2022Y</stp>
        <stp>FPT=A</stp>
        <stp>FA_ACT_EST_DATA=E, EST_SOURCE=NIK</stp>
        <stp>ACT_EST_MAPPING=PRECISE</stp>
        <stp>FS=MRC</stp>
        <stp>CURRENCY=USD</stp>
        <stp>XLFILL=b</stp>
        <tr r="BA170" s="2"/>
      </tp>
      <tp t="s">
        <v/>
        <stp/>
        <stp>##V3_BQLV12</stp>
        <stp>[MODL_CRM_US1.xlsx]Single Period!R34C44</stp>
        <stp>SEG0000269227 Segment</stp>
        <stp>IS_COGS_TO_FE_AND_PP_AND_G/1M</stp>
        <stp>FPR=2022Y</stp>
        <stp>FPT=A</stp>
        <stp>FA_ACT_EST_DATA=E, EST_SOURCE=RWB</stp>
        <stp>ACT_EST_MAPPING=PRECISE</stp>
        <stp>FS=MRC</stp>
        <stp>CURRENCY=USD</stp>
        <stp>XLFILL=b</stp>
        <tr r="AR34" s="2"/>
      </tp>
      <tp t="s">
        <v/>
        <stp/>
        <stp>##V3_BQLV12</stp>
        <stp>[MODL_CRM_US1.xlsx]Single Period!R177C28</stp>
        <stp>CRM US Equity</stp>
        <stp>CB_CF_OTHER_FINANCING_ACTIVITIES/1M</stp>
        <stp>FPR=2022Y</stp>
        <stp>FPT=A</stp>
        <stp>FA_ACT_EST_DATA=E, EST_SOURCE=CWN</stp>
        <stp>ACT_EST_MAPPING=PRECISE</stp>
        <stp>FS=MRC</stp>
        <stp>CURRENCY=USD</stp>
        <stp>XLFILL=b</stp>
        <tr r="AB177" s="2"/>
      </tp>
      <tp t="s">
        <v/>
        <stp/>
        <stp>##V3_BQLV12</stp>
        <stp>[MODL_CRM_US1.xlsx]Single Period!R191C25</stp>
        <stp>CRM US Equity</stp>
        <stp>CF_FREE_CASH_FLOW/1M</stp>
        <stp>FPR=2022Y</stp>
        <stp>FPT=A</stp>
        <stp>FA_ACT_EST_DATA=E, EST_SOURCE=WMS</stp>
        <stp>ACT_EST_MAPPING=PRECISE</stp>
        <stp>FS=MRC</stp>
        <stp>CURRENCY=USD</stp>
        <stp>XLFILL=b</stp>
        <tr r="Y191" s="2"/>
      </tp>
      <tp t="s">
        <v/>
        <stp/>
        <stp>##V3_BQLV12</stp>
        <stp>[MODL_CRM_US1.xlsx]Single Period!R176C19</stp>
        <stp>CRM US Equity</stp>
        <stp>CF_INCR_CAP_STOCK/1M</stp>
        <stp>FPR=2022Y</stp>
        <stp>FPT=A</stp>
        <stp>FA_ACT_EST_DATA=E, EST_SOURCE=SCB</stp>
        <stp>ACT_EST_MAPPING=PRECISE</stp>
        <stp>FS=MRC</stp>
        <stp>CURRENCY=USD</stp>
        <stp>XLFILL=b</stp>
        <tr r="S176" s="2"/>
      </tp>
      <tp t="s">
        <v/>
        <stp/>
        <stp>##V3_BQLV12</stp>
        <stp>[MODL_CRM_US1.xlsx]Single Period!R141C37</stp>
        <stp>CRM US Equity</stp>
        <stp>BS_PURE_RETAINED_EARNINGS/1M</stp>
        <stp>FPR=2022Y</stp>
        <stp>FPT=A</stp>
        <stp>FA_ACT_EST_DATA=E, EST_SOURCE=EVR</stp>
        <stp>ACT_EST_MAPPING=PRECISE</stp>
        <stp>FS=MRC</stp>
        <stp>CURRENCY=USD</stp>
        <stp>XLFILL=b</stp>
        <tr r="AK141" s="2"/>
      </tp>
      <tp>
        <v>4.7</v>
        <stp/>
        <stp>##V3_BQLV12</stp>
        <stp>[MODL_CRM_US1.xlsx]Single Period!R74C36</stp>
        <stp>CRM US Equity</stp>
        <stp>IS_COMP_EPS_EXCL_STOCK_COMP</stp>
        <stp>FPR=2022Y</stp>
        <stp>FPT=A</stp>
        <stp>FA_ACT_EST_DATA=E, EST_SOURCE=MAC</stp>
        <stp>ACT_EST_MAPPING=PRECISE</stp>
        <stp>FS=MRC</stp>
        <stp>CURRENCY=USD</stp>
        <stp>XLFILL=b</stp>
        <tr r="AJ74" s="2"/>
      </tp>
      <tp>
        <v>4.6900000000000004</v>
        <stp/>
        <stp>##V3_BQLV12</stp>
        <stp>[MODL_CRM_US1.xlsx]Single Period!R74C13</stp>
        <stp>CRM US Equity</stp>
        <stp>IS_COMP_EPS_EXCL_STOCK_COMP</stp>
        <stp>FPR=2022Y</stp>
        <stp>FPT=A</stp>
        <stp>FA_ACT_EST_DATA=E, EST_SOURCE=BCA</stp>
        <stp>ACT_EST_MAPPING=PRECISE</stp>
        <stp>FS=MRC</stp>
        <stp>CURRENCY=USD</stp>
        <stp>XLFILL=b</stp>
        <tr r="M74" s="2"/>
      </tp>
      <tp>
        <v>4.66</v>
        <stp/>
        <stp>##V3_BQLV12</stp>
        <stp>[MODL_CRM_US1.xlsx]Single Period!R74C30</stp>
        <stp>CRM US Equity</stp>
        <stp>IS_COMP_EPS_EXCL_STOCK_COMP</stp>
        <stp>FPR=2022Y</stp>
        <stp>FPT=A</stp>
        <stp>FA_ACT_EST_DATA=E, EST_SOURCE=BAM</stp>
        <stp>ACT_EST_MAPPING=PRECISE</stp>
        <stp>FS=MRC</stp>
        <stp>CURRENCY=USD</stp>
        <stp>XLFILL=b</stp>
        <tr r="AD74" s="2"/>
      </tp>
      <tp>
        <v>4.83</v>
        <stp/>
        <stp>##V3_BQLV12</stp>
        <stp>[MODL_CRM_US1.xlsx]Single Period!R74C19</stp>
        <stp>CRM US Equity</stp>
        <stp>IS_COMP_EPS_EXCL_STOCK_COMP</stp>
        <stp>FPR=2022Y</stp>
        <stp>FPT=A</stp>
        <stp>FA_ACT_EST_DATA=E, EST_SOURCE=SCB</stp>
        <stp>ACT_EST_MAPPING=PRECISE</stp>
        <stp>FS=MRC</stp>
        <stp>CURRENCY=USD</stp>
        <stp>XLFILL=b</stp>
        <tr r="S74" s="2"/>
      </tp>
      <tp t="s">
        <v/>
        <stp/>
        <stp>##V3_BQLV12</stp>
        <stp>[MODL_CRM_US1.xlsx]Single Period!R74C47</stp>
        <stp>CRM US Equity</stp>
        <stp>IS_COMP_EPS_EXCL_STOCK_COMP</stp>
        <stp>FPR=2022Y</stp>
        <stp>FPT=A</stp>
        <stp>FA_ACT_EST_DATA=E, EST_SOURCE=WFT</stp>
        <stp>ACT_EST_MAPPING=PRECISE</stp>
        <stp>FS=MRC</stp>
        <stp>CURRENCY=USD</stp>
        <stp>XLFILL=b</stp>
        <tr r="AU74" s="2"/>
      </tp>
      <tp>
        <v>4.655164621175242</v>
        <stp/>
        <stp>##V3_BQLV12</stp>
        <stp>[MODL_CRM_US1.xlsx]Single Period!R92C17</stp>
        <stp>CRM US Equity</stp>
        <stp>PROF_MARGIN</stp>
        <stp>FPR=2022Y</stp>
        <stp>FPT=A</stp>
        <stp>FA_ACT_EST_DATA=E, EST_SOURCE=NDH</stp>
        <stp>ACT_EST_MAPPING=PRECISE</stp>
        <stp>FS=MRC</stp>
        <stp>CURRENCY=USD</stp>
        <stp>XLFILL=b</stp>
        <tr r="Q92" s="2"/>
      </tp>
      <tp t="s">
        <v/>
        <stp/>
        <stp>##V3_BQLV12</stp>
        <stp>[MODL_CRM_US1.xlsx]Single Period!R24C10</stp>
        <stp>SEG0000269238 Segment</stp>
        <stp>SALES_REV_TURN/1M</stp>
        <stp>FPR=2022Y</stp>
        <stp>FPT=A</stp>
        <stp>FA_ACT_EST_DATA=E, EST_SOURCE=CMPY</stp>
        <stp>ACT_EST_MAPPING=PRECISE</stp>
        <stp>FS=MRC</stp>
        <stp>CURRENCY=USD</stp>
        <stp>XLFILL=b</stp>
        <tr r="J24" s="2"/>
      </tp>
      <tp t="s">
        <v/>
        <stp/>
        <stp>##V3_BQLV12</stp>
        <stp>[MODL_CRM_US1.xlsx]Single Period!R38C10</stp>
        <stp>SEG0000269228 Segment</stp>
        <stp>SALES_REV_TURN/1M</stp>
        <stp>FPR=2022Y</stp>
        <stp>FPT=A</stp>
        <stp>FA_ACT_EST_DATA=E, EST_SOURCE=CMPY</stp>
        <stp>ACT_EST_MAPPING=PRECISE</stp>
        <stp>FS=MRC</stp>
        <stp>CURRENCY=USD</stp>
        <stp>XLFILL=b</stp>
        <tr r="J38" s="2"/>
      </tp>
      <tp t="s">
        <v/>
        <stp/>
        <stp>##V3_BQLV12</stp>
        <stp>[MODL_CRM_US1.xlsx]Single Period!R10C10</stp>
        <stp>SEG0000269238 Segment</stp>
        <stp>SALES_REV_TURN/1M</stp>
        <stp>FPR=2022Y</stp>
        <stp>FPT=A</stp>
        <stp>FA_ACT_EST_DATA=E, EST_SOURCE=CMPY</stp>
        <stp>ACT_EST_MAPPING=PRECISE</stp>
        <stp>FS=MRC</stp>
        <stp>CURRENCY=USD</stp>
        <stp>XLFILL=b</stp>
        <tr r="J10" s="2"/>
      </tp>
      <tp t="s">
        <v/>
        <stp/>
        <stp>##V3_BQLV12</stp>
        <stp>[MODL_CRM_US1.xlsx]Single Period!R20C30</stp>
        <stp>CRM US Equity</stp>
        <stp>ADJ_OPERATING_MARGIN</stp>
        <stp>FPR=2022Y</stp>
        <stp>FPT=A</stp>
        <stp>FA_ACT_EST_DATA=E, EST_SOURCE=BAM</stp>
        <stp>ACT_EST_MAPPING=PRECISE</stp>
        <stp>FS=MRC</stp>
        <stp>CURRENCY=USD</stp>
        <stp>XLFILL=b</stp>
        <tr r="AD20" s="2"/>
      </tp>
      <tp t="s">
        <v/>
        <stp/>
        <stp>##V3_BQLV12</stp>
        <stp>[MODL_CRM_US1.xlsx]Single Period!R20C34</stp>
        <stp>CRM US Equity</stp>
        <stp>ADJ_OPERATING_MARGIN</stp>
        <stp>FPR=2022Y</stp>
        <stp>FPT=A</stp>
        <stp>FA_ACT_EST_DATA=E, EST_SOURCE=JEF</stp>
        <stp>ACT_EST_MAPPING=PRECISE</stp>
        <stp>FS=MRC</stp>
        <stp>CURRENCY=USD</stp>
        <stp>XLFILL=b</stp>
        <tr r="AH20" s="2"/>
      </tp>
      <tp t="s">
        <v/>
        <stp/>
        <stp>##V3_BQLV12</stp>
        <stp>[MODL_CRM_US1.xlsx]Single Period!R129C51</stp>
        <stp>CRM US Equity</stp>
        <stp>CB_BS_ACCT_PYBL_ACC_EXPNSS/1M</stp>
        <stp>FPR=2022Y</stp>
        <stp>FPT=A</stp>
        <stp>FA_ACT_EST_DATA=E, EST_SOURCE=RCP</stp>
        <stp>ACT_EST_MAPPING=PRECISE</stp>
        <stp>FS=MRC</stp>
        <stp>CURRENCY=USD</stp>
        <stp>XLFILL=b</stp>
        <tr r="AY129" s="2"/>
      </tp>
      <tp>
        <v>0.77843657422281043</v>
        <stp/>
        <stp>##V3_BQLV12</stp>
        <stp>[MODL_CRM_US1.xlsx]Single Period!R53C8</stp>
        <stp>CRM US Equity</stp>
        <stp>CONTRIBUTOR_STATS(REVENUE_GROWTH_CC_1_YR, STD)</stp>
        <stp>FPR=2022Y</stp>
        <stp>FPT=A</stp>
        <stp>FA_ACT_EST_DATA=E</stp>
        <stp>ACT_EST_MAPPING=PRECISE</stp>
        <stp>FS=MRC</stp>
        <stp>CURRENCY=USD</stp>
        <stp>XLFILL=b</stp>
        <tr r="H53" s="2"/>
      </tp>
      <tp t="s">
        <v/>
        <stp/>
        <stp>##V3_BQLV12</stp>
        <stp>[MODL_CRM_US1.xlsx]Single Period!R129C27</stp>
        <stp>CRM US Equity</stp>
        <stp>CB_BS_ACCT_PYBL_ACC_EXPNSS/1M</stp>
        <stp>FPR=2022Y</stp>
        <stp>FPT=A</stp>
        <stp>FA_ACT_EST_DATA=E, EST_SOURCE=LCM</stp>
        <stp>ACT_EST_MAPPING=PRECISE</stp>
        <stp>FS=MRC</stp>
        <stp>CURRENCY=USD</stp>
        <stp>XLFILL=b</stp>
        <tr r="AA129" s="2"/>
      </tp>
      <tp t="s">
        <v/>
        <stp/>
        <stp>##V3_BQLV12</stp>
        <stp>[MODL_CRM_US1.xlsx]Single Period!R20C47</stp>
        <stp>CRM US Equity</stp>
        <stp>ADJ_OPERATING_MARGIN</stp>
        <stp>FPR=2022Y</stp>
        <stp>FPT=A</stp>
        <stp>FA_ACT_EST_DATA=E, EST_SOURCE=WFT</stp>
        <stp>ACT_EST_MAPPING=PRECISE</stp>
        <stp>FS=MRC</stp>
        <stp>CURRENCY=USD</stp>
        <stp>XLFILL=b</stp>
        <tr r="AU20" s="2"/>
      </tp>
      <tp t="s">
        <v/>
        <stp/>
        <stp>##V3_BQLV12</stp>
        <stp>[MODL_CRM_US1.xlsx]Single Period!R129C19</stp>
        <stp>CRM US Equity</stp>
        <stp>CB_BS_ACCT_PYBL_ACC_EXPNSS/1M</stp>
        <stp>FPR=2022Y</stp>
        <stp>FPT=A</stp>
        <stp>FA_ACT_EST_DATA=E, EST_SOURCE=SCB</stp>
        <stp>ACT_EST_MAPPING=PRECISE</stp>
        <stp>FS=MRC</stp>
        <stp>CURRENCY=USD</stp>
        <stp>XLFILL=b</stp>
        <tr r="S129" s="2"/>
      </tp>
      <tp t="s">
        <v/>
        <stp/>
        <stp>##V3_BQLV12</stp>
        <stp>[MODL_CRM_US1.xlsx]Single Period!R80C45</stp>
        <stp>CRM US Equity</stp>
        <stp>GROSS_MARGIN</stp>
        <stp>FPR=2022Y</stp>
        <stp>FPT=A</stp>
        <stp>FA_ACT_EST_DATA=E, EST_SOURCE=ARG</stp>
        <stp>ACT_EST_MAPPING=PRECISE</stp>
        <stp>FS=MRC</stp>
        <stp>CURRENCY=USD</stp>
        <stp>XLFILL=b</stp>
        <tr r="AS80" s="2"/>
      </tp>
      <tp t="s">
        <v/>
        <stp/>
        <stp>##V3_BQLV12</stp>
        <stp>[MODL_CRM_US1.xlsx]Single Period!R129C40</stp>
        <stp>CRM US Equity</stp>
        <stp>CB_BS_ACCT_PYBL_ACC_EXPNSS/1M</stp>
        <stp>FPR=2022Y</stp>
        <stp>FPT=A</stp>
        <stp>FA_ACT_EST_DATA=E, EST_SOURCE=ACC</stp>
        <stp>ACT_EST_MAPPING=PRECISE</stp>
        <stp>FS=MRC</stp>
        <stp>CURRENCY=USD</stp>
        <stp>XLFILL=b</stp>
        <tr r="AN129" s="2"/>
      </tp>
      <tp>
        <v>5001.5449254472987</v>
        <stp/>
        <stp>##V3_BQLV12</stp>
        <stp>[MODL_CRM_US1.xlsx]Single Period!R129C13</stp>
        <stp>CRM US Equity</stp>
        <stp>CB_BS_ACCT_PYBL_ACC_EXPNSS/1M</stp>
        <stp>FPR=2022Y</stp>
        <stp>FPT=A</stp>
        <stp>FA_ACT_EST_DATA=E, EST_SOURCE=BCA</stp>
        <stp>ACT_EST_MAPPING=PRECISE</stp>
        <stp>FS=MRC</stp>
        <stp>CURRENCY=USD</stp>
        <stp>XLFILL=b</stp>
        <tr r="M129" s="2"/>
      </tp>
      <tp>
        <v>4.8803630205338377</v>
        <stp/>
        <stp>##V3_BQLV12</stp>
        <stp>[MODL_CRM_US1.xlsx]Single Period!R193C26</stp>
        <stp>CRM US Equity</stp>
        <stp>FCF_PER_DIL_SHR</stp>
        <stp>FPR=2022Y</stp>
        <stp>FPT=A</stp>
        <stp>FA_ACT_EST_DATA=E, EST_SOURCE=KEY</stp>
        <stp>ACT_EST_MAPPING=PRECISE</stp>
        <stp>FS=MRC</stp>
        <stp>CURRENCY=USD</stp>
        <stp>XLFILL=b</stp>
        <tr r="Z193" s="2"/>
      </tp>
      <tp t="s">
        <v>Harshit Gupta</v>
        <stp/>
        <stp>##V3_BQLV12</stp>
        <stp>[MODL_CRM_US1.xlsx]Single Period!R4C40</stp>
        <stp>CRM US Equity</stp>
        <stp>LAST(IS_COMP_SALES(FA_ACT_EST_DATA=E, EST_SOURCE=ACC).analyst_name)</stp>
        <stp>FPR=2022Y</stp>
        <stp>FPT=A</stp>
        <stp>ACT_EST_MAPPING=PRECISE</stp>
        <stp>FS=MRC</stp>
        <stp>CURRENCY=USD</stp>
        <stp>XLFILL=b</stp>
        <tr r="AN4" s="2"/>
      </tp>
      <tp t="s">
        <v/>
        <stp/>
        <stp>##V3_BQLV12</stp>
        <stp>[MODL_CRM_US1.xlsx]Single Period!R84C25</stp>
        <stp>CRM US Equity</stp>
        <stp>RD_EXPEND_TO_NET_SALES</stp>
        <stp>FPR=2022Y</stp>
        <stp>FPT=A</stp>
        <stp>FA_ACT_EST_DATA=E, EST_SOURCE=WMS</stp>
        <stp>ACT_EST_MAPPING=PRECISE</stp>
        <stp>FS=MRC</stp>
        <stp>CURRENCY=USD</stp>
        <stp>XLFILL=b</stp>
        <tr r="Y84" s="2"/>
      </tp>
      <tp>
        <v>16.954841642673131</v>
        <stp/>
        <stp>##V3_BQLV12</stp>
        <stp>[MODL_CRM_US1.xlsx]Single Period!R84C20</stp>
        <stp>CRM US Equity</stp>
        <stp>RD_EXPEND_TO_NET_SALES</stp>
        <stp>FPR=2022Y</stp>
        <stp>FPT=A</stp>
        <stp>FA_ACT_EST_DATA=E, EST_SOURCE=JMP</stp>
        <stp>ACT_EST_MAPPING=PRECISE</stp>
        <stp>FS=MRC</stp>
        <stp>CURRENCY=USD</stp>
        <stp>XLFILL=b</stp>
        <tr r="T84" s="2"/>
      </tp>
      <tp t="s">
        <v/>
        <stp/>
        <stp>##V3_BQLV12</stp>
        <stp>[MODL_CRM_US1.xlsx]Single Period!R84C12</stp>
        <stp>CRM US Equity</stp>
        <stp>RD_EXPEND_TO_NET_SALES</stp>
        <stp>FPR=2022Y</stp>
        <stp>FPT=A</stp>
        <stp>FA_ACT_EST_DATA=E, EST_SOURCE=BMO</stp>
        <stp>ACT_EST_MAPPING=PRECISE</stp>
        <stp>FS=MRC</stp>
        <stp>CURRENCY=USD</stp>
        <stp>XLFILL=b</stp>
        <tr r="L84" s="2"/>
      </tp>
      <tp t="s">
        <v>Peter Sazel</v>
        <stp/>
        <stp>##V3_BQLV12</stp>
        <stp>[MODL_CRM_US1.xlsx]Single Period!R4C35</stp>
        <stp>CRM US Equity</stp>
        <stp>LAST(IS_COMP_SALES(FA_ACT_EST_DATA=E, EST_SOURCE=ATL).analyst_name)</stp>
        <stp>FPR=2022Y</stp>
        <stp>FPT=A</stp>
        <stp>ACT_EST_MAPPING=PRECISE</stp>
        <stp>FS=MRC</stp>
        <stp>CURRENCY=USD</stp>
        <stp>XLFILL=b</stp>
        <tr r="AI4" s="2"/>
      </tp>
      <tp t="s">
        <v/>
        <stp/>
        <stp>##V3_BQLV12</stp>
        <stp>[MODL_CRM_US1.xlsx]Single Period!R4C45</stp>
        <stp>CRM US Equity</stp>
        <stp>LAST(IS_COMP_SALES(FA_ACT_EST_DATA=E, EST_SOURCE=ARG).analyst_name)</stp>
        <stp>FPR=2022Y</stp>
        <stp>FPT=A</stp>
        <stp>ACT_EST_MAPPING=PRECISE</stp>
        <stp>FS=MRC</stp>
        <stp>CURRENCY=USD</stp>
        <stp>XLFILL=b</stp>
        <tr r="AS4" s="2"/>
      </tp>
      <tp t="s">
        <v>Adam Shepherd</v>
        <stp/>
        <stp>##V3_BQLV12</stp>
        <stp>[MODL_CRM_US1.xlsx]Single Period!R4C54</stp>
        <stp>CRM US Equity</stp>
        <stp>LAST(IS_COMP_SALES(FA_ACT_EST_DATA=E, EST_SOURCE=ARE).analyst_name)</stp>
        <stp>FPR=2022Y</stp>
        <stp>FPT=A</stp>
        <stp>ACT_EST_MAPPING=PRECISE</stp>
        <stp>FS=MRC</stp>
        <stp>CURRENCY=USD</stp>
        <stp>XLFILL=b</stp>
        <tr r="BB4" s="2"/>
      </tp>
      <tp t="s">
        <v/>
        <stp/>
        <stp>##V3_BQLV12</stp>
        <stp>[MODL_CRM_US1.xlsx]Single Period!R163C10</stp>
        <stp>CRM US Equity</stp>
        <stp>CB_CF_OTHR_NONCSH_ITEMS/1M</stp>
        <stp>FPR=2022Y</stp>
        <stp>FPT=A</stp>
        <stp>FA_ACT_EST_DATA=E, EST_SOURCE=CMPY</stp>
        <stp>ACT_EST_MAPPING=PRECISE</stp>
        <stp>FS=MRC</stp>
        <stp>CURRENCY=USD</stp>
        <stp>XLFILL=b</stp>
        <tr r="J163" s="2"/>
      </tp>
      <tp t="s">
        <v/>
        <stp/>
        <stp>##V3_BQLV12</stp>
        <stp>[MODL_CRM_US1.xlsx]Single Period!R193C40</stp>
        <stp>CRM US Equity</stp>
        <stp>FCF_PER_DIL_SHR</stp>
        <stp>FPR=2022Y</stp>
        <stp>FPT=A</stp>
        <stp>FA_ACT_EST_DATA=E, EST_SOURCE=ACC</stp>
        <stp>ACT_EST_MAPPING=PRECISE</stp>
        <stp>FS=MRC</stp>
        <stp>CURRENCY=USD</stp>
        <stp>XLFILL=b</stp>
        <tr r="AN193" s="2"/>
      </tp>
      <tp>
        <v>24593.49171875</v>
        <stp/>
        <stp>##V3_BQLV12</stp>
        <stp>[MODL_CRM_US1.xlsx]Single Period!R10C9</stp>
        <stp>SEG0000269238 Segment</stp>
        <stp>CONTRIBUTOR_STATS(SALES_REV_TURN, MEDIAN)/1M</stp>
        <stp>FPR=2022Y</stp>
        <stp>FPT=A</stp>
        <stp>FA_ACT_EST_DATA=E</stp>
        <stp>ACT_EST_MAPPING=PRECISE</stp>
        <stp>FS=MRC</stp>
        <stp>CURRENCY=USD</stp>
        <stp>XLFILL=b</stp>
        <tr r="I10" s="2"/>
      </tp>
      <tp>
        <v>4299</v>
        <stp/>
        <stp>##V3_BQLV12</stp>
        <stp>[MODL_CRM_US1.xlsx]Single Period!R43C9</stp>
        <stp>SEG0000269240 Segment</stp>
        <stp>CONTRIBUTOR_STATS(SALES_REV_TURN, MEDIAN)/1M</stp>
        <stp>FPR=2022Y</stp>
        <stp>FPT=A</stp>
        <stp>FA_ACT_EST_DATA=E</stp>
        <stp>ACT_EST_MAPPING=PRECISE</stp>
        <stp>FS=MRC</stp>
        <stp>CURRENCY=USD</stp>
        <stp>XLFILL=b</stp>
        <tr r="I43" s="2"/>
      </tp>
      <tp>
        <v>3924.87</v>
        <stp/>
        <stp>##V3_BQLV12</stp>
        <stp>[MODL_CRM_US1.xlsx]Single Period!R29C9</stp>
        <stp>SEG0000269233 Segment</stp>
        <stp>CONTRIBUTOR_STATS(SALES_REV_TURN, MEDIAN)/1M</stp>
        <stp>FPR=2022Y</stp>
        <stp>FPT=A</stp>
        <stp>FA_ACT_EST_DATA=E</stp>
        <stp>ACT_EST_MAPPING=PRECISE</stp>
        <stp>FS=MRC</stp>
        <stp>CURRENCY=USD</stp>
        <stp>XLFILL=b</stp>
        <tr r="I29" s="2"/>
      </tp>
      <tp>
        <v>24593.49171875</v>
        <stp/>
        <stp>##V3_BQLV12</stp>
        <stp>[MODL_CRM_US1.xlsx]Single Period!R24C9</stp>
        <stp>SEG0000269238 Segment</stp>
        <stp>CONTRIBUTOR_STATS(SALES_REV_TURN, MEDIAN)/1M</stp>
        <stp>FPR=2022Y</stp>
        <stp>FPT=A</stp>
        <stp>FA_ACT_EST_DATA=E</stp>
        <stp>ACT_EST_MAPPING=PRECISE</stp>
        <stp>FS=MRC</stp>
        <stp>CURRENCY=USD</stp>
        <stp>XLFILL=b</stp>
        <tr r="I24" s="2"/>
      </tp>
      <tp>
        <v>13044</v>
        <stp/>
        <stp>##V3_BQLV12</stp>
        <stp>[MODL_CRM_US1.xlsx]Single Period!R38C9</stp>
        <stp>SEG0000269228 Segment</stp>
        <stp>CONTRIBUTOR_STATS(SALES_REV_TURN, MEDIAN)/1M</stp>
        <stp>FPR=2022Y</stp>
        <stp>FPT=A</stp>
        <stp>FA_ACT_EST_DATA=E</stp>
        <stp>ACT_EST_MAPPING=PRECISE</stp>
        <stp>FS=MRC</stp>
        <stp>CURRENCY=USD</stp>
        <stp>XLFILL=b</stp>
        <tr r="I38" s="2"/>
      </tp>
      <tp>
        <v>1817</v>
        <stp/>
        <stp>##V3_BQLV12</stp>
        <stp>[MODL_CRM_US1.xlsx]Single Period!R32C9</stp>
        <stp>SEG0000269227 Segment</stp>
        <stp>CONTRIBUTOR_STATS(SALES_REV_TURN, MEDIAN)/1M</stp>
        <stp>FPR=2022Y</stp>
        <stp>FPT=A</stp>
        <stp>FA_ACT_EST_DATA=E</stp>
        <stp>ACT_EST_MAPPING=PRECISE</stp>
        <stp>FS=MRC</stp>
        <stp>CURRENCY=USD</stp>
        <stp>XLFILL=b</stp>
        <tr r="I32" s="2"/>
      </tp>
      <tp>
        <v>5926.06</v>
        <stp/>
        <stp>##V3_BQLV12</stp>
        <stp>[MODL_CRM_US1.xlsx]Single Period!R28C9</stp>
        <stp>SEG0000269242 Segment</stp>
        <stp>CONTRIBUTOR_STATS(SALES_REV_TURN, MEDIAN)/1M</stp>
        <stp>FPR=2022Y</stp>
        <stp>FPT=A</stp>
        <stp>FA_ACT_EST_DATA=E</stp>
        <stp>ACT_EST_MAPPING=PRECISE</stp>
        <stp>FS=MRC</stp>
        <stp>CURRENCY=USD</stp>
        <stp>XLFILL=b</stp>
        <tr r="I28" s="2"/>
      </tp>
      <tp>
        <v>5963</v>
        <stp/>
        <stp>##V3_BQLV12</stp>
        <stp>[MODL_CRM_US1.xlsx]Single Period!R26C9</stp>
        <stp>SEG0000269247 Segment</stp>
        <stp>CONTRIBUTOR_STATS(SALES_REV_TURN, MEDIAN)/1M</stp>
        <stp>FPR=2022Y</stp>
        <stp>FPT=A</stp>
        <stp>FA_ACT_EST_DATA=E</stp>
        <stp>ACT_EST_MAPPING=PRECISE</stp>
        <stp>FS=MRC</stp>
        <stp>CURRENCY=USD</stp>
        <stp>XLFILL=b</stp>
        <tr r="I26" s="2"/>
      </tp>
      <tp>
        <v>1823</v>
        <stp/>
        <stp>##V3_BQLV12</stp>
        <stp>[MODL_CRM_US1.xlsx]Single Period!R48C9</stp>
        <stp>SEG0000269229 Segment</stp>
        <stp>CONTRIBUTOR_STATS(SALES_REV_TURN, MEDIAN)/1M</stp>
        <stp>FPR=2022Y</stp>
        <stp>FPT=A</stp>
        <stp>FA_ACT_EST_DATA=E</stp>
        <stp>ACT_EST_MAPPING=PRECISE</stp>
        <stp>FS=MRC</stp>
        <stp>CURRENCY=USD</stp>
        <stp>XLFILL=b</stp>
        <tr r="I48" s="2"/>
      </tp>
      <tp>
        <v>6499.2</v>
        <stp/>
        <stp>##V3_BQLV12</stp>
        <stp>[MODL_CRM_US1.xlsx]Single Period!R27C9</stp>
        <stp>SEG0000269241 Segment</stp>
        <stp>CONTRIBUTOR_STATS(SALES_REV_TURN, MEDIAN)/1M</stp>
        <stp>FPR=2022Y</stp>
        <stp>FPT=A</stp>
        <stp>FA_ACT_EST_DATA=E</stp>
        <stp>ACT_EST_MAPPING=PRECISE</stp>
        <stp>FS=MRC</stp>
        <stp>CURRENCY=USD</stp>
        <stp>XLFILL=b</stp>
        <tr r="I27" s="2"/>
      </tp>
      <tp>
        <v>26396</v>
        <stp/>
        <stp>##V3_BQLV12</stp>
        <stp>[MODL_CRM_US1.xlsx]Single Period!R7C23</stp>
        <stp>CRM US Equity</stp>
        <stp>IS_COMP_SALES/1M</stp>
        <stp>FPR=2022Y</stp>
        <stp>FPT=A</stp>
        <stp>FA_ACT_EST_DATA=E, EST_SOURCE=JPM</stp>
        <stp>ACT_EST_MAPPING=PRECISE</stp>
        <stp>FS=MRC</stp>
        <stp>CURRENCY=USD</stp>
        <stp>XLFILL=b</stp>
        <tr r="W7" s="2"/>
      </tp>
      <tp>
        <v>26300</v>
        <stp/>
        <stp>##V3_BQLV12</stp>
        <stp>[MODL_CRM_US1.xlsx]Single Period!R7C44</stp>
        <stp>CRM US Equity</stp>
        <stp>IS_COMP_SALES/1M</stp>
        <stp>FPR=2022Y</stp>
        <stp>FPT=A</stp>
        <stp>FA_ACT_EST_DATA=E, EST_SOURCE=RWB</stp>
        <stp>ACT_EST_MAPPING=PRECISE</stp>
        <stp>FS=MRC</stp>
        <stp>CURRENCY=USD</stp>
        <stp>XLFILL=b</stp>
        <tr r="AR7" s="2"/>
      </tp>
      <tp>
        <v>0.87617521317738767</v>
        <stp/>
        <stp>##V3_BQLV12</stp>
        <stp>[MODL_CRM_US1.xlsx]Single Period!R183C8</stp>
        <stp>CRM US Equity</stp>
        <stp>CONTRIBUTOR_STATS(CASH_FLOW_PER_SH, STD)</stp>
        <stp>FPR=2022Y</stp>
        <stp>FPT=A</stp>
        <stp>FA_ACT_EST_DATA=E</stp>
        <stp>ACT_EST_MAPPING=PRECISE</stp>
        <stp>FS=MRC</stp>
        <stp>CURRENCY=USD</stp>
        <stp>XLFILL=b</stp>
        <tr r="H183" s="2"/>
      </tp>
      <tp>
        <v>26396</v>
        <stp/>
        <stp>##V3_BQLV12</stp>
        <stp>[MODL_CRM_US1.xlsx]Single Period!R7C9</stp>
        <stp>CRM US Equity</stp>
        <stp>CONTRIBUTOR_STATS(IS_COMP_SALES, MEDIAN)/1M</stp>
        <stp>FPR=2022Y</stp>
        <stp>FPT=A</stp>
        <stp>FA_ACT_EST_DATA=E</stp>
        <stp>ACT_EST_MAPPING=PRECISE</stp>
        <stp>FS=MRC</stp>
        <stp>CURRENCY=USD</stp>
        <stp>XLFILL=b</stp>
        <tr r="I7" s="2"/>
      </tp>
      <tp>
        <v>2957.7142857142858</v>
        <stp/>
        <stp>##V3_BQLV12</stp>
        <stp>[MODL_CRM_US1.xlsx]Single Period!R123C5</stp>
        <stp>CRM US Equity</stp>
        <stp>TOT_OPER_LEA_RT_OF_USE_ASSETS/1M</stp>
        <stp>FPR=2022Y</stp>
        <stp>FPT=A</stp>
        <stp>FA_ACT_EST_DATA=E</stp>
        <stp>ACT_EST_MAPPING=PRECISE</stp>
        <stp>FS=MRC</stp>
        <stp>CURRENCY=USD</stp>
        <stp>XLFILL=b</stp>
        <tr r="E123" s="2"/>
      </tp>
      <tp t="s">
        <v/>
        <stp/>
        <stp>##V3_BQLV12</stp>
        <stp>[MODL_CRM_US1.xlsx]Single Period!R182C23</stp>
        <stp>CRM US Equity</stp>
        <stp>CB_CF_NET_CASH_OPERATING_ACT/1M</stp>
        <stp>FPR=2022Y</stp>
        <stp>FPT=A</stp>
        <stp>FA_ACT_EST_DATA=E, EST_SOURCE=JPM</stp>
        <stp>ACT_EST_MAPPING=PRECISE</stp>
        <stp>FS=MRC</stp>
        <stp>CURRENCY=USD</stp>
        <stp>XLFILL=b</stp>
        <tr r="W182" s="2"/>
      </tp>
      <tp t="s">
        <v/>
        <stp/>
        <stp>##V3_BQLV12</stp>
        <stp>[MODL_CRM_US1.xlsx]Single Period!R78C35</stp>
        <stp>CRM US Equity</stp>
        <stp>COGS_TO_NET_SALES</stp>
        <stp>FPR=2022Y</stp>
        <stp>FPT=A</stp>
        <stp>FA_ACT_EST_DATA=E, EST_SOURCE=ATL</stp>
        <stp>ACT_EST_MAPPING=PRECISE</stp>
        <stp>FS=MRC</stp>
        <stp>CURRENCY=USD</stp>
        <stp>XLFILL=b</stp>
        <tr r="AI78" s="2"/>
      </tp>
      <tp>
        <v>15474.54832</v>
        <stp/>
        <stp>##V3_BQLV12</stp>
        <stp>[MODL_CRM_US1.xlsx]Single Period!R58C25</stp>
        <stp>CRM US Equity</stp>
        <stp>CB_IS_ADJUSTED_OPEX/1M</stp>
        <stp>FPR=2022Y</stp>
        <stp>FPT=A</stp>
        <stp>FA_ACT_EST_DATA=E, EST_SOURCE=WMS</stp>
        <stp>ACT_EST_MAPPING=PRECISE</stp>
        <stp>FS=MRC</stp>
        <stp>CURRENCY=USD</stp>
        <stp>XLFILL=b</stp>
        <tr r="Y58" s="2"/>
      </tp>
      <tp t="s">
        <v/>
        <stp/>
        <stp>##V3_BQLV12</stp>
        <stp>[MODL_CRM_US1.xlsx]Single Period!R167C23</stp>
        <stp>CRM US Equity</stp>
        <stp>CB_CF_NET_CASH_OPERATING_ACT/1M</stp>
        <stp>FPR=2022Y</stp>
        <stp>FPT=A</stp>
        <stp>FA_ACT_EST_DATA=E, EST_SOURCE=JPM</stp>
        <stp>ACT_EST_MAPPING=PRECISE</stp>
        <stp>FS=MRC</stp>
        <stp>CURRENCY=USD</stp>
        <stp>XLFILL=b</stp>
        <tr r="W167" s="2"/>
      </tp>
      <tp t="s">
        <v/>
        <stp/>
        <stp>##V3_BQLV12</stp>
        <stp>[MODL_CRM_US1.xlsx]Single Period!R173C51</stp>
        <stp>CRM US Equity</stp>
        <stp>CB_CF_NET_CASH_INVESTING_ACT/1M</stp>
        <stp>FPR=2022Y</stp>
        <stp>FPT=A</stp>
        <stp>FA_ACT_EST_DATA=E, EST_SOURCE=RCP</stp>
        <stp>ACT_EST_MAPPING=PRECISE</stp>
        <stp>FS=MRC</stp>
        <stp>CURRENCY=USD</stp>
        <stp>XLFILL=b</stp>
        <tr r="AY173" s="2"/>
      </tp>
      <tp t="s">
        <v/>
        <stp/>
        <stp>##V3_BQLV12</stp>
        <stp>[MODL_CRM_US1.xlsx]Single Period!R58C20</stp>
        <stp>CRM US Equity</stp>
        <stp>CB_IS_ADJUSTED_OPEX/1M</stp>
        <stp>FPR=2022Y</stp>
        <stp>FPT=A</stp>
        <stp>FA_ACT_EST_DATA=E, EST_SOURCE=JMP</stp>
        <stp>ACT_EST_MAPPING=PRECISE</stp>
        <stp>FS=MRC</stp>
        <stp>CURRENCY=USD</stp>
        <stp>XLFILL=b</stp>
        <tr r="T58" s="2"/>
      </tp>
      <tp t="s">
        <v/>
        <stp/>
        <stp>##V3_BQLV12</stp>
        <stp>[MODL_CRM_US1.xlsx]Single Period!R71C54</stp>
        <stp>CRM US Equity</stp>
        <stp>ADJ_PROFIT_MARGIN</stp>
        <stp>FPR=2022Y</stp>
        <stp>FPT=A</stp>
        <stp>FA_ACT_EST_DATA=E, EST_SOURCE=ARE</stp>
        <stp>ACT_EST_MAPPING=PRECISE</stp>
        <stp>FS=MRC</stp>
        <stp>CURRENCY=USD</stp>
        <stp>XLFILL=b</stp>
        <tr r="BB71" s="2"/>
      </tp>
      <tp t="s">
        <v/>
        <stp/>
        <stp>##V3_BQLV12</stp>
        <stp>[MODL_CRM_US1.xlsx]Single Period!R78C46</stp>
        <stp>CRM US Equity</stp>
        <stp>COGS_TO_NET_SALES</stp>
        <stp>FPR=2022Y</stp>
        <stp>FPT=A</stp>
        <stp>FA_ACT_EST_DATA=E, EST_SOURCE=CTI</stp>
        <stp>ACT_EST_MAPPING=PRECISE</stp>
        <stp>FS=MRC</stp>
        <stp>CURRENCY=USD</stp>
        <stp>XLFILL=b</stp>
        <tr r="AT78" s="2"/>
      </tp>
      <tp t="s">
        <v/>
        <stp/>
        <stp>##V3_BQLV12</stp>
        <stp>[MODL_CRM_US1.xlsx]Single Period!R71C45</stp>
        <stp>CRM US Equity</stp>
        <stp>ADJ_PROFIT_MARGIN</stp>
        <stp>FPR=2022Y</stp>
        <stp>FPT=A</stp>
        <stp>FA_ACT_EST_DATA=E, EST_SOURCE=ARG</stp>
        <stp>ACT_EST_MAPPING=PRECISE</stp>
        <stp>FS=MRC</stp>
        <stp>CURRENCY=USD</stp>
        <stp>XLFILL=b</stp>
        <tr r="AS71" s="2"/>
      </tp>
      <tp t="s">
        <v/>
        <stp/>
        <stp>##V3_BQLV12</stp>
        <stp>[MODL_CRM_US1.xlsx]Single Period!R136C52</stp>
        <stp>CRM US Equity</stp>
        <stp>BS_TOTAL_LIABILITIES/1M</stp>
        <stp>FPR=2022Y</stp>
        <stp>FPT=A</stp>
        <stp>FA_ACT_EST_DATA=E, EST_SOURCE=WFR</stp>
        <stp>ACT_EST_MAPPING=PRECISE</stp>
        <stp>FS=MRC</stp>
        <stp>CURRENCY=USD</stp>
        <stp>XLFILL=b</stp>
        <tr r="AZ136" s="2"/>
      </tp>
      <tp t="s">
        <v/>
        <stp/>
        <stp>##V3_BQLV12</stp>
        <stp>[MODL_CRM_US1.xlsx]Single Period!R182C22</stp>
        <stp>CRM US Equity</stp>
        <stp>CB_CF_NET_CASH_OPERATING_ACT/1M</stp>
        <stp>FPR=2022Y</stp>
        <stp>FPT=A</stp>
        <stp>FA_ACT_EST_DATA=E, EST_SOURCE=OPY</stp>
        <stp>ACT_EST_MAPPING=PRECISE</stp>
        <stp>FS=MRC</stp>
        <stp>CURRENCY=USD</stp>
        <stp>XLFILL=b</stp>
        <tr r="V182" s="2"/>
      </tp>
      <tp t="s">
        <v/>
        <stp/>
        <stp>##V3_BQLV12</stp>
        <stp>[MODL_CRM_US1.xlsx]Single Period!R136C11</stp>
        <stp>CRM US Equity</stp>
        <stp>BS_TOTAL_LIABILITIES/1M</stp>
        <stp>FPR=2022Y</stp>
        <stp>FPT=A</stp>
        <stp>FA_ACT_EST_DATA=E, EST_SOURCE=WBL</stp>
        <stp>ACT_EST_MAPPING=PRECISE</stp>
        <stp>FS=MRC</stp>
        <stp>CURRENCY=USD</stp>
        <stp>XLFILL=b</stp>
        <tr r="K136" s="2"/>
      </tp>
      <tp t="s">
        <v/>
        <stp/>
        <stp>##V3_BQLV12</stp>
        <stp>[MODL_CRM_US1.xlsx]Single Period!R136C49</stp>
        <stp>CRM US Equity</stp>
        <stp>BS_TOTAL_LIABILITIES/1M</stp>
        <stp>FPR=2022Y</stp>
        <stp>FPT=A</stp>
        <stp>FA_ACT_EST_DATA=E, EST_SOURCE=SGE</stp>
        <stp>ACT_EST_MAPPING=PRECISE</stp>
        <stp>FS=MRC</stp>
        <stp>CURRENCY=USD</stp>
        <stp>XLFILL=b</stp>
        <tr r="AW136" s="2"/>
      </tp>
      <tp>
        <v>6364.2798060007472</v>
        <stp/>
        <stp>##V3_BQLV12</stp>
        <stp>[MODL_CRM_US1.xlsx]Single Period!R167C15</stp>
        <stp>CRM US Equity</stp>
        <stp>CB_CF_NET_CASH_OPERATING_ACT/1M</stp>
        <stp>FPR=2022Y</stp>
        <stp>FPT=A</stp>
        <stp>FA_ACT_EST_DATA=E, EST_SOURCE=MSV</stp>
        <stp>ACT_EST_MAPPING=PRECISE</stp>
        <stp>FS=MRC</stp>
        <stp>CURRENCY=USD</stp>
        <stp>XLFILL=b</stp>
        <tr r="O167" s="2"/>
      </tp>
      <tp t="s">
        <v/>
        <stp/>
        <stp>##V3_BQLV12</stp>
        <stp>[MODL_CRM_US1.xlsx]Single Period!R58C12</stp>
        <stp>CRM US Equity</stp>
        <stp>CB_IS_ADJUSTED_OPEX/1M</stp>
        <stp>FPR=2022Y</stp>
        <stp>FPT=A</stp>
        <stp>FA_ACT_EST_DATA=E, EST_SOURCE=BMO</stp>
        <stp>ACT_EST_MAPPING=PRECISE</stp>
        <stp>FS=MRC</stp>
        <stp>CURRENCY=USD</stp>
        <stp>XLFILL=b</stp>
        <tr r="L58" s="2"/>
      </tp>
      <tp>
        <v>6364.2798060007472</v>
        <stp/>
        <stp>##V3_BQLV12</stp>
        <stp>[MODL_CRM_US1.xlsx]Single Period!R182C15</stp>
        <stp>CRM US Equity</stp>
        <stp>CB_CF_NET_CASH_OPERATING_ACT/1M</stp>
        <stp>FPR=2022Y</stp>
        <stp>FPT=A</stp>
        <stp>FA_ACT_EST_DATA=E, EST_SOURCE=MSV</stp>
        <stp>ACT_EST_MAPPING=PRECISE</stp>
        <stp>FS=MRC</stp>
        <stp>CURRENCY=USD</stp>
        <stp>XLFILL=b</stp>
        <tr r="O182" s="2"/>
      </tp>
      <tp t="s">
        <v/>
        <stp/>
        <stp>##V3_BQLV12</stp>
        <stp>[MODL_CRM_US1.xlsx]Single Period!R173C34</stp>
        <stp>CRM US Equity</stp>
        <stp>CB_CF_NET_CASH_INVESTING_ACT/1M</stp>
        <stp>FPR=2022Y</stp>
        <stp>FPT=A</stp>
        <stp>FA_ACT_EST_DATA=E, EST_SOURCE=JEF</stp>
        <stp>ACT_EST_MAPPING=PRECISE</stp>
        <stp>FS=MRC</stp>
        <stp>CURRENCY=USD</stp>
        <stp>XLFILL=b</stp>
        <tr r="AH173" s="2"/>
      </tp>
      <tp t="s">
        <v/>
        <stp/>
        <stp>##V3_BQLV12</stp>
        <stp>[MODL_CRM_US1.xlsx]Single Period!R167C22</stp>
        <stp>CRM US Equity</stp>
        <stp>CB_CF_NET_CASH_OPERATING_ACT/1M</stp>
        <stp>FPR=2022Y</stp>
        <stp>FPT=A</stp>
        <stp>FA_ACT_EST_DATA=E, EST_SOURCE=OPY</stp>
        <stp>ACT_EST_MAPPING=PRECISE</stp>
        <stp>FS=MRC</stp>
        <stp>CURRENCY=USD</stp>
        <stp>XLFILL=b</stp>
        <tr r="V167" s="2"/>
      </tp>
      <tp t="s">
        <v/>
        <stp/>
        <stp>##V3_BQLV12</stp>
        <stp>[MODL_CRM_US1.xlsx]Single Period!R124C48</stp>
        <stp>CRM US Equity</stp>
        <stp>CAPITALIZED_SOFTWARE/1M</stp>
        <stp>FPR=2022Y</stp>
        <stp>FPT=A</stp>
        <stp>FA_ACT_EST_DATA=E, EST_SOURCE=PJE</stp>
        <stp>ACT_EST_MAPPING=PRECISE</stp>
        <stp>FS=MRC</stp>
        <stp>CURRENCY=USD</stp>
        <stp>XLFILL=b</stp>
        <tr r="AV124" s="2"/>
      </tp>
      <tp>
        <v>35689.986242613712</v>
        <stp/>
        <stp>##V3_BQLV12</stp>
        <stp>[MODL_CRM_US1.xlsx]Single Period!R136C16</stp>
        <stp>CRM US Equity</stp>
        <stp>BS_TOTAL_LIABILITIES/1M</stp>
        <stp>FPR=2022Y</stp>
        <stp>FPT=A</stp>
        <stp>FA_ACT_EST_DATA=E, EST_SOURCE=DBG</stp>
        <stp>ACT_EST_MAPPING=PRECISE</stp>
        <stp>FS=MRC</stp>
        <stp>CURRENCY=USD</stp>
        <stp>XLFILL=b</stp>
        <tr r="P136" s="2"/>
      </tp>
      <tp t="s">
        <v/>
        <stp/>
        <stp>##V3_BQLV12</stp>
        <stp>[MODL_CRM_US1.xlsx]Single Period!R193C51</stp>
        <stp>CRM US Equity</stp>
        <stp>FCF_PER_DIL_SHR</stp>
        <stp>FPR=2022Y</stp>
        <stp>FPT=A</stp>
        <stp>FA_ACT_EST_DATA=E, EST_SOURCE=RCP</stp>
        <stp>ACT_EST_MAPPING=PRECISE</stp>
        <stp>FS=MRC</stp>
        <stp>CURRENCY=USD</stp>
        <stp>XLFILL=b</stp>
        <tr r="AY193" s="2"/>
      </tp>
      <tp t="s">
        <v/>
        <stp/>
        <stp>##V3_BQLV12</stp>
        <stp>[MODL_CRM_US1.xlsx]Single Period!R90C50</stp>
        <stp>CRM US Equity</stp>
        <stp>IS_INC_TAX_EXP/1M</stp>
        <stp>FPR=2022Y</stp>
        <stp>FPT=A</stp>
        <stp>FA_ACT_EST_DATA=E, EST_SOURCE=MZS</stp>
        <stp>ACT_EST_MAPPING=PRECISE</stp>
        <stp>FS=MRC</stp>
        <stp>CURRENCY=USD</stp>
        <stp>XLFILL=b</stp>
        <tr r="AX90" s="2"/>
      </tp>
      <tp t="s">
        <v/>
        <stp/>
        <stp>##V3_BQLV12</stp>
        <stp>[MODL_CRM_US1.xlsx]Single Period!R193C34</stp>
        <stp>CRM US Equity</stp>
        <stp>FCF_PER_DIL_SHR</stp>
        <stp>FPR=2022Y</stp>
        <stp>FPT=A</stp>
        <stp>FA_ACT_EST_DATA=E, EST_SOURCE=JEF</stp>
        <stp>ACT_EST_MAPPING=PRECISE</stp>
        <stp>FS=MRC</stp>
        <stp>CURRENCY=USD</stp>
        <stp>XLFILL=b</stp>
        <tr r="AH193" s="2"/>
      </tp>
      <tp t="s">
        <v/>
        <stp/>
        <stp>##V3_BQLV12</stp>
        <stp>[MODL_CRM_US1.xlsx]Single Period!R7C46</stp>
        <stp>CRM US Equity</stp>
        <stp>IS_COMP_SALES/1M</stp>
        <stp>FPR=2022Y</stp>
        <stp>FPT=A</stp>
        <stp>FA_ACT_EST_DATA=E, EST_SOURCE=CTI</stp>
        <stp>ACT_EST_MAPPING=PRECISE</stp>
        <stp>FS=MRC</stp>
        <stp>CURRENCY=USD</stp>
        <stp>XLFILL=b</stp>
        <tr r="AT7" s="2"/>
      </tp>
      <tp>
        <v>2048.3920342820188</v>
        <stp/>
        <stp>##V3_BQLV12</stp>
        <stp>[MODL_CRM_US1.xlsx]Single Period!R119C9</stp>
        <stp>CRM US Equity</stp>
        <stp>CONTRIBUTOR_STATS(CB_BS_OTHER_NONCURRENT_ASSETS, MEDIAN)/1M</stp>
        <stp>FPR=2022Y</stp>
        <stp>FPT=A</stp>
        <stp>FA_ACT_EST_DATA=E</stp>
        <stp>ACT_EST_MAPPING=PRECISE</stp>
        <stp>FS=MRC</stp>
        <stp>CURRENCY=USD</stp>
        <stp>XLFILL=b</stp>
        <tr r="I119" s="2"/>
      </tp>
      <tp>
        <v>26395</v>
        <stp/>
        <stp>##V3_BQLV12</stp>
        <stp>[MODL_CRM_US1.xlsx]Single Period!R7C22</stp>
        <stp>CRM US Equity</stp>
        <stp>IS_COMP_SALES/1M</stp>
        <stp>FPR=2022Y</stp>
        <stp>FPT=A</stp>
        <stp>FA_ACT_EST_DATA=E, EST_SOURCE=OPY</stp>
        <stp>ACT_EST_MAPPING=PRECISE</stp>
        <stp>FS=MRC</stp>
        <stp>CURRENCY=USD</stp>
        <stp>XLFILL=b</stp>
        <tr r="V7" s="2"/>
      </tp>
      <tp>
        <v>26400</v>
        <stp/>
        <stp>##V3_BQLV12</stp>
        <stp>[MODL_CRM_US1.xlsx]Single Period!R7C41</stp>
        <stp>CRM US Equity</stp>
        <stp>IS_COMP_SALES/1M</stp>
        <stp>FPR=2022Y</stp>
        <stp>FPT=A</stp>
        <stp>FA_ACT_EST_DATA=E, EST_SOURCE=GSR</stp>
        <stp>ACT_EST_MAPPING=PRECISE</stp>
        <stp>FS=MRC</stp>
        <stp>CURRENCY=USD</stp>
        <stp>XLFILL=b</stp>
        <tr r="AO7" s="2"/>
      </tp>
      <tp t="s">
        <v/>
        <stp/>
        <stp>##V3_BQLV12</stp>
        <stp>[MODL_CRM_US1.xlsx]Single Period!R167C44</stp>
        <stp>CRM US Equity</stp>
        <stp>CB_CF_NET_CASH_OPERATING_ACT/1M</stp>
        <stp>FPR=2022Y</stp>
        <stp>FPT=A</stp>
        <stp>FA_ACT_EST_DATA=E, EST_SOURCE=RWB</stp>
        <stp>ACT_EST_MAPPING=PRECISE</stp>
        <stp>FS=MRC</stp>
        <stp>CURRENCY=USD</stp>
        <stp>XLFILL=b</stp>
        <tr r="AR167" s="2"/>
      </tp>
      <tp t="s">
        <v/>
        <stp/>
        <stp>##V3_BQLV12</stp>
        <stp>[MODL_CRM_US1.xlsx]Single Period!R106C21</stp>
        <stp>CRM US Equity</stp>
        <stp>IS_AMORT_ACQD_INTANG_S_AND_M/1M</stp>
        <stp>FPR=2022Y</stp>
        <stp>FPT=A</stp>
        <stp>FA_ACT_EST_DATA=E, EST_SOURCE=RJA</stp>
        <stp>ACT_EST_MAPPING=PRECISE</stp>
        <stp>FS=MRC</stp>
        <stp>CURRENCY=USD</stp>
        <stp>XLFILL=b</stp>
        <tr r="U106" s="2"/>
      </tp>
      <tp t="s">
        <v/>
        <stp/>
        <stp>##V3_BQLV12</stp>
        <stp>[MODL_CRM_US1.xlsx]Single Period!R182C43</stp>
        <stp>CRM US Equity</stp>
        <stp>CB_CF_NET_CASH_OPERATING_ACT/1M</stp>
        <stp>FPR=2022Y</stp>
        <stp>FPT=A</stp>
        <stp>FA_ACT_EST_DATA=E, EST_SOURCE=DWI</stp>
        <stp>ACT_EST_MAPPING=PRECISE</stp>
        <stp>FS=MRC</stp>
        <stp>CURRENCY=USD</stp>
        <stp>XLFILL=b</stp>
        <tr r="AQ182" s="2"/>
      </tp>
      <tp t="s">
        <v/>
        <stp/>
        <stp>##V3_BQLV12</stp>
        <stp>[MODL_CRM_US1.xlsx]Single Period!R124C20</stp>
        <stp>CRM US Equity</stp>
        <stp>CAPITALIZED_SOFTWARE/1M</stp>
        <stp>FPR=2022Y</stp>
        <stp>FPT=A</stp>
        <stp>FA_ACT_EST_DATA=E, EST_SOURCE=JMP</stp>
        <stp>ACT_EST_MAPPING=PRECISE</stp>
        <stp>FS=MRC</stp>
        <stp>CURRENCY=USD</stp>
        <stp>XLFILL=b</stp>
        <tr r="T124" s="2"/>
      </tp>
      <tp t="s">
        <v/>
        <stp/>
        <stp>##V3_BQLV12</stp>
        <stp>[MODL_CRM_US1.xlsx]Single Period!R104C28</stp>
        <stp>CRM US Equity</stp>
        <stp>IS_AMORT_OF_TOT_INTANG_PRETX/1M</stp>
        <stp>FPR=2022Y</stp>
        <stp>FPT=A</stp>
        <stp>FA_ACT_EST_DATA=E, EST_SOURCE=CWN</stp>
        <stp>ACT_EST_MAPPING=PRECISE</stp>
        <stp>FS=MRC</stp>
        <stp>CURRENCY=USD</stp>
        <stp>XLFILL=b</stp>
        <tr r="AB104" s="2"/>
      </tp>
      <tp t="s">
        <v/>
        <stp/>
        <stp>##V3_BQLV12</stp>
        <stp>[MODL_CRM_US1.xlsx]Single Period!R124C25</stp>
        <stp>CRM US Equity</stp>
        <stp>CAPITALIZED_SOFTWARE/1M</stp>
        <stp>FPR=2022Y</stp>
        <stp>FPT=A</stp>
        <stp>FA_ACT_EST_DATA=E, EST_SOURCE=WMS</stp>
        <stp>ACT_EST_MAPPING=PRECISE</stp>
        <stp>FS=MRC</stp>
        <stp>CURRENCY=USD</stp>
        <stp>XLFILL=b</stp>
        <tr r="Y124" s="2"/>
      </tp>
      <tp t="s">
        <v/>
        <stp/>
        <stp>##V3_BQLV12</stp>
        <stp>[MODL_CRM_US1.xlsx]Single Period!R124C14</stp>
        <stp>CRM US Equity</stp>
        <stp>CAPITALIZED_SOFTWARE/1M</stp>
        <stp>FPR=2022Y</stp>
        <stp>FPT=A</stp>
        <stp>FA_ACT_EST_DATA=E, EST_SOURCE=SNR</stp>
        <stp>ACT_EST_MAPPING=PRECISE</stp>
        <stp>FS=MRC</stp>
        <stp>CURRENCY=USD</stp>
        <stp>XLFILL=b</stp>
        <tr r="N124" s="2"/>
      </tp>
      <tp>
        <v>-12493.311748</v>
        <stp/>
        <stp>##V3_BQLV12</stp>
        <stp>[MODL_CRM_US1.xlsx]Single Period!R173C26</stp>
        <stp>CRM US Equity</stp>
        <stp>CB_CF_NET_CASH_INVESTING_ACT/1M</stp>
        <stp>FPR=2022Y</stp>
        <stp>FPT=A</stp>
        <stp>FA_ACT_EST_DATA=E, EST_SOURCE=KEY</stp>
        <stp>ACT_EST_MAPPING=PRECISE</stp>
        <stp>FS=MRC</stp>
        <stp>CURRENCY=USD</stp>
        <stp>XLFILL=b</stp>
        <tr r="Z173" s="2"/>
      </tp>
      <tp t="s">
        <v/>
        <stp/>
        <stp>##V3_BQLV12</stp>
        <stp>[MODL_CRM_US1.xlsx]Single Period!R40C46</stp>
        <stp>SEG0000269228 Segment</stp>
        <stp>REVENUE_GROWTH_CC_1_YR</stp>
        <stp>FPR=2022Y</stp>
        <stp>FPT=A</stp>
        <stp>FA_ACT_EST_DATA=E, EST_SOURCE=CTI</stp>
        <stp>ACT_EST_MAPPING=PRECISE</stp>
        <stp>FS=MRC</stp>
        <stp>CURRENCY=USD</stp>
        <stp>XLFILL=b</stp>
        <tr r="AT40" s="2"/>
      </tp>
      <tp t="s">
        <v/>
        <stp/>
        <stp>##V3_BQLV12</stp>
        <stp>[MODL_CRM_US1.xlsx]Single Period!R40C35</stp>
        <stp>SEG0000269228 Segment</stp>
        <stp>REVENUE_GROWTH_CC_1_YR</stp>
        <stp>FPR=2022Y</stp>
        <stp>FPT=A</stp>
        <stp>FA_ACT_EST_DATA=E, EST_SOURCE=ATL</stp>
        <stp>ACT_EST_MAPPING=PRECISE</stp>
        <stp>FS=MRC</stp>
        <stp>CURRENCY=USD</stp>
        <stp>XLFILL=b</stp>
        <tr r="AI40" s="2"/>
      </tp>
      <tp t="s">
        <v/>
        <stp/>
        <stp>##V3_BQLV12</stp>
        <stp>[MODL_CRM_US1.xlsx]Single Period!R136C47</stp>
        <stp>CRM US Equity</stp>
        <stp>BS_TOTAL_LIABILITIES/1M</stp>
        <stp>FPR=2022Y</stp>
        <stp>FPT=A</stp>
        <stp>FA_ACT_EST_DATA=E, EST_SOURCE=WFT</stp>
        <stp>ACT_EST_MAPPING=PRECISE</stp>
        <stp>FS=MRC</stp>
        <stp>CURRENCY=USD</stp>
        <stp>XLFILL=b</stp>
        <tr r="AU136" s="2"/>
      </tp>
      <tp t="s">
        <v/>
        <stp/>
        <stp>##V3_BQLV12</stp>
        <stp>[MODL_CRM_US1.xlsx]Single Period!R167C43</stp>
        <stp>CRM US Equity</stp>
        <stp>CB_CF_NET_CASH_OPERATING_ACT/1M</stp>
        <stp>FPR=2022Y</stp>
        <stp>FPT=A</stp>
        <stp>FA_ACT_EST_DATA=E, EST_SOURCE=DWI</stp>
        <stp>ACT_EST_MAPPING=PRECISE</stp>
        <stp>FS=MRC</stp>
        <stp>CURRENCY=USD</stp>
        <stp>XLFILL=b</stp>
        <tr r="AQ167" s="2"/>
      </tp>
      <tp t="s">
        <v/>
        <stp/>
        <stp>##V3_BQLV12</stp>
        <stp>[MODL_CRM_US1.xlsx]Single Period!R71C42</stp>
        <stp>CRM US Equity</stp>
        <stp>ADJ_PROFIT_MARGIN</stp>
        <stp>FPR=2022Y</stp>
        <stp>FPT=A</stp>
        <stp>FA_ACT_EST_DATA=E, EST_SOURCE=PSG</stp>
        <stp>ACT_EST_MAPPING=PRECISE</stp>
        <stp>FS=MRC</stp>
        <stp>CURRENCY=USD</stp>
        <stp>XLFILL=b</stp>
        <tr r="AP71" s="2"/>
      </tp>
      <tp t="s">
        <v/>
        <stp/>
        <stp>##V3_BQLV12</stp>
        <stp>[MODL_CRM_US1.xlsx]Single Period!R179C28</stp>
        <stp>CRM US Equity</stp>
        <stp>CB_CF_NET_CASH_FINANCING_ACT/1M</stp>
        <stp>FPR=2022Y</stp>
        <stp>FPT=A</stp>
        <stp>FA_ACT_EST_DATA=E, EST_SOURCE=CWN</stp>
        <stp>ACT_EST_MAPPING=PRECISE</stp>
        <stp>FS=MRC</stp>
        <stp>CURRENCY=USD</stp>
        <stp>XLFILL=b</stp>
        <tr r="AB179" s="2"/>
      </tp>
      <tp t="s">
        <v/>
        <stp/>
        <stp>##V3_BQLV12</stp>
        <stp>[MODL_CRM_US1.xlsx]Single Period!R182C44</stp>
        <stp>CRM US Equity</stp>
        <stp>CB_CF_NET_CASH_OPERATING_ACT/1M</stp>
        <stp>FPR=2022Y</stp>
        <stp>FPT=A</stp>
        <stp>FA_ACT_EST_DATA=E, EST_SOURCE=RWB</stp>
        <stp>ACT_EST_MAPPING=PRECISE</stp>
        <stp>FS=MRC</stp>
        <stp>CURRENCY=USD</stp>
        <stp>XLFILL=b</stp>
        <tr r="AR182" s="2"/>
      </tp>
      <tp t="s">
        <v/>
        <stp/>
        <stp>##V3_BQLV12</stp>
        <stp>[MODL_CRM_US1.xlsx]Single Period!R136C30</stp>
        <stp>CRM US Equity</stp>
        <stp>BS_TOTAL_LIABILITIES/1M</stp>
        <stp>FPR=2022Y</stp>
        <stp>FPT=A</stp>
        <stp>FA_ACT_EST_DATA=E, EST_SOURCE=BAM</stp>
        <stp>ACT_EST_MAPPING=PRECISE</stp>
        <stp>FS=MRC</stp>
        <stp>CURRENCY=USD</stp>
        <stp>XLFILL=b</stp>
        <tr r="AD136" s="2"/>
      </tp>
      <tp t="s">
        <v/>
        <stp/>
        <stp>##V3_BQLV12</stp>
        <stp>[MODL_CRM_US1.xlsx]Single Period!R136C19</stp>
        <stp>CRM US Equity</stp>
        <stp>BS_TOTAL_LIABILITIES/1M</stp>
        <stp>FPR=2022Y</stp>
        <stp>FPT=A</stp>
        <stp>FA_ACT_EST_DATA=E, EST_SOURCE=SCB</stp>
        <stp>ACT_EST_MAPPING=PRECISE</stp>
        <stp>FS=MRC</stp>
        <stp>CURRENCY=USD</stp>
        <stp>XLFILL=b</stp>
        <tr r="S136" s="2"/>
      </tp>
      <tp t="s">
        <v/>
        <stp/>
        <stp>##V3_BQLV12</stp>
        <stp>[MODL_CRM_US1.xlsx]Single Period!R104C37</stp>
        <stp>CRM US Equity</stp>
        <stp>IS_AMORT_OF_TOT_INTANG_PRETX/1M</stp>
        <stp>FPR=2022Y</stp>
        <stp>FPT=A</stp>
        <stp>FA_ACT_EST_DATA=E, EST_SOURCE=EVR</stp>
        <stp>ACT_EST_MAPPING=PRECISE</stp>
        <stp>FS=MRC</stp>
        <stp>CURRENCY=USD</stp>
        <stp>XLFILL=b</stp>
        <tr r="AK104" s="2"/>
      </tp>
      <tp t="s">
        <v/>
        <stp/>
        <stp>##V3_BQLV12</stp>
        <stp>[MODL_CRM_US1.xlsx]Single Period!R136C36</stp>
        <stp>CRM US Equity</stp>
        <stp>BS_TOTAL_LIABILITIES/1M</stp>
        <stp>FPR=2022Y</stp>
        <stp>FPT=A</stp>
        <stp>FA_ACT_EST_DATA=E, EST_SOURCE=MAC</stp>
        <stp>ACT_EST_MAPPING=PRECISE</stp>
        <stp>FS=MRC</stp>
        <stp>CURRENCY=USD</stp>
        <stp>XLFILL=b</stp>
        <tr r="AJ136" s="2"/>
      </tp>
      <tp t="s">
        <v/>
        <stp/>
        <stp>##V3_BQLV12</stp>
        <stp>[MODL_CRM_US1.xlsx]Single Period!R71C41</stp>
        <stp>CRM US Equity</stp>
        <stp>ADJ_PROFIT_MARGIN</stp>
        <stp>FPR=2022Y</stp>
        <stp>FPT=A</stp>
        <stp>FA_ACT_EST_DATA=E, EST_SOURCE=GSR</stp>
        <stp>ACT_EST_MAPPING=PRECISE</stp>
        <stp>FS=MRC</stp>
        <stp>CURRENCY=USD</stp>
        <stp>XLFILL=b</stp>
        <tr r="AO71" s="2"/>
      </tp>
      <tp t="s">
        <v/>
        <stp/>
        <stp>##V3_BQLV12</stp>
        <stp>[MODL_CRM_US1.xlsx]Single Period!R71C38</stp>
        <stp>CRM US Equity</stp>
        <stp>ADJ_PROFIT_MARGIN</stp>
        <stp>FPR=2022Y</stp>
        <stp>FPT=A</stp>
        <stp>FA_ACT_EST_DATA=E, EST_SOURCE=MSR</stp>
        <stp>ACT_EST_MAPPING=PRECISE</stp>
        <stp>FS=MRC</stp>
        <stp>CURRENCY=USD</stp>
        <stp>XLFILL=b</stp>
        <tr r="AL71" s="2"/>
      </tp>
      <tp t="s">
        <v/>
        <stp/>
        <stp>##V3_BQLV12</stp>
        <stp>[MODL_CRM_US1.xlsx]Single Period!R173C40</stp>
        <stp>CRM US Equity</stp>
        <stp>CB_CF_NET_CASH_INVESTING_ACT/1M</stp>
        <stp>FPR=2022Y</stp>
        <stp>FPT=A</stp>
        <stp>FA_ACT_EST_DATA=E, EST_SOURCE=ACC</stp>
        <stp>ACT_EST_MAPPING=PRECISE</stp>
        <stp>FS=MRC</stp>
        <stp>CURRENCY=USD</stp>
        <stp>XLFILL=b</stp>
        <tr r="AN173" s="2"/>
      </tp>
      <tp t="s">
        <v/>
        <stp/>
        <stp>##V3_BQLV12</stp>
        <stp>[MODL_CRM_US1.xlsx]Single Period!R179C37</stp>
        <stp>CRM US Equity</stp>
        <stp>CB_CF_NET_CASH_FINANCING_ACT/1M</stp>
        <stp>FPR=2022Y</stp>
        <stp>FPT=A</stp>
        <stp>FA_ACT_EST_DATA=E, EST_SOURCE=EVR</stp>
        <stp>ACT_EST_MAPPING=PRECISE</stp>
        <stp>FS=MRC</stp>
        <stp>CURRENCY=USD</stp>
        <stp>XLFILL=b</stp>
        <tr r="AK179" s="2"/>
      </tp>
      <tp>
        <v>37121.593764698118</v>
        <stp/>
        <stp>##V3_BQLV12</stp>
        <stp>[MODL_CRM_US1.xlsx]Single Period!R136C13</stp>
        <stp>CRM US Equity</stp>
        <stp>BS_TOTAL_LIABILITIES/1M</stp>
        <stp>FPR=2022Y</stp>
        <stp>FPT=A</stp>
        <stp>FA_ACT_EST_DATA=E, EST_SOURCE=BCA</stp>
        <stp>ACT_EST_MAPPING=PRECISE</stp>
        <stp>FS=MRC</stp>
        <stp>CURRENCY=USD</stp>
        <stp>XLFILL=b</stp>
        <tr r="M136" s="2"/>
      </tp>
      <tp>
        <v>17.55665207823137</v>
        <stp/>
        <stp>##V3_BQLV12</stp>
        <stp>[MODL_CRM_US1.xlsx]Single Period!R71C15</stp>
        <stp>CRM US Equity</stp>
        <stp>ADJ_PROFIT_MARGIN</stp>
        <stp>FPR=2022Y</stp>
        <stp>FPT=A</stp>
        <stp>FA_ACT_EST_DATA=E, EST_SOURCE=MSV</stp>
        <stp>ACT_EST_MAPPING=PRECISE</stp>
        <stp>FS=MRC</stp>
        <stp>CURRENCY=USD</stp>
        <stp>XLFILL=b</stp>
        <tr r="O71" s="2"/>
      </tp>
      <tp>
        <v>1313.429887999999</v>
        <stp/>
        <stp>##V3_BQLV12</stp>
        <stp>[MODL_CRM_US1.xlsx]Single Period!R89C6</stp>
        <stp>CRM US Equity</stp>
        <stp>CONTRIBUTOR_STATS(PRETAX_INC, MIN)/1M</stp>
        <stp>FPR=2022Y</stp>
        <stp>FPT=A</stp>
        <stp>FA_ACT_EST_DATA=E</stp>
        <stp>ACT_EST_MAPPING=PRECISE</stp>
        <stp>FS=MRC</stp>
        <stp>CURRENCY=USD</stp>
        <stp>XLFILL=b</stp>
        <tr r="F89" s="2"/>
      </tp>
      <tp>
        <v>1577.095659999997</v>
        <stp/>
        <stp>##V3_BQLV12</stp>
        <stp>[MODL_CRM_US1.xlsx]Single Period!R89C7</stp>
        <stp>CRM US Equity</stp>
        <stp>CONTRIBUTOR_STATS(PRETAX_INC, MAX)/1M</stp>
        <stp>FPR=2022Y</stp>
        <stp>FPT=A</stp>
        <stp>FA_ACT_EST_DATA=E</stp>
        <stp>ACT_EST_MAPPING=PRECISE</stp>
        <stp>FS=MRC</stp>
        <stp>CURRENCY=USD</stp>
        <stp>XLFILL=b</stp>
        <tr r="G89" s="2"/>
      </tp>
      <tp>
        <v>9472</v>
        <stp/>
        <stp>##V3_BQLV12</stp>
        <stp>[MODL_CRM_US1.xlsx]Single Period!R121C9</stp>
        <stp>CRM US Equity</stp>
        <stp>CONTRIBUTOR_STATS(CB_BS_INTANG_ASSETS_EX_GW_NT, MEDIAN)/1M</stp>
        <stp>FPR=2022Y</stp>
        <stp>FPT=A</stp>
        <stp>FA_ACT_EST_DATA=E</stp>
        <stp>ACT_EST_MAPPING=PRECISE</stp>
        <stp>FS=MRC</stp>
        <stp>CURRENCY=USD</stp>
        <stp>XLFILL=b</stp>
        <tr r="I121" s="2"/>
      </tp>
      <tp t="s">
        <v>David E Hynes Jr</v>
        <stp/>
        <stp>##V3_BQLV12</stp>
        <stp>[MODL_CRM_US1.xlsx]Single Period!R4C18</stp>
        <stp>CRM US Equity</stp>
        <stp>LAST(IS_COMP_SALES(FA_ACT_EST_DATA=E, EST_SOURCE=CAN).analyst_name)</stp>
        <stp>FPR=2022Y</stp>
        <stp>FPT=A</stp>
        <stp>ACT_EST_MAPPING=PRECISE</stp>
        <stp>FS=MRC</stp>
        <stp>CURRENCY=USD</stp>
        <stp>XLFILL=b</stp>
        <tr r="R4" s="2"/>
      </tp>
      <tp>
        <v>2525</v>
        <stp/>
        <stp>##V3_BQLV12</stp>
        <stp>[MODL_CRM_US1.xlsx]Single Period!R124C9</stp>
        <stp>CRM US Equity</stp>
        <stp>CONTRIBUTOR_STATS(CAPITALIZED_SOFTWARE, MEDIAN)/1M</stp>
        <stp>FPR=2022Y</stp>
        <stp>FPT=A</stp>
        <stp>FA_ACT_EST_DATA=E</stp>
        <stp>ACT_EST_MAPPING=PRECISE</stp>
        <stp>FS=MRC</stp>
        <stp>CURRENCY=USD</stp>
        <stp>XLFILL=b</stp>
        <tr r="I124" s="2"/>
      </tp>
      <tp>
        <v>6.7137593750000013</v>
        <stp/>
        <stp>##V3_BQLV12</stp>
        <stp>[MODL_CRM_US1.xlsx]Single Period!R193C17</stp>
        <stp>CRM US Equity</stp>
        <stp>FCF_PER_DIL_SHR</stp>
        <stp>FPR=2022Y</stp>
        <stp>FPT=A</stp>
        <stp>FA_ACT_EST_DATA=E, EST_SOURCE=NDH</stp>
        <stp>ACT_EST_MAPPING=PRECISE</stp>
        <stp>FS=MRC</stp>
        <stp>CURRENCY=USD</stp>
        <stp>XLFILL=b</stp>
        <tr r="Q193" s="2"/>
      </tp>
      <tp>
        <v>21.666666666666671</v>
        <stp/>
        <stp>##V3_BQLV12</stp>
        <stp>[MODL_CRM_US1.xlsx]Single Period!R40C7</stp>
        <stp>SEG0000269228 Segment</stp>
        <stp>CONTRIBUTOR_STATS(REVENUE_GROWTH_CC_1_YR, MAX)</stp>
        <stp>FPR=2022Y</stp>
        <stp>FPT=A</stp>
        <stp>FA_ACT_EST_DATA=E</stp>
        <stp>ACT_EST_MAPPING=PRECISE</stp>
        <stp>FS=MRC</stp>
        <stp>CURRENCY=USD</stp>
        <stp>XLFILL=b</stp>
        <tr r="G40" s="2"/>
      </tp>
      <tp t="s">
        <v>J Derrick Wood</v>
        <stp/>
        <stp>##V3_BQLV12</stp>
        <stp>[MODL_CRM_US1.xlsx]Single Period!R4C28</stp>
        <stp>CRM US Equity</stp>
        <stp>LAST(IS_COMP_SALES(FA_ACT_EST_DATA=E, EST_SOURCE=CWN).analyst_name)</stp>
        <stp>FPR=2022Y</stp>
        <stp>FPT=A</stp>
        <stp>ACT_EST_MAPPING=PRECISE</stp>
        <stp>FS=MRC</stp>
        <stp>CURRENCY=USD</stp>
        <stp>XLFILL=b</stp>
        <tr r="AB4" s="2"/>
      </tp>
      <tp t="s">
        <v/>
        <stp/>
        <stp>##V3_BQLV12</stp>
        <stp>[MODL_CRM_US1.xlsx]Single Period!R4C46</stp>
        <stp>CRM US Equity</stp>
        <stp>LAST(IS_COMP_SALES(FA_ACT_EST_DATA=E, EST_SOURCE=CTI).analyst_name)</stp>
        <stp>FPR=2022Y</stp>
        <stp>FPT=A</stp>
        <stp>ACT_EST_MAPPING=PRECISE</stp>
        <stp>FS=MRC</stp>
        <stp>CURRENCY=USD</stp>
        <stp>XLFILL=b</stp>
        <tr r="AT4" s="2"/>
      </tp>
      <tp>
        <v>21.666666666666671</v>
        <stp/>
        <stp>##V3_BQLV12</stp>
        <stp>[MODL_CRM_US1.xlsx]Single Period!R40C6</stp>
        <stp>SEG0000269228 Segment</stp>
        <stp>CONTRIBUTOR_STATS(REVENUE_GROWTH_CC_1_YR, MIN)</stp>
        <stp>FPR=2022Y</stp>
        <stp>FPT=A</stp>
        <stp>FA_ACT_EST_DATA=E</stp>
        <stp>ACT_EST_MAPPING=PRECISE</stp>
        <stp>FS=MRC</stp>
        <stp>CURRENCY=USD</stp>
        <stp>XLFILL=b</stp>
        <tr r="F40" s="2"/>
      </tp>
      <tp>
        <v>26236</v>
        <stp/>
        <stp>##V3_BQLV12</stp>
        <stp>[MODL_CRM_US1.xlsx]Single Period!R7C6</stp>
        <stp>CRM US Equity</stp>
        <stp>CONTRIBUTOR_STATS(IS_COMP_SALES, MIN)/1M</stp>
        <stp>FPR=2022Y</stp>
        <stp>FPT=A</stp>
        <stp>FA_ACT_EST_DATA=E</stp>
        <stp>ACT_EST_MAPPING=PRECISE</stp>
        <stp>FS=MRC</stp>
        <stp>CURRENCY=USD</stp>
        <stp>XLFILL=b</stp>
        <tr r="F7" s="2"/>
      </tp>
      <tp>
        <v>65.738655153377024</v>
        <stp/>
        <stp>##V3_BQLV12</stp>
        <stp>[MODL_CRM_US1.xlsx]Single Period!R89C8</stp>
        <stp>CRM US Equity</stp>
        <stp>CONTRIBUTOR_STATS(PRETAX_INC, STD)/1M</stp>
        <stp>FPR=2022Y</stp>
        <stp>FPT=A</stp>
        <stp>FA_ACT_EST_DATA=E</stp>
        <stp>ACT_EST_MAPPING=PRECISE</stp>
        <stp>FS=MRC</stp>
        <stp>CURRENCY=USD</stp>
        <stp>XLFILL=b</stp>
        <tr r="H89" s="2"/>
      </tp>
      <tp>
        <v>341.98193262741148</v>
        <stp/>
        <stp>##V3_BQLV12</stp>
        <stp>[MODL_CRM_US1.xlsx]Single Period!R113C8</stp>
        <stp>CRM US Equity</stp>
        <stp>CONTRIBUTOR_STATS(BS_MKT_SEC_OTHER_ST_INVEST, STD)/1M</stp>
        <stp>FPR=2022Y</stp>
        <stp>FPT=A</stp>
        <stp>FA_ACT_EST_DATA=E</stp>
        <stp>ACT_EST_MAPPING=PRECISE</stp>
        <stp>FS=MRC</stp>
        <stp>CURRENCY=USD</stp>
        <stp>XLFILL=b</stp>
        <tr r="H113" s="2"/>
      </tp>
      <tp>
        <v>42500.000000000058</v>
        <stp/>
        <stp>##V3_BQLV12</stp>
        <stp>[MODL_CRM_US1.xlsx]Single Period!R149C7</stp>
        <stp>CRM US Equity</stp>
        <stp>CONTRIBUTOR_STATS(TOT_FUTURE_REV_UNDER_CONTRACT, MAX)/1M</stp>
        <stp>FPR=2022Y</stp>
        <stp>FPT=A</stp>
        <stp>FA_ACT_EST_DATA=E</stp>
        <stp>ACT_EST_MAPPING=PRECISE</stp>
        <stp>FS=MRC</stp>
        <stp>CURRENCY=USD</stp>
        <stp>XLFILL=b</stp>
        <tr r="G149" s="2"/>
      </tp>
      <tp>
        <v>99.357743612986269</v>
        <stp/>
        <stp>##V3_BQLV12</stp>
        <stp>[MODL_CRM_US1.xlsx]Single Period!R119C8</stp>
        <stp>CRM US Equity</stp>
        <stp>CONTRIBUTOR_STATS(CB_BS_OTHER_NONCURRENT_ASSETS, STD)/1M</stp>
        <stp>FPR=2022Y</stp>
        <stp>FPT=A</stp>
        <stp>FA_ACT_EST_DATA=E</stp>
        <stp>ACT_EST_MAPPING=PRECISE</stp>
        <stp>FS=MRC</stp>
        <stp>CURRENCY=USD</stp>
        <stp>XLFILL=b</stp>
        <tr r="H119" s="2"/>
      </tp>
      <tp>
        <v>4638</v>
        <stp/>
        <stp>##V3_BQLV12</stp>
        <stp>[MODL_CRM_US1.xlsx]Single Period!R113C6</stp>
        <stp>CRM US Equity</stp>
        <stp>CONTRIBUTOR_STATS(BS_MKT_SEC_OTHER_ST_INVEST, MIN)/1M</stp>
        <stp>FPR=2022Y</stp>
        <stp>FPT=A</stp>
        <stp>FA_ACT_EST_DATA=E</stp>
        <stp>ACT_EST_MAPPING=PRECISE</stp>
        <stp>FS=MRC</stp>
        <stp>CURRENCY=USD</stp>
        <stp>XLFILL=b</stp>
        <tr r="F113" s="2"/>
      </tp>
      <tp>
        <v>5771</v>
        <stp/>
        <stp>##V3_BQLV12</stp>
        <stp>[MODL_CRM_US1.xlsx]Single Period!R113C7</stp>
        <stp>CRM US Equity</stp>
        <stp>CONTRIBUTOR_STATS(BS_MKT_SEC_OTHER_ST_INVEST, MAX)/1M</stp>
        <stp>FPR=2022Y</stp>
        <stp>FPT=A</stp>
        <stp>FA_ACT_EST_DATA=E</stp>
        <stp>ACT_EST_MAPPING=PRECISE</stp>
        <stp>FS=MRC</stp>
        <stp>CURRENCY=USD</stp>
        <stp>XLFILL=b</stp>
        <tr r="G113" s="2"/>
      </tp>
      <tp>
        <v>26515</v>
        <stp/>
        <stp>##V3_BQLV12</stp>
        <stp>[MODL_CRM_US1.xlsx]Single Period!R7C35</stp>
        <stp>CRM US Equity</stp>
        <stp>IS_COMP_SALES/1M</stp>
        <stp>FPR=2022Y</stp>
        <stp>FPT=A</stp>
        <stp>FA_ACT_EST_DATA=E, EST_SOURCE=ATL</stp>
        <stp>ACT_EST_MAPPING=PRECISE</stp>
        <stp>FS=MRC</stp>
        <stp>CURRENCY=USD</stp>
        <stp>XLFILL=b</stp>
        <tr r="AI7" s="2"/>
      </tp>
      <tp>
        <v>26470</v>
        <stp/>
        <stp>##V3_BQLV12</stp>
        <stp>[MODL_CRM_US1.xlsx]Single Period!R7C42</stp>
        <stp>CRM US Equity</stp>
        <stp>IS_COMP_SALES/1M</stp>
        <stp>FPR=2022Y</stp>
        <stp>FPT=A</stp>
        <stp>FA_ACT_EST_DATA=E, EST_SOURCE=PSG</stp>
        <stp>ACT_EST_MAPPING=PRECISE</stp>
        <stp>FS=MRC</stp>
        <stp>CURRENCY=USD</stp>
        <stp>XLFILL=b</stp>
        <tr r="AP7" s="2"/>
      </tp>
      <tp>
        <v>26398</v>
        <stp/>
        <stp>##V3_BQLV12</stp>
        <stp>[MODL_CRM_US1.xlsx]Single Period!R7C37</stp>
        <stp>CRM US Equity</stp>
        <stp>IS_COMP_SALES/1M</stp>
        <stp>FPR=2022Y</stp>
        <stp>FPT=A</stp>
        <stp>FA_ACT_EST_DATA=E, EST_SOURCE=EVR</stp>
        <stp>ACT_EST_MAPPING=PRECISE</stp>
        <stp>FS=MRC</stp>
        <stp>CURRENCY=USD</stp>
        <stp>XLFILL=b</stp>
        <tr r="AK7" s="2"/>
      </tp>
      <tp t="s">
        <v/>
        <stp/>
        <stp>##V3_BQLV12</stp>
        <stp>[MODL_CRM_US1.xlsx]Single Period!R104C45</stp>
        <stp>CRM US Equity</stp>
        <stp>IS_AMORT_OF_TOT_INTANG_PRETX/1M</stp>
        <stp>FPR=2022Y</stp>
        <stp>FPT=A</stp>
        <stp>FA_ACT_EST_DATA=E, EST_SOURCE=ARG</stp>
        <stp>ACT_EST_MAPPING=PRECISE</stp>
        <stp>FS=MRC</stp>
        <stp>CURRENCY=USD</stp>
        <stp>XLFILL=b</stp>
        <tr r="AS104" s="2"/>
      </tp>
      <tp t="s">
        <v/>
        <stp/>
        <stp>##V3_BQLV12</stp>
        <stp>[MODL_CRM_US1.xlsx]Single Period!R40C44</stp>
        <stp>SEG0000269228 Segment</stp>
        <stp>REVENUE_GROWTH_CC_1_YR</stp>
        <stp>FPR=2022Y</stp>
        <stp>FPT=A</stp>
        <stp>FA_ACT_EST_DATA=E, EST_SOURCE=RWB</stp>
        <stp>ACT_EST_MAPPING=PRECISE</stp>
        <stp>FS=MRC</stp>
        <stp>CURRENCY=USD</stp>
        <stp>XLFILL=b</stp>
        <tr r="AR40" s="2"/>
      </tp>
      <tp t="s">
        <v/>
        <stp/>
        <stp>##V3_BQLV12</stp>
        <stp>[MODL_CRM_US1.xlsx]Single Period!R87C50</stp>
        <stp>CRM US Equity</stp>
        <stp>IS_EBIT_AS_REPORTED/1M</stp>
        <stp>FPR=2022Y</stp>
        <stp>FPT=A</stp>
        <stp>FA_ACT_EST_DATA=E, EST_SOURCE=MZS</stp>
        <stp>ACT_EST_MAPPING=PRECISE</stp>
        <stp>FS=MRC</stp>
        <stp>CURRENCY=USD</stp>
        <stp>XLFILL=b</stp>
        <tr r="AX87" s="2"/>
      </tp>
      <tp t="s">
        <v/>
        <stp/>
        <stp>##V3_BQLV12</stp>
        <stp>[MODL_CRM_US1.xlsx]Single Period!R71C23</stp>
        <stp>CRM US Equity</stp>
        <stp>ADJ_PROFIT_MARGIN</stp>
        <stp>FPR=2022Y</stp>
        <stp>FPT=A</stp>
        <stp>FA_ACT_EST_DATA=E, EST_SOURCE=JPM</stp>
        <stp>ACT_EST_MAPPING=PRECISE</stp>
        <stp>FS=MRC</stp>
        <stp>CURRENCY=USD</stp>
        <stp>XLFILL=b</stp>
        <tr r="W71" s="2"/>
      </tp>
      <tp t="s">
        <v/>
        <stp/>
        <stp>##V3_BQLV12</stp>
        <stp>[MODL_CRM_US1.xlsx]Single Period!R182C46</stp>
        <stp>CRM US Equity</stp>
        <stp>CB_CF_NET_CASH_OPERATING_ACT/1M</stp>
        <stp>FPR=2022Y</stp>
        <stp>FPT=A</stp>
        <stp>FA_ACT_EST_DATA=E, EST_SOURCE=CTI</stp>
        <stp>ACT_EST_MAPPING=PRECISE</stp>
        <stp>FS=MRC</stp>
        <stp>CURRENCY=USD</stp>
        <stp>XLFILL=b</stp>
        <tr r="AT182" s="2"/>
      </tp>
      <tp t="s">
        <v/>
        <stp/>
        <stp>##V3_BQLV12</stp>
        <stp>[MODL_CRM_US1.xlsx]Single Period!R124C56</stp>
        <stp>CRM US Equity</stp>
        <stp>CAPITALIZED_SOFTWARE/1M</stp>
        <stp>FPR=2022Y</stp>
        <stp>FPT=A</stp>
        <stp>FA_ACT_EST_DATA=E, EST_SOURCE=DIR</stp>
        <stp>ACT_EST_MAPPING=PRECISE</stp>
        <stp>FS=MRC</stp>
        <stp>CURRENCY=USD</stp>
        <stp>XLFILL=b</stp>
        <tr r="BD124" s="2"/>
      </tp>
      <tp t="s">
        <v/>
        <stp/>
        <stp>##V3_BQLV12</stp>
        <stp>[MODL_CRM_US1.xlsx]Single Period!R167C46</stp>
        <stp>CRM US Equity</stp>
        <stp>CB_CF_NET_CASH_OPERATING_ACT/1M</stp>
        <stp>FPR=2022Y</stp>
        <stp>FPT=A</stp>
        <stp>FA_ACT_EST_DATA=E, EST_SOURCE=CTI</stp>
        <stp>ACT_EST_MAPPING=PRECISE</stp>
        <stp>FS=MRC</stp>
        <stp>CURRENCY=USD</stp>
        <stp>XLFILL=b</stp>
        <tr r="AT167" s="2"/>
      </tp>
      <tp t="s">
        <v/>
        <stp/>
        <stp>##V3_BQLV12</stp>
        <stp>[MODL_CRM_US1.xlsx]Single Period!R40C28</stp>
        <stp>SEG0000269228 Segment</stp>
        <stp>REVENUE_GROWTH_CC_1_YR</stp>
        <stp>FPR=2022Y</stp>
        <stp>FPT=A</stp>
        <stp>FA_ACT_EST_DATA=E, EST_SOURCE=CWN</stp>
        <stp>ACT_EST_MAPPING=PRECISE</stp>
        <stp>FS=MRC</stp>
        <stp>CURRENCY=USD</stp>
        <stp>XLFILL=b</stp>
        <tr r="AB40" s="2"/>
      </tp>
      <tp t="s">
        <v/>
        <stp/>
        <stp>##V3_BQLV12</stp>
        <stp>[MODL_CRM_US1.xlsx]Single Period!R40C43</stp>
        <stp>SEG0000269228 Segment</stp>
        <stp>REVENUE_GROWTH_CC_1_YR</stp>
        <stp>FPR=2022Y</stp>
        <stp>FPT=A</stp>
        <stp>FA_ACT_EST_DATA=E, EST_SOURCE=DWI</stp>
        <stp>ACT_EST_MAPPING=PRECISE</stp>
        <stp>FS=MRC</stp>
        <stp>CURRENCY=USD</stp>
        <stp>XLFILL=b</stp>
        <tr r="AQ40" s="2"/>
      </tp>
      <tp t="s">
        <v/>
        <stp/>
        <stp>##V3_BQLV12</stp>
        <stp>[MODL_CRM_US1.xlsx]Single Period!R124C29</stp>
        <stp>CRM US Equity</stp>
        <stp>CAPITALIZED_SOFTWARE/1M</stp>
        <stp>FPR=2022Y</stp>
        <stp>FPT=A</stp>
        <stp>FA_ACT_EST_DATA=E, EST_SOURCE=BNS</stp>
        <stp>ACT_EST_MAPPING=PRECISE</stp>
        <stp>FS=MRC</stp>
        <stp>CURRENCY=USD</stp>
        <stp>XLFILL=b</stp>
        <tr r="AC124" s="2"/>
      </tp>
      <tp t="s">
        <v/>
        <stp/>
        <stp>##V3_BQLV12</stp>
        <stp>[MODL_CRM_US1.xlsx]Single Period!R179C45</stp>
        <stp>CRM US Equity</stp>
        <stp>CB_CF_NET_CASH_FINANCING_ACT/1M</stp>
        <stp>FPR=2022Y</stp>
        <stp>FPT=A</stp>
        <stp>FA_ACT_EST_DATA=E, EST_SOURCE=ARG</stp>
        <stp>ACT_EST_MAPPING=PRECISE</stp>
        <stp>FS=MRC</stp>
        <stp>CURRENCY=USD</stp>
        <stp>XLFILL=b</stp>
        <tr r="AS179" s="2"/>
      </tp>
      <tp t="s">
        <v/>
        <stp/>
        <stp>##V3_BQLV12</stp>
        <stp>[MODL_CRM_US1.xlsx]Single Period!R136C32</stp>
        <stp>CRM US Equity</stp>
        <stp>BS_TOTAL_LIABILITIES/1M</stp>
        <stp>FPR=2022Y</stp>
        <stp>FPT=A</stp>
        <stp>FA_ACT_EST_DATA=E, EST_SOURCE=UBS</stp>
        <stp>ACT_EST_MAPPING=PRECISE</stp>
        <stp>FS=MRC</stp>
        <stp>CURRENCY=USD</stp>
        <stp>XLFILL=b</stp>
        <tr r="AF136" s="2"/>
      </tp>
      <tp t="s">
        <v/>
        <stp/>
        <stp>##V3_BQLV12</stp>
        <stp>[MODL_CRM_US1.xlsx]Single Period!R71C22</stp>
        <stp>CRM US Equity</stp>
        <stp>ADJ_PROFIT_MARGIN</stp>
        <stp>FPR=2022Y</stp>
        <stp>FPT=A</stp>
        <stp>FA_ACT_EST_DATA=E, EST_SOURCE=OPY</stp>
        <stp>ACT_EST_MAPPING=PRECISE</stp>
        <stp>FS=MRC</stp>
        <stp>CURRENCY=USD</stp>
        <stp>XLFILL=b</stp>
        <tr r="V71" s="2"/>
      </tp>
      <tp t="s">
        <v/>
        <stp/>
        <stp>##V3_BQLV12</stp>
        <stp>[MODL_CRM_US1.xlsx]Single Period!R182C38</stp>
        <stp>CRM US Equity</stp>
        <stp>CB_CF_NET_CASH_OPERATING_ACT/1M</stp>
        <stp>FPR=2022Y</stp>
        <stp>FPT=A</stp>
        <stp>FA_ACT_EST_DATA=E, EST_SOURCE=MSR</stp>
        <stp>ACT_EST_MAPPING=PRECISE</stp>
        <stp>FS=MRC</stp>
        <stp>CURRENCY=USD</stp>
        <stp>XLFILL=b</stp>
        <tr r="AL182" s="2"/>
      </tp>
      <tp t="s">
        <v/>
        <stp/>
        <stp>##V3_BQLV12</stp>
        <stp>[MODL_CRM_US1.xlsx]Single Period!R106C33</stp>
        <stp>CRM US Equity</stp>
        <stp>IS_AMORT_ACQD_INTANG_S_AND_M/1M</stp>
        <stp>FPR=2022Y</stp>
        <stp>FPT=A</stp>
        <stp>FA_ACT_EST_DATA=E, EST_SOURCE=RHR</stp>
        <stp>ACT_EST_MAPPING=PRECISE</stp>
        <stp>FS=MRC</stp>
        <stp>CURRENCY=USD</stp>
        <stp>XLFILL=b</stp>
        <tr r="AG106" s="2"/>
      </tp>
      <tp>
        <v>4.68</v>
        <stp/>
        <stp>##V3_BQLV12</stp>
        <stp>[MODL_CRM_US1.xlsx]Single Period!R74C9</stp>
        <stp>CRM US Equity</stp>
        <stp>CONTRIBUTOR_STATS(IS_COMP_EPS_EXCL_STOCK_COMP, MEDIAN)</stp>
        <stp>FPR=2022Y</stp>
        <stp>FPT=A</stp>
        <stp>FA_ACT_EST_DATA=E</stp>
        <stp>ACT_EST_MAPPING=PRECISE</stp>
        <stp>FS=MRC</stp>
        <stp>CURRENCY=USD</stp>
        <stp>XLFILL=b</stp>
        <tr r="I74" s="2"/>
      </tp>
      <tp t="s">
        <v/>
        <stp/>
        <stp>##V3_BQLV12</stp>
        <stp>[MODL_CRM_US1.xlsx]Single Period!R136C27</stp>
        <stp>CRM US Equity</stp>
        <stp>BS_TOTAL_LIABILITIES/1M</stp>
        <stp>FPR=2022Y</stp>
        <stp>FPT=A</stp>
        <stp>FA_ACT_EST_DATA=E, EST_SOURCE=LCM</stp>
        <stp>ACT_EST_MAPPING=PRECISE</stp>
        <stp>FS=MRC</stp>
        <stp>CURRENCY=USD</stp>
        <stp>XLFILL=b</stp>
        <tr r="AA136" s="2"/>
      </tp>
      <tp t="s">
        <v/>
        <stp/>
        <stp>##V3_BQLV12</stp>
        <stp>[MODL_CRM_US1.xlsx]Single Period!R78C37</stp>
        <stp>CRM US Equity</stp>
        <stp>COGS_TO_NET_SALES</stp>
        <stp>FPR=2022Y</stp>
        <stp>FPT=A</stp>
        <stp>FA_ACT_EST_DATA=E, EST_SOURCE=EVR</stp>
        <stp>ACT_EST_MAPPING=PRECISE</stp>
        <stp>FS=MRC</stp>
        <stp>CURRENCY=USD</stp>
        <stp>XLFILL=b</stp>
        <tr r="AK78" s="2"/>
      </tp>
      <tp t="s">
        <v/>
        <stp/>
        <stp>##V3_BQLV12</stp>
        <stp>[MODL_CRM_US1.xlsx]Single Period!R173C39</stp>
        <stp>CRM US Equity</stp>
        <stp>CB_CF_NET_CASH_INVESTING_ACT/1M</stp>
        <stp>FPR=2022Y</stp>
        <stp>FPT=A</stp>
        <stp>FA_ACT_EST_DATA=E, EST_SOURCE=KGI</stp>
        <stp>ACT_EST_MAPPING=PRECISE</stp>
        <stp>FS=MRC</stp>
        <stp>CURRENCY=USD</stp>
        <stp>XLFILL=b</stp>
        <tr r="AM173" s="2"/>
      </tp>
      <tp t="s">
        <v/>
        <stp/>
        <stp>##V3_BQLV12</stp>
        <stp>[MODL_CRM_US1.xlsx]Single Period!R124C53</stp>
        <stp>CRM US Equity</stp>
        <stp>CAPITALIZED_SOFTWARE/1M</stp>
        <stp>FPR=2022Y</stp>
        <stp>FPT=A</stp>
        <stp>FA_ACT_EST_DATA=E, EST_SOURCE=NIK</stp>
        <stp>ACT_EST_MAPPING=PRECISE</stp>
        <stp>FS=MRC</stp>
        <stp>CURRENCY=USD</stp>
        <stp>XLFILL=b</stp>
        <tr r="BA124" s="2"/>
      </tp>
      <tp t="s">
        <v/>
        <stp/>
        <stp>##V3_BQLV12</stp>
        <stp>[MODL_CRM_US1.xlsx]Single Period!R167C38</stp>
        <stp>CRM US Equity</stp>
        <stp>CB_CF_NET_CASH_OPERATING_ACT/1M</stp>
        <stp>FPR=2022Y</stp>
        <stp>FPT=A</stp>
        <stp>FA_ACT_EST_DATA=E, EST_SOURCE=MSR</stp>
        <stp>ACT_EST_MAPPING=PRECISE</stp>
        <stp>FS=MRC</stp>
        <stp>CURRENCY=USD</stp>
        <stp>XLFILL=b</stp>
        <tr r="AL167" s="2"/>
      </tp>
      <tp t="s">
        <v/>
        <stp/>
        <stp>##V3_BQLV12</stp>
        <stp>[MODL_CRM_US1.xlsx]Single Period!R136C31</stp>
        <stp>CRM US Equity</stp>
        <stp>BS_TOTAL_LIABILITIES/1M</stp>
        <stp>FPR=2022Y</stp>
        <stp>FPT=A</stp>
        <stp>FA_ACT_EST_DATA=E, EST_SOURCE=RBC</stp>
        <stp>ACT_EST_MAPPING=PRECISE</stp>
        <stp>FS=MRC</stp>
        <stp>CURRENCY=USD</stp>
        <stp>XLFILL=b</stp>
        <tr r="AE136" s="2"/>
      </tp>
      <tp t="s">
        <v/>
        <stp/>
        <stp>##V3_BQLV12</stp>
        <stp>[MODL_CRM_US1.xlsx]Single Period!R124C12</stp>
        <stp>CRM US Equity</stp>
        <stp>CAPITALIZED_SOFTWARE/1M</stp>
        <stp>FPR=2022Y</stp>
        <stp>FPT=A</stp>
        <stp>FA_ACT_EST_DATA=E, EST_SOURCE=BMO</stp>
        <stp>ACT_EST_MAPPING=PRECISE</stp>
        <stp>FS=MRC</stp>
        <stp>CURRENCY=USD</stp>
        <stp>XLFILL=b</stp>
        <tr r="L124" s="2"/>
      </tp>
      <tp t="s">
        <v>Raimo Lenschow</v>
        <stp/>
        <stp>##V3_BQLV12</stp>
        <stp>[MODL_CRM_US1.xlsx]Single Period!R4C13</stp>
        <stp>CRM US Equity</stp>
        <stp>LAST(IS_COMP_SALES(FA_ACT_EST_DATA=E, EST_SOURCE=BCA).analyst_name)</stp>
        <stp>FPR=2022Y</stp>
        <stp>FPT=A</stp>
        <stp>ACT_EST_MAPPING=PRECISE</stp>
        <stp>FS=MRC</stp>
        <stp>CURRENCY=USD</stp>
        <stp>XLFILL=b</stp>
        <tr r="M4" s="2"/>
      </tp>
      <tp t="s">
        <v/>
        <stp/>
        <stp>##V3_BQLV12</stp>
        <stp>[MODL_CRM_US1.xlsx]Single Period!R56C10</stp>
        <stp>CRM US Equity</stp>
        <stp>IS_COMP_GROSS_MARGIN_PERCENTAGE</stp>
        <stp>FPR=2022Y</stp>
        <stp>FPT=A</stp>
        <stp>FA_ACT_EST_DATA=E, EST_SOURCE=CMPY</stp>
        <stp>ACT_EST_MAPPING=PRECISE</stp>
        <stp>FS=MRC</stp>
        <stp>CURRENCY=USD</stp>
        <stp>XLFILL=b</stp>
        <tr r="J56" s="2"/>
      </tp>
      <tp t="s">
        <v>Brad Sills</v>
        <stp/>
        <stp>##V3_BQLV12</stp>
        <stp>[MODL_CRM_US1.xlsx]Single Period!R4C30</stp>
        <stp>CRM US Equity</stp>
        <stp>LAST(IS_COMP_SALES(FA_ACT_EST_DATA=E, EST_SOURCE=BAM).analyst_name)</stp>
        <stp>FPR=2022Y</stp>
        <stp>FPT=A</stp>
        <stp>ACT_EST_MAPPING=PRECISE</stp>
        <stp>FS=MRC</stp>
        <stp>CURRENCY=USD</stp>
        <stp>XLFILL=b</stp>
        <tr r="AD4" s="2"/>
      </tp>
      <tp t="s">
        <v>Shebly Seyrafi</v>
        <stp/>
        <stp>##V3_BQLV12</stp>
        <stp>[MODL_CRM_US1.xlsx]Single Period!R4C29</stp>
        <stp>CRM US Equity</stp>
        <stp>LAST(IS_COMP_SALES(FA_ACT_EST_DATA=E, EST_SOURCE=BNS).analyst_name)</stp>
        <stp>FPR=2022Y</stp>
        <stp>FPT=A</stp>
        <stp>ACT_EST_MAPPING=PRECISE</stp>
        <stp>FS=MRC</stp>
        <stp>CURRENCY=USD</stp>
        <stp>XLFILL=b</stp>
        <tr r="AC4" s="2"/>
      </tp>
      <tp t="s">
        <v>Keith F Bachman</v>
        <stp/>
        <stp>##V3_BQLV12</stp>
        <stp>[MODL_CRM_US1.xlsx]Single Period!R4C12</stp>
        <stp>CRM US Equity</stp>
        <stp>LAST(IS_COMP_SALES(FA_ACT_EST_DATA=E, EST_SOURCE=BMO).analyst_name)</stp>
        <stp>FPR=2022Y</stp>
        <stp>FPT=A</stp>
        <stp>ACT_EST_MAPPING=PRECISE</stp>
        <stp>FS=MRC</stp>
        <stp>CURRENCY=USD</stp>
        <stp>XLFILL=b</stp>
        <tr r="L4" s="2"/>
      </tp>
      <tp t="s">
        <v/>
        <stp/>
        <stp>##V3_BQLV12</stp>
        <stp>[MODL_CRM_US1.xlsx]Single Period!R84C29</stp>
        <stp>CRM US Equity</stp>
        <stp>RD_EXPEND_TO_NET_SALES</stp>
        <stp>FPR=2022Y</stp>
        <stp>FPT=A</stp>
        <stp>FA_ACT_EST_DATA=E, EST_SOURCE=BNS</stp>
        <stp>ACT_EST_MAPPING=PRECISE</stp>
        <stp>FS=MRC</stp>
        <stp>CURRENCY=USD</stp>
        <stp>XLFILL=b</stp>
        <tr r="AC84" s="2"/>
      </tp>
      <tp t="s">
        <v/>
        <stp/>
        <stp>##V3_BQLV12</stp>
        <stp>[MODL_CRM_US1.xlsx]Single Period!R84C14</stp>
        <stp>CRM US Equity</stp>
        <stp>RD_EXPEND_TO_NET_SALES</stp>
        <stp>FPR=2022Y</stp>
        <stp>FPT=A</stp>
        <stp>FA_ACT_EST_DATA=E, EST_SOURCE=SNR</stp>
        <stp>ACT_EST_MAPPING=PRECISE</stp>
        <stp>FS=MRC</stp>
        <stp>CURRENCY=USD</stp>
        <stp>XLFILL=b</stp>
        <tr r="N84" s="2"/>
      </tp>
      <tp>
        <v>26505</v>
        <stp/>
        <stp>##V3_BQLV12</stp>
        <stp>[MODL_CRM_US1.xlsx]Single Period!R7C7</stp>
        <stp>CRM US Equity</stp>
        <stp>CONTRIBUTOR_STATS(IS_COMP_SALES, MAX)/1M</stp>
        <stp>FPR=2022Y</stp>
        <stp>FPT=A</stp>
        <stp>FA_ACT_EST_DATA=E</stp>
        <stp>ACT_EST_MAPPING=PRECISE</stp>
        <stp>FS=MRC</stp>
        <stp>CURRENCY=USD</stp>
        <stp>XLFILL=b</stp>
        <tr r="G7" s="2"/>
      </tp>
      <tp t="s">
        <v/>
        <stp/>
        <stp>##V3_BQLV12</stp>
        <stp>[MODL_CRM_US1.xlsx]Single Period!R193C39</stp>
        <stp>CRM US Equity</stp>
        <stp>FCF_PER_DIL_SHR</stp>
        <stp>FPR=2022Y</stp>
        <stp>FPT=A</stp>
        <stp>FA_ACT_EST_DATA=E, EST_SOURCE=KGI</stp>
        <stp>ACT_EST_MAPPING=PRECISE</stp>
        <stp>FS=MRC</stp>
        <stp>CURRENCY=USD</stp>
        <stp>XLFILL=b</stp>
        <tr r="AM193" s="2"/>
      </tp>
      <tp>
        <v>371.7288459871902</v>
        <stp/>
        <stp>##V3_BQLV12</stp>
        <stp>[MODL_CRM_US1.xlsx]Single Period!R118C8</stp>
        <stp>CRM US Equity</stp>
        <stp>CONTRIBUTOR_STATS(CB_BS_PP_AND_E_NET, STD)/1M</stp>
        <stp>FPR=2022Y</stp>
        <stp>FPT=A</stp>
        <stp>FA_ACT_EST_DATA=E</stp>
        <stp>ACT_EST_MAPPING=PRECISE</stp>
        <stp>FS=MRC</stp>
        <stp>CURRENCY=USD</stp>
        <stp>XLFILL=b</stp>
        <tr r="H118" s="2"/>
      </tp>
      <tp>
        <v>41876</v>
        <stp/>
        <stp>##V3_BQLV12</stp>
        <stp>[MODL_CRM_US1.xlsx]Single Period!R149C6</stp>
        <stp>CRM US Equity</stp>
        <stp>CONTRIBUTOR_STATS(TOT_FUTURE_REV_UNDER_CONTRACT, MIN)/1M</stp>
        <stp>FPR=2022Y</stp>
        <stp>FPT=A</stp>
        <stp>FA_ACT_EST_DATA=E</stp>
        <stp>ACT_EST_MAPPING=PRECISE</stp>
        <stp>FS=MRC</stp>
        <stp>CURRENCY=USD</stp>
        <stp>XLFILL=b</stp>
        <tr r="F149" s="2"/>
      </tp>
      <tp>
        <v>128.88588529614648</v>
        <stp/>
        <stp>##V3_BQLV12</stp>
        <stp>[MODL_CRM_US1.xlsx]Single Period!R123C8</stp>
        <stp>CRM US Equity</stp>
        <stp>CONTRIBUTOR_STATS(TOT_OPER_LEA_RT_OF_USE_ASSETS, STD)/1M</stp>
        <stp>FPR=2022Y</stp>
        <stp>FPT=A</stp>
        <stp>FA_ACT_EST_DATA=E</stp>
        <stp>ACT_EST_MAPPING=PRECISE</stp>
        <stp>FS=MRC</stp>
        <stp>CURRENCY=USD</stp>
        <stp>XLFILL=b</stp>
        <tr r="H123" s="2"/>
      </tp>
      <tp>
        <v>11387.86878864053</v>
        <stp/>
        <stp>##V3_BQLV12</stp>
        <stp>[MODL_CRM_US1.xlsx]Single Period!R111C5</stp>
        <stp>CRM US Equity</stp>
        <stp>BS_CASH_CASH_EQUIVALENTS_AND_STI/1M</stp>
        <stp>FPR=2022Y</stp>
        <stp>FPT=A</stp>
        <stp>FA_ACT_EST_DATA=E</stp>
        <stp>ACT_EST_MAPPING=PRECISE</stp>
        <stp>FS=MRC</stp>
        <stp>CURRENCY=USD</stp>
        <stp>XLFILL=b</stp>
        <tr r="E111" s="2"/>
      </tp>
      <tp>
        <v>1900.4115200000001</v>
        <stp/>
        <stp>##V3_BQLV12</stp>
        <stp>[MODL_CRM_US1.xlsx]Single Period!R118C6</stp>
        <stp>CRM US Equity</stp>
        <stp>CONTRIBUTOR_STATS(CB_BS_PP_AND_E_NET, MIN)/1M</stp>
        <stp>FPR=2022Y</stp>
        <stp>FPT=A</stp>
        <stp>FA_ACT_EST_DATA=E</stp>
        <stp>ACT_EST_MAPPING=PRECISE</stp>
        <stp>FS=MRC</stp>
        <stp>CURRENCY=USD</stp>
        <stp>XLFILL=b</stp>
        <tr r="F118" s="2"/>
      </tp>
      <tp>
        <v>3360.8184151778732</v>
        <stp/>
        <stp>##V3_BQLV12</stp>
        <stp>[MODL_CRM_US1.xlsx]Single Period!R118C7</stp>
        <stp>CRM US Equity</stp>
        <stp>CONTRIBUTOR_STATS(CB_BS_PP_AND_E_NET, MAX)/1M</stp>
        <stp>FPR=2022Y</stp>
        <stp>FPT=A</stp>
        <stp>FA_ACT_EST_DATA=E</stp>
        <stp>ACT_EST_MAPPING=PRECISE</stp>
        <stp>FS=MRC</stp>
        <stp>CURRENCY=USD</stp>
        <stp>XLFILL=b</stp>
        <tr r="G118" s="2"/>
      </tp>
      <tp>
        <v>1160.3103448275858</v>
        <stp/>
        <stp>##V3_BQLV12</stp>
        <stp>[MODL_CRM_US1.xlsx]Single Period!R155C5</stp>
        <stp>CRM US Equity</stp>
        <stp>IS_COMP_NET_INCOME_GAAP/1M</stp>
        <stp>FPR=2022Y</stp>
        <stp>FPT=A</stp>
        <stp>FA_ACT_EST_DATA=E</stp>
        <stp>ACT_EST_MAPPING=PRECISE</stp>
        <stp>FS=MRC</stp>
        <stp>CURRENCY=USD</stp>
        <stp>XLFILL=b</stp>
        <tr r="E155" s="2"/>
      </tp>
      <tp t="s">
        <v/>
        <stp/>
        <stp>##V3_BQLV12</stp>
        <stp>[MODL_CRM_US1.xlsx]Single Period!R179C35</stp>
        <stp>CRM US Equity</stp>
        <stp>CB_CF_NET_CASH_FINANCING_ACT/1M</stp>
        <stp>FPR=2022Y</stp>
        <stp>FPT=A</stp>
        <stp>FA_ACT_EST_DATA=E, EST_SOURCE=ATL</stp>
        <stp>ACT_EST_MAPPING=PRECISE</stp>
        <stp>FS=MRC</stp>
        <stp>CURRENCY=USD</stp>
        <stp>XLFILL=b</stp>
        <tr r="AI179" s="2"/>
      </tp>
      <tp>
        <v>0</v>
        <stp/>
        <stp>##V3_BQLV12</stp>
        <stp>[MODL_CRM_US1.xlsx]Single Period!R138C8</stp>
        <stp>CRM US Equity</stp>
        <stp>CONTRIBUTOR_STATS(BS_COMMON_STOCK, STD)/1M</stp>
        <stp>FPR=2022Y</stp>
        <stp>FPT=A</stp>
        <stp>FA_ACT_EST_DATA=E</stp>
        <stp>ACT_EST_MAPPING=PRECISE</stp>
        <stp>FS=MRC</stp>
        <stp>CURRENCY=USD</stp>
        <stp>XLFILL=b</stp>
        <tr r="H138" s="2"/>
      </tp>
      <tp t="s">
        <v/>
        <stp/>
        <stp>##V3_BQLV12</stp>
        <stp>[MODL_CRM_US1.xlsx]Single Period!R104C54</stp>
        <stp>CRM US Equity</stp>
        <stp>IS_AMORT_OF_TOT_INTANG_PRETX/1M</stp>
        <stp>FPR=2022Y</stp>
        <stp>FPT=A</stp>
        <stp>FA_ACT_EST_DATA=E, EST_SOURCE=ARE</stp>
        <stp>ACT_EST_MAPPING=PRECISE</stp>
        <stp>FS=MRC</stp>
        <stp>CURRENCY=USD</stp>
        <stp>XLFILL=b</stp>
        <tr r="BB104" s="2"/>
      </tp>
      <tp t="s">
        <v/>
        <stp/>
        <stp>##V3_BQLV12</stp>
        <stp>[MODL_CRM_US1.xlsx]Single Period!R121C50</stp>
        <stp>CRM US Equity</stp>
        <stp>CB_BS_INTANG_ASSETS_EX_GW_NT/1M</stp>
        <stp>FPR=2022Y</stp>
        <stp>FPT=A</stp>
        <stp>FA_ACT_EST_DATA=E, EST_SOURCE=MZS</stp>
        <stp>ACT_EST_MAPPING=PRECISE</stp>
        <stp>FS=MRC</stp>
        <stp>CURRENCY=USD</stp>
        <stp>XLFILL=b</stp>
        <tr r="AX121" s="2"/>
      </tp>
      <tp t="s">
        <v/>
        <stp/>
        <stp>##V3_BQLV12</stp>
        <stp>[MODL_CRM_US1.xlsx]Single Period!R78C44</stp>
        <stp>CRM US Equity</stp>
        <stp>COGS_TO_NET_SALES</stp>
        <stp>FPR=2022Y</stp>
        <stp>FPT=A</stp>
        <stp>FA_ACT_EST_DATA=E, EST_SOURCE=RWB</stp>
        <stp>ACT_EST_MAPPING=PRECISE</stp>
        <stp>FS=MRC</stp>
        <stp>CURRENCY=USD</stp>
        <stp>XLFILL=b</stp>
        <tr r="AR78" s="2"/>
      </tp>
      <tp t="s">
        <v/>
        <stp/>
        <stp>##V3_BQLV12</stp>
        <stp>[MODL_CRM_US1.xlsx]Single Period!R104C42</stp>
        <stp>CRM US Equity</stp>
        <stp>IS_AMORT_OF_TOT_INTANG_PRETX/1M</stp>
        <stp>FPR=2022Y</stp>
        <stp>FPT=A</stp>
        <stp>FA_ACT_EST_DATA=E, EST_SOURCE=PSG</stp>
        <stp>ACT_EST_MAPPING=PRECISE</stp>
        <stp>FS=MRC</stp>
        <stp>CURRENCY=USD</stp>
        <stp>XLFILL=b</stp>
        <tr r="AP104" s="2"/>
      </tp>
      <tp t="s">
        <v/>
        <stp/>
        <stp>##V3_BQLV12</stp>
        <stp>[MODL_CRM_US1.xlsx]Single Period!R58C29</stp>
        <stp>CRM US Equity</stp>
        <stp>CB_IS_ADJUSTED_OPEX/1M</stp>
        <stp>FPR=2022Y</stp>
        <stp>FPT=A</stp>
        <stp>FA_ACT_EST_DATA=E, EST_SOURCE=BNS</stp>
        <stp>ACT_EST_MAPPING=PRECISE</stp>
        <stp>FS=MRC</stp>
        <stp>CURRENCY=USD</stp>
        <stp>XLFILL=b</stp>
        <tr r="AC58" s="2"/>
      </tp>
      <tp t="s">
        <v/>
        <stp/>
        <stp>##V3_BQLV12</stp>
        <stp>[MODL_CRM_US1.xlsx]Single Period!R179C54</stp>
        <stp>CRM US Equity</stp>
        <stp>CB_CF_NET_CASH_FINANCING_ACT/1M</stp>
        <stp>FPR=2022Y</stp>
        <stp>FPT=A</stp>
        <stp>FA_ACT_EST_DATA=E, EST_SOURCE=ARE</stp>
        <stp>ACT_EST_MAPPING=PRECISE</stp>
        <stp>FS=MRC</stp>
        <stp>CURRENCY=USD</stp>
        <stp>XLFILL=b</stp>
        <tr r="BB179" s="2"/>
      </tp>
      <tp t="s">
        <v/>
        <stp/>
        <stp>##V3_BQLV12</stp>
        <stp>[MODL_CRM_US1.xlsx]Single Period!R78C28</stp>
        <stp>CRM US Equity</stp>
        <stp>COGS_TO_NET_SALES</stp>
        <stp>FPR=2022Y</stp>
        <stp>FPT=A</stp>
        <stp>FA_ACT_EST_DATA=E, EST_SOURCE=CWN</stp>
        <stp>ACT_EST_MAPPING=PRECISE</stp>
        <stp>FS=MRC</stp>
        <stp>CURRENCY=USD</stp>
        <stp>XLFILL=b</stp>
        <tr r="AB78" s="2"/>
      </tp>
      <tp t="s">
        <v/>
        <stp/>
        <stp>##V3_BQLV12</stp>
        <stp>[MODL_CRM_US1.xlsx]Single Period!R58C14</stp>
        <stp>CRM US Equity</stp>
        <stp>CB_IS_ADJUSTED_OPEX/1M</stp>
        <stp>FPR=2022Y</stp>
        <stp>FPT=A</stp>
        <stp>FA_ACT_EST_DATA=E, EST_SOURCE=SNR</stp>
        <stp>ACT_EST_MAPPING=PRECISE</stp>
        <stp>FS=MRC</stp>
        <stp>CURRENCY=USD</stp>
        <stp>XLFILL=b</stp>
        <tr r="N58" s="2"/>
      </tp>
      <tp>
        <v>1323.4355</v>
        <stp/>
        <stp>##V3_BQLV12</stp>
        <stp>[MODL_CRM_US1.xlsx]Single Period!R104C35</stp>
        <stp>CRM US Equity</stp>
        <stp>IS_AMORT_OF_TOT_INTANG_PRETX/1M</stp>
        <stp>FPR=2022Y</stp>
        <stp>FPT=A</stp>
        <stp>FA_ACT_EST_DATA=E, EST_SOURCE=ATL</stp>
        <stp>ACT_EST_MAPPING=PRECISE</stp>
        <stp>FS=MRC</stp>
        <stp>CURRENCY=USD</stp>
        <stp>XLFILL=b</stp>
        <tr r="AI104" s="2"/>
      </tp>
      <tp t="s">
        <v/>
        <stp/>
        <stp>##V3_BQLV12</stp>
        <stp>[MODL_CRM_US1.xlsx]Single Period!R78C43</stp>
        <stp>CRM US Equity</stp>
        <stp>COGS_TO_NET_SALES</stp>
        <stp>FPR=2022Y</stp>
        <stp>FPT=A</stp>
        <stp>FA_ACT_EST_DATA=E, EST_SOURCE=DWI</stp>
        <stp>ACT_EST_MAPPING=PRECISE</stp>
        <stp>FS=MRC</stp>
        <stp>CURRENCY=USD</stp>
        <stp>XLFILL=b</stp>
        <tr r="AQ78" s="2"/>
      </tp>
      <tp t="s">
        <v/>
        <stp/>
        <stp>##V3_BQLV12</stp>
        <stp>[MODL_CRM_US1.xlsx]Single Period!R179C42</stp>
        <stp>CRM US Equity</stp>
        <stp>CB_CF_NET_CASH_FINANCING_ACT/1M</stp>
        <stp>FPR=2022Y</stp>
        <stp>FPT=A</stp>
        <stp>FA_ACT_EST_DATA=E, EST_SOURCE=PSG</stp>
        <stp>ACT_EST_MAPPING=PRECISE</stp>
        <stp>FS=MRC</stp>
        <stp>CURRENCY=USD</stp>
        <stp>XLFILL=b</stp>
        <tr r="AP179" s="2"/>
      </tp>
      <tp t="s">
        <v/>
        <stp/>
        <stp>##V3_BQLV12</stp>
        <stp>[MODL_CRM_US1.xlsx]Single Period!R104C41</stp>
        <stp>CRM US Equity</stp>
        <stp>IS_AMORT_OF_TOT_INTANG_PRETX/1M</stp>
        <stp>FPR=2022Y</stp>
        <stp>FPT=A</stp>
        <stp>FA_ACT_EST_DATA=E, EST_SOURCE=GSR</stp>
        <stp>ACT_EST_MAPPING=PRECISE</stp>
        <stp>FS=MRC</stp>
        <stp>CURRENCY=USD</stp>
        <stp>XLFILL=b</stp>
        <tr r="AO104" s="2"/>
      </tp>
      <tp t="s">
        <v/>
        <stp/>
        <stp>##V3_BQLV12</stp>
        <stp>[MODL_CRM_US1.xlsx]Single Period!R40C37</stp>
        <stp>SEG0000269228 Segment</stp>
        <stp>REVENUE_GROWTH_CC_1_YR</stp>
        <stp>FPR=2022Y</stp>
        <stp>FPT=A</stp>
        <stp>FA_ACT_EST_DATA=E, EST_SOURCE=EVR</stp>
        <stp>ACT_EST_MAPPING=PRECISE</stp>
        <stp>FS=MRC</stp>
        <stp>CURRENCY=USD</stp>
        <stp>XLFILL=b</stp>
        <tr r="AK40" s="2"/>
      </tp>
      <tp>
        <v>-13277</v>
        <stp/>
        <stp>##V3_BQLV12</stp>
        <stp>[MODL_CRM_US1.xlsx]Single Period!R173C17</stp>
        <stp>CRM US Equity</stp>
        <stp>CB_CF_NET_CASH_INVESTING_ACT/1M</stp>
        <stp>FPR=2022Y</stp>
        <stp>FPT=A</stp>
        <stp>FA_ACT_EST_DATA=E, EST_SOURCE=NDH</stp>
        <stp>ACT_EST_MAPPING=PRECISE</stp>
        <stp>FS=MRC</stp>
        <stp>CURRENCY=USD</stp>
        <stp>XLFILL=b</stp>
        <tr r="Q173" s="2"/>
      </tp>
      <tp>
        <v>37141.065096818973</v>
        <stp/>
        <stp>##V3_BQLV12</stp>
        <stp>[MODL_CRM_US1.xlsx]Single Period!R136C24</stp>
        <stp>CRM US Equity</stp>
        <stp>BS_TOTAL_LIABILITIES/1M</stp>
        <stp>FPR=2022Y</stp>
        <stp>FPT=A</stp>
        <stp>FA_ACT_EST_DATA=E, EST_SOURCE=FBC</stp>
        <stp>ACT_EST_MAPPING=PRECISE</stp>
        <stp>FS=MRC</stp>
        <stp>CURRENCY=USD</stp>
        <stp>XLFILL=b</stp>
        <tr r="X136" s="2"/>
      </tp>
      <tp t="s">
        <v/>
        <stp/>
        <stp>##V3_BQLV12</stp>
        <stp>[MODL_CRM_US1.xlsx]Single Period!R136C18</stp>
        <stp>CRM US Equity</stp>
        <stp>BS_TOTAL_LIABILITIES/1M</stp>
        <stp>FPR=2022Y</stp>
        <stp>FPT=A</stp>
        <stp>FA_ACT_EST_DATA=E, EST_SOURCE=CAN</stp>
        <stp>ACT_EST_MAPPING=PRECISE</stp>
        <stp>FS=MRC</stp>
        <stp>CURRENCY=USD</stp>
        <stp>XLFILL=b</stp>
        <tr r="R136" s="2"/>
      </tp>
      <tp t="s">
        <v/>
        <stp/>
        <stp>##V3_BQLV12</stp>
        <stp>[MODL_CRM_US1.xlsx]Single Period!R179C41</stp>
        <stp>CRM US Equity</stp>
        <stp>CB_CF_NET_CASH_FINANCING_ACT/1M</stp>
        <stp>FPR=2022Y</stp>
        <stp>FPT=A</stp>
        <stp>FA_ACT_EST_DATA=E, EST_SOURCE=GSR</stp>
        <stp>ACT_EST_MAPPING=PRECISE</stp>
        <stp>FS=MRC</stp>
        <stp>CURRENCY=USD</stp>
        <stp>XLFILL=b</stp>
        <tr r="AO179" s="2"/>
      </tp>
      <tp>
        <v>1</v>
        <stp/>
        <stp>##V3_BQLV12</stp>
        <stp>[MODL_CRM_US1.xlsx]Single Period!R138C6</stp>
        <stp>CRM US Equity</stp>
        <stp>CONTRIBUTOR_STATS(BS_COMMON_STOCK, MIN)/1M</stp>
        <stp>FPR=2022Y</stp>
        <stp>FPT=A</stp>
        <stp>FA_ACT_EST_DATA=E</stp>
        <stp>ACT_EST_MAPPING=PRECISE</stp>
        <stp>FS=MRC</stp>
        <stp>CURRENCY=USD</stp>
        <stp>XLFILL=b</stp>
        <tr r="F138" s="2"/>
      </tp>
      <tp>
        <v>1</v>
        <stp/>
        <stp>##V3_BQLV12</stp>
        <stp>[MODL_CRM_US1.xlsx]Single Period!R138C7</stp>
        <stp>CRM US Equity</stp>
        <stp>CONTRIBUTOR_STATS(BS_COMMON_STOCK, MAX)/1M</stp>
        <stp>FPR=2022Y</stp>
        <stp>FPT=A</stp>
        <stp>FA_ACT_EST_DATA=E</stp>
        <stp>ACT_EST_MAPPING=PRECISE</stp>
        <stp>FS=MRC</stp>
        <stp>CURRENCY=USD</stp>
        <stp>XLFILL=b</stp>
        <tr r="G138" s="2"/>
      </tp>
      <tp t="s">
        <v/>
        <stp/>
        <stp>##V3_BQLV12</stp>
        <stp>[MODL_CRM_US1.xlsx]Single Period!R136C55</stp>
        <stp>CRM US Equity</stp>
        <stp>BS_TOTAL_LIABILITIES/1M</stp>
        <stp>FPR=2022Y</stp>
        <stp>FPT=A</stp>
        <stp>FA_ACT_EST_DATA=E, EST_SOURCE=RED</stp>
        <stp>ACT_EST_MAPPING=PRECISE</stp>
        <stp>FS=MRC</stp>
        <stp>CURRENCY=USD</stp>
        <stp>XLFILL=b</stp>
        <tr r="BC136" s="2"/>
      </tp>
      <tp t="s">
        <v/>
        <stp/>
        <stp>##V3_BQLV12</stp>
        <stp>[MODL_CRM_US1.xlsx]Single Period!R84C56</stp>
        <stp>CRM US Equity</stp>
        <stp>RD_EXPEND_TO_NET_SALES</stp>
        <stp>FPR=2022Y</stp>
        <stp>FPT=A</stp>
        <stp>FA_ACT_EST_DATA=E, EST_SOURCE=DIR</stp>
        <stp>ACT_EST_MAPPING=PRECISE</stp>
        <stp>FS=MRC</stp>
        <stp>CURRENCY=USD</stp>
        <stp>XLFILL=b</stp>
        <tr r="BD84" s="2"/>
      </tp>
      <tp t="s">
        <v/>
        <stp/>
        <stp>##V3_BQLV12</stp>
        <stp>[MODL_CRM_US1.xlsx]Single Period!R193C52</stp>
        <stp>CRM US Equity</stp>
        <stp>FCF_PER_DIL_SHR</stp>
        <stp>FPR=2022Y</stp>
        <stp>FPT=A</stp>
        <stp>FA_ACT_EST_DATA=E, EST_SOURCE=WFR</stp>
        <stp>ACT_EST_MAPPING=PRECISE</stp>
        <stp>FS=MRC</stp>
        <stp>CURRENCY=USD</stp>
        <stp>XLFILL=b</stp>
        <tr r="AZ193" s="2"/>
      </tp>
      <tp t="s">
        <v>Stewart Kirk Materne III</v>
        <stp/>
        <stp>##V3_BQLV12</stp>
        <stp>[MODL_CRM_US1.xlsx]Single Period!R4C37</stp>
        <stp>CRM US Equity</stp>
        <stp>LAST(IS_COMP_SALES(FA_ACT_EST_DATA=E, EST_SOURCE=EVR).analyst_name)</stp>
        <stp>FPR=2022Y</stp>
        <stp>FPT=A</stp>
        <stp>ACT_EST_MAPPING=PRECISE</stp>
        <stp>FS=MRC</stp>
        <stp>CURRENCY=USD</stp>
        <stp>XLFILL=b</stp>
        <tr r="AK4" s="2"/>
      </tp>
      <tp t="s">
        <v/>
        <stp/>
        <stp>##V3_BQLV12</stp>
        <stp>[MODL_CRM_US1.xlsx]Single Period!R84C53</stp>
        <stp>CRM US Equity</stp>
        <stp>RD_EXPEND_TO_NET_SALES</stp>
        <stp>FPR=2022Y</stp>
        <stp>FPT=A</stp>
        <stp>FA_ACT_EST_DATA=E, EST_SOURCE=NIK</stp>
        <stp>ACT_EST_MAPPING=PRECISE</stp>
        <stp>FS=MRC</stp>
        <stp>CURRENCY=USD</stp>
        <stp>XLFILL=b</stp>
        <tr r="BA84" s="2"/>
      </tp>
      <tp t="s">
        <v/>
        <stp/>
        <stp>##V3_BQLV12</stp>
        <stp>[MODL_CRM_US1.xlsx]Single Period!R193C11</stp>
        <stp>CRM US Equity</stp>
        <stp>FCF_PER_DIL_SHR</stp>
        <stp>FPR=2022Y</stp>
        <stp>FPT=A</stp>
        <stp>FA_ACT_EST_DATA=E, EST_SOURCE=WBL</stp>
        <stp>ACT_EST_MAPPING=PRECISE</stp>
        <stp>FS=MRC</stp>
        <stp>CURRENCY=USD</stp>
        <stp>XLFILL=b</stp>
        <tr r="K193" s="2"/>
      </tp>
      <tp t="s">
        <v/>
        <stp/>
        <stp>##V3_BQLV12</stp>
        <stp>[MODL_CRM_US1.xlsx]Single Period!R193C49</stp>
        <stp>CRM US Equity</stp>
        <stp>FCF_PER_DIL_SHR</stp>
        <stp>FPR=2022Y</stp>
        <stp>FPT=A</stp>
        <stp>FA_ACT_EST_DATA=E, EST_SOURCE=SGE</stp>
        <stp>ACT_EST_MAPPING=PRECISE</stp>
        <stp>FS=MRC</stp>
        <stp>CURRENCY=USD</stp>
        <stp>XLFILL=b</stp>
        <tr r="AW193" s="2"/>
      </tp>
      <tp t="s">
        <v/>
        <stp/>
        <stp>##V3_BQLV12</stp>
        <stp>[MODL_CRM_US1.xlsx]Single Period!R193C16</stp>
        <stp>CRM US Equity</stp>
        <stp>FCF_PER_DIL_SHR</stp>
        <stp>FPR=2022Y</stp>
        <stp>FPT=A</stp>
        <stp>FA_ACT_EST_DATA=E, EST_SOURCE=DBG</stp>
        <stp>ACT_EST_MAPPING=PRECISE</stp>
        <stp>FS=MRC</stp>
        <stp>CURRENCY=USD</stp>
        <stp>XLFILL=b</stp>
        <tr r="P193" s="2"/>
      </tp>
      <tp>
        <v>267.61063339278911</v>
        <stp/>
        <stp>##V3_BQLV12</stp>
        <stp>[MODL_CRM_US1.xlsx]Single Period!R156C8</stp>
        <stp>CRM US Equity</stp>
        <stp>CONTRIBUTOR_STATS(CF_DEPR_AMORT, STD)/1M</stp>
        <stp>FPR=2022Y</stp>
        <stp>FPT=A</stp>
        <stp>FA_ACT_EST_DATA=E</stp>
        <stp>ACT_EST_MAPPING=PRECISE</stp>
        <stp>FS=MRC</stp>
        <stp>CURRENCY=USD</stp>
        <stp>XLFILL=b</stp>
        <tr r="H156" s="2"/>
      </tp>
      <tp t="s">
        <v/>
        <stp/>
        <stp>##V3_BQLV12</stp>
        <stp>[MODL_CRM_US1.xlsx]Single Period!R7C45</stp>
        <stp>CRM US Equity</stp>
        <stp>IS_COMP_SALES/1M</stp>
        <stp>FPR=2022Y</stp>
        <stp>FPT=A</stp>
        <stp>FA_ACT_EST_DATA=E, EST_SOURCE=ARG</stp>
        <stp>ACT_EST_MAPPING=PRECISE</stp>
        <stp>FS=MRC</stp>
        <stp>CURRENCY=USD</stp>
        <stp>XLFILL=b</stp>
        <tr r="AS7" s="2"/>
      </tp>
      <tp>
        <v>10591</v>
        <stp/>
        <stp>##V3_BQLV12</stp>
        <stp>[MODL_CRM_US1.xlsx]Single Period!R145C9</stp>
        <stp>CRM US Equity</stp>
        <stp>CONTRIBUTOR_STATS(CB_BS_LT_BORROWING, MEDIAN)/1M</stp>
        <stp>FPR=2022Y</stp>
        <stp>FPT=A</stp>
        <stp>FA_ACT_EST_DATA=E</stp>
        <stp>ACT_EST_MAPPING=PRECISE</stp>
        <stp>FS=MRC</stp>
        <stp>CURRENCY=USD</stp>
        <stp>XLFILL=b</stp>
        <tr r="I145" s="2"/>
      </tp>
      <tp>
        <v>-1743.2411659197451</v>
        <stp/>
        <stp>##V3_BQLV12</stp>
        <stp>[MODL_CRM_US1.xlsx]Single Period!R163C5</stp>
        <stp>CRM US Equity</stp>
        <stp>CB_CF_OTHR_NONCSH_ITEMS/1M</stp>
        <stp>FPR=2022Y</stp>
        <stp>FPT=A</stp>
        <stp>FA_ACT_EST_DATA=E</stp>
        <stp>ACT_EST_MAPPING=PRECISE</stp>
        <stp>FS=MRC</stp>
        <stp>CURRENCY=USD</stp>
        <stp>XLFILL=b</stp>
        <tr r="E163" s="2"/>
      </tp>
      <tp>
        <v>38002.355182495201</v>
        <stp/>
        <stp>##V3_BQLV12</stp>
        <stp>[MODL_CRM_US1.xlsx]Single Period!R136C26</stp>
        <stp>CRM US Equity</stp>
        <stp>BS_TOTAL_LIABILITIES/1M</stp>
        <stp>FPR=2022Y</stp>
        <stp>FPT=A</stp>
        <stp>FA_ACT_EST_DATA=E, EST_SOURCE=KEY</stp>
        <stp>ACT_EST_MAPPING=PRECISE</stp>
        <stp>FS=MRC</stp>
        <stp>CURRENCY=USD</stp>
        <stp>XLFILL=b</stp>
        <tr r="Z136" s="2"/>
      </tp>
      <tp>
        <v>4556.5</v>
        <stp/>
        <stp>##V3_BQLV12</stp>
        <stp>[MODL_CRM_US1.xlsx]Single Period!R70C9</stp>
        <stp>CRM US Equity</stp>
        <stp>CONTRIBUTOR_STATS(IS_COMP_NET_INC_EXCL_STOCK_COMP, MEDIAN)/1M</stp>
        <stp>FPR=2022Y</stp>
        <stp>FPT=A</stp>
        <stp>FA_ACT_EST_DATA=E</stp>
        <stp>ACT_EST_MAPPING=PRECISE</stp>
        <stp>FS=MRC</stp>
        <stp>CURRENCY=USD</stp>
        <stp>XLFILL=b</stp>
        <tr r="I70" s="2"/>
      </tp>
      <tp t="s">
        <v/>
        <stp/>
        <stp>##V3_BQLV12</stp>
        <stp>[MODL_CRM_US1.xlsx]Single Period!R167C45</stp>
        <stp>CRM US Equity</stp>
        <stp>CB_CF_NET_CASH_OPERATING_ACT/1M</stp>
        <stp>FPR=2022Y</stp>
        <stp>FPT=A</stp>
        <stp>FA_ACT_EST_DATA=E, EST_SOURCE=ARG</stp>
        <stp>ACT_EST_MAPPING=PRECISE</stp>
        <stp>FS=MRC</stp>
        <stp>CURRENCY=USD</stp>
        <stp>XLFILL=b</stp>
        <tr r="AS167" s="2"/>
      </tp>
      <tp t="s">
        <v/>
        <stp/>
        <stp>##V3_BQLV12</stp>
        <stp>[MODL_CRM_US1.xlsx]Single Period!R179C46</stp>
        <stp>CRM US Equity</stp>
        <stp>CB_CF_NET_CASH_FINANCING_ACT/1M</stp>
        <stp>FPR=2022Y</stp>
        <stp>FPT=A</stp>
        <stp>FA_ACT_EST_DATA=E, EST_SOURCE=CTI</stp>
        <stp>ACT_EST_MAPPING=PRECISE</stp>
        <stp>FS=MRC</stp>
        <stp>CURRENCY=USD</stp>
        <stp>XLFILL=b</stp>
        <tr r="AT179" s="2"/>
      </tp>
      <tp t="s">
        <v/>
        <stp/>
        <stp>##V3_BQLV12</stp>
        <stp>[MODL_CRM_US1.xlsx]Single Period!R78C23</stp>
        <stp>CRM US Equity</stp>
        <stp>COGS_TO_NET_SALES</stp>
        <stp>FPR=2022Y</stp>
        <stp>FPT=A</stp>
        <stp>FA_ACT_EST_DATA=E, EST_SOURCE=JPM</stp>
        <stp>ACT_EST_MAPPING=PRECISE</stp>
        <stp>FS=MRC</stp>
        <stp>CURRENCY=USD</stp>
        <stp>XLFILL=b</stp>
        <tr r="W78" s="2"/>
      </tp>
      <tp t="s">
        <v/>
        <stp/>
        <stp>##V3_BQLV12</stp>
        <stp>[MODL_CRM_US1.xlsx]Single Period!R182C45</stp>
        <stp>CRM US Equity</stp>
        <stp>CB_CF_NET_CASH_OPERATING_ACT/1M</stp>
        <stp>FPR=2022Y</stp>
        <stp>FPT=A</stp>
        <stp>FA_ACT_EST_DATA=E, EST_SOURCE=ARG</stp>
        <stp>ACT_EST_MAPPING=PRECISE</stp>
        <stp>FS=MRC</stp>
        <stp>CURRENCY=USD</stp>
        <stp>XLFILL=b</stp>
        <tr r="AS182" s="2"/>
      </tp>
      <tp t="s">
        <v/>
        <stp/>
        <stp>##V3_BQLV12</stp>
        <stp>[MODL_CRM_US1.xlsx]Single Period!R173C47</stp>
        <stp>CRM US Equity</stp>
        <stp>CB_CF_NET_CASH_INVESTING_ACT/1M</stp>
        <stp>FPR=2022Y</stp>
        <stp>FPT=A</stp>
        <stp>FA_ACT_EST_DATA=E, EST_SOURCE=WFT</stp>
        <stp>ACT_EST_MAPPING=PRECISE</stp>
        <stp>FS=MRC</stp>
        <stp>CURRENCY=USD</stp>
        <stp>XLFILL=b</stp>
        <tr r="AU173" s="2"/>
      </tp>
      <tp t="s">
        <v/>
        <stp/>
        <stp>##V3_BQLV12</stp>
        <stp>[MODL_CRM_US1.xlsx]Single Period!R104C46</stp>
        <stp>CRM US Equity</stp>
        <stp>IS_AMORT_OF_TOT_INTANG_PRETX/1M</stp>
        <stp>FPR=2022Y</stp>
        <stp>FPT=A</stp>
        <stp>FA_ACT_EST_DATA=E, EST_SOURCE=CTI</stp>
        <stp>ACT_EST_MAPPING=PRECISE</stp>
        <stp>FS=MRC</stp>
        <stp>CURRENCY=USD</stp>
        <stp>XLFILL=b</stp>
        <tr r="AT104" s="2"/>
      </tp>
      <tp t="s">
        <v/>
        <stp/>
        <stp>##V3_BQLV12</stp>
        <stp>[MODL_CRM_US1.xlsx]Single Period!R58C56</stp>
        <stp>CRM US Equity</stp>
        <stp>CB_IS_ADJUSTED_OPEX/1M</stp>
        <stp>FPR=2022Y</stp>
        <stp>FPT=A</stp>
        <stp>FA_ACT_EST_DATA=E, EST_SOURCE=DIR</stp>
        <stp>ACT_EST_MAPPING=PRECISE</stp>
        <stp>FS=MRC</stp>
        <stp>CURRENCY=USD</stp>
        <stp>XLFILL=b</stp>
        <tr r="BD58" s="2"/>
      </tp>
      <tp t="s">
        <v/>
        <stp/>
        <stp>##V3_BQLV12</stp>
        <stp>[MODL_CRM_US1.xlsx]Single Period!R179C38</stp>
        <stp>CRM US Equity</stp>
        <stp>CB_CF_NET_CASH_FINANCING_ACT/1M</stp>
        <stp>FPR=2022Y</stp>
        <stp>FPT=A</stp>
        <stp>FA_ACT_EST_DATA=E, EST_SOURCE=MSR</stp>
        <stp>ACT_EST_MAPPING=PRECISE</stp>
        <stp>FS=MRC</stp>
        <stp>CURRENCY=USD</stp>
        <stp>XLFILL=b</stp>
        <tr r="AL179" s="2"/>
      </tp>
      <tp t="s">
        <v/>
        <stp/>
        <stp>##V3_BQLV12</stp>
        <stp>[MODL_CRM_US1.xlsx]Single Period!R173C19</stp>
        <stp>CRM US Equity</stp>
        <stp>CB_CF_NET_CASH_INVESTING_ACT/1M</stp>
        <stp>FPR=2022Y</stp>
        <stp>FPT=A</stp>
        <stp>FA_ACT_EST_DATA=E, EST_SOURCE=SCB</stp>
        <stp>ACT_EST_MAPPING=PRECISE</stp>
        <stp>FS=MRC</stp>
        <stp>CURRENCY=USD</stp>
        <stp>XLFILL=b</stp>
        <tr r="S173" s="2"/>
      </tp>
      <tp t="s">
        <v/>
        <stp/>
        <stp>##V3_BQLV12</stp>
        <stp>[MODL_CRM_US1.xlsx]Single Period!R173C30</stp>
        <stp>CRM US Equity</stp>
        <stp>CB_CF_NET_CASH_INVESTING_ACT/1M</stp>
        <stp>FPR=2022Y</stp>
        <stp>FPT=A</stp>
        <stp>FA_ACT_EST_DATA=E, EST_SOURCE=BAM</stp>
        <stp>ACT_EST_MAPPING=PRECISE</stp>
        <stp>FS=MRC</stp>
        <stp>CURRENCY=USD</stp>
        <stp>XLFILL=b</stp>
        <tr r="AD173" s="2"/>
      </tp>
      <tp t="s">
        <v/>
        <stp/>
        <stp>##V3_BQLV12</stp>
        <stp>[MODL_CRM_US1.xlsx]Single Period!R58C53</stp>
        <stp>CRM US Equity</stp>
        <stp>CB_IS_ADJUSTED_OPEX/1M</stp>
        <stp>FPR=2022Y</stp>
        <stp>FPT=A</stp>
        <stp>FA_ACT_EST_DATA=E, EST_SOURCE=NIK</stp>
        <stp>ACT_EST_MAPPING=PRECISE</stp>
        <stp>FS=MRC</stp>
        <stp>CURRENCY=USD</stp>
        <stp>XLFILL=b</stp>
        <tr r="BA58" s="2"/>
      </tp>
      <tp t="s">
        <v/>
        <stp/>
        <stp>##V3_BQLV12</stp>
        <stp>[MODL_CRM_US1.xlsx]Single Period!R104C38</stp>
        <stp>CRM US Equity</stp>
        <stp>IS_AMORT_OF_TOT_INTANG_PRETX/1M</stp>
        <stp>FPR=2022Y</stp>
        <stp>FPT=A</stp>
        <stp>FA_ACT_EST_DATA=E, EST_SOURCE=MSR</stp>
        <stp>ACT_EST_MAPPING=PRECISE</stp>
        <stp>FS=MRC</stp>
        <stp>CURRENCY=USD</stp>
        <stp>XLFILL=b</stp>
        <tr r="AL104" s="2"/>
      </tp>
      <tp>
        <v>-13311.930724363199</v>
        <stp/>
        <stp>##V3_BQLV12</stp>
        <stp>[MODL_CRM_US1.xlsx]Single Period!R173C13</stp>
        <stp>CRM US Equity</stp>
        <stp>CB_CF_NET_CASH_INVESTING_ACT/1M</stp>
        <stp>FPR=2022Y</stp>
        <stp>FPT=A</stp>
        <stp>FA_ACT_EST_DATA=E, EST_SOURCE=BCA</stp>
        <stp>ACT_EST_MAPPING=PRECISE</stp>
        <stp>FS=MRC</stp>
        <stp>CURRENCY=USD</stp>
        <stp>XLFILL=b</stp>
        <tr r="M173" s="2"/>
      </tp>
      <tp t="s">
        <v/>
        <stp/>
        <stp>##V3_BQLV12</stp>
        <stp>[MODL_CRM_US1.xlsx]Single Period!R71C37</stp>
        <stp>CRM US Equity</stp>
        <stp>ADJ_PROFIT_MARGIN</stp>
        <stp>FPR=2022Y</stp>
        <stp>FPT=A</stp>
        <stp>FA_ACT_EST_DATA=E, EST_SOURCE=EVR</stp>
        <stp>ACT_EST_MAPPING=PRECISE</stp>
        <stp>FS=MRC</stp>
        <stp>CURRENCY=USD</stp>
        <stp>XLFILL=b</stp>
        <tr r="AK71" s="2"/>
      </tp>
      <tp t="s">
        <v/>
        <stp/>
        <stp>##V3_BQLV12</stp>
        <stp>[MODL_CRM_US1.xlsx]Single Period!R136C40</stp>
        <stp>CRM US Equity</stp>
        <stp>BS_TOTAL_LIABILITIES/1M</stp>
        <stp>FPR=2022Y</stp>
        <stp>FPT=A</stp>
        <stp>FA_ACT_EST_DATA=E, EST_SOURCE=ACC</stp>
        <stp>ACT_EST_MAPPING=PRECISE</stp>
        <stp>FS=MRC</stp>
        <stp>CURRENCY=USD</stp>
        <stp>XLFILL=b</stp>
        <tr r="AN136" s="2"/>
      </tp>
      <tp t="s">
        <v/>
        <stp/>
        <stp>##V3_BQLV12</stp>
        <stp>[MODL_CRM_US1.xlsx]Single Period!R78C22</stp>
        <stp>CRM US Equity</stp>
        <stp>COGS_TO_NET_SALES</stp>
        <stp>FPR=2022Y</stp>
        <stp>FPT=A</stp>
        <stp>FA_ACT_EST_DATA=E, EST_SOURCE=OPY</stp>
        <stp>ACT_EST_MAPPING=PRECISE</stp>
        <stp>FS=MRC</stp>
        <stp>CURRENCY=USD</stp>
        <stp>XLFILL=b</stp>
        <tr r="V78" s="2"/>
      </tp>
      <tp t="s">
        <v/>
        <stp/>
        <stp>##V3_BQLV12</stp>
        <stp>[MODL_CRM_US1.xlsx]Single Period!R173C36</stp>
        <stp>CRM US Equity</stp>
        <stp>CB_CF_NET_CASH_INVESTING_ACT/1M</stp>
        <stp>FPR=2022Y</stp>
        <stp>FPT=A</stp>
        <stp>FA_ACT_EST_DATA=E, EST_SOURCE=MAC</stp>
        <stp>ACT_EST_MAPPING=PRECISE</stp>
        <stp>FS=MRC</stp>
        <stp>CURRENCY=USD</stp>
        <stp>XLFILL=b</stp>
        <tr r="AJ173" s="2"/>
      </tp>
      <tp t="s">
        <v>Brad A Zelnick</v>
        <stp/>
        <stp>##V3_BQLV12</stp>
        <stp>[MODL_CRM_US1.xlsx]Single Period!R4C16</stp>
        <stp>CRM US Equity</stp>
        <stp>LAST(IS_COMP_SALES(FA_ACT_EST_DATA=E, EST_SOURCE=DBG).analyst_name)</stp>
        <stp>FPR=2022Y</stp>
        <stp>FPT=A</stp>
        <stp>ACT_EST_MAPPING=PRECISE</stp>
        <stp>FS=MRC</stp>
        <stp>CURRENCY=USD</stp>
        <stp>XLFILL=b</stp>
        <tr r="P4" s="2"/>
      </tp>
      <tp t="s">
        <v/>
        <stp/>
        <stp>##V3_BQLV12</stp>
        <stp>[MODL_CRM_US1.xlsx]Single Period!R193C47</stp>
        <stp>CRM US Equity</stp>
        <stp>FCF_PER_DIL_SHR</stp>
        <stp>FPR=2022Y</stp>
        <stp>FPT=A</stp>
        <stp>FA_ACT_EST_DATA=E, EST_SOURCE=WFT</stp>
        <stp>ACT_EST_MAPPING=PRECISE</stp>
        <stp>FS=MRC</stp>
        <stp>CURRENCY=USD</stp>
        <stp>XLFILL=b</stp>
        <tr r="AU193" s="2"/>
      </tp>
      <tp>
        <v>26.082811073217449</v>
        <stp/>
        <stp>##V3_BQLV12</stp>
        <stp>[MODL_CRM_US1.xlsx]Single Period!R78C9</stp>
        <stp>CRM US Equity</stp>
        <stp>CONTRIBUTOR_STATS(COGS_TO_NET_SALES, MEDIAN)</stp>
        <stp>FPR=2022Y</stp>
        <stp>FPT=A</stp>
        <stp>FA_ACT_EST_DATA=E</stp>
        <stp>ACT_EST_MAPPING=PRECISE</stp>
        <stp>FS=MRC</stp>
        <stp>CURRENCY=USD</stp>
        <stp>XLFILL=b</stp>
        <tr r="I78" s="2"/>
      </tp>
      <tp t="s">
        <v/>
        <stp/>
        <stp>##V3_BQLV12</stp>
        <stp>[MODL_CRM_US1.xlsx]Single Period!R84C33</stp>
        <stp>CRM US Equity</stp>
        <stp>RD_EXPEND_TO_NET_SALES</stp>
        <stp>FPR=2022Y</stp>
        <stp>FPT=A</stp>
        <stp>FA_ACT_EST_DATA=E, EST_SOURCE=RHR</stp>
        <stp>ACT_EST_MAPPING=PRECISE</stp>
        <stp>FS=MRC</stp>
        <stp>CURRENCY=USD</stp>
        <stp>XLFILL=b</stp>
        <tr r="AG84" s="2"/>
      </tp>
      <tp t="s">
        <v>Satoshi Tanaka</v>
        <stp/>
        <stp>##V3_BQLV12</stp>
        <stp>[MODL_CRM_US1.xlsx]Single Period!R4C56</stp>
        <stp>CRM US Equity</stp>
        <stp>LAST(IS_COMP_SALES(FA_ACT_EST_DATA=E, EST_SOURCE=DIR).analyst_name)</stp>
        <stp>FPR=2022Y</stp>
        <stp>FPT=A</stp>
        <stp>ACT_EST_MAPPING=PRECISE</stp>
        <stp>FS=MRC</stp>
        <stp>CURRENCY=USD</stp>
        <stp>XLFILL=b</stp>
        <tr r="BD4" s="2"/>
      </tp>
      <tp t="s">
        <v>Young-gun Kim</v>
        <stp/>
        <stp>##V3_BQLV12</stp>
        <stp>[MODL_CRM_US1.xlsx]Single Period!R4C43</stp>
        <stp>CRM US Equity</stp>
        <stp>LAST(IS_COMP_SALES(FA_ACT_EST_DATA=E, EST_SOURCE=DWI).analyst_name)</stp>
        <stp>FPR=2022Y</stp>
        <stp>FPT=A</stp>
        <stp>ACT_EST_MAPPING=PRECISE</stp>
        <stp>FS=MRC</stp>
        <stp>CURRENCY=USD</stp>
        <stp>XLFILL=b</stp>
        <tr r="AQ4" s="2"/>
      </tp>
      <tp t="s">
        <v/>
        <stp/>
        <stp>##V3_BQLV12</stp>
        <stp>[MODL_CRM_US1.xlsx]Single Period!R67C50</stp>
        <stp>CRM US Equity</stp>
        <stp>IS_NON_OPERATING_INC_LOSS_GAAP/1M</stp>
        <stp>FPR=2022Y</stp>
        <stp>FPT=A</stp>
        <stp>FA_ACT_EST_DATA=E, EST_SOURCE=MZS</stp>
        <stp>ACT_EST_MAPPING=PRECISE</stp>
        <stp>FS=MRC</stp>
        <stp>CURRENCY=USD</stp>
        <stp>XLFILL=b</stp>
        <tr r="AX67" s="2"/>
      </tp>
      <tp t="s">
        <v/>
        <stp/>
        <stp>##V3_BQLV12</stp>
        <stp>[MODL_CRM_US1.xlsx]Single Period!R193C30</stp>
        <stp>CRM US Equity</stp>
        <stp>FCF_PER_DIL_SHR</stp>
        <stp>FPR=2022Y</stp>
        <stp>FPT=A</stp>
        <stp>FA_ACT_EST_DATA=E, EST_SOURCE=BAM</stp>
        <stp>ACT_EST_MAPPING=PRECISE</stp>
        <stp>FS=MRC</stp>
        <stp>CURRENCY=USD</stp>
        <stp>XLFILL=b</stp>
        <tr r="AD193" s="2"/>
      </tp>
      <tp t="s">
        <v/>
        <stp/>
        <stp>##V3_BQLV12</stp>
        <stp>[MODL_CRM_US1.xlsx]Single Period!R193C19</stp>
        <stp>CRM US Equity</stp>
        <stp>FCF_PER_DIL_SHR</stp>
        <stp>FPR=2022Y</stp>
        <stp>FPT=A</stp>
        <stp>FA_ACT_EST_DATA=E, EST_SOURCE=SCB</stp>
        <stp>ACT_EST_MAPPING=PRECISE</stp>
        <stp>FS=MRC</stp>
        <stp>CURRENCY=USD</stp>
        <stp>XLFILL=b</stp>
        <tr r="S193" s="2"/>
      </tp>
      <tp t="s">
        <v/>
        <stp/>
        <stp>##V3_BQLV12</stp>
        <stp>[MODL_CRM_US1.xlsx]Single Period!R193C36</stp>
        <stp>CRM US Equity</stp>
        <stp>FCF_PER_DIL_SHR</stp>
        <stp>FPR=2022Y</stp>
        <stp>FPT=A</stp>
        <stp>FA_ACT_EST_DATA=E, EST_SOURCE=MAC</stp>
        <stp>ACT_EST_MAPPING=PRECISE</stp>
        <stp>FS=MRC</stp>
        <stp>CURRENCY=USD</stp>
        <stp>XLFILL=b</stp>
        <tr r="AJ193" s="2"/>
      </tp>
      <tp>
        <v>5.2121901028645112</v>
        <stp/>
        <stp>##V3_BQLV12</stp>
        <stp>[MODL_CRM_US1.xlsx]Single Period!R193C13</stp>
        <stp>CRM US Equity</stp>
        <stp>FCF_PER_DIL_SHR</stp>
        <stp>FPR=2022Y</stp>
        <stp>FPT=A</stp>
        <stp>FA_ACT_EST_DATA=E, EST_SOURCE=BCA</stp>
        <stp>ACT_EST_MAPPING=PRECISE</stp>
        <stp>FS=MRC</stp>
        <stp>CURRENCY=USD</stp>
        <stp>XLFILL=b</stp>
        <tr r="M193" s="2"/>
      </tp>
      <tp>
        <v>948.34512171416407</v>
        <stp/>
        <stp>##V3_BQLV12</stp>
        <stp>[MODL_CRM_US1.xlsx]Single Period!R111C8</stp>
        <stp>CRM US Equity</stp>
        <stp>CONTRIBUTOR_STATS(BS_CASH_CASH_EQUIVALENTS_AND_STI, STD)/1M</stp>
        <stp>FPR=2022Y</stp>
        <stp>FPT=A</stp>
        <stp>FA_ACT_EST_DATA=E</stp>
        <stp>ACT_EST_MAPPING=PRECISE</stp>
        <stp>FS=MRC</stp>
        <stp>CURRENCY=USD</stp>
        <stp>XLFILL=b</stp>
        <tr r="H111" s="2"/>
      </tp>
      <tp>
        <v>10818.504903174999</v>
        <stp/>
        <stp>##V3_BQLV12</stp>
        <stp>[MODL_CRM_US1.xlsx]Single Period!R111C6</stp>
        <stp>CRM US Equity</stp>
        <stp>CONTRIBUTOR_STATS(BS_CASH_CASH_EQUIVALENTS_AND_STI, MIN)/1M</stp>
        <stp>FPR=2022Y</stp>
        <stp>FPT=A</stp>
        <stp>FA_ACT_EST_DATA=E</stp>
        <stp>ACT_EST_MAPPING=PRECISE</stp>
        <stp>FS=MRC</stp>
        <stp>CURRENCY=USD</stp>
        <stp>XLFILL=b</stp>
        <tr r="F111" s="2"/>
      </tp>
      <tp>
        <v>12482.629150000001</v>
        <stp/>
        <stp>##V3_BQLV12</stp>
        <stp>[MODL_CRM_US1.xlsx]Single Period!R111C7</stp>
        <stp>CRM US Equity</stp>
        <stp>CONTRIBUTOR_STATS(BS_CASH_CASH_EQUIVALENTS_AND_STI, MAX)/1M</stp>
        <stp>FPR=2022Y</stp>
        <stp>FPT=A</stp>
        <stp>FA_ACT_EST_DATA=E</stp>
        <stp>ACT_EST_MAPPING=PRECISE</stp>
        <stp>FS=MRC</stp>
        <stp>CURRENCY=USD</stp>
        <stp>XLFILL=b</stp>
        <tr r="G111" s="2"/>
      </tp>
      <tp t="s">
        <v/>
        <stp/>
        <stp>##V3_BQLV12</stp>
        <stp>[MODL_CRM_US1.xlsx]Single Period!R7C54</stp>
        <stp>CRM US Equity</stp>
        <stp>IS_COMP_SALES/1M</stp>
        <stp>FPR=2022Y</stp>
        <stp>FPT=A</stp>
        <stp>FA_ACT_EST_DATA=E, EST_SOURCE=ARE</stp>
        <stp>ACT_EST_MAPPING=PRECISE</stp>
        <stp>FS=MRC</stp>
        <stp>CURRENCY=USD</stp>
        <stp>XLFILL=b</stp>
        <tr r="BB7" s="2"/>
      </tp>
      <tp>
        <v>-3</v>
        <stp/>
        <stp>##V3_BQLV12</stp>
        <stp>[MODL_CRM_US1.xlsx]Single Period!R178C9</stp>
        <stp>CRM US Equity</stp>
        <stp>CONTRIBUTOR_STATS(CB_CF_REPAYMENT_LT_DEBT, MEDIAN)/1M</stp>
        <stp>FPR=2022Y</stp>
        <stp>FPT=A</stp>
        <stp>FA_ACT_EST_DATA=E</stp>
        <stp>ACT_EST_MAPPING=PRECISE</stp>
        <stp>FS=MRC</stp>
        <stp>CURRENCY=USD</stp>
        <stp>XLFILL=b</stp>
        <tr r="I178" s="2"/>
      </tp>
      <tp>
        <v>26391</v>
        <stp/>
        <stp>##V3_BQLV12</stp>
        <stp>[MODL_CRM_US1.xlsx]Single Period!R7C15</stp>
        <stp>CRM US Equity</stp>
        <stp>IS_COMP_SALES/1M</stp>
        <stp>FPR=2022Y</stp>
        <stp>FPT=A</stp>
        <stp>FA_ACT_EST_DATA=E, EST_SOURCE=MSV</stp>
        <stp>ACT_EST_MAPPING=PRECISE</stp>
        <stp>FS=MRC</stp>
        <stp>CURRENCY=USD</stp>
        <stp>XLFILL=b</stp>
        <tr r="O7" s="2"/>
      </tp>
      <tp t="s">
        <v/>
        <stp/>
        <stp>##V3_BQLV12</stp>
        <stp>[MODL_CRM_US1.xlsx]Single Period!R71C43</stp>
        <stp>CRM US Equity</stp>
        <stp>ADJ_PROFIT_MARGIN</stp>
        <stp>FPR=2022Y</stp>
        <stp>FPT=A</stp>
        <stp>FA_ACT_EST_DATA=E, EST_SOURCE=DWI</stp>
        <stp>ACT_EST_MAPPING=PRECISE</stp>
        <stp>FS=MRC</stp>
        <stp>CURRENCY=USD</stp>
        <stp>XLFILL=b</stp>
        <tr r="AQ71" s="2"/>
      </tp>
      <tp t="s">
        <v/>
        <stp/>
        <stp>##V3_BQLV12</stp>
        <stp>[MODL_CRM_US1.xlsx]Single Period!R182C35</stp>
        <stp>CRM US Equity</stp>
        <stp>CB_CF_NET_CASH_OPERATING_ACT/1M</stp>
        <stp>FPR=2022Y</stp>
        <stp>FPT=A</stp>
        <stp>FA_ACT_EST_DATA=E, EST_SOURCE=ATL</stp>
        <stp>ACT_EST_MAPPING=PRECISE</stp>
        <stp>FS=MRC</stp>
        <stp>CURRENCY=USD</stp>
        <stp>XLFILL=b</stp>
        <tr r="AI182" s="2"/>
      </tp>
      <tp t="s">
        <v/>
        <stp/>
        <stp>##V3_BQLV12</stp>
        <stp>[MODL_CRM_US1.xlsx]Single Period!R167C42</stp>
        <stp>CRM US Equity</stp>
        <stp>CB_CF_NET_CASH_OPERATING_ACT/1M</stp>
        <stp>FPR=2022Y</stp>
        <stp>FPT=A</stp>
        <stp>FA_ACT_EST_DATA=E, EST_SOURCE=PSG</stp>
        <stp>ACT_EST_MAPPING=PRECISE</stp>
        <stp>FS=MRC</stp>
        <stp>CURRENCY=USD</stp>
        <stp>XLFILL=b</stp>
        <tr r="AP167" s="2"/>
      </tp>
      <tp t="s">
        <v/>
        <stp/>
        <stp>##V3_BQLV12</stp>
        <stp>[MODL_CRM_US1.xlsx]Single Period!R124C33</stp>
        <stp>CRM US Equity</stp>
        <stp>CAPITALIZED_SOFTWARE/1M</stp>
        <stp>FPR=2022Y</stp>
        <stp>FPT=A</stp>
        <stp>FA_ACT_EST_DATA=E, EST_SOURCE=RHR</stp>
        <stp>ACT_EST_MAPPING=PRECISE</stp>
        <stp>FS=MRC</stp>
        <stp>CURRENCY=USD</stp>
        <stp>XLFILL=b</stp>
        <tr r="AG124" s="2"/>
      </tp>
      <tp t="s">
        <v/>
        <stp/>
        <stp>##V3_BQLV12</stp>
        <stp>[MODL_CRM_US1.xlsx]Single Period!R167C54</stp>
        <stp>CRM US Equity</stp>
        <stp>CB_CF_NET_CASH_OPERATING_ACT/1M</stp>
        <stp>FPR=2022Y</stp>
        <stp>FPT=A</stp>
        <stp>FA_ACT_EST_DATA=E, EST_SOURCE=ARE</stp>
        <stp>ACT_EST_MAPPING=PRECISE</stp>
        <stp>FS=MRC</stp>
        <stp>CURRENCY=USD</stp>
        <stp>XLFILL=b</stp>
        <tr r="BB167" s="2"/>
      </tp>
      <tp t="s">
        <v/>
        <stp/>
        <stp>##V3_BQLV12</stp>
        <stp>[MODL_CRM_US1.xlsx]Single Period!R71C28</stp>
        <stp>CRM US Equity</stp>
        <stp>ADJ_PROFIT_MARGIN</stp>
        <stp>FPR=2022Y</stp>
        <stp>FPT=A</stp>
        <stp>FA_ACT_EST_DATA=E, EST_SOURCE=CWN</stp>
        <stp>ACT_EST_MAPPING=PRECISE</stp>
        <stp>FS=MRC</stp>
        <stp>CURRENCY=USD</stp>
        <stp>XLFILL=b</stp>
        <tr r="AB71" s="2"/>
      </tp>
      <tp t="s">
        <v/>
        <stp/>
        <stp>##V3_BQLV12</stp>
        <stp>[MODL_CRM_US1.xlsx]Single Period!R182C54</stp>
        <stp>CRM US Equity</stp>
        <stp>CB_CF_NET_CASH_OPERATING_ACT/1M</stp>
        <stp>FPR=2022Y</stp>
        <stp>FPT=A</stp>
        <stp>FA_ACT_EST_DATA=E, EST_SOURCE=ARE</stp>
        <stp>ACT_EST_MAPPING=PRECISE</stp>
        <stp>FS=MRC</stp>
        <stp>CURRENCY=USD</stp>
        <stp>XLFILL=b</stp>
        <tr r="BB182" s="2"/>
      </tp>
      <tp t="s">
        <v/>
        <stp/>
        <stp>##V3_BQLV12</stp>
        <stp>[MODL_CRM_US1.xlsx]Single Period!R173C52</stp>
        <stp>CRM US Equity</stp>
        <stp>CB_CF_NET_CASH_INVESTING_ACT/1M</stp>
        <stp>FPR=2022Y</stp>
        <stp>FPT=A</stp>
        <stp>FA_ACT_EST_DATA=E, EST_SOURCE=WFR</stp>
        <stp>ACT_EST_MAPPING=PRECISE</stp>
        <stp>FS=MRC</stp>
        <stp>CURRENCY=USD</stp>
        <stp>XLFILL=b</stp>
        <tr r="AZ173" s="2"/>
      </tp>
      <tp t="s">
        <v/>
        <stp/>
        <stp>##V3_BQLV12</stp>
        <stp>[MODL_CRM_US1.xlsx]Single Period!R58C33</stp>
        <stp>CRM US Equity</stp>
        <stp>CB_IS_ADJUSTED_OPEX/1M</stp>
        <stp>FPR=2022Y</stp>
        <stp>FPT=A</stp>
        <stp>FA_ACT_EST_DATA=E, EST_SOURCE=RHR</stp>
        <stp>ACT_EST_MAPPING=PRECISE</stp>
        <stp>FS=MRC</stp>
        <stp>CURRENCY=USD</stp>
        <stp>XLFILL=b</stp>
        <tr r="AG58" s="2"/>
      </tp>
      <tp t="s">
        <v/>
        <stp/>
        <stp>##V3_BQLV12</stp>
        <stp>[MODL_CRM_US1.xlsx]Single Period!R106C53</stp>
        <stp>CRM US Equity</stp>
        <stp>IS_AMORT_ACQD_INTANG_S_AND_M/1M</stp>
        <stp>FPR=2022Y</stp>
        <stp>FPT=A</stp>
        <stp>FA_ACT_EST_DATA=E, EST_SOURCE=NIK</stp>
        <stp>ACT_EST_MAPPING=PRECISE</stp>
        <stp>FS=MRC</stp>
        <stp>CURRENCY=USD</stp>
        <stp>XLFILL=b</stp>
        <tr r="BA106" s="2"/>
      </tp>
      <tp t="s">
        <v/>
        <stp/>
        <stp>##V3_BQLV12</stp>
        <stp>[MODL_CRM_US1.xlsx]Single Period!R71C44</stp>
        <stp>CRM US Equity</stp>
        <stp>ADJ_PROFIT_MARGIN</stp>
        <stp>FPR=2022Y</stp>
        <stp>FPT=A</stp>
        <stp>FA_ACT_EST_DATA=E, EST_SOURCE=RWB</stp>
        <stp>ACT_EST_MAPPING=PRECISE</stp>
        <stp>FS=MRC</stp>
        <stp>CURRENCY=USD</stp>
        <stp>XLFILL=b</stp>
        <tr r="AR71" s="2"/>
      </tp>
      <tp t="s">
        <v/>
        <stp/>
        <stp>##V3_BQLV12</stp>
        <stp>[MODL_CRM_US1.xlsx]Single Period!R40C23</stp>
        <stp>SEG0000269228 Segment</stp>
        <stp>REVENUE_GROWTH_CC_1_YR</stp>
        <stp>FPR=2022Y</stp>
        <stp>FPT=A</stp>
        <stp>FA_ACT_EST_DATA=E, EST_SOURCE=JPM</stp>
        <stp>ACT_EST_MAPPING=PRECISE</stp>
        <stp>FS=MRC</stp>
        <stp>CURRENCY=USD</stp>
        <stp>XLFILL=b</stp>
        <tr r="W40" s="2"/>
      </tp>
      <tp t="s">
        <v/>
        <stp/>
        <stp>##V3_BQLV12</stp>
        <stp>[MODL_CRM_US1.xlsx]Single Period!R182C42</stp>
        <stp>CRM US Equity</stp>
        <stp>CB_CF_NET_CASH_OPERATING_ACT/1M</stp>
        <stp>FPR=2022Y</stp>
        <stp>FPT=A</stp>
        <stp>FA_ACT_EST_DATA=E, EST_SOURCE=PSG</stp>
        <stp>ACT_EST_MAPPING=PRECISE</stp>
        <stp>FS=MRC</stp>
        <stp>CURRENCY=USD</stp>
        <stp>XLFILL=b</stp>
        <tr r="AP182" s="2"/>
      </tp>
      <tp t="s">
        <v/>
        <stp/>
        <stp>##V3_BQLV12</stp>
        <stp>[MODL_CRM_US1.xlsx]Single Period!R167C35</stp>
        <stp>CRM US Equity</stp>
        <stp>CB_CF_NET_CASH_OPERATING_ACT/1M</stp>
        <stp>FPR=2022Y</stp>
        <stp>FPT=A</stp>
        <stp>FA_ACT_EST_DATA=E, EST_SOURCE=ATL</stp>
        <stp>ACT_EST_MAPPING=PRECISE</stp>
        <stp>FS=MRC</stp>
        <stp>CURRENCY=USD</stp>
        <stp>XLFILL=b</stp>
        <tr r="AI167" s="2"/>
      </tp>
      <tp t="s">
        <v/>
        <stp/>
        <stp>##V3_BQLV12</stp>
        <stp>[MODL_CRM_US1.xlsx]Single Period!R136C51</stp>
        <stp>CRM US Equity</stp>
        <stp>BS_TOTAL_LIABILITIES/1M</stp>
        <stp>FPR=2022Y</stp>
        <stp>FPT=A</stp>
        <stp>FA_ACT_EST_DATA=E, EST_SOURCE=RCP</stp>
        <stp>ACT_EST_MAPPING=PRECISE</stp>
        <stp>FS=MRC</stp>
        <stp>CURRENCY=USD</stp>
        <stp>XLFILL=b</stp>
        <tr r="AY136" s="2"/>
      </tp>
      <tp t="s">
        <v/>
        <stp/>
        <stp>##V3_BQLV12</stp>
        <stp>[MODL_CRM_US1.xlsx]Single Period!R106C12</stp>
        <stp>CRM US Equity</stp>
        <stp>IS_AMORT_ACQD_INTANG_S_AND_M/1M</stp>
        <stp>FPR=2022Y</stp>
        <stp>FPT=A</stp>
        <stp>FA_ACT_EST_DATA=E, EST_SOURCE=BMO</stp>
        <stp>ACT_EST_MAPPING=PRECISE</stp>
        <stp>FS=MRC</stp>
        <stp>CURRENCY=USD</stp>
        <stp>XLFILL=b</stp>
        <tr r="L106" s="2"/>
      </tp>
      <tp t="s">
        <v/>
        <stp/>
        <stp>##V3_BQLV12</stp>
        <stp>[MODL_CRM_US1.xlsx]Single Period!R167C41</stp>
        <stp>CRM US Equity</stp>
        <stp>CB_CF_NET_CASH_OPERATING_ACT/1M</stp>
        <stp>FPR=2022Y</stp>
        <stp>FPT=A</stp>
        <stp>FA_ACT_EST_DATA=E, EST_SOURCE=GSR</stp>
        <stp>ACT_EST_MAPPING=PRECISE</stp>
        <stp>FS=MRC</stp>
        <stp>CURRENCY=USD</stp>
        <stp>XLFILL=b</stp>
        <tr r="AO167" s="2"/>
      </tp>
      <tp t="s">
        <v/>
        <stp/>
        <stp>##V3_BQLV12</stp>
        <stp>[MODL_CRM_US1.xlsx]Single Period!R173C49</stp>
        <stp>CRM US Equity</stp>
        <stp>CB_CF_NET_CASH_INVESTING_ACT/1M</stp>
        <stp>FPR=2022Y</stp>
        <stp>FPT=A</stp>
        <stp>FA_ACT_EST_DATA=E, EST_SOURCE=SGE</stp>
        <stp>ACT_EST_MAPPING=PRECISE</stp>
        <stp>FS=MRC</stp>
        <stp>CURRENCY=USD</stp>
        <stp>XLFILL=b</stp>
        <tr r="AW173" s="2"/>
      </tp>
      <tp t="s">
        <v/>
        <stp/>
        <stp>##V3_BQLV12</stp>
        <stp>[MODL_CRM_US1.xlsx]Single Period!R173C11</stp>
        <stp>CRM US Equity</stp>
        <stp>CB_CF_NET_CASH_INVESTING_ACT/1M</stp>
        <stp>FPR=2022Y</stp>
        <stp>FPT=A</stp>
        <stp>FA_ACT_EST_DATA=E, EST_SOURCE=WBL</stp>
        <stp>ACT_EST_MAPPING=PRECISE</stp>
        <stp>FS=MRC</stp>
        <stp>CURRENCY=USD</stp>
        <stp>XLFILL=b</stp>
        <tr r="K173" s="2"/>
      </tp>
      <tp t="s">
        <v/>
        <stp/>
        <stp>##V3_BQLV12</stp>
        <stp>[MODL_CRM_US1.xlsx]Single Period!R106C56</stp>
        <stp>CRM US Equity</stp>
        <stp>IS_AMORT_ACQD_INTANG_S_AND_M/1M</stp>
        <stp>FPR=2022Y</stp>
        <stp>FPT=A</stp>
        <stp>FA_ACT_EST_DATA=E, EST_SOURCE=DIR</stp>
        <stp>ACT_EST_MAPPING=PRECISE</stp>
        <stp>FS=MRC</stp>
        <stp>CURRENCY=USD</stp>
        <stp>XLFILL=b</stp>
        <tr r="BD106" s="2"/>
      </tp>
      <tp t="s">
        <v/>
        <stp/>
        <stp>##V3_BQLV12</stp>
        <stp>[MODL_CRM_US1.xlsx]Single Period!R106C29</stp>
        <stp>CRM US Equity</stp>
        <stp>IS_AMORT_ACQD_INTANG_S_AND_M/1M</stp>
        <stp>FPR=2022Y</stp>
        <stp>FPT=A</stp>
        <stp>FA_ACT_EST_DATA=E, EST_SOURCE=BNS</stp>
        <stp>ACT_EST_MAPPING=PRECISE</stp>
        <stp>FS=MRC</stp>
        <stp>CURRENCY=USD</stp>
        <stp>XLFILL=b</stp>
        <tr r="AC106" s="2"/>
      </tp>
      <tp>
        <v>-13290.29304755217</v>
        <stp/>
        <stp>##V3_BQLV12</stp>
        <stp>[MODL_CRM_US1.xlsx]Single Period!R173C16</stp>
        <stp>CRM US Equity</stp>
        <stp>CB_CF_NET_CASH_INVESTING_ACT/1M</stp>
        <stp>FPR=2022Y</stp>
        <stp>FPT=A</stp>
        <stp>FA_ACT_EST_DATA=E, EST_SOURCE=DBG</stp>
        <stp>ACT_EST_MAPPING=PRECISE</stp>
        <stp>FS=MRC</stp>
        <stp>CURRENCY=USD</stp>
        <stp>XLFILL=b</stp>
        <tr r="P173" s="2"/>
      </tp>
      <tp t="s">
        <v/>
        <stp/>
        <stp>##V3_BQLV12</stp>
        <stp>[MODL_CRM_US1.xlsx]Single Period!R182C41</stp>
        <stp>CRM US Equity</stp>
        <stp>CB_CF_NET_CASH_OPERATING_ACT/1M</stp>
        <stp>FPR=2022Y</stp>
        <stp>FPT=A</stp>
        <stp>FA_ACT_EST_DATA=E, EST_SOURCE=GSR</stp>
        <stp>ACT_EST_MAPPING=PRECISE</stp>
        <stp>FS=MRC</stp>
        <stp>CURRENCY=USD</stp>
        <stp>XLFILL=b</stp>
        <tr r="AO182" s="2"/>
      </tp>
      <tp t="s">
        <v/>
        <stp/>
        <stp>##V3_BQLV12</stp>
        <stp>[MODL_CRM_US1.xlsx]Single Period!R136C34</stp>
        <stp>CRM US Equity</stp>
        <stp>BS_TOTAL_LIABILITIES/1M</stp>
        <stp>FPR=2022Y</stp>
        <stp>FPT=A</stp>
        <stp>FA_ACT_EST_DATA=E, EST_SOURCE=JEF</stp>
        <stp>ACT_EST_MAPPING=PRECISE</stp>
        <stp>FS=MRC</stp>
        <stp>CURRENCY=USD</stp>
        <stp>XLFILL=b</stp>
        <tr r="AH136" s="2"/>
      </tp>
      <tp t="s">
        <v/>
        <stp/>
        <stp>##V3_BQLV12</stp>
        <stp>[MODL_CRM_US1.xlsx]Single Period!R40C22</stp>
        <stp>SEG0000269228 Segment</stp>
        <stp>REVENUE_GROWTH_CC_1_YR</stp>
        <stp>FPR=2022Y</stp>
        <stp>FPT=A</stp>
        <stp>FA_ACT_EST_DATA=E, EST_SOURCE=OPY</stp>
        <stp>ACT_EST_MAPPING=PRECISE</stp>
        <stp>FS=MRC</stp>
        <stp>CURRENCY=USD</stp>
        <stp>XLFILL=b</stp>
        <tr r="V40" s="2"/>
      </tp>
      <tp t="s">
        <v/>
        <stp/>
        <stp>##V3_BQLV12</stp>
        <stp>[MODL_CRM_US1.xlsx]Single Period!R193C32</stp>
        <stp>CRM US Equity</stp>
        <stp>FCF_PER_DIL_SHR</stp>
        <stp>FPR=2022Y</stp>
        <stp>FPT=A</stp>
        <stp>FA_ACT_EST_DATA=E, EST_SOURCE=UBS</stp>
        <stp>ACT_EST_MAPPING=PRECISE</stp>
        <stp>FS=MRC</stp>
        <stp>CURRENCY=USD</stp>
        <stp>XLFILL=b</stp>
        <tr r="AF193" s="2"/>
      </tp>
      <tp t="s">
        <v>Kash Rangan</v>
        <stp/>
        <stp>##V3_BQLV12</stp>
        <stp>[MODL_CRM_US1.xlsx]Single Period!R4C41</stp>
        <stp>CRM US Equity</stp>
        <stp>LAST(IS_COMP_SALES(FA_ACT_EST_DATA=E, EST_SOURCE=GSR).analyst_name)</stp>
        <stp>FPR=2022Y</stp>
        <stp>FPT=A</stp>
        <stp>ACT_EST_MAPPING=PRECISE</stp>
        <stp>FS=MRC</stp>
        <stp>CURRENCY=USD</stp>
        <stp>XLFILL=b</stp>
        <tr r="AO4" s="2"/>
      </tp>
      <tp t="s">
        <v/>
        <stp/>
        <stp>##V3_BQLV12</stp>
        <stp>[MODL_CRM_US1.xlsx]Single Period!R193C27</stp>
        <stp>CRM US Equity</stp>
        <stp>FCF_PER_DIL_SHR</stp>
        <stp>FPR=2022Y</stp>
        <stp>FPT=A</stp>
        <stp>FA_ACT_EST_DATA=E, EST_SOURCE=LCM</stp>
        <stp>ACT_EST_MAPPING=PRECISE</stp>
        <stp>FS=MRC</stp>
        <stp>CURRENCY=USD</stp>
        <stp>XLFILL=b</stp>
        <tr r="AA193" s="2"/>
      </tp>
      <tp t="s">
        <v/>
        <stp/>
        <stp>##V3_BQLV12</stp>
        <stp>[MODL_CRM_US1.xlsx]Single Period!R193C31</stp>
        <stp>CRM US Equity</stp>
        <stp>FCF_PER_DIL_SHR</stp>
        <stp>FPR=2022Y</stp>
        <stp>FPT=A</stp>
        <stp>FA_ACT_EST_DATA=E, EST_SOURCE=RBC</stp>
        <stp>ACT_EST_MAPPING=PRECISE</stp>
        <stp>FS=MRC</stp>
        <stp>CURRENCY=USD</stp>
        <stp>XLFILL=b</stp>
        <tr r="AE193" s="2"/>
      </tp>
      <tp>
        <v>45.83806048732373</v>
        <stp/>
        <stp>##V3_BQLV12</stp>
        <stp>[MODL_CRM_US1.xlsx]Single Period!R187C8</stp>
        <stp>CRM US Equity</stp>
        <stp>CONTRIBUTOR_STATS(CF_NET_CHNG_CASH, STD)/1M</stp>
        <stp>FPR=2022Y</stp>
        <stp>FPT=A</stp>
        <stp>FA_ACT_EST_DATA=E</stp>
        <stp>ACT_EST_MAPPING=PRECISE</stp>
        <stp>FS=MRC</stp>
        <stp>CURRENCY=USD</stp>
        <stp>XLFILL=b</stp>
        <tr r="H187" s="2"/>
      </tp>
      <tp>
        <v>4.0704031517998107</v>
        <stp/>
        <stp>##V3_BQLV12</stp>
        <stp>[MODL_CRM_US1.xlsx]Single Period!R177C8</stp>
        <stp>CRM US Equity</stp>
        <stp>CONTRIBUTOR_STATS(CB_CF_OTHER_FINANCING_ACTIVITIES, STD)/1M</stp>
        <stp>FPR=2022Y</stp>
        <stp>FPT=A</stp>
        <stp>FA_ACT_EST_DATA=E</stp>
        <stp>ACT_EST_MAPPING=PRECISE</stp>
        <stp>FS=MRC</stp>
        <stp>CURRENCY=USD</stp>
        <stp>XLFILL=b</stp>
        <tr r="H177" s="2"/>
      </tp>
      <tp>
        <v>73.873373217747996</v>
        <stp/>
        <stp>##V3_BQLV12</stp>
        <stp>[MODL_CRM_US1.xlsx]Single Period!R80C9</stp>
        <stp>CRM US Equity</stp>
        <stp>CONTRIBUTOR_STATS(GROSS_MARGIN, MEDIAN)</stp>
        <stp>FPR=2022Y</stp>
        <stp>FPT=A</stp>
        <stp>FA_ACT_EST_DATA=E</stp>
        <stp>ACT_EST_MAPPING=PRECISE</stp>
        <stp>FS=MRC</stp>
        <stp>CURRENCY=USD</stp>
        <stp>XLFILL=b</stp>
        <tr r="I80" s="2"/>
      </tp>
      <tp>
        <v>-14.495096824997749</v>
        <stp/>
        <stp>##V3_BQLV12</stp>
        <stp>[MODL_CRM_US1.xlsx]Single Period!R187C6</stp>
        <stp>CRM US Equity</stp>
        <stp>CONTRIBUTOR_STATS(CF_NET_CHNG_CASH, MIN)/1M</stp>
        <stp>FPR=2022Y</stp>
        <stp>FPT=A</stp>
        <stp>FA_ACT_EST_DATA=E</stp>
        <stp>ACT_EST_MAPPING=PRECISE</stp>
        <stp>FS=MRC</stp>
        <stp>CURRENCY=USD</stp>
        <stp>XLFILL=b</stp>
        <tr r="F187" s="2"/>
      </tp>
      <tp>
        <v>146.413507527468</v>
        <stp/>
        <stp>##V3_BQLV12</stp>
        <stp>[MODL_CRM_US1.xlsx]Single Period!R187C7</stp>
        <stp>CRM US Equity</stp>
        <stp>CONTRIBUTOR_STATS(CF_NET_CHNG_CASH, MAX)/1M</stp>
        <stp>FPR=2022Y</stp>
        <stp>FPT=A</stp>
        <stp>FA_ACT_EST_DATA=E</stp>
        <stp>ACT_EST_MAPPING=PRECISE</stp>
        <stp>FS=MRC</stp>
        <stp>CURRENCY=USD</stp>
        <stp>XLFILL=b</stp>
        <tr r="G187" s="2"/>
      </tp>
      <tp>
        <v>-118</v>
        <stp/>
        <stp>##V3_BQLV12</stp>
        <stp>[MODL_CRM_US1.xlsx]Single Period!R177C7</stp>
        <stp>CRM US Equity</stp>
        <stp>CONTRIBUTOR_STATS(CB_CF_OTHER_FINANCING_ACTIVITIES, MAX)/1M</stp>
        <stp>FPR=2022Y</stp>
        <stp>FPT=A</stp>
        <stp>FA_ACT_EST_DATA=E</stp>
        <stp>ACT_EST_MAPPING=PRECISE</stp>
        <stp>FS=MRC</stp>
        <stp>CURRENCY=USD</stp>
        <stp>XLFILL=b</stp>
        <tr r="G177" s="2"/>
      </tp>
      <tp>
        <v>-131.5</v>
        <stp/>
        <stp>##V3_BQLV12</stp>
        <stp>[MODL_CRM_US1.xlsx]Single Period!R177C6</stp>
        <stp>CRM US Equity</stp>
        <stp>CONTRIBUTOR_STATS(CB_CF_OTHER_FINANCING_ACTIVITIES, MIN)/1M</stp>
        <stp>FPR=2022Y</stp>
        <stp>FPT=A</stp>
        <stp>FA_ACT_EST_DATA=E</stp>
        <stp>ACT_EST_MAPPING=PRECISE</stp>
        <stp>FS=MRC</stp>
        <stp>CURRENCY=USD</stp>
        <stp>XLFILL=b</stp>
        <tr r="F177" s="2"/>
      </tp>
      <tp>
        <v>0.1773508897391492</v>
        <stp/>
        <stp>##V3_BQLV12</stp>
        <stp>[MODL_CRM_US1.xlsx]Single Period!R172C8</stp>
        <stp>CRM US Equity</stp>
        <stp>CONTRIBUTOR_STATS(CAP_EXPEND_TO_SALES, STD)</stp>
        <stp>FPR=2022Y</stp>
        <stp>FPT=A</stp>
        <stp>FA_ACT_EST_DATA=E</stp>
        <stp>ACT_EST_MAPPING=PRECISE</stp>
        <stp>FS=MRC</stp>
        <stp>CURRENCY=USD</stp>
        <stp>XLFILL=b</stp>
        <tr r="H172" s="2"/>
      </tp>
      <tp t="s">
        <v/>
        <stp/>
        <stp>##V3_BQLV12</stp>
        <stp>[MODL_CRM_US1.xlsx]Single Period!R71C46</stp>
        <stp>CRM US Equity</stp>
        <stp>ADJ_PROFIT_MARGIN</stp>
        <stp>FPR=2022Y</stp>
        <stp>FPT=A</stp>
        <stp>FA_ACT_EST_DATA=E, EST_SOURCE=CTI</stp>
        <stp>ACT_EST_MAPPING=PRECISE</stp>
        <stp>FS=MRC</stp>
        <stp>CURRENCY=USD</stp>
        <stp>XLFILL=b</stp>
        <tr r="AT71" s="2"/>
      </tp>
      <tp t="s">
        <v/>
        <stp/>
        <stp>##V3_BQLV12</stp>
        <stp>[MODL_CRM_US1.xlsx]Single Period!R78C54</stp>
        <stp>CRM US Equity</stp>
        <stp>COGS_TO_NET_SALES</stp>
        <stp>FPR=2022Y</stp>
        <stp>FPT=A</stp>
        <stp>FA_ACT_EST_DATA=E, EST_SOURCE=ARE</stp>
        <stp>ACT_EST_MAPPING=PRECISE</stp>
        <stp>FS=MRC</stp>
        <stp>CURRENCY=USD</stp>
        <stp>XLFILL=b</stp>
        <tr r="BB78" s="2"/>
      </tp>
      <tp t="s">
        <v/>
        <stp/>
        <stp>##V3_BQLV12</stp>
        <stp>[MODL_CRM_US1.xlsx]Single Period!R78C45</stp>
        <stp>CRM US Equity</stp>
        <stp>COGS_TO_NET_SALES</stp>
        <stp>FPR=2022Y</stp>
        <stp>FPT=A</stp>
        <stp>FA_ACT_EST_DATA=E, EST_SOURCE=ARG</stp>
        <stp>ACT_EST_MAPPING=PRECISE</stp>
        <stp>FS=MRC</stp>
        <stp>CURRENCY=USD</stp>
        <stp>XLFILL=b</stp>
        <tr r="AS78" s="2"/>
      </tp>
      <tp t="s">
        <v/>
        <stp/>
        <stp>##V3_BQLV12</stp>
        <stp>[MODL_CRM_US1.xlsx]Single Period!R71C35</stp>
        <stp>CRM US Equity</stp>
        <stp>ADJ_PROFIT_MARGIN</stp>
        <stp>FPR=2022Y</stp>
        <stp>FPT=A</stp>
        <stp>FA_ACT_EST_DATA=E, EST_SOURCE=ATL</stp>
        <stp>ACT_EST_MAPPING=PRECISE</stp>
        <stp>FS=MRC</stp>
        <stp>CURRENCY=USD</stp>
        <stp>XLFILL=b</stp>
        <tr r="AI71" s="2"/>
      </tp>
      <tp t="s">
        <v/>
        <stp/>
        <stp>##V3_BQLV12</stp>
        <stp>[MODL_CRM_US1.xlsx]Single Period!R179C23</stp>
        <stp>CRM US Equity</stp>
        <stp>CB_CF_NET_CASH_FINANCING_ACT/1M</stp>
        <stp>FPR=2022Y</stp>
        <stp>FPT=A</stp>
        <stp>FA_ACT_EST_DATA=E, EST_SOURCE=JPM</stp>
        <stp>ACT_EST_MAPPING=PRECISE</stp>
        <stp>FS=MRC</stp>
        <stp>CURRENCY=USD</stp>
        <stp>XLFILL=b</stp>
        <tr r="W179" s="2"/>
      </tp>
      <tp t="s">
        <v/>
        <stp/>
        <stp>##V3_BQLV12</stp>
        <stp>[MODL_CRM_US1.xlsx]Single Period!R40C42</stp>
        <stp>SEG0000269228 Segment</stp>
        <stp>REVENUE_GROWTH_CC_1_YR</stp>
        <stp>FPR=2022Y</stp>
        <stp>FPT=A</stp>
        <stp>FA_ACT_EST_DATA=E, EST_SOURCE=PSG</stp>
        <stp>ACT_EST_MAPPING=PRECISE</stp>
        <stp>FS=MRC</stp>
        <stp>CURRENCY=USD</stp>
        <stp>XLFILL=b</stp>
        <tr r="AP40" s="2"/>
      </tp>
      <tp>
        <v>1617.92</v>
        <stp/>
        <stp>##V3_BQLV12</stp>
        <stp>[MODL_CRM_US1.xlsx]Single Period!R104C23</stp>
        <stp>CRM US Equity</stp>
        <stp>IS_AMORT_OF_TOT_INTANG_PRETX/1M</stp>
        <stp>FPR=2022Y</stp>
        <stp>FPT=A</stp>
        <stp>FA_ACT_EST_DATA=E, EST_SOURCE=JPM</stp>
        <stp>ACT_EST_MAPPING=PRECISE</stp>
        <stp>FS=MRC</stp>
        <stp>CURRENCY=USD</stp>
        <stp>XLFILL=b</stp>
        <tr r="W104" s="2"/>
      </tp>
      <tp>
        <v>39304.074999999997</v>
        <stp/>
        <stp>##V3_BQLV12</stp>
        <stp>[MODL_CRM_US1.xlsx]Single Period!R136C17</stp>
        <stp>CRM US Equity</stp>
        <stp>BS_TOTAL_LIABILITIES/1M</stp>
        <stp>FPR=2022Y</stp>
        <stp>FPT=A</stp>
        <stp>FA_ACT_EST_DATA=E, EST_SOURCE=NDH</stp>
        <stp>ACT_EST_MAPPING=PRECISE</stp>
        <stp>FS=MRC</stp>
        <stp>CURRENCY=USD</stp>
        <stp>XLFILL=b</stp>
        <tr r="Q136" s="2"/>
      </tp>
      <tp t="s">
        <v/>
        <stp/>
        <stp>##V3_BQLV12</stp>
        <stp>[MODL_CRM_US1.xlsx]Single Period!R142C50</stp>
        <stp>CRM US Equity</stp>
        <stp>BS_TOT_ASSET/1M</stp>
        <stp>FPR=2022Y</stp>
        <stp>FPT=A</stp>
        <stp>FA_ACT_EST_DATA=E, EST_SOURCE=MZS</stp>
        <stp>ACT_EST_MAPPING=PRECISE</stp>
        <stp>FS=MRC</stp>
        <stp>CURRENCY=USD</stp>
        <stp>XLFILL=b</stp>
        <tr r="AX142" s="2"/>
      </tp>
      <tp>
        <v>351.38018901140953</v>
        <stp/>
        <stp>##V3_BQLV12</stp>
        <stp>[MODL_CRM_US1.xlsx]Single Period!R104C15</stp>
        <stp>CRM US Equity</stp>
        <stp>IS_AMORT_OF_TOT_INTANG_PRETX/1M</stp>
        <stp>FPR=2022Y</stp>
        <stp>FPT=A</stp>
        <stp>FA_ACT_EST_DATA=E, EST_SOURCE=MSV</stp>
        <stp>ACT_EST_MAPPING=PRECISE</stp>
        <stp>FS=MRC</stp>
        <stp>CURRENCY=USD</stp>
        <stp>XLFILL=b</stp>
        <tr r="O104" s="2"/>
      </tp>
      <tp t="s">
        <v/>
        <stp/>
        <stp>##V3_BQLV12</stp>
        <stp>[MODL_CRM_US1.xlsx]Single Period!R40C41</stp>
        <stp>SEG0000269228 Segment</stp>
        <stp>REVENUE_GROWTH_CC_1_YR</stp>
        <stp>FPR=2022Y</stp>
        <stp>FPT=A</stp>
        <stp>FA_ACT_EST_DATA=E, EST_SOURCE=GSR</stp>
        <stp>ACT_EST_MAPPING=PRECISE</stp>
        <stp>FS=MRC</stp>
        <stp>CURRENCY=USD</stp>
        <stp>XLFILL=b</stp>
        <tr r="AO40" s="2"/>
      </tp>
      <tp t="s">
        <v/>
        <stp/>
        <stp>##V3_BQLV12</stp>
        <stp>[MODL_CRM_US1.xlsx]Single Period!R106C20</stp>
        <stp>CRM US Equity</stp>
        <stp>IS_AMORT_ACQD_INTANG_S_AND_M/1M</stp>
        <stp>FPR=2022Y</stp>
        <stp>FPT=A</stp>
        <stp>FA_ACT_EST_DATA=E, EST_SOURCE=JMP</stp>
        <stp>ACT_EST_MAPPING=PRECISE</stp>
        <stp>FS=MRC</stp>
        <stp>CURRENCY=USD</stp>
        <stp>XLFILL=b</stp>
        <tr r="T106" s="2"/>
      </tp>
      <tp t="s">
        <v/>
        <stp/>
        <stp>##V3_BQLV12</stp>
        <stp>[MODL_CRM_US1.xlsx]Single Period!R40C15</stp>
        <stp>SEG0000269228 Segment</stp>
        <stp>REVENUE_GROWTH_CC_1_YR</stp>
        <stp>FPR=2022Y</stp>
        <stp>FPT=A</stp>
        <stp>FA_ACT_EST_DATA=E, EST_SOURCE=MSV</stp>
        <stp>ACT_EST_MAPPING=PRECISE</stp>
        <stp>FS=MRC</stp>
        <stp>CURRENCY=USD</stp>
        <stp>XLFILL=b</stp>
        <tr r="O40" s="2"/>
      </tp>
      <tp t="s">
        <v/>
        <stp/>
        <stp>##V3_BQLV12</stp>
        <stp>[MODL_CRM_US1.xlsx]Single Period!R179C22</stp>
        <stp>CRM US Equity</stp>
        <stp>CB_CF_NET_CASH_FINANCING_ACT/1M</stp>
        <stp>FPR=2022Y</stp>
        <stp>FPT=A</stp>
        <stp>FA_ACT_EST_DATA=E, EST_SOURCE=OPY</stp>
        <stp>ACT_EST_MAPPING=PRECISE</stp>
        <stp>FS=MRC</stp>
        <stp>CURRENCY=USD</stp>
        <stp>XLFILL=b</stp>
        <tr r="V179" s="2"/>
      </tp>
      <tp t="s">
        <v/>
        <stp/>
        <stp>##V3_BQLV12</stp>
        <stp>[MODL_CRM_US1.xlsx]Single Period!R124C21</stp>
        <stp>CRM US Equity</stp>
        <stp>CAPITALIZED_SOFTWARE/1M</stp>
        <stp>FPR=2022Y</stp>
        <stp>FPT=A</stp>
        <stp>FA_ACT_EST_DATA=E, EST_SOURCE=RJA</stp>
        <stp>ACT_EST_MAPPING=PRECISE</stp>
        <stp>FS=MRC</stp>
        <stp>CURRENCY=USD</stp>
        <stp>XLFILL=b</stp>
        <tr r="U124" s="2"/>
      </tp>
      <tp t="s">
        <v/>
        <stp/>
        <stp>##V3_BQLV12</stp>
        <stp>[MODL_CRM_US1.xlsx]Single Period!R106C14</stp>
        <stp>CRM US Equity</stp>
        <stp>IS_AMORT_ACQD_INTANG_S_AND_M/1M</stp>
        <stp>FPR=2022Y</stp>
        <stp>FPT=A</stp>
        <stp>FA_ACT_EST_DATA=E, EST_SOURCE=SNR</stp>
        <stp>ACT_EST_MAPPING=PRECISE</stp>
        <stp>FS=MRC</stp>
        <stp>CURRENCY=USD</stp>
        <stp>XLFILL=b</stp>
        <tr r="N106" s="2"/>
      </tp>
      <tp>
        <v>645</v>
        <stp/>
        <stp>##V3_BQLV12</stp>
        <stp>[MODL_CRM_US1.xlsx]Single Period!R106C25</stp>
        <stp>CRM US Equity</stp>
        <stp>IS_AMORT_ACQD_INTANG_S_AND_M/1M</stp>
        <stp>FPR=2022Y</stp>
        <stp>FPT=A</stp>
        <stp>FA_ACT_EST_DATA=E, EST_SOURCE=WMS</stp>
        <stp>ACT_EST_MAPPING=PRECISE</stp>
        <stp>FS=MRC</stp>
        <stp>CURRENCY=USD</stp>
        <stp>XLFILL=b</stp>
        <tr r="Y106" s="2"/>
      </tp>
      <tp t="s">
        <v/>
        <stp/>
        <stp>##V3_BQLV12</stp>
        <stp>[MODL_CRM_US1.xlsx]Single Period!R40C38</stp>
        <stp>SEG0000269228 Segment</stp>
        <stp>REVENUE_GROWTH_CC_1_YR</stp>
        <stp>FPR=2022Y</stp>
        <stp>FPT=A</stp>
        <stp>FA_ACT_EST_DATA=E, EST_SOURCE=MSR</stp>
        <stp>ACT_EST_MAPPING=PRECISE</stp>
        <stp>FS=MRC</stp>
        <stp>CURRENCY=USD</stp>
        <stp>XLFILL=b</stp>
        <tr r="AL40" s="2"/>
      </tp>
      <tp t="s">
        <v/>
        <stp/>
        <stp>##V3_BQLV12</stp>
        <stp>[MODL_CRM_US1.xlsx]Single Period!R125C50</stp>
        <stp>CRM US Equity</stp>
        <stp>BS_TOT_ASSET/1M</stp>
        <stp>FPR=2022Y</stp>
        <stp>FPT=A</stp>
        <stp>FA_ACT_EST_DATA=E, EST_SOURCE=MZS</stp>
        <stp>ACT_EST_MAPPING=PRECISE</stp>
        <stp>FS=MRC</stp>
        <stp>CURRENCY=USD</stp>
        <stp>XLFILL=b</stp>
        <tr r="AX125" s="2"/>
      </tp>
      <tp t="s">
        <v/>
        <stp/>
        <stp>##V3_BQLV12</stp>
        <stp>[MODL_CRM_US1.xlsx]Single Period!R173C55</stp>
        <stp>CRM US Equity</stp>
        <stp>CB_CF_NET_CASH_INVESTING_ACT/1M</stp>
        <stp>FPR=2022Y</stp>
        <stp>FPT=A</stp>
        <stp>FA_ACT_EST_DATA=E, EST_SOURCE=RED</stp>
        <stp>ACT_EST_MAPPING=PRECISE</stp>
        <stp>FS=MRC</stp>
        <stp>CURRENCY=USD</stp>
        <stp>XLFILL=b</stp>
        <tr r="BC173" s="2"/>
      </tp>
      <tp>
        <v>1635</v>
        <stp/>
        <stp>##V3_BQLV12</stp>
        <stp>[MODL_CRM_US1.xlsx]Single Period!R104C22</stp>
        <stp>CRM US Equity</stp>
        <stp>IS_AMORT_OF_TOT_INTANG_PRETX/1M</stp>
        <stp>FPR=2022Y</stp>
        <stp>FPT=A</stp>
        <stp>FA_ACT_EST_DATA=E, EST_SOURCE=OPY</stp>
        <stp>ACT_EST_MAPPING=PRECISE</stp>
        <stp>FS=MRC</stp>
        <stp>CURRENCY=USD</stp>
        <stp>XLFILL=b</stp>
        <tr r="V104" s="2"/>
      </tp>
      <tp>
        <v>7635</v>
        <stp/>
        <stp>##V3_BQLV12</stp>
        <stp>[MODL_CRM_US1.xlsx]Single Period!R179C15</stp>
        <stp>CRM US Equity</stp>
        <stp>CB_CF_NET_CASH_FINANCING_ACT/1M</stp>
        <stp>FPR=2022Y</stp>
        <stp>FPT=A</stp>
        <stp>FA_ACT_EST_DATA=E, EST_SOURCE=MSV</stp>
        <stp>ACT_EST_MAPPING=PRECISE</stp>
        <stp>FS=MRC</stp>
        <stp>CURRENCY=USD</stp>
        <stp>XLFILL=b</stp>
        <tr r="O179" s="2"/>
      </tp>
      <tp t="s">
        <v/>
        <stp/>
        <stp>##V3_BQLV12</stp>
        <stp>[MODL_CRM_US1.xlsx]Single Period!R173C18</stp>
        <stp>CRM US Equity</stp>
        <stp>CB_CF_NET_CASH_INVESTING_ACT/1M</stp>
        <stp>FPR=2022Y</stp>
        <stp>FPT=A</stp>
        <stp>FA_ACT_EST_DATA=E, EST_SOURCE=CAN</stp>
        <stp>ACT_EST_MAPPING=PRECISE</stp>
        <stp>FS=MRC</stp>
        <stp>CURRENCY=USD</stp>
        <stp>XLFILL=b</stp>
        <tr r="R173" s="2"/>
      </tp>
      <tp>
        <v>-12572.93905131801</v>
        <stp/>
        <stp>##V3_BQLV12</stp>
        <stp>[MODL_CRM_US1.xlsx]Single Period!R173C24</stp>
        <stp>CRM US Equity</stp>
        <stp>CB_CF_NET_CASH_INVESTING_ACT/1M</stp>
        <stp>FPR=2022Y</stp>
        <stp>FPT=A</stp>
        <stp>FA_ACT_EST_DATA=E, EST_SOURCE=FBC</stp>
        <stp>ACT_EST_MAPPING=PRECISE</stp>
        <stp>FS=MRC</stp>
        <stp>CURRENCY=USD</stp>
        <stp>XLFILL=b</stp>
        <tr r="X173" s="2"/>
      </tp>
      <tp t="s">
        <v>Philip Winslow</v>
        <stp/>
        <stp>##V3_BQLV12</stp>
        <stp>[MODL_CRM_US1.xlsx]Single Period!R4C24</stp>
        <stp>CRM US Equity</stp>
        <stp>LAST(IS_COMP_SALES(FA_ACT_EST_DATA=E, EST_SOURCE=FBC).analyst_name)</stp>
        <stp>FPR=2022Y</stp>
        <stp>FPT=A</stp>
        <stp>ACT_EST_MAPPING=PRECISE</stp>
        <stp>FS=MRC</stp>
        <stp>CURRENCY=USD</stp>
        <stp>XLFILL=b</stp>
        <tr r="X4" s="2"/>
      </tp>
      <tp t="s">
        <v/>
        <stp/>
        <stp>##V3_BQLV12</stp>
        <stp>[MODL_CRM_US1.xlsx]Single Period!R17C10</stp>
        <stp>CRM US Equity</stp>
        <stp>IS_COMP_GROSS_MARGIN_PERCENTAGE</stp>
        <stp>FPR=2022Y</stp>
        <stp>FPT=A</stp>
        <stp>FA_ACT_EST_DATA=E, EST_SOURCE=CMPY</stp>
        <stp>ACT_EST_MAPPING=PRECISE</stp>
        <stp>FS=MRC</stp>
        <stp>CURRENCY=USD</stp>
        <stp>XLFILL=b</stp>
        <tr r="J17" s="2"/>
      </tp>
      <tp>
        <v>4.9866055514629792</v>
        <stp/>
        <stp>##V3_BQLV12</stp>
        <stp>[MODL_CRM_US1.xlsx]Single Period!R193C24</stp>
        <stp>CRM US Equity</stp>
        <stp>FCF_PER_DIL_SHR</stp>
        <stp>FPR=2022Y</stp>
        <stp>FPT=A</stp>
        <stp>FA_ACT_EST_DATA=E, EST_SOURCE=FBC</stp>
        <stp>ACT_EST_MAPPING=PRECISE</stp>
        <stp>FS=MRC</stp>
        <stp>CURRENCY=USD</stp>
        <stp>XLFILL=b</stp>
        <tr r="X193" s="2"/>
      </tp>
      <tp t="s">
        <v/>
        <stp/>
        <stp>##V3_BQLV12</stp>
        <stp>[MODL_CRM_US1.xlsx]Single Period!R193C18</stp>
        <stp>CRM US Equity</stp>
        <stp>FCF_PER_DIL_SHR</stp>
        <stp>FPR=2022Y</stp>
        <stp>FPT=A</stp>
        <stp>FA_ACT_EST_DATA=E, EST_SOURCE=CAN</stp>
        <stp>ACT_EST_MAPPING=PRECISE</stp>
        <stp>FS=MRC</stp>
        <stp>CURRENCY=USD</stp>
        <stp>XLFILL=b</stp>
        <tr r="R193" s="2"/>
      </tp>
      <tp t="s">
        <v/>
        <stp/>
        <stp>##V3_BQLV12</stp>
        <stp>[MODL_CRM_US1.xlsx]Single Period!R84C48</stp>
        <stp>CRM US Equity</stp>
        <stp>RD_EXPEND_TO_NET_SALES</stp>
        <stp>FPR=2022Y</stp>
        <stp>FPT=A</stp>
        <stp>FA_ACT_EST_DATA=E, EST_SOURCE=PJE</stp>
        <stp>ACT_EST_MAPPING=PRECISE</stp>
        <stp>FS=MRC</stp>
        <stp>CURRENCY=USD</stp>
        <stp>XLFILL=b</stp>
        <tr r="AV84" s="2"/>
      </tp>
      <tp t="s">
        <v/>
        <stp/>
        <stp>##V3_BQLV12</stp>
        <stp>[MODL_CRM_US1.xlsx]Single Period!R193C55</stp>
        <stp>CRM US Equity</stp>
        <stp>FCF_PER_DIL_SHR</stp>
        <stp>FPR=2022Y</stp>
        <stp>FPT=A</stp>
        <stp>FA_ACT_EST_DATA=E, EST_SOURCE=RED</stp>
        <stp>ACT_EST_MAPPING=PRECISE</stp>
        <stp>FS=MRC</stp>
        <stp>CURRENCY=USD</stp>
        <stp>XLFILL=b</stp>
        <tr r="BC193" s="2"/>
      </tp>
      <tp t="s">
        <v/>
        <stp/>
        <stp>##V3_BQLV12</stp>
        <stp>[MODL_CRM_US1.xlsx]Single Period!R84C21</stp>
        <stp>CRM US Equity</stp>
        <stp>RD_EXPEND_TO_NET_SALES</stp>
        <stp>FPR=2022Y</stp>
        <stp>FPT=A</stp>
        <stp>FA_ACT_EST_DATA=E, EST_SOURCE=RJA</stp>
        <stp>ACT_EST_MAPPING=PRECISE</stp>
        <stp>FS=MRC</stp>
        <stp>CURRENCY=USD</stp>
        <stp>XLFILL=b</stp>
        <tr r="U84" s="2"/>
      </tp>
      <tp>
        <v>348.46077207093828</v>
        <stp/>
        <stp>##V3_BQLV12</stp>
        <stp>[MODL_CRM_US1.xlsx]Single Period!R129C8</stp>
        <stp>CRM US Equity</stp>
        <stp>CONTRIBUTOR_STATS(CB_BS_ACCT_PYBL_ACC_EXPNSS, STD)/1M</stp>
        <stp>FPR=2022Y</stp>
        <stp>FPT=A</stp>
        <stp>FA_ACT_EST_DATA=E</stp>
        <stp>ACT_EST_MAPPING=PRECISE</stp>
        <stp>FS=MRC</stp>
        <stp>CURRENCY=USD</stp>
        <stp>XLFILL=b</stp>
        <tr r="H129" s="2"/>
      </tp>
      <tp>
        <v>4531</v>
        <stp/>
        <stp>##V3_BQLV12</stp>
        <stp>[MODL_CRM_US1.xlsx]Single Period!R129C6</stp>
        <stp>CRM US Equity</stp>
        <stp>CONTRIBUTOR_STATS(CB_BS_ACCT_PYBL_ACC_EXPNSS, MIN)/1M</stp>
        <stp>FPR=2022Y</stp>
        <stp>FPT=A</stp>
        <stp>FA_ACT_EST_DATA=E</stp>
        <stp>ACT_EST_MAPPING=PRECISE</stp>
        <stp>FS=MRC</stp>
        <stp>CURRENCY=USD</stp>
        <stp>XLFILL=b</stp>
        <tr r="F129" s="2"/>
      </tp>
      <tp>
        <v>5638.9030000000012</v>
        <stp/>
        <stp>##V3_BQLV12</stp>
        <stp>[MODL_CRM_US1.xlsx]Single Period!R129C7</stp>
        <stp>CRM US Equity</stp>
        <stp>CONTRIBUTOR_STATS(CB_BS_ACCT_PYBL_ACC_EXPNSS, MAX)/1M</stp>
        <stp>FPR=2022Y</stp>
        <stp>FPT=A</stp>
        <stp>FA_ACT_EST_DATA=E</stp>
        <stp>ACT_EST_MAPPING=PRECISE</stp>
        <stp>FS=MRC</stp>
        <stp>CURRENCY=USD</stp>
        <stp>XLFILL=b</stp>
        <tr r="G129" s="2"/>
      </tp>
      <tp>
        <v>26300</v>
        <stp/>
        <stp>##V3_BQLV12</stp>
        <stp>[MODL_CRM_US1.xlsx]Single Period!R7C43</stp>
        <stp>CRM US Equity</stp>
        <stp>IS_COMP_SALES/1M</stp>
        <stp>FPR=2022Y</stp>
        <stp>FPT=A</stp>
        <stp>FA_ACT_EST_DATA=E, EST_SOURCE=DWI</stp>
        <stp>ACT_EST_MAPPING=PRECISE</stp>
        <stp>FS=MRC</stp>
        <stp>CURRENCY=USD</stp>
        <stp>XLFILL=b</stp>
        <tr r="AQ7" s="2"/>
      </tp>
      <tp t="s">
        <v/>
        <stp/>
        <stp>##V3_BQLV12</stp>
        <stp>[MODL_CRM_US1.xlsx]Single Period!R167C28</stp>
        <stp>CRM US Equity</stp>
        <stp>CB_CF_NET_CASH_OPERATING_ACT/1M</stp>
        <stp>FPR=2022Y</stp>
        <stp>FPT=A</stp>
        <stp>FA_ACT_EST_DATA=E, EST_SOURCE=CWN</stp>
        <stp>ACT_EST_MAPPING=PRECISE</stp>
        <stp>FS=MRC</stp>
        <stp>CURRENCY=USD</stp>
        <stp>XLFILL=b</stp>
        <tr r="AB167" s="2"/>
      </tp>
      <tp t="s">
        <v/>
        <stp/>
        <stp>##V3_BQLV12</stp>
        <stp>[MODL_CRM_US1.xlsx]Single Period!R179C43</stp>
        <stp>CRM US Equity</stp>
        <stp>CB_CF_NET_CASH_FINANCING_ACT/1M</stp>
        <stp>FPR=2022Y</stp>
        <stp>FPT=A</stp>
        <stp>FA_ACT_EST_DATA=E, EST_SOURCE=DWI</stp>
        <stp>ACT_EST_MAPPING=PRECISE</stp>
        <stp>FS=MRC</stp>
        <stp>CURRENCY=USD</stp>
        <stp>XLFILL=b</stp>
        <tr r="AQ179" s="2"/>
      </tp>
      <tp t="s">
        <v/>
        <stp/>
        <stp>##V3_BQLV12</stp>
        <stp>[MODL_CRM_US1.xlsx]Single Period!R78C42</stp>
        <stp>CRM US Equity</stp>
        <stp>COGS_TO_NET_SALES</stp>
        <stp>FPR=2022Y</stp>
        <stp>FPT=A</stp>
        <stp>FA_ACT_EST_DATA=E, EST_SOURCE=PSG</stp>
        <stp>ACT_EST_MAPPING=PRECISE</stp>
        <stp>FS=MRC</stp>
        <stp>CURRENCY=USD</stp>
        <stp>XLFILL=b</stp>
        <tr r="AP78" s="2"/>
      </tp>
      <tp t="s">
        <v/>
        <stp/>
        <stp>##V3_BQLV12</stp>
        <stp>[MODL_CRM_US1.xlsx]Single Period!R40C54</stp>
        <stp>SEG0000269228 Segment</stp>
        <stp>REVENUE_GROWTH_CC_1_YR</stp>
        <stp>FPR=2022Y</stp>
        <stp>FPT=A</stp>
        <stp>FA_ACT_EST_DATA=E, EST_SOURCE=ARE</stp>
        <stp>ACT_EST_MAPPING=PRECISE</stp>
        <stp>FS=MRC</stp>
        <stp>CURRENCY=USD</stp>
        <stp>XLFILL=b</stp>
        <tr r="BB40" s="2"/>
      </tp>
      <tp t="s">
        <v/>
        <stp/>
        <stp>##V3_BQLV12</stp>
        <stp>[MODL_CRM_US1.xlsx]Single Period!R104C44</stp>
        <stp>CRM US Equity</stp>
        <stp>IS_AMORT_OF_TOT_INTANG_PRETX/1M</stp>
        <stp>FPR=2022Y</stp>
        <stp>FPT=A</stp>
        <stp>FA_ACT_EST_DATA=E, EST_SOURCE=RWB</stp>
        <stp>ACT_EST_MAPPING=PRECISE</stp>
        <stp>FS=MRC</stp>
        <stp>CURRENCY=USD</stp>
        <stp>XLFILL=b</stp>
        <tr r="AR104" s="2"/>
      </tp>
      <tp t="s">
        <v/>
        <stp/>
        <stp>##V3_BQLV12</stp>
        <stp>[MODL_CRM_US1.xlsx]Single Period!R40C45</stp>
        <stp>SEG0000269228 Segment</stp>
        <stp>REVENUE_GROWTH_CC_1_YR</stp>
        <stp>FPR=2022Y</stp>
        <stp>FPT=A</stp>
        <stp>FA_ACT_EST_DATA=E, EST_SOURCE=ARG</stp>
        <stp>ACT_EST_MAPPING=PRECISE</stp>
        <stp>FS=MRC</stp>
        <stp>CURRENCY=USD</stp>
        <stp>XLFILL=b</stp>
        <tr r="AS40" s="2"/>
      </tp>
      <tp t="s">
        <v/>
        <stp/>
        <stp>##V3_BQLV12</stp>
        <stp>[MODL_CRM_US1.xlsx]Single Period!R104C43</stp>
        <stp>CRM US Equity</stp>
        <stp>IS_AMORT_OF_TOT_INTANG_PRETX/1M</stp>
        <stp>FPR=2022Y</stp>
        <stp>FPT=A</stp>
        <stp>FA_ACT_EST_DATA=E, EST_SOURCE=DWI</stp>
        <stp>ACT_EST_MAPPING=PRECISE</stp>
        <stp>FS=MRC</stp>
        <stp>CURRENCY=USD</stp>
        <stp>XLFILL=b</stp>
        <tr r="AQ104" s="2"/>
      </tp>
      <tp t="s">
        <v/>
        <stp/>
        <stp>##V3_BQLV12</stp>
        <stp>[MODL_CRM_US1.xlsx]Single Period!R173C32</stp>
        <stp>CRM US Equity</stp>
        <stp>CB_CF_NET_CASH_INVESTING_ACT/1M</stp>
        <stp>FPR=2022Y</stp>
        <stp>FPT=A</stp>
        <stp>FA_ACT_EST_DATA=E, EST_SOURCE=UBS</stp>
        <stp>ACT_EST_MAPPING=PRECISE</stp>
        <stp>FS=MRC</stp>
        <stp>CURRENCY=USD</stp>
        <stp>XLFILL=b</stp>
        <tr r="AF173" s="2"/>
      </tp>
      <tp t="s">
        <v/>
        <stp/>
        <stp>##V3_BQLV12</stp>
        <stp>[MODL_CRM_US1.xlsx]Single Period!R135C50</stp>
        <stp>CRM US Equity</stp>
        <stp>CB_BS_OTHER_NONCURRENT_LIABS/1M</stp>
        <stp>FPR=2022Y</stp>
        <stp>FPT=A</stp>
        <stp>FA_ACT_EST_DATA=E, EST_SOURCE=MZS</stp>
        <stp>ACT_EST_MAPPING=PRECISE</stp>
        <stp>FS=MRC</stp>
        <stp>CURRENCY=USD</stp>
        <stp>XLFILL=b</stp>
        <tr r="AX135" s="2"/>
      </tp>
      <tp t="s">
        <v/>
        <stp/>
        <stp>##V3_BQLV12</stp>
        <stp>[MODL_CRM_US1.xlsx]Single Period!R179C44</stp>
        <stp>CRM US Equity</stp>
        <stp>CB_CF_NET_CASH_FINANCING_ACT/1M</stp>
        <stp>FPR=2022Y</stp>
        <stp>FPT=A</stp>
        <stp>FA_ACT_EST_DATA=E, EST_SOURCE=RWB</stp>
        <stp>ACT_EST_MAPPING=PRECISE</stp>
        <stp>FS=MRC</stp>
        <stp>CURRENCY=USD</stp>
        <stp>XLFILL=b</stp>
        <tr r="AR179" s="2"/>
      </tp>
      <tp t="s">
        <v/>
        <stp/>
        <stp>##V3_BQLV12</stp>
        <stp>[MODL_CRM_US1.xlsx]Single Period!R182C28</stp>
        <stp>CRM US Equity</stp>
        <stp>CB_CF_NET_CASH_OPERATING_ACT/1M</stp>
        <stp>FPR=2022Y</stp>
        <stp>FPT=A</stp>
        <stp>FA_ACT_EST_DATA=E, EST_SOURCE=CWN</stp>
        <stp>ACT_EST_MAPPING=PRECISE</stp>
        <stp>FS=MRC</stp>
        <stp>CURRENCY=USD</stp>
        <stp>XLFILL=b</stp>
        <tr r="AB182" s="2"/>
      </tp>
      <tp t="s">
        <v/>
        <stp/>
        <stp>##V3_BQLV12</stp>
        <stp>[MODL_CRM_US1.xlsx]Single Period!R106C48</stp>
        <stp>CRM US Equity</stp>
        <stp>IS_AMORT_ACQD_INTANG_S_AND_M/1M</stp>
        <stp>FPR=2022Y</stp>
        <stp>FPT=A</stp>
        <stp>FA_ACT_EST_DATA=E, EST_SOURCE=PJE</stp>
        <stp>ACT_EST_MAPPING=PRECISE</stp>
        <stp>FS=MRC</stp>
        <stp>CURRENCY=USD</stp>
        <stp>XLFILL=b</stp>
        <tr r="AV106" s="2"/>
      </tp>
      <tp>
        <v>25.98194465180654</v>
        <stp/>
        <stp>##V3_BQLV12</stp>
        <stp>[MODL_CRM_US1.xlsx]Single Period!R78C15</stp>
        <stp>CRM US Equity</stp>
        <stp>COGS_TO_NET_SALES</stp>
        <stp>FPR=2022Y</stp>
        <stp>FPT=A</stp>
        <stp>FA_ACT_EST_DATA=E, EST_SOURCE=MSV</stp>
        <stp>ACT_EST_MAPPING=PRECISE</stp>
        <stp>FS=MRC</stp>
        <stp>CURRENCY=USD</stp>
        <stp>XLFILL=b</stp>
        <tr r="O78" s="2"/>
      </tp>
      <tp t="s">
        <v/>
        <stp/>
        <stp>##V3_BQLV12</stp>
        <stp>[MODL_CRM_US1.xlsx]Single Period!R167C37</stp>
        <stp>CRM US Equity</stp>
        <stp>CB_CF_NET_CASH_OPERATING_ACT/1M</stp>
        <stp>FPR=2022Y</stp>
        <stp>FPT=A</stp>
        <stp>FA_ACT_EST_DATA=E, EST_SOURCE=EVR</stp>
        <stp>ACT_EST_MAPPING=PRECISE</stp>
        <stp>FS=MRC</stp>
        <stp>CURRENCY=USD</stp>
        <stp>XLFILL=b</stp>
        <tr r="AK167" s="2"/>
      </tp>
      <tp t="s">
        <v/>
        <stp/>
        <stp>##V3_BQLV12</stp>
        <stp>[MODL_CRM_US1.xlsx]Single Period!R45C50</stp>
        <stp>SEG0000269240 Segment</stp>
        <stp>REVENUE_GROWTH_CC_1_YR</stp>
        <stp>FPR=2022Y</stp>
        <stp>FPT=A</stp>
        <stp>FA_ACT_EST_DATA=E, EST_SOURCE=MZS</stp>
        <stp>ACT_EST_MAPPING=PRECISE</stp>
        <stp>FS=MRC</stp>
        <stp>CURRENCY=USD</stp>
        <stp>XLFILL=b</stp>
        <tr r="AX45" s="2"/>
      </tp>
      <tp t="s">
        <v/>
        <stp/>
        <stp>##V3_BQLV12</stp>
        <stp>[MODL_CRM_US1.xlsx]Single Period!R173C27</stp>
        <stp>CRM US Equity</stp>
        <stp>CB_CF_NET_CASH_INVESTING_ACT/1M</stp>
        <stp>FPR=2022Y</stp>
        <stp>FPT=A</stp>
        <stp>FA_ACT_EST_DATA=E, EST_SOURCE=LCM</stp>
        <stp>ACT_EST_MAPPING=PRECISE</stp>
        <stp>FS=MRC</stp>
        <stp>CURRENCY=USD</stp>
        <stp>XLFILL=b</stp>
        <tr r="AA173" s="2"/>
      </tp>
      <tp t="s">
        <v/>
        <stp/>
        <stp>##V3_BQLV12</stp>
        <stp>[MODL_CRM_US1.xlsx]Single Period!R78C41</stp>
        <stp>CRM US Equity</stp>
        <stp>COGS_TO_NET_SALES</stp>
        <stp>FPR=2022Y</stp>
        <stp>FPT=A</stp>
        <stp>FA_ACT_EST_DATA=E, EST_SOURCE=GSR</stp>
        <stp>ACT_EST_MAPPING=PRECISE</stp>
        <stp>FS=MRC</stp>
        <stp>CURRENCY=USD</stp>
        <stp>XLFILL=b</stp>
        <tr r="AO78" s="2"/>
      </tp>
      <tp t="s">
        <v/>
        <stp/>
        <stp>##V3_BQLV12</stp>
        <stp>[MODL_CRM_US1.xlsx]Single Period!R78C38</stp>
        <stp>CRM US Equity</stp>
        <stp>COGS_TO_NET_SALES</stp>
        <stp>FPR=2022Y</stp>
        <stp>FPT=A</stp>
        <stp>FA_ACT_EST_DATA=E, EST_SOURCE=MSR</stp>
        <stp>ACT_EST_MAPPING=PRECISE</stp>
        <stp>FS=MRC</stp>
        <stp>CURRENCY=USD</stp>
        <stp>XLFILL=b</stp>
        <tr r="AL78" s="2"/>
      </tp>
      <tp t="s">
        <v/>
        <stp/>
        <stp>##V3_BQLV12</stp>
        <stp>[MODL_CRM_US1.xlsx]Single Period!R58C48</stp>
        <stp>CRM US Equity</stp>
        <stp>CB_IS_ADJUSTED_OPEX/1M</stp>
        <stp>FPR=2022Y</stp>
        <stp>FPT=A</stp>
        <stp>FA_ACT_EST_DATA=E, EST_SOURCE=PJE</stp>
        <stp>ACT_EST_MAPPING=PRECISE</stp>
        <stp>FS=MRC</stp>
        <stp>CURRENCY=USD</stp>
        <stp>XLFILL=b</stp>
        <tr r="AV58" s="2"/>
      </tp>
      <tp t="s">
        <v/>
        <stp/>
        <stp>##V3_BQLV12</stp>
        <stp>[MODL_CRM_US1.xlsx]Single Period!R173C31</stp>
        <stp>CRM US Equity</stp>
        <stp>CB_CF_NET_CASH_INVESTING_ACT/1M</stp>
        <stp>FPR=2022Y</stp>
        <stp>FPT=A</stp>
        <stp>FA_ACT_EST_DATA=E, EST_SOURCE=RBC</stp>
        <stp>ACT_EST_MAPPING=PRECISE</stp>
        <stp>FS=MRC</stp>
        <stp>CURRENCY=USD</stp>
        <stp>XLFILL=b</stp>
        <tr r="AE173" s="2"/>
      </tp>
      <tp>
        <v>15820.424999999999</v>
        <stp/>
        <stp>##V3_BQLV12</stp>
        <stp>[MODL_CRM_US1.xlsx]Single Period!R58C21</stp>
        <stp>CRM US Equity</stp>
        <stp>CB_IS_ADJUSTED_OPEX/1M</stp>
        <stp>FPR=2022Y</stp>
        <stp>FPT=A</stp>
        <stp>FA_ACT_EST_DATA=E, EST_SOURCE=RJA</stp>
        <stp>ACT_EST_MAPPING=PRECISE</stp>
        <stp>FS=MRC</stp>
        <stp>CURRENCY=USD</stp>
        <stp>XLFILL=b</stp>
        <tr r="U58" s="2"/>
      </tp>
      <tp t="s">
        <v/>
        <stp/>
        <stp>##V3_BQLV12</stp>
        <stp>[MODL_CRM_US1.xlsx]Single Period!R182C37</stp>
        <stp>CRM US Equity</stp>
        <stp>CB_CF_NET_CASH_OPERATING_ACT/1M</stp>
        <stp>FPR=2022Y</stp>
        <stp>FPT=A</stp>
        <stp>FA_ACT_EST_DATA=E, EST_SOURCE=EVR</stp>
        <stp>ACT_EST_MAPPING=PRECISE</stp>
        <stp>FS=MRC</stp>
        <stp>CURRENCY=USD</stp>
        <stp>XLFILL=b</stp>
        <tr r="AK182" s="2"/>
      </tp>
      <tp t="s">
        <v/>
        <stp/>
        <stp>##V3_BQLV12</stp>
        <stp>[MODL_CRM_US1.xlsx]Single Period!R136C39</stp>
        <stp>CRM US Equity</stp>
        <stp>BS_TOTAL_LIABILITIES/1M</stp>
        <stp>FPR=2022Y</stp>
        <stp>FPT=A</stp>
        <stp>FA_ACT_EST_DATA=E, EST_SOURCE=KGI</stp>
        <stp>ACT_EST_MAPPING=PRECISE</stp>
        <stp>FS=MRC</stp>
        <stp>CURRENCY=USD</stp>
        <stp>XLFILL=b</stp>
        <tr r="AM136" s="2"/>
      </tp>
      <tp t="s">
        <v/>
        <stp/>
        <stp>##V3_BQLV12</stp>
        <stp>[MODL_CRM_US1.xlsx]Single Period!R70C10</stp>
        <stp>CRM US Equity</stp>
        <stp>IS_COMP_NET_INC_EXCL_STOCK_COMP/1M</stp>
        <stp>FPR=2022Y</stp>
        <stp>FPT=A</stp>
        <stp>FA_ACT_EST_DATA=E, EST_SOURCE=CMPY</stp>
        <stp>ACT_EST_MAPPING=PRECISE</stp>
        <stp>FS=MRC</stp>
        <stp>CURRENCY=USD</stp>
        <stp>XLFILL=b</stp>
        <tr r="J70" s="2"/>
      </tp>
      <tp t="s">
        <v/>
        <stp/>
        <stp>##V3_BQLV12</stp>
        <stp>[MODL_CRM_US1.xlsx]Single Period!R67C44</stp>
        <stp>CRM US Equity</stp>
        <stp>IS_NON_OPERATING_INC_LOSS_GAAP/1M</stp>
        <stp>FPR=2022Y</stp>
        <stp>FPT=A</stp>
        <stp>FA_ACT_EST_DATA=E, EST_SOURCE=RWB</stp>
        <stp>ACT_EST_MAPPING=PRECISE</stp>
        <stp>FS=MRC</stp>
        <stp>CURRENCY=USD</stp>
        <stp>XLFILL=b</stp>
        <tr r="AR67" s="2"/>
      </tp>
      <tp t="s">
        <v/>
        <stp/>
        <stp>##V3_BQLV12</stp>
        <stp>[MODL_CRM_US1.xlsx]Single Period!R90C42</stp>
        <stp>CRM US Equity</stp>
        <stp>IS_INC_TAX_EXP/1M</stp>
        <stp>FPR=2022Y</stp>
        <stp>FPT=A</stp>
        <stp>FA_ACT_EST_DATA=E, EST_SOURCE=PSG</stp>
        <stp>ACT_EST_MAPPING=PRECISE</stp>
        <stp>FS=MRC</stp>
        <stp>CURRENCY=USD</stp>
        <stp>XLFILL=b</stp>
        <tr r="AP90" s="2"/>
      </tp>
      <tp t="s">
        <v/>
        <stp/>
        <stp>##V3_BQLV12</stp>
        <stp>[MODL_CRM_US1.xlsx]Single Period!R84C26</stp>
        <stp>CRM US Equity</stp>
        <stp>RD_EXPEND_TO_NET_SALES</stp>
        <stp>FPR=2022Y</stp>
        <stp>FPT=A</stp>
        <stp>FA_ACT_EST_DATA=E, EST_SOURCE=KEY</stp>
        <stp>ACT_EST_MAPPING=PRECISE</stp>
        <stp>FS=MRC</stp>
        <stp>CURRENCY=USD</stp>
        <stp>XLFILL=b</stp>
        <tr r="Z84" s="2"/>
      </tp>
      <tp>
        <v>17.251736928436991</v>
        <stp/>
        <stp>##V3_BQLV12</stp>
        <stp>[MODL_CRM_US1.xlsx]Single Period!R71C9</stp>
        <stp>CRM US Equity</stp>
        <stp>CONTRIBUTOR_STATS(ADJ_PROFIT_MARGIN, MEDIAN)</stp>
        <stp>FPR=2022Y</stp>
        <stp>FPT=A</stp>
        <stp>FA_ACT_EST_DATA=E</stp>
        <stp>ACT_EST_MAPPING=PRECISE</stp>
        <stp>FS=MRC</stp>
        <stp>CURRENCY=USD</stp>
        <stp>XLFILL=b</stp>
        <tr r="I71" s="2"/>
      </tp>
      <tp t="s">
        <v/>
        <stp/>
        <stp>##V3_BQLV12</stp>
        <stp>[MODL_CRM_US1.xlsx]Single Period!R67C43</stp>
        <stp>CRM US Equity</stp>
        <stp>IS_NON_OPERATING_INC_LOSS_GAAP/1M</stp>
        <stp>FPR=2022Y</stp>
        <stp>FPT=A</stp>
        <stp>FA_ACT_EST_DATA=E, EST_SOURCE=DWI</stp>
        <stp>ACT_EST_MAPPING=PRECISE</stp>
        <stp>FS=MRC</stp>
        <stp>CURRENCY=USD</stp>
        <stp>XLFILL=b</stp>
        <tr r="AQ67" s="2"/>
      </tp>
      <tp>
        <v>6.4640806549019629</v>
        <stp/>
        <stp>##V3_BQLV12</stp>
        <stp>[MODL_CRM_US1.xlsx]Single Period!R193C25</stp>
        <stp>CRM US Equity</stp>
        <stp>FCF_PER_DIL_SHR</stp>
        <stp>FPR=2022Y</stp>
        <stp>FPT=A</stp>
        <stp>FA_ACT_EST_DATA=E, EST_SOURCE=WMS</stp>
        <stp>ACT_EST_MAPPING=PRECISE</stp>
        <stp>FS=MRC</stp>
        <stp>CURRENCY=USD</stp>
        <stp>XLFILL=b</stp>
        <tr r="Y193" s="2"/>
      </tp>
      <tp t="s">
        <v/>
        <stp/>
        <stp>##V3_BQLV12</stp>
        <stp>[MODL_CRM_US1.xlsx]Single Period!R193C14</stp>
        <stp>CRM US Equity</stp>
        <stp>FCF_PER_DIL_SHR</stp>
        <stp>FPR=2022Y</stp>
        <stp>FPT=A</stp>
        <stp>FA_ACT_EST_DATA=E, EST_SOURCE=SNR</stp>
        <stp>ACT_EST_MAPPING=PRECISE</stp>
        <stp>FS=MRC</stp>
        <stp>CURRENCY=USD</stp>
        <stp>XLFILL=b</stp>
        <tr r="N193" s="2"/>
      </tp>
      <tp t="s">
        <v/>
        <stp/>
        <stp>##V3_BQLV12</stp>
        <stp>[MODL_CRM_US1.xlsx]Single Period!R67C28</stp>
        <stp>CRM US Equity</stp>
        <stp>IS_NON_OPERATING_INC_LOSS_GAAP/1M</stp>
        <stp>FPR=2022Y</stp>
        <stp>FPT=A</stp>
        <stp>FA_ACT_EST_DATA=E, EST_SOURCE=CWN</stp>
        <stp>ACT_EST_MAPPING=PRECISE</stp>
        <stp>FS=MRC</stp>
        <stp>CURRENCY=USD</stp>
        <stp>XLFILL=b</stp>
        <tr r="AB67" s="2"/>
      </tp>
      <tp>
        <v>5.0807069077798914</v>
        <stp/>
        <stp>##V3_BQLV12</stp>
        <stp>[MODL_CRM_US1.xlsx]Single Period!R193C20</stp>
        <stp>CRM US Equity</stp>
        <stp>FCF_PER_DIL_SHR</stp>
        <stp>FPR=2022Y</stp>
        <stp>FPT=A</stp>
        <stp>FA_ACT_EST_DATA=E, EST_SOURCE=JMP</stp>
        <stp>ACT_EST_MAPPING=PRECISE</stp>
        <stp>FS=MRC</stp>
        <stp>CURRENCY=USD</stp>
        <stp>XLFILL=b</stp>
        <tr r="T193" s="2"/>
      </tp>
      <tp>
        <v>192.44619675910971</v>
        <stp/>
        <stp>##V3_BQLV12</stp>
        <stp>[MODL_CRM_US1.xlsx]Single Period!R90C15</stp>
        <stp>CRM US Equity</stp>
        <stp>IS_INC_TAX_EXP/1M</stp>
        <stp>FPR=2022Y</stp>
        <stp>FPT=A</stp>
        <stp>FA_ACT_EST_DATA=E, EST_SOURCE=MSV</stp>
        <stp>ACT_EST_MAPPING=PRECISE</stp>
        <stp>FS=MRC</stp>
        <stp>CURRENCY=USD</stp>
        <stp>XLFILL=b</stp>
        <tr r="O90" s="2"/>
      </tp>
      <tp t="s">
        <v/>
        <stp/>
        <stp>##V3_BQLV12</stp>
        <stp>[MODL_CRM_US1.xlsx]Single Period!R90C38</stp>
        <stp>CRM US Equity</stp>
        <stp>IS_INC_TAX_EXP/1M</stp>
        <stp>FPR=2022Y</stp>
        <stp>FPT=A</stp>
        <stp>FA_ACT_EST_DATA=E, EST_SOURCE=MSR</stp>
        <stp>ACT_EST_MAPPING=PRECISE</stp>
        <stp>FS=MRC</stp>
        <stp>CURRENCY=USD</stp>
        <stp>XLFILL=b</stp>
        <tr r="AL90" s="2"/>
      </tp>
      <tp t="s">
        <v/>
        <stp/>
        <stp>##V3_BQLV12</stp>
        <stp>[MODL_CRM_US1.xlsx]Single Period!R90C41</stp>
        <stp>CRM US Equity</stp>
        <stp>IS_INC_TAX_EXP/1M</stp>
        <stp>FPR=2022Y</stp>
        <stp>FPT=A</stp>
        <stp>FA_ACT_EST_DATA=E, EST_SOURCE=GSR</stp>
        <stp>ACT_EST_MAPPING=PRECISE</stp>
        <stp>FS=MRC</stp>
        <stp>CURRENCY=USD</stp>
        <stp>XLFILL=b</stp>
        <tr r="AO90" s="2"/>
      </tp>
      <tp t="s">
        <v/>
        <stp/>
        <stp>##V3_BQLV12</stp>
        <stp>[MODL_CRM_US1.xlsx]Single Period!R84C34</stp>
        <stp>CRM US Equity</stp>
        <stp>RD_EXPEND_TO_NET_SALES</stp>
        <stp>FPR=2022Y</stp>
        <stp>FPT=A</stp>
        <stp>FA_ACT_EST_DATA=E, EST_SOURCE=JEF</stp>
        <stp>ACT_EST_MAPPING=PRECISE</stp>
        <stp>FS=MRC</stp>
        <stp>CURRENCY=USD</stp>
        <stp>XLFILL=b</stp>
        <tr r="AH84" s="2"/>
      </tp>
      <tp t="s">
        <v/>
        <stp/>
        <stp>##V3_BQLV12</stp>
        <stp>[MODL_CRM_US1.xlsx]Single Period!R84C55</stp>
        <stp>CRM US Equity</stp>
        <stp>RD_EXPEND_TO_NET_SALES</stp>
        <stp>FPR=2022Y</stp>
        <stp>FPT=A</stp>
        <stp>FA_ACT_EST_DATA=E, EST_SOURCE=RED</stp>
        <stp>ACT_EST_MAPPING=PRECISE</stp>
        <stp>FS=MRC</stp>
        <stp>CURRENCY=USD</stp>
        <stp>XLFILL=b</stp>
        <tr r="BC84" s="2"/>
      </tp>
      <tp>
        <v>4.8899999999999997</v>
        <stp/>
        <stp>##V3_BQLV12</stp>
        <stp>[MODL_CRM_US1.xlsx]Single Period!R6C7</stp>
        <stp>CRM US Equity</stp>
        <stp>CONTRIBUTOR_STATS(IS_COMP_EPS_EXCL_STOCK_COMP, MAX)</stp>
        <stp>FPR=2022Y</stp>
        <stp>FPT=A</stp>
        <stp>FA_ACT_EST_DATA=E</stp>
        <stp>ACT_EST_MAPPING=PRECISE</stp>
        <stp>FS=MRC</stp>
        <stp>CURRENCY=USD</stp>
        <stp>XLFILL=b</stp>
        <tr r="G6" s="2"/>
      </tp>
      <tp>
        <v>3166.12</v>
        <stp/>
        <stp>##V3_BQLV12</stp>
        <stp>[MODL_CRM_US1.xlsx]Single Period!R156C9</stp>
        <stp>CRM US Equity</stp>
        <stp>CONTRIBUTOR_STATS(CF_DEPR_AMORT, MEDIAN)/1M</stp>
        <stp>FPR=2022Y</stp>
        <stp>FPT=A</stp>
        <stp>FA_ACT_EST_DATA=E</stp>
        <stp>ACT_EST_MAPPING=PRECISE</stp>
        <stp>FS=MRC</stp>
        <stp>CURRENCY=USD</stp>
        <stp>XLFILL=b</stp>
        <tr r="I156" s="2"/>
      </tp>
      <tp>
        <v>4.47</v>
        <stp/>
        <stp>##V3_BQLV12</stp>
        <stp>[MODL_CRM_US1.xlsx]Single Period!R6C6</stp>
        <stp>CRM US Equity</stp>
        <stp>CONTRIBUTOR_STATS(IS_COMP_EPS_EXCL_STOCK_COMP, MIN)</stp>
        <stp>FPR=2022Y</stp>
        <stp>FPT=A</stp>
        <stp>FA_ACT_EST_DATA=E</stp>
        <stp>ACT_EST_MAPPING=PRECISE</stp>
        <stp>FS=MRC</stp>
        <stp>CURRENCY=USD</stp>
        <stp>XLFILL=b</stp>
        <tr r="F6" s="2"/>
      </tp>
      <tp>
        <v>26398</v>
        <stp/>
        <stp>##V3_BQLV12</stp>
        <stp>[MODL_CRM_US1.xlsx]Single Period!R7C38</stp>
        <stp>CRM US Equity</stp>
        <stp>IS_COMP_SALES/1M</stp>
        <stp>FPR=2022Y</stp>
        <stp>FPT=A</stp>
        <stp>FA_ACT_EST_DATA=E, EST_SOURCE=MSR</stp>
        <stp>ACT_EST_MAPPING=PRECISE</stp>
        <stp>FS=MRC</stp>
        <stp>CURRENCY=USD</stp>
        <stp>XLFILL=b</stp>
        <tr r="AL7" s="2"/>
      </tp>
      <tp t="s">
        <v/>
        <stp/>
        <stp>##V3_BQLV12</stp>
        <stp>[MODL_CRM_US1.xlsx]Single Period!R106C31</stp>
        <stp>CRM US Equity</stp>
        <stp>IS_AMORT_ACQD_INTANG_S_AND_M/1M</stp>
        <stp>FPR=2022Y</stp>
        <stp>FPT=A</stp>
        <stp>FA_ACT_EST_DATA=E, EST_SOURCE=RBC</stp>
        <stp>ACT_EST_MAPPING=PRECISE</stp>
        <stp>FS=MRC</stp>
        <stp>CURRENCY=USD</stp>
        <stp>XLFILL=b</stp>
        <tr r="AE106" s="2"/>
      </tp>
      <tp t="s">
        <v/>
        <stp/>
        <stp>##V3_BQLV12</stp>
        <stp>[MODL_CRM_US1.xlsx]Single Period!R86C10</stp>
        <stp>CRM US Equity</stp>
        <stp>IS_GENERAL_AND_ADMIN_GAAP/1M</stp>
        <stp>FPR=2022Y</stp>
        <stp>FPT=A</stp>
        <stp>FA_ACT_EST_DATA=E, EST_SOURCE=CMPY</stp>
        <stp>ACT_EST_MAPPING=PRECISE</stp>
        <stp>FS=MRC</stp>
        <stp>CURRENCY=USD</stp>
        <stp>XLFILL=b</stp>
        <tr r="J86" s="2"/>
      </tp>
      <tp t="s">
        <v/>
        <stp/>
        <stp>##V3_BQLV12</stp>
        <stp>[MODL_CRM_US1.xlsx]Single Period!R124C51</stp>
        <stp>CRM US Equity</stp>
        <stp>CAPITALIZED_SOFTWARE/1M</stp>
        <stp>FPR=2022Y</stp>
        <stp>FPT=A</stp>
        <stp>FA_ACT_EST_DATA=E, EST_SOURCE=RCP</stp>
        <stp>ACT_EST_MAPPING=PRECISE</stp>
        <stp>FS=MRC</stp>
        <stp>CURRENCY=USD</stp>
        <stp>XLFILL=b</stp>
        <tr r="AY124" s="2"/>
      </tp>
      <tp>
        <v>15833.558738419541</v>
        <stp/>
        <stp>##V3_BQLV12</stp>
        <stp>[MODL_CRM_US1.xlsx]Single Period!R58C26</stp>
        <stp>CRM US Equity</stp>
        <stp>CB_IS_ADJUSTED_OPEX/1M</stp>
        <stp>FPR=2022Y</stp>
        <stp>FPT=A</stp>
        <stp>FA_ACT_EST_DATA=E, EST_SOURCE=KEY</stp>
        <stp>ACT_EST_MAPPING=PRECISE</stp>
        <stp>FS=MRC</stp>
        <stp>CURRENCY=USD</stp>
        <stp>XLFILL=b</stp>
        <tr r="Z58" s="2"/>
      </tp>
      <tp t="s">
        <v/>
        <stp/>
        <stp>##V3_BQLV12</stp>
        <stp>[MODL_CRM_US1.xlsx]Single Period!R135C38</stp>
        <stp>CRM US Equity</stp>
        <stp>CB_BS_OTHER_NONCURRENT_LIABS/1M</stp>
        <stp>FPR=2022Y</stp>
        <stp>FPT=A</stp>
        <stp>FA_ACT_EST_DATA=E, EST_SOURCE=MSR</stp>
        <stp>ACT_EST_MAPPING=PRECISE</stp>
        <stp>FS=MRC</stp>
        <stp>CURRENCY=USD</stp>
        <stp>XLFILL=b</stp>
        <tr r="AL135" s="2"/>
      </tp>
      <tp>
        <v>26396.641025641031</v>
        <stp/>
        <stp>##V3_BQLV12</stp>
        <stp>[MODL_CRM_US1.xlsx]Single Period!R7C5</stp>
        <stp>CRM US Equity</stp>
        <stp>IS_COMP_SALES/1M</stp>
        <stp>FPR=2022Y</stp>
        <stp>FPT=A</stp>
        <stp>FA_ACT_EST_DATA=E</stp>
        <stp>ACT_EST_MAPPING=PRECISE</stp>
        <stp>FS=MRC</stp>
        <stp>CURRENCY=USD</stp>
        <stp>XLFILL=b</stp>
        <tr r="E7" s="2"/>
      </tp>
      <tp t="s">
        <v/>
        <stp/>
        <stp>##V3_BQLV12</stp>
        <stp>[MODL_CRM_US1.xlsx]Single Period!R106C27</stp>
        <stp>CRM US Equity</stp>
        <stp>IS_AMORT_ACQD_INTANG_S_AND_M/1M</stp>
        <stp>FPR=2022Y</stp>
        <stp>FPT=A</stp>
        <stp>FA_ACT_EST_DATA=E, EST_SOURCE=LCM</stp>
        <stp>ACT_EST_MAPPING=PRECISE</stp>
        <stp>FS=MRC</stp>
        <stp>CURRENCY=USD</stp>
        <stp>XLFILL=b</stp>
        <tr r="AA106" s="2"/>
      </tp>
      <tp t="s">
        <v/>
        <stp/>
        <stp>##V3_BQLV12</stp>
        <stp>[MODL_CRM_US1.xlsx]Single Period!R87C22</stp>
        <stp>CRM US Equity</stp>
        <stp>IS_EBIT_AS_REPORTED/1M</stp>
        <stp>FPR=2022Y</stp>
        <stp>FPT=A</stp>
        <stp>FA_ACT_EST_DATA=E, EST_SOURCE=OPY</stp>
        <stp>ACT_EST_MAPPING=PRECISE</stp>
        <stp>FS=MRC</stp>
        <stp>CURRENCY=USD</stp>
        <stp>XLFILL=b</stp>
        <tr r="V87" s="2"/>
      </tp>
      <tp t="s">
        <v/>
        <stp/>
        <stp>##V3_BQLV12</stp>
        <stp>[MODL_CRM_US1.xlsx]Single Period!R136C33</stp>
        <stp>CRM US Equity</stp>
        <stp>BS_TOTAL_LIABILITIES/1M</stp>
        <stp>FPR=2022Y</stp>
        <stp>FPT=A</stp>
        <stp>FA_ACT_EST_DATA=E, EST_SOURCE=RHR</stp>
        <stp>ACT_EST_MAPPING=PRECISE</stp>
        <stp>FS=MRC</stp>
        <stp>CURRENCY=USD</stp>
        <stp>XLFILL=b</stp>
        <tr r="AG136" s="2"/>
      </tp>
      <tp t="s">
        <v/>
        <stp/>
        <stp>##V3_BQLV12</stp>
        <stp>[MODL_CRM_US1.xlsx]Single Period!R135C46</stp>
        <stp>CRM US Equity</stp>
        <stp>CB_BS_OTHER_NONCURRENT_LIABS/1M</stp>
        <stp>FPR=2022Y</stp>
        <stp>FPT=A</stp>
        <stp>FA_ACT_EST_DATA=E, EST_SOURCE=CTI</stp>
        <stp>ACT_EST_MAPPING=PRECISE</stp>
        <stp>FS=MRC</stp>
        <stp>CURRENCY=USD</stp>
        <stp>XLFILL=b</stp>
        <tr r="AT135" s="2"/>
      </tp>
      <tp t="s">
        <v/>
        <stp/>
        <stp>##V3_BQLV12</stp>
        <stp>[MODL_CRM_US1.xlsx]Single Period!R124C34</stp>
        <stp>CRM US Equity</stp>
        <stp>CAPITALIZED_SOFTWARE/1M</stp>
        <stp>FPR=2022Y</stp>
        <stp>FPT=A</stp>
        <stp>FA_ACT_EST_DATA=E, EST_SOURCE=JEF</stp>
        <stp>ACT_EST_MAPPING=PRECISE</stp>
        <stp>FS=MRC</stp>
        <stp>CURRENCY=USD</stp>
        <stp>XLFILL=b</stp>
        <tr r="AH124" s="2"/>
      </tp>
      <tp t="s">
        <v/>
        <stp/>
        <stp>##V3_BQLV12</stp>
        <stp>[MODL_CRM_US1.xlsx]Single Period!R106C32</stp>
        <stp>CRM US Equity</stp>
        <stp>IS_AMORT_ACQD_INTANG_S_AND_M/1M</stp>
        <stp>FPR=2022Y</stp>
        <stp>FPT=A</stp>
        <stp>FA_ACT_EST_DATA=E, EST_SOURCE=UBS</stp>
        <stp>ACT_EST_MAPPING=PRECISE</stp>
        <stp>FS=MRC</stp>
        <stp>CURRENCY=USD</stp>
        <stp>XLFILL=b</stp>
        <tr r="AF106" s="2"/>
      </tp>
      <tp t="s">
        <v/>
        <stp/>
        <stp>##V3_BQLV12</stp>
        <stp>[MODL_CRM_US1.xlsx]Single Period!R173C48</stp>
        <stp>CRM US Equity</stp>
        <stp>CB_CF_NET_CASH_INVESTING_ACT/1M</stp>
        <stp>FPR=2022Y</stp>
        <stp>FPT=A</stp>
        <stp>FA_ACT_EST_DATA=E, EST_SOURCE=PJE</stp>
        <stp>ACT_EST_MAPPING=PRECISE</stp>
        <stp>FS=MRC</stp>
        <stp>CURRENCY=USD</stp>
        <stp>XLFILL=b</stp>
        <tr r="AV173" s="2"/>
      </tp>
      <tp t="s">
        <v/>
        <stp/>
        <stp>##V3_BQLV12</stp>
        <stp>[MODL_CRM_US1.xlsx]Single Period!R58C55</stp>
        <stp>CRM US Equity</stp>
        <stp>CB_IS_ADJUSTED_OPEX/1M</stp>
        <stp>FPR=2022Y</stp>
        <stp>FPT=A</stp>
        <stp>FA_ACT_EST_DATA=E, EST_SOURCE=RED</stp>
        <stp>ACT_EST_MAPPING=PRECISE</stp>
        <stp>FS=MRC</stp>
        <stp>CURRENCY=USD</stp>
        <stp>XLFILL=b</stp>
        <tr r="BC58" s="2"/>
      </tp>
      <tp t="s">
        <v/>
        <stp/>
        <stp>##V3_BQLV12</stp>
        <stp>[MODL_CRM_US1.xlsx]Single Period!R71C50</stp>
        <stp>CRM US Equity</stp>
        <stp>ADJ_PROFIT_MARGIN</stp>
        <stp>FPR=2022Y</stp>
        <stp>FPT=A</stp>
        <stp>FA_ACT_EST_DATA=E, EST_SOURCE=MZS</stp>
        <stp>ACT_EST_MAPPING=PRECISE</stp>
        <stp>FS=MRC</stp>
        <stp>CURRENCY=USD</stp>
        <stp>XLFILL=b</stp>
        <tr r="AX71" s="2"/>
      </tp>
      <tp>
        <v>409.54508892166712</v>
        <stp/>
        <stp>##V3_BQLV12</stp>
        <stp>[MODL_CRM_US1.xlsx]Single Period!R87C23</stp>
        <stp>CRM US Equity</stp>
        <stp>IS_EBIT_AS_REPORTED/1M</stp>
        <stp>FPR=2022Y</stp>
        <stp>FPT=A</stp>
        <stp>FA_ACT_EST_DATA=E, EST_SOURCE=JPM</stp>
        <stp>ACT_EST_MAPPING=PRECISE</stp>
        <stp>FS=MRC</stp>
        <stp>CURRENCY=USD</stp>
        <stp>XLFILL=b</stp>
        <tr r="W87" s="2"/>
      </tp>
      <tp t="s">
        <v/>
        <stp/>
        <stp>##V3_BQLV12</stp>
        <stp>[MODL_CRM_US1.xlsx]Single Period!R58C34</stp>
        <stp>CRM US Equity</stp>
        <stp>CB_IS_ADJUSTED_OPEX/1M</stp>
        <stp>FPR=2022Y</stp>
        <stp>FPT=A</stp>
        <stp>FA_ACT_EST_DATA=E, EST_SOURCE=JEF</stp>
        <stp>ACT_EST_MAPPING=PRECISE</stp>
        <stp>FS=MRC</stp>
        <stp>CURRENCY=USD</stp>
        <stp>XLFILL=b</stp>
        <tr r="AH58" s="2"/>
      </tp>
      <tp t="s">
        <v/>
        <stp/>
        <stp>##V3_BQLV12</stp>
        <stp>[MODL_CRM_US1.xlsx]Single Period!R90C54</stp>
        <stp>CRM US Equity</stp>
        <stp>IS_INC_TAX_EXP/1M</stp>
        <stp>FPR=2022Y</stp>
        <stp>FPT=A</stp>
        <stp>FA_ACT_EST_DATA=E, EST_SOURCE=ARE</stp>
        <stp>ACT_EST_MAPPING=PRECISE</stp>
        <stp>FS=MRC</stp>
        <stp>CURRENCY=USD</stp>
        <stp>XLFILL=b</stp>
        <tr r="BB90" s="2"/>
      </tp>
      <tp t="s">
        <v/>
        <stp/>
        <stp>##V3_BQLV12</stp>
        <stp>[MODL_CRM_US1.xlsx]Single Period!R90C45</stp>
        <stp>CRM US Equity</stp>
        <stp>IS_INC_TAX_EXP/1M</stp>
        <stp>FPR=2022Y</stp>
        <stp>FPT=A</stp>
        <stp>FA_ACT_EST_DATA=E, EST_SOURCE=ARG</stp>
        <stp>ACT_EST_MAPPING=PRECISE</stp>
        <stp>FS=MRC</stp>
        <stp>CURRENCY=USD</stp>
        <stp>XLFILL=b</stp>
        <tr r="AS90" s="2"/>
      </tp>
      <tp t="s">
        <v/>
        <stp/>
        <stp>##V3_BQLV12</stp>
        <stp>[MODL_CRM_US1.xlsx]Single Period!R193C48</stp>
        <stp>CRM US Equity</stp>
        <stp>FCF_PER_DIL_SHR</stp>
        <stp>FPR=2022Y</stp>
        <stp>FPT=A</stp>
        <stp>FA_ACT_EST_DATA=E, EST_SOURCE=PJE</stp>
        <stp>ACT_EST_MAPPING=PRECISE</stp>
        <stp>FS=MRC</stp>
        <stp>CURRENCY=USD</stp>
        <stp>XLFILL=b</stp>
        <tr r="AV193" s="2"/>
      </tp>
      <tp t="s">
        <v/>
        <stp/>
        <stp>##V3_BQLV12</stp>
        <stp>[MODL_CRM_US1.xlsx]Single Period!R67C37</stp>
        <stp>CRM US Equity</stp>
        <stp>IS_NON_OPERATING_INC_LOSS_GAAP/1M</stp>
        <stp>FPR=2022Y</stp>
        <stp>FPT=A</stp>
        <stp>FA_ACT_EST_DATA=E, EST_SOURCE=EVR</stp>
        <stp>ACT_EST_MAPPING=PRECISE</stp>
        <stp>FS=MRC</stp>
        <stp>CURRENCY=USD</stp>
        <stp>XLFILL=b</stp>
        <tr r="AK67" s="2"/>
      </tp>
      <tp t="s">
        <v/>
        <stp/>
        <stp>##V3_BQLV12</stp>
        <stp>[MODL_CRM_US1.xlsx]Single Period!R84C17</stp>
        <stp>CRM US Equity</stp>
        <stp>RD_EXPEND_TO_NET_SALES</stp>
        <stp>FPR=2022Y</stp>
        <stp>FPT=A</stp>
        <stp>FA_ACT_EST_DATA=E, EST_SOURCE=NDH</stp>
        <stp>ACT_EST_MAPPING=PRECISE</stp>
        <stp>FS=MRC</stp>
        <stp>CURRENCY=USD</stp>
        <stp>XLFILL=b</stp>
        <tr r="Q84" s="2"/>
      </tp>
      <tp>
        <v>1</v>
        <stp/>
        <stp>##V3_BQLV12</stp>
        <stp>[MODL_CRM_US1.xlsx]Single Period!R138C9</stp>
        <stp>CRM US Equity</stp>
        <stp>CONTRIBUTOR_STATS(BS_COMMON_STOCK, MEDIAN)/1M</stp>
        <stp>FPR=2022Y</stp>
        <stp>FPT=A</stp>
        <stp>FA_ACT_EST_DATA=E</stp>
        <stp>ACT_EST_MAPPING=PRECISE</stp>
        <stp>FS=MRC</stp>
        <stp>CURRENCY=USD</stp>
        <stp>XLFILL=b</stp>
        <tr r="I138" s="2"/>
      </tp>
      <tp>
        <v>18.731766844633661</v>
        <stp/>
        <stp>##V3_BQLV12</stp>
        <stp>[MODL_CRM_US1.xlsx]Single Period!R192C7</stp>
        <stp>CRM US Equity</stp>
        <stp>CONTRIBUTOR_STATS(FREE_CASH_FLOW_MARGIN, MAX)</stp>
        <stp>FPR=2022Y</stp>
        <stp>FPT=A</stp>
        <stp>FA_ACT_EST_DATA=E</stp>
        <stp>ACT_EST_MAPPING=PRECISE</stp>
        <stp>FS=MRC</stp>
        <stp>CURRENCY=USD</stp>
        <stp>XLFILL=b</stp>
        <tr r="G192" s="2"/>
      </tp>
      <tp t="s">
        <v/>
        <stp/>
        <stp>##V3_BQLV12</stp>
        <stp>[MODL_CRM_US1.xlsx]Single Period!R7C50</stp>
        <stp>CRM US Equity</stp>
        <stp>IS_COMP_SALES/1M</stp>
        <stp>FPR=2022Y</stp>
        <stp>FPT=A</stp>
        <stp>FA_ACT_EST_DATA=E, EST_SOURCE=MZS</stp>
        <stp>ACT_EST_MAPPING=PRECISE</stp>
        <stp>FS=MRC</stp>
        <stp>CURRENCY=USD</stp>
        <stp>XLFILL=b</stp>
        <tr r="AX7" s="2"/>
      </tp>
      <tp>
        <v>18.544571147143511</v>
        <stp/>
        <stp>##V3_BQLV12</stp>
        <stp>[MODL_CRM_US1.xlsx]Single Period!R192C6</stp>
        <stp>CRM US Equity</stp>
        <stp>CONTRIBUTOR_STATS(FREE_CASH_FLOW_MARGIN, MIN)</stp>
        <stp>FPR=2022Y</stp>
        <stp>FPT=A</stp>
        <stp>FA_ACT_EST_DATA=E</stp>
        <stp>ACT_EST_MAPPING=PRECISE</stp>
        <stp>FS=MRC</stp>
        <stp>CURRENCY=USD</stp>
        <stp>XLFILL=b</stp>
        <tr r="F192" s="2"/>
      </tp>
      <tp t="s">
        <v/>
        <stp/>
        <stp>##V3_BQLV12</stp>
        <stp>[MODL_CRM_US1.xlsx]Single Period!R121C37</stp>
        <stp>CRM US Equity</stp>
        <stp>CB_BS_INTANG_ASSETS_EX_GW_NT/1M</stp>
        <stp>FPR=2022Y</stp>
        <stp>FPT=A</stp>
        <stp>FA_ACT_EST_DATA=E, EST_SOURCE=EVR</stp>
        <stp>ACT_EST_MAPPING=PRECISE</stp>
        <stp>FS=MRC</stp>
        <stp>CURRENCY=USD</stp>
        <stp>XLFILL=b</stp>
        <tr r="AK121" s="2"/>
      </tp>
      <tp t="s">
        <v/>
        <stp/>
        <stp>##V3_BQLV12</stp>
        <stp>[MODL_CRM_US1.xlsx]Single Period!R106C55</stp>
        <stp>CRM US Equity</stp>
        <stp>IS_AMORT_ACQD_INTANG_S_AND_M/1M</stp>
        <stp>FPR=2022Y</stp>
        <stp>FPT=A</stp>
        <stp>FA_ACT_EST_DATA=E, EST_SOURCE=RED</stp>
        <stp>ACT_EST_MAPPING=PRECISE</stp>
        <stp>FS=MRC</stp>
        <stp>CURRENCY=USD</stp>
        <stp>XLFILL=b</stp>
        <tr r="BC106" s="2"/>
      </tp>
      <tp t="s">
        <v/>
        <stp/>
        <stp>##V3_BQLV12</stp>
        <stp>[MODL_CRM_US1.xlsx]Single Period!R106C18</stp>
        <stp>CRM US Equity</stp>
        <stp>IS_AMORT_ACQD_INTANG_S_AND_M/1M</stp>
        <stp>FPR=2022Y</stp>
        <stp>FPT=A</stp>
        <stp>FA_ACT_EST_DATA=E, EST_SOURCE=CAN</stp>
        <stp>ACT_EST_MAPPING=PRECISE</stp>
        <stp>FS=MRC</stp>
        <stp>CURRENCY=USD</stp>
        <stp>XLFILL=b</stp>
        <tr r="R106" s="2"/>
      </tp>
      <tp>
        <v>687.12272727272727</v>
        <stp/>
        <stp>##V3_BQLV12</stp>
        <stp>[MODL_CRM_US1.xlsx]Single Period!R106C24</stp>
        <stp>CRM US Equity</stp>
        <stp>IS_AMORT_ACQD_INTANG_S_AND_M/1M</stp>
        <stp>FPR=2022Y</stp>
        <stp>FPT=A</stp>
        <stp>FA_ACT_EST_DATA=E, EST_SOURCE=FBC</stp>
        <stp>ACT_EST_MAPPING=PRECISE</stp>
        <stp>FS=MRC</stp>
        <stp>CURRENCY=USD</stp>
        <stp>XLFILL=b</stp>
        <tr r="X106" s="2"/>
      </tp>
      <tp>
        <v>-13308.36</v>
        <stp/>
        <stp>##V3_BQLV12</stp>
        <stp>[MODL_CRM_US1.xlsx]Single Period!R173C20</stp>
        <stp>CRM US Equity</stp>
        <stp>CB_CF_NET_CASH_INVESTING_ACT/1M</stp>
        <stp>FPR=2022Y</stp>
        <stp>FPT=A</stp>
        <stp>FA_ACT_EST_DATA=E, EST_SOURCE=JMP</stp>
        <stp>ACT_EST_MAPPING=PRECISE</stp>
        <stp>FS=MRC</stp>
        <stp>CURRENCY=USD</stp>
        <stp>XLFILL=b</stp>
        <tr r="T173" s="2"/>
      </tp>
      <tp t="s">
        <v/>
        <stp/>
        <stp>##V3_BQLV12</stp>
        <stp>[MODL_CRM_US1.xlsx]Single Period!R45C46</stp>
        <stp>SEG0000269240 Segment</stp>
        <stp>REVENUE_GROWTH_CC_1_YR</stp>
        <stp>FPR=2022Y</stp>
        <stp>FPT=A</stp>
        <stp>FA_ACT_EST_DATA=E, EST_SOURCE=CTI</stp>
        <stp>ACT_EST_MAPPING=PRECISE</stp>
        <stp>FS=MRC</stp>
        <stp>CURRENCY=USD</stp>
        <stp>XLFILL=b</stp>
        <tr r="AT45" s="2"/>
      </tp>
      <tp t="s">
        <v/>
        <stp/>
        <stp>##V3_BQLV12</stp>
        <stp>[MODL_CRM_US1.xlsx]Single Period!R45C35</stp>
        <stp>SEG0000269240 Segment</stp>
        <stp>REVENUE_GROWTH_CC_1_YR</stp>
        <stp>FPR=2022Y</stp>
        <stp>FPT=A</stp>
        <stp>FA_ACT_EST_DATA=E, EST_SOURCE=ATL</stp>
        <stp>ACT_EST_MAPPING=PRECISE</stp>
        <stp>FS=MRC</stp>
        <stp>CURRENCY=USD</stp>
        <stp>XLFILL=b</stp>
        <tr r="AI45" s="2"/>
      </tp>
      <tp t="s">
        <v/>
        <stp/>
        <stp>##V3_BQLV12</stp>
        <stp>[MODL_CRM_US1.xlsx]Single Period!R125C46</stp>
        <stp>CRM US Equity</stp>
        <stp>BS_TOT_ASSET/1M</stp>
        <stp>FPR=2022Y</stp>
        <stp>FPT=A</stp>
        <stp>FA_ACT_EST_DATA=E, EST_SOURCE=CTI</stp>
        <stp>ACT_EST_MAPPING=PRECISE</stp>
        <stp>FS=MRC</stp>
        <stp>CURRENCY=USD</stp>
        <stp>XLFILL=b</stp>
        <tr r="AT125" s="2"/>
      </tp>
      <tp>
        <v>2794</v>
        <stp/>
        <stp>##V3_BQLV12</stp>
        <stp>[MODL_CRM_US1.xlsx]Single Period!R124C26</stp>
        <stp>CRM US Equity</stp>
        <stp>CAPITALIZED_SOFTWARE/1M</stp>
        <stp>FPR=2022Y</stp>
        <stp>FPT=A</stp>
        <stp>FA_ACT_EST_DATA=E, EST_SOURCE=KEY</stp>
        <stp>ACT_EST_MAPPING=PRECISE</stp>
        <stp>FS=MRC</stp>
        <stp>CURRENCY=USD</stp>
        <stp>XLFILL=b</stp>
        <tr r="Z124" s="2"/>
      </tp>
      <tp t="s">
        <v/>
        <stp/>
        <stp>##V3_BQLV12</stp>
        <stp>[MODL_CRM_US1.xlsx]Single Period!R142C46</stp>
        <stp>CRM US Equity</stp>
        <stp>BS_TOT_ASSET/1M</stp>
        <stp>FPR=2022Y</stp>
        <stp>FPT=A</stp>
        <stp>FA_ACT_EST_DATA=E, EST_SOURCE=CTI</stp>
        <stp>ACT_EST_MAPPING=PRECISE</stp>
        <stp>FS=MRC</stp>
        <stp>CURRENCY=USD</stp>
        <stp>XLFILL=b</stp>
        <tr r="AT142" s="2"/>
      </tp>
      <tp>
        <v>-600</v>
        <stp/>
        <stp>##V3_BQLV12</stp>
        <stp>[MODL_CRM_US1.xlsx]Single Period!R173C25</stp>
        <stp>CRM US Equity</stp>
        <stp>CB_CF_NET_CASH_INVESTING_ACT/1M</stp>
        <stp>FPR=2022Y</stp>
        <stp>FPT=A</stp>
        <stp>FA_ACT_EST_DATA=E, EST_SOURCE=WMS</stp>
        <stp>ACT_EST_MAPPING=PRECISE</stp>
        <stp>FS=MRC</stp>
        <stp>CURRENCY=USD</stp>
        <stp>XLFILL=b</stp>
        <tr r="Y173" s="2"/>
      </tp>
      <tp t="s">
        <v/>
        <stp/>
        <stp>##V3_BQLV12</stp>
        <stp>[MODL_CRM_US1.xlsx]Single Period!R173C14</stp>
        <stp>CRM US Equity</stp>
        <stp>CB_CF_NET_CASH_INVESTING_ACT/1M</stp>
        <stp>FPR=2022Y</stp>
        <stp>FPT=A</stp>
        <stp>FA_ACT_EST_DATA=E, EST_SOURCE=SNR</stp>
        <stp>ACT_EST_MAPPING=PRECISE</stp>
        <stp>FS=MRC</stp>
        <stp>CURRENCY=USD</stp>
        <stp>XLFILL=b</stp>
        <tr r="N173" s="2"/>
      </tp>
      <tp t="s">
        <v/>
        <stp/>
        <stp>##V3_BQLV12</stp>
        <stp>[MODL_CRM_US1.xlsx]Single Period!R121C28</stp>
        <stp>CRM US Equity</stp>
        <stp>CB_BS_INTANG_ASSETS_EX_GW_NT/1M</stp>
        <stp>FPR=2022Y</stp>
        <stp>FPT=A</stp>
        <stp>FA_ACT_EST_DATA=E, EST_SOURCE=CWN</stp>
        <stp>ACT_EST_MAPPING=PRECISE</stp>
        <stp>FS=MRC</stp>
        <stp>CURRENCY=USD</stp>
        <stp>XLFILL=b</stp>
        <tr r="AB121" s="2"/>
      </tp>
      <tp t="s">
        <v/>
        <stp/>
        <stp>##V3_BQLV12</stp>
        <stp>[MODL_CRM_US1.xlsx]Single Period!R124C40</stp>
        <stp>CRM US Equity</stp>
        <stp>CAPITALIZED_SOFTWARE/1M</stp>
        <stp>FPR=2022Y</stp>
        <stp>FPT=A</stp>
        <stp>FA_ACT_EST_DATA=E, EST_SOURCE=ACC</stp>
        <stp>ACT_EST_MAPPING=PRECISE</stp>
        <stp>FS=MRC</stp>
        <stp>CURRENCY=USD</stp>
        <stp>XLFILL=b</stp>
        <tr r="AN124" s="2"/>
      </tp>
      <tp>
        <v>15706.94735</v>
        <stp/>
        <stp>##V3_BQLV12</stp>
        <stp>[MODL_CRM_US1.xlsx]Single Period!R58C17</stp>
        <stp>CRM US Equity</stp>
        <stp>CB_IS_ADJUSTED_OPEX/1M</stp>
        <stp>FPR=2022Y</stp>
        <stp>FPT=A</stp>
        <stp>FA_ACT_EST_DATA=E, EST_SOURCE=NDH</stp>
        <stp>ACT_EST_MAPPING=PRECISE</stp>
        <stp>FS=MRC</stp>
        <stp>CURRENCY=USD</stp>
        <stp>XLFILL=b</stp>
        <tr r="Q58" s="2"/>
      </tp>
      <tp t="s">
        <v/>
        <stp/>
        <stp>##V3_BQLV12</stp>
        <stp>[MODL_CRM_US1.xlsx]Single Period!R142C38</stp>
        <stp>CRM US Equity</stp>
        <stp>BS_TOT_ASSET/1M</stp>
        <stp>FPR=2022Y</stp>
        <stp>FPT=A</stp>
        <stp>FA_ACT_EST_DATA=E, EST_SOURCE=MSR</stp>
        <stp>ACT_EST_MAPPING=PRECISE</stp>
        <stp>FS=MRC</stp>
        <stp>CURRENCY=USD</stp>
        <stp>XLFILL=b</stp>
        <tr r="AL142" s="2"/>
      </tp>
      <tp t="s">
        <v/>
        <stp/>
        <stp>##V3_BQLV12</stp>
        <stp>[MODL_CRM_US1.xlsx]Single Period!R125C38</stp>
        <stp>CRM US Equity</stp>
        <stp>BS_TOT_ASSET/1M</stp>
        <stp>FPR=2022Y</stp>
        <stp>FPT=A</stp>
        <stp>FA_ACT_EST_DATA=E, EST_SOURCE=MSR</stp>
        <stp>ACT_EST_MAPPING=PRECISE</stp>
        <stp>FS=MRC</stp>
        <stp>CURRENCY=USD</stp>
        <stp>XLFILL=b</stp>
        <tr r="AL125" s="2"/>
      </tp>
      <tp t="s">
        <v>Freddy Chen</v>
        <stp/>
        <stp>##V3_BQLV12</stp>
        <stp>[MODL_CRM_US1.xlsx]Single Period!R4C39</stp>
        <stp>CRM US Equity</stp>
        <stp>LAST(IS_COMP_SALES(FA_ACT_EST_DATA=E, EST_SOURCE=KGI).analyst_name)</stp>
        <stp>FPR=2022Y</stp>
        <stp>FPT=A</stp>
        <stp>ACT_EST_MAPPING=PRECISE</stp>
        <stp>FS=MRC</stp>
        <stp>CURRENCY=USD</stp>
        <stp>XLFILL=b</stp>
        <tr r="AM4" s="2"/>
      </tp>
      <tp t="s">
        <v>Michael Turits PhD</v>
        <stp/>
        <stp>##V3_BQLV12</stp>
        <stp>[MODL_CRM_US1.xlsx]Single Period!R4C26</stp>
        <stp>CRM US Equity</stp>
        <stp>LAST(IS_COMP_SALES(FA_ACT_EST_DATA=E, EST_SOURCE=KEY).analyst_name)</stp>
        <stp>FPR=2022Y</stp>
        <stp>FPT=A</stp>
        <stp>ACT_EST_MAPPING=PRECISE</stp>
        <stp>FS=MRC</stp>
        <stp>CURRENCY=USD</stp>
        <stp>XLFILL=b</stp>
        <tr r="Z4" s="2"/>
      </tp>
      <tp t="s">
        <v/>
        <stp/>
        <stp>##V3_BQLV12</stp>
        <stp>[MODL_CRM_US1.xlsx]Single Period!R84C39</stp>
        <stp>CRM US Equity</stp>
        <stp>RD_EXPEND_TO_NET_SALES</stp>
        <stp>FPR=2022Y</stp>
        <stp>FPT=A</stp>
        <stp>FA_ACT_EST_DATA=E, EST_SOURCE=KGI</stp>
        <stp>ACT_EST_MAPPING=PRECISE</stp>
        <stp>FS=MRC</stp>
        <stp>CURRENCY=USD</stp>
        <stp>XLFILL=b</stp>
        <tr r="AM84" s="2"/>
      </tp>
      <tp t="s">
        <v/>
        <stp/>
        <stp>##V3_BQLV12</stp>
        <stp>[MODL_CRM_US1.xlsx]Single Period!R90C10</stp>
        <stp>CRM US Equity</stp>
        <stp>IS_INC_TAX_EXP/1M</stp>
        <stp>FPR=2022Y</stp>
        <stp>FPT=A</stp>
        <stp>FA_ACT_EST_DATA=E, EST_SOURCE=CMPY</stp>
        <stp>ACT_EST_MAPPING=PRECISE</stp>
        <stp>FS=MRC</stp>
        <stp>CURRENCY=USD</stp>
        <stp>XLFILL=b</stp>
        <tr r="J90" s="2"/>
      </tp>
      <tp t="s">
        <v/>
        <stp/>
        <stp>##V3_BQLV12</stp>
        <stp>[MODL_CRM_US1.xlsx]Single Period!R84C49</stp>
        <stp>CRM US Equity</stp>
        <stp>RD_EXPEND_TO_NET_SALES</stp>
        <stp>FPR=2022Y</stp>
        <stp>FPT=A</stp>
        <stp>FA_ACT_EST_DATA=E, EST_SOURCE=SGE</stp>
        <stp>ACT_EST_MAPPING=PRECISE</stp>
        <stp>FS=MRC</stp>
        <stp>CURRENCY=USD</stp>
        <stp>XLFILL=b</stp>
        <tr r="AW84" s="2"/>
      </tp>
      <tp>
        <v>2367</v>
        <stp/>
        <stp>##V3_BQLV12</stp>
        <stp>[MODL_CRM_US1.xlsx]Single Period!R156C6</stp>
        <stp>CRM US Equity</stp>
        <stp>CONTRIBUTOR_STATS(CF_DEPR_AMORT, MIN)/1M</stp>
        <stp>FPR=2022Y</stp>
        <stp>FPT=A</stp>
        <stp>FA_ACT_EST_DATA=E</stp>
        <stp>ACT_EST_MAPPING=PRECISE</stp>
        <stp>FS=MRC</stp>
        <stp>CURRENCY=USD</stp>
        <stp>XLFILL=b</stp>
        <tr r="F156" s="2"/>
      </tp>
      <tp>
        <v>2050.2063388395468</v>
        <stp/>
        <stp>##V3_BQLV12</stp>
        <stp>[MODL_CRM_US1.xlsx]Single Period!R119C5</stp>
        <stp>CRM US Equity</stp>
        <stp>CB_BS_OTHER_NONCURRENT_ASSETS/1M</stp>
        <stp>FPR=2022Y</stp>
        <stp>FPT=A</stp>
        <stp>FA_ACT_EST_DATA=E</stp>
        <stp>ACT_EST_MAPPING=PRECISE</stp>
        <stp>FS=MRC</stp>
        <stp>CURRENCY=USD</stp>
        <stp>XLFILL=b</stp>
        <tr r="E119" s="2"/>
      </tp>
      <tp>
        <v>-1853.364430809504</v>
        <stp/>
        <stp>##V3_BQLV12</stp>
        <stp>[MODL_CRM_US1.xlsx]Single Period!R163C9</stp>
        <stp>CRM US Equity</stp>
        <stp>CONTRIBUTOR_STATS(CB_CF_OTHR_NONCSH_ITEMS, MEDIAN)/1M</stp>
        <stp>FPR=2022Y</stp>
        <stp>FPT=A</stp>
        <stp>FA_ACT_EST_DATA=E</stp>
        <stp>ACT_EST_MAPPING=PRECISE</stp>
        <stp>FS=MRC</stp>
        <stp>CURRENCY=USD</stp>
        <stp>XLFILL=b</stp>
        <tr r="I163" s="2"/>
      </tp>
      <tp>
        <v>2738.256647298243</v>
        <stp/>
        <stp>##V3_BQLV12</stp>
        <stp>[MODL_CRM_US1.xlsx]Single Period!R158C6</stp>
        <stp>CRM US Equity</stp>
        <stp>CONTRIBUTOR_STATS(IS_SBC_NON_GAAP, MIN)/1M</stp>
        <stp>FPR=2022Y</stp>
        <stp>FPT=A</stp>
        <stp>FA_ACT_EST_DATA=E</stp>
        <stp>ACT_EST_MAPPING=PRECISE</stp>
        <stp>FS=MRC</stp>
        <stp>CURRENCY=USD</stp>
        <stp>XLFILL=b</stp>
        <tr r="F158" s="2"/>
      </tp>
      <tp>
        <v>2883.4638</v>
        <stp/>
        <stp>##V3_BQLV12</stp>
        <stp>[MODL_CRM_US1.xlsx]Single Period!R158C7</stp>
        <stp>CRM US Equity</stp>
        <stp>CONTRIBUTOR_STATS(IS_SBC_NON_GAAP, MAX)/1M</stp>
        <stp>FPR=2022Y</stp>
        <stp>FPT=A</stp>
        <stp>FA_ACT_EST_DATA=E</stp>
        <stp>ACT_EST_MAPPING=PRECISE</stp>
        <stp>FS=MRC</stp>
        <stp>CURRENCY=USD</stp>
        <stp>XLFILL=b</stp>
        <tr r="G158" s="2"/>
      </tp>
      <tp t="s">
        <v/>
        <stp/>
        <stp>##V3_BQLV12</stp>
        <stp>[MODL_CRM_US1.xlsx]Single Period!R45C44</stp>
        <stp>SEG0000269240 Segment</stp>
        <stp>REVENUE_GROWTH_CC_1_YR</stp>
        <stp>FPR=2022Y</stp>
        <stp>FPT=A</stp>
        <stp>FA_ACT_EST_DATA=E, EST_SOURCE=RWB</stp>
        <stp>ACT_EST_MAPPING=PRECISE</stp>
        <stp>FS=MRC</stp>
        <stp>CURRENCY=USD</stp>
        <stp>XLFILL=b</stp>
        <tr r="AR45" s="2"/>
      </tp>
      <tp t="s">
        <v/>
        <stp/>
        <stp>##V3_BQLV12</stp>
        <stp>[MODL_CRM_US1.xlsx]Single Period!R125C44</stp>
        <stp>CRM US Equity</stp>
        <stp>BS_TOT_ASSET/1M</stp>
        <stp>FPR=2022Y</stp>
        <stp>FPT=A</stp>
        <stp>FA_ACT_EST_DATA=E, EST_SOURCE=RWB</stp>
        <stp>ACT_EST_MAPPING=PRECISE</stp>
        <stp>FS=MRC</stp>
        <stp>CURRENCY=USD</stp>
        <stp>XLFILL=b</stp>
        <tr r="AR125" s="2"/>
      </tp>
      <tp t="s">
        <v/>
        <stp/>
        <stp>##V3_BQLV12</stp>
        <stp>[MODL_CRM_US1.xlsx]Single Period!R173C29</stp>
        <stp>CRM US Equity</stp>
        <stp>CB_CF_NET_CASH_INVESTING_ACT/1M</stp>
        <stp>FPR=2022Y</stp>
        <stp>FPT=A</stp>
        <stp>FA_ACT_EST_DATA=E, EST_SOURCE=BNS</stp>
        <stp>ACT_EST_MAPPING=PRECISE</stp>
        <stp>FS=MRC</stp>
        <stp>CURRENCY=USD</stp>
        <stp>XLFILL=b</stp>
        <tr r="AC173" s="2"/>
      </tp>
      <tp>
        <v>704.78</v>
        <stp/>
        <stp>##V3_BQLV12</stp>
        <stp>[MODL_CRM_US1.xlsx]Single Period!R106C16</stp>
        <stp>CRM US Equity</stp>
        <stp>IS_AMORT_ACQD_INTANG_S_AND_M/1M</stp>
        <stp>FPR=2022Y</stp>
        <stp>FPT=A</stp>
        <stp>FA_ACT_EST_DATA=E, EST_SOURCE=DBG</stp>
        <stp>ACT_EST_MAPPING=PRECISE</stp>
        <stp>FS=MRC</stp>
        <stp>CURRENCY=USD</stp>
        <stp>XLFILL=b</stp>
        <tr r="P106" s="2"/>
      </tp>
      <tp t="s">
        <v/>
        <stp/>
        <stp>##V3_BQLV12</stp>
        <stp>[MODL_CRM_US1.xlsx]Single Period!R142C44</stp>
        <stp>CRM US Equity</stp>
        <stp>BS_TOT_ASSET/1M</stp>
        <stp>FPR=2022Y</stp>
        <stp>FPT=A</stp>
        <stp>FA_ACT_EST_DATA=E, EST_SOURCE=RWB</stp>
        <stp>ACT_EST_MAPPING=PRECISE</stp>
        <stp>FS=MRC</stp>
        <stp>CURRENCY=USD</stp>
        <stp>XLFILL=b</stp>
        <tr r="AR142" s="2"/>
      </tp>
      <tp t="s">
        <v/>
        <stp/>
        <stp>##V3_BQLV12</stp>
        <stp>[MODL_CRM_US1.xlsx]Single Period!R135C22</stp>
        <stp>CRM US Equity</stp>
        <stp>CB_BS_OTHER_NONCURRENT_LIABS/1M</stp>
        <stp>FPR=2022Y</stp>
        <stp>FPT=A</stp>
        <stp>FA_ACT_EST_DATA=E, EST_SOURCE=OPY</stp>
        <stp>ACT_EST_MAPPING=PRECISE</stp>
        <stp>FS=MRC</stp>
        <stp>CURRENCY=USD</stp>
        <stp>XLFILL=b</stp>
        <tr r="V135" s="2"/>
      </tp>
      <tp t="s">
        <v/>
        <stp/>
        <stp>##V3_BQLV12</stp>
        <stp>[MODL_CRM_US1.xlsx]Single Period!R45C28</stp>
        <stp>SEG0000269240 Segment</stp>
        <stp>REVENUE_GROWTH_CC_1_YR</stp>
        <stp>FPR=2022Y</stp>
        <stp>FPT=A</stp>
        <stp>FA_ACT_EST_DATA=E, EST_SOURCE=CWN</stp>
        <stp>ACT_EST_MAPPING=PRECISE</stp>
        <stp>FS=MRC</stp>
        <stp>CURRENCY=USD</stp>
        <stp>XLFILL=b</stp>
        <tr r="AB45" s="2"/>
      </tp>
      <tp t="s">
        <v/>
        <stp/>
        <stp>##V3_BQLV12</stp>
        <stp>[MODL_CRM_US1.xlsx]Single Period!R142C43</stp>
        <stp>CRM US Equity</stp>
        <stp>BS_TOT_ASSET/1M</stp>
        <stp>FPR=2022Y</stp>
        <stp>FPT=A</stp>
        <stp>FA_ACT_EST_DATA=E, EST_SOURCE=DWI</stp>
        <stp>ACT_EST_MAPPING=PRECISE</stp>
        <stp>FS=MRC</stp>
        <stp>CURRENCY=USD</stp>
        <stp>XLFILL=b</stp>
        <tr r="AQ142" s="2"/>
      </tp>
      <tp t="s">
        <v/>
        <stp/>
        <stp>##V3_BQLV12</stp>
        <stp>[MODL_CRM_US1.xlsx]Single Period!R45C43</stp>
        <stp>SEG0000269240 Segment</stp>
        <stp>REVENUE_GROWTH_CC_1_YR</stp>
        <stp>FPR=2022Y</stp>
        <stp>FPT=A</stp>
        <stp>FA_ACT_EST_DATA=E, EST_SOURCE=DWI</stp>
        <stp>ACT_EST_MAPPING=PRECISE</stp>
        <stp>FS=MRC</stp>
        <stp>CURRENCY=USD</stp>
        <stp>XLFILL=b</stp>
        <tr r="AQ45" s="2"/>
      </tp>
      <tp t="s">
        <v/>
        <stp/>
        <stp>##V3_BQLV12</stp>
        <stp>[MODL_CRM_US1.xlsx]Single Period!R173C56</stp>
        <stp>CRM US Equity</stp>
        <stp>CB_CF_NET_CASH_INVESTING_ACT/1M</stp>
        <stp>FPR=2022Y</stp>
        <stp>FPT=A</stp>
        <stp>FA_ACT_EST_DATA=E, EST_SOURCE=DIR</stp>
        <stp>ACT_EST_MAPPING=PRECISE</stp>
        <stp>FS=MRC</stp>
        <stp>CURRENCY=USD</stp>
        <stp>XLFILL=b</stp>
        <tr r="BD173" s="2"/>
      </tp>
      <tp>
        <v>1320.6462285454459</v>
        <stp/>
        <stp>##V3_BQLV12</stp>
        <stp>[MODL_CRM_US1.xlsx]Single Period!R135C15</stp>
        <stp>CRM US Equity</stp>
        <stp>CB_BS_OTHER_NONCURRENT_LIABS/1M</stp>
        <stp>FPR=2022Y</stp>
        <stp>FPT=A</stp>
        <stp>FA_ACT_EST_DATA=E, EST_SOURCE=MSV</stp>
        <stp>ACT_EST_MAPPING=PRECISE</stp>
        <stp>FS=MRC</stp>
        <stp>CURRENCY=USD</stp>
        <stp>XLFILL=b</stp>
        <tr r="O135" s="2"/>
      </tp>
      <tp t="s">
        <v/>
        <stp/>
        <stp>##V3_BQLV12</stp>
        <stp>[MODL_CRM_US1.xlsx]Single Period!R106C49</stp>
        <stp>CRM US Equity</stp>
        <stp>IS_AMORT_ACQD_INTANG_S_AND_M/1M</stp>
        <stp>FPR=2022Y</stp>
        <stp>FPT=A</stp>
        <stp>FA_ACT_EST_DATA=E, EST_SOURCE=SGE</stp>
        <stp>ACT_EST_MAPPING=PRECISE</stp>
        <stp>FS=MRC</stp>
        <stp>CURRENCY=USD</stp>
        <stp>XLFILL=b</stp>
        <tr r="AW106" s="2"/>
      </tp>
      <tp t="s">
        <v/>
        <stp/>
        <stp>##V3_BQLV12</stp>
        <stp>[MODL_CRM_US1.xlsx]Single Period!R125C43</stp>
        <stp>CRM US Equity</stp>
        <stp>BS_TOT_ASSET/1M</stp>
        <stp>FPR=2022Y</stp>
        <stp>FPT=A</stp>
        <stp>FA_ACT_EST_DATA=E, EST_SOURCE=DWI</stp>
        <stp>ACT_EST_MAPPING=PRECISE</stp>
        <stp>FS=MRC</stp>
        <stp>CURRENCY=USD</stp>
        <stp>XLFILL=b</stp>
        <tr r="AQ125" s="2"/>
      </tp>
      <tp t="s">
        <v/>
        <stp/>
        <stp>##V3_BQLV12</stp>
        <stp>[MODL_CRM_US1.xlsx]Single Period!R106C11</stp>
        <stp>CRM US Equity</stp>
        <stp>IS_AMORT_ACQD_INTANG_S_AND_M/1M</stp>
        <stp>FPR=2022Y</stp>
        <stp>FPT=A</stp>
        <stp>FA_ACT_EST_DATA=E, EST_SOURCE=WBL</stp>
        <stp>ACT_EST_MAPPING=PRECISE</stp>
        <stp>FS=MRC</stp>
        <stp>CURRENCY=USD</stp>
        <stp>XLFILL=b</stp>
        <tr r="K106" s="2"/>
      </tp>
      <tp t="s">
        <v/>
        <stp/>
        <stp>##V3_BQLV12</stp>
        <stp>[MODL_CRM_US1.xlsx]Single Period!R173C53</stp>
        <stp>CRM US Equity</stp>
        <stp>CB_CF_NET_CASH_INVESTING_ACT/1M</stp>
        <stp>FPR=2022Y</stp>
        <stp>FPT=A</stp>
        <stp>FA_ACT_EST_DATA=E, EST_SOURCE=NIK</stp>
        <stp>ACT_EST_MAPPING=PRECISE</stp>
        <stp>FS=MRC</stp>
        <stp>CURRENCY=USD</stp>
        <stp>XLFILL=b</stp>
        <tr r="BA173" s="2"/>
      </tp>
      <tp t="s">
        <v/>
        <stp/>
        <stp>##V3_BQLV12</stp>
        <stp>[MODL_CRM_US1.xlsx]Single Period!R135C23</stp>
        <stp>CRM US Equity</stp>
        <stp>CB_BS_OTHER_NONCURRENT_LIABS/1M</stp>
        <stp>FPR=2022Y</stp>
        <stp>FPT=A</stp>
        <stp>FA_ACT_EST_DATA=E, EST_SOURCE=JPM</stp>
        <stp>ACT_EST_MAPPING=PRECISE</stp>
        <stp>FS=MRC</stp>
        <stp>CURRENCY=USD</stp>
        <stp>XLFILL=b</stp>
        <tr r="W135" s="2"/>
      </tp>
      <tp t="s">
        <v/>
        <stp/>
        <stp>##V3_BQLV12</stp>
        <stp>[MODL_CRM_US1.xlsx]Single Period!R106C52</stp>
        <stp>CRM US Equity</stp>
        <stp>IS_AMORT_ACQD_INTANG_S_AND_M/1M</stp>
        <stp>FPR=2022Y</stp>
        <stp>FPT=A</stp>
        <stp>FA_ACT_EST_DATA=E, EST_SOURCE=WFR</stp>
        <stp>ACT_EST_MAPPING=PRECISE</stp>
        <stp>FS=MRC</stp>
        <stp>CURRENCY=USD</stp>
        <stp>XLFILL=b</stp>
        <tr r="AZ106" s="2"/>
      </tp>
      <tp t="s">
        <v/>
        <stp/>
        <stp>##V3_BQLV12</stp>
        <stp>[MODL_CRM_US1.xlsx]Single Period!R124C39</stp>
        <stp>CRM US Equity</stp>
        <stp>CAPITALIZED_SOFTWARE/1M</stp>
        <stp>FPR=2022Y</stp>
        <stp>FPT=A</stp>
        <stp>FA_ACT_EST_DATA=E, EST_SOURCE=KGI</stp>
        <stp>ACT_EST_MAPPING=PRECISE</stp>
        <stp>FS=MRC</stp>
        <stp>CURRENCY=USD</stp>
        <stp>XLFILL=b</stp>
        <tr r="AM124" s="2"/>
      </tp>
      <tp t="s">
        <v/>
        <stp/>
        <stp>##V3_BQLV12</stp>
        <stp>[MODL_CRM_US1.xlsx]Single Period!R58C39</stp>
        <stp>CRM US Equity</stp>
        <stp>CB_IS_ADJUSTED_OPEX/1M</stp>
        <stp>FPR=2022Y</stp>
        <stp>FPT=A</stp>
        <stp>FA_ACT_EST_DATA=E, EST_SOURCE=KGI</stp>
        <stp>ACT_EST_MAPPING=PRECISE</stp>
        <stp>FS=MRC</stp>
        <stp>CURRENCY=USD</stp>
        <stp>XLFILL=b</stp>
        <tr r="AM58" s="2"/>
      </tp>
      <tp t="s">
        <v/>
        <stp/>
        <stp>##V3_BQLV12</stp>
        <stp>[MODL_CRM_US1.xlsx]Single Period!R121C45</stp>
        <stp>CRM US Equity</stp>
        <stp>CB_BS_INTANG_ASSETS_EX_GW_NT/1M</stp>
        <stp>FPR=2022Y</stp>
        <stp>FPT=A</stp>
        <stp>FA_ACT_EST_DATA=E, EST_SOURCE=ARG</stp>
        <stp>ACT_EST_MAPPING=PRECISE</stp>
        <stp>FS=MRC</stp>
        <stp>CURRENCY=USD</stp>
        <stp>XLFILL=b</stp>
        <tr r="AS121" s="2"/>
      </tp>
      <tp t="s">
        <v/>
        <stp/>
        <stp>##V3_BQLV12</stp>
        <stp>[MODL_CRM_US1.xlsx]Single Period!R87C54</stp>
        <stp>CRM US Equity</stp>
        <stp>IS_EBIT_AS_REPORTED/1M</stp>
        <stp>FPR=2022Y</stp>
        <stp>FPT=A</stp>
        <stp>FA_ACT_EST_DATA=E, EST_SOURCE=ARE</stp>
        <stp>ACT_EST_MAPPING=PRECISE</stp>
        <stp>FS=MRC</stp>
        <stp>CURRENCY=USD</stp>
        <stp>XLFILL=b</stp>
        <tr r="BB87" s="2"/>
      </tp>
      <tp t="s">
        <v/>
        <stp/>
        <stp>##V3_BQLV12</stp>
        <stp>[MODL_CRM_US1.xlsx]Single Period!R173C12</stp>
        <stp>CRM US Equity</stp>
        <stp>CB_CF_NET_CASH_INVESTING_ACT/1M</stp>
        <stp>FPR=2022Y</stp>
        <stp>FPT=A</stp>
        <stp>FA_ACT_EST_DATA=E, EST_SOURCE=BMO</stp>
        <stp>ACT_EST_MAPPING=PRECISE</stp>
        <stp>FS=MRC</stp>
        <stp>CURRENCY=USD</stp>
        <stp>XLFILL=b</stp>
        <tr r="L173" s="2"/>
      </tp>
      <tp t="s">
        <v/>
        <stp/>
        <stp>##V3_BQLV12</stp>
        <stp>[MODL_CRM_US1.xlsx]Single Period!R87C45</stp>
        <stp>CRM US Equity</stp>
        <stp>IS_EBIT_AS_REPORTED/1M</stp>
        <stp>FPR=2022Y</stp>
        <stp>FPT=A</stp>
        <stp>FA_ACT_EST_DATA=E, EST_SOURCE=ARG</stp>
        <stp>ACT_EST_MAPPING=PRECISE</stp>
        <stp>FS=MRC</stp>
        <stp>CURRENCY=USD</stp>
        <stp>XLFILL=b</stp>
        <tr r="AS87" s="2"/>
      </tp>
      <tp t="s">
        <v/>
        <stp/>
        <stp>##V3_BQLV12</stp>
        <stp>[MODL_CRM_US1.xlsx]Single Period!R58C49</stp>
        <stp>CRM US Equity</stp>
        <stp>CB_IS_ADJUSTED_OPEX/1M</stp>
        <stp>FPR=2022Y</stp>
        <stp>FPT=A</stp>
        <stp>FA_ACT_EST_DATA=E, EST_SOURCE=SGE</stp>
        <stp>ACT_EST_MAPPING=PRECISE</stp>
        <stp>FS=MRC</stp>
        <stp>CURRENCY=USD</stp>
        <stp>XLFILL=b</stp>
        <tr r="AW58" s="2"/>
      </tp>
      <tp>
        <v>36.218095338121593</v>
        <stp/>
        <stp>##V3_BQLV12</stp>
        <stp>[MODL_CRM_US1.xlsx]Single Period!R158C8</stp>
        <stp>CRM US Equity</stp>
        <stp>CONTRIBUTOR_STATS(IS_SBC_NON_GAAP, STD)/1M</stp>
        <stp>FPR=2022Y</stp>
        <stp>FPT=A</stp>
        <stp>FA_ACT_EST_DATA=E</stp>
        <stp>ACT_EST_MAPPING=PRECISE</stp>
        <stp>FS=MRC</stp>
        <stp>CURRENCY=USD</stp>
        <stp>XLFILL=b</stp>
        <tr r="H158" s="2"/>
      </tp>
      <tp t="s">
        <v>Brent Thill</v>
        <stp/>
        <stp>##V3_BQLV12</stp>
        <stp>[MODL_CRM_US1.xlsx]Single Period!R4C34</stp>
        <stp>CRM US Equity</stp>
        <stp>LAST(IS_COMP_SALES(FA_ACT_EST_DATA=E, EST_SOURCE=JEF).analyst_name)</stp>
        <stp>FPR=2022Y</stp>
        <stp>FPT=A</stp>
        <stp>ACT_EST_MAPPING=PRECISE</stp>
        <stp>FS=MRC</stp>
        <stp>CURRENCY=USD</stp>
        <stp>XLFILL=b</stp>
        <tr r="AH4" s="2"/>
      </tp>
      <tp t="s">
        <v/>
        <stp/>
        <stp>##V3_BQLV12</stp>
        <stp>[MODL_CRM_US1.xlsx]Single Period!R193C29</stp>
        <stp>CRM US Equity</stp>
        <stp>FCF_PER_DIL_SHR</stp>
        <stp>FPR=2022Y</stp>
        <stp>FPT=A</stp>
        <stp>FA_ACT_EST_DATA=E, EST_SOURCE=BNS</stp>
        <stp>ACT_EST_MAPPING=PRECISE</stp>
        <stp>FS=MRC</stp>
        <stp>CURRENCY=USD</stp>
        <stp>XLFILL=b</stp>
        <tr r="AC193" s="2"/>
      </tp>
      <tp t="s">
        <v/>
        <stp/>
        <stp>##V3_BQLV12</stp>
        <stp>[MODL_CRM_US1.xlsx]Single Period!R147C10</stp>
        <stp>CRM US Equity</stp>
        <stp>BV_PER_WEIGHTED_DILUTED_SHARE</stp>
        <stp>FPR=2022Y</stp>
        <stp>FPT=A</stp>
        <stp>FA_ACT_EST_DATA=E, EST_SOURCE=CMPY</stp>
        <stp>ACT_EST_MAPPING=PRECISE</stp>
        <stp>FS=MRC</stp>
        <stp>CURRENCY=USD</stp>
        <stp>XLFILL=b</stp>
        <tr r="J147" s="2"/>
      </tp>
      <tp t="s">
        <v/>
        <stp/>
        <stp>##V3_BQLV12</stp>
        <stp>[MODL_CRM_US1.xlsx]Single Period!R67C46</stp>
        <stp>CRM US Equity</stp>
        <stp>IS_NON_OPERATING_INC_LOSS_GAAP/1M</stp>
        <stp>FPR=2022Y</stp>
        <stp>FPT=A</stp>
        <stp>FA_ACT_EST_DATA=E, EST_SOURCE=CTI</stp>
        <stp>ACT_EST_MAPPING=PRECISE</stp>
        <stp>FS=MRC</stp>
        <stp>CURRENCY=USD</stp>
        <stp>XLFILL=b</stp>
        <tr r="AT67" s="2"/>
      </tp>
      <tp t="s">
        <v/>
        <stp/>
        <stp>##V3_BQLV12</stp>
        <stp>[MODL_CRM_US1.xlsx]Single Period!R90C23</stp>
        <stp>CRM US Equity</stp>
        <stp>IS_INC_TAX_EXP/1M</stp>
        <stp>FPR=2022Y</stp>
        <stp>FPT=A</stp>
        <stp>FA_ACT_EST_DATA=E, EST_SOURCE=JPM</stp>
        <stp>ACT_EST_MAPPING=PRECISE</stp>
        <stp>FS=MRC</stp>
        <stp>CURRENCY=USD</stp>
        <stp>XLFILL=b</stp>
        <tr r="W90" s="2"/>
      </tp>
      <tp t="s">
        <v>Patrick Walravens "Pat"</v>
        <stp/>
        <stp>##V3_BQLV12</stp>
        <stp>[MODL_CRM_US1.xlsx]Single Period!R4C20</stp>
        <stp>CRM US Equity</stp>
        <stp>LAST(IS_COMP_SALES(FA_ACT_EST_DATA=E, EST_SOURCE=JMP).analyst_name)</stp>
        <stp>FPR=2022Y</stp>
        <stp>FPT=A</stp>
        <stp>ACT_EST_MAPPING=PRECISE</stp>
        <stp>FS=MRC</stp>
        <stp>CURRENCY=USD</stp>
        <stp>XLFILL=b</stp>
        <tr r="T4" s="2"/>
      </tp>
      <tp t="s">
        <v/>
        <stp/>
        <stp>##V3_BQLV12</stp>
        <stp>[MODL_CRM_US1.xlsx]Single Period!R84C52</stp>
        <stp>CRM US Equity</stp>
        <stp>RD_EXPEND_TO_NET_SALES</stp>
        <stp>FPR=2022Y</stp>
        <stp>FPT=A</stp>
        <stp>FA_ACT_EST_DATA=E, EST_SOURCE=WFR</stp>
        <stp>ACT_EST_MAPPING=PRECISE</stp>
        <stp>FS=MRC</stp>
        <stp>CURRENCY=USD</stp>
        <stp>XLFILL=b</stp>
        <tr r="AZ84" s="2"/>
      </tp>
      <tp t="s">
        <v/>
        <stp/>
        <stp>##V3_BQLV12</stp>
        <stp>[MODL_CRM_US1.xlsx]Single Period!R193C56</stp>
        <stp>CRM US Equity</stp>
        <stp>FCF_PER_DIL_SHR</stp>
        <stp>FPR=2022Y</stp>
        <stp>FPT=A</stp>
        <stp>FA_ACT_EST_DATA=E, EST_SOURCE=DIR</stp>
        <stp>ACT_EST_MAPPING=PRECISE</stp>
        <stp>FS=MRC</stp>
        <stp>CURRENCY=USD</stp>
        <stp>XLFILL=b</stp>
        <tr r="BD193" s="2"/>
      </tp>
      <tp t="s">
        <v/>
        <stp/>
        <stp>##V3_BQLV12</stp>
        <stp>[MODL_CRM_US1.xlsx]Single Period!R84C47</stp>
        <stp>CRM US Equity</stp>
        <stp>RD_EXPEND_TO_NET_SALES</stp>
        <stp>FPR=2022Y</stp>
        <stp>FPT=A</stp>
        <stp>FA_ACT_EST_DATA=E, EST_SOURCE=WFT</stp>
        <stp>ACT_EST_MAPPING=PRECISE</stp>
        <stp>FS=MRC</stp>
        <stp>CURRENCY=USD</stp>
        <stp>XLFILL=b</stp>
        <tr r="AU84" s="2"/>
      </tp>
      <tp t="s">
        <v/>
        <stp/>
        <stp>##V3_BQLV12</stp>
        <stp>[MODL_CRM_US1.xlsx]Single Period!R67C35</stp>
        <stp>CRM US Equity</stp>
        <stp>IS_NON_OPERATING_INC_LOSS_GAAP/1M</stp>
        <stp>FPR=2022Y</stp>
        <stp>FPT=A</stp>
        <stp>FA_ACT_EST_DATA=E, EST_SOURCE=ATL</stp>
        <stp>ACT_EST_MAPPING=PRECISE</stp>
        <stp>FS=MRC</stp>
        <stp>CURRENCY=USD</stp>
        <stp>XLFILL=b</stp>
        <tr r="AI67" s="2"/>
      </tp>
      <tp t="s">
        <v/>
        <stp/>
        <stp>##V3_BQLV12</stp>
        <stp>[MODL_CRM_US1.xlsx]Single Period!R193C12</stp>
        <stp>CRM US Equity</stp>
        <stp>FCF_PER_DIL_SHR</stp>
        <stp>FPR=2022Y</stp>
        <stp>FPT=A</stp>
        <stp>FA_ACT_EST_DATA=E, EST_SOURCE=BMO</stp>
        <stp>ACT_EST_MAPPING=PRECISE</stp>
        <stp>FS=MRC</stp>
        <stp>CURRENCY=USD</stp>
        <stp>XLFILL=b</stp>
        <tr r="L193" s="2"/>
      </tp>
      <tp t="s">
        <v>Mark R Murphy</v>
        <stp/>
        <stp>##V3_BQLV12</stp>
        <stp>[MODL_CRM_US1.xlsx]Single Period!R4C23</stp>
        <stp>CRM US Equity</stp>
        <stp>LAST(IS_COMP_SALES(FA_ACT_EST_DATA=E, EST_SOURCE=JPM).analyst_name)</stp>
        <stp>FPR=2022Y</stp>
        <stp>FPT=A</stp>
        <stp>ACT_EST_MAPPING=PRECISE</stp>
        <stp>FS=MRC</stp>
        <stp>CURRENCY=USD</stp>
        <stp>XLFILL=b</stp>
        <tr r="W4" s="2"/>
      </tp>
      <tp t="s">
        <v/>
        <stp/>
        <stp>##V3_BQLV12</stp>
        <stp>[MODL_CRM_US1.xlsx]Single Period!R193C53</stp>
        <stp>CRM US Equity</stp>
        <stp>FCF_PER_DIL_SHR</stp>
        <stp>FPR=2022Y</stp>
        <stp>FPT=A</stp>
        <stp>FA_ACT_EST_DATA=E, EST_SOURCE=NIK</stp>
        <stp>ACT_EST_MAPPING=PRECISE</stp>
        <stp>FS=MRC</stp>
        <stp>CURRENCY=USD</stp>
        <stp>XLFILL=b</stp>
        <tr r="BA193" s="2"/>
      </tp>
      <tp t="s">
        <v/>
        <stp/>
        <stp>##V3_BQLV12</stp>
        <stp>[MODL_CRM_US1.xlsx]Single Period!R90C22</stp>
        <stp>CRM US Equity</stp>
        <stp>IS_INC_TAX_EXP/1M</stp>
        <stp>FPR=2022Y</stp>
        <stp>FPT=A</stp>
        <stp>FA_ACT_EST_DATA=E, EST_SOURCE=OPY</stp>
        <stp>ACT_EST_MAPPING=PRECISE</stp>
        <stp>FS=MRC</stp>
        <stp>CURRENCY=USD</stp>
        <stp>XLFILL=b</stp>
        <tr r="V90" s="2"/>
      </tp>
      <tp>
        <v>-13302</v>
        <stp/>
        <stp>##V3_BQLV12</stp>
        <stp>[MODL_CRM_US1.xlsx]Single Period!R173C9</stp>
        <stp>CRM US Equity</stp>
        <stp>CONTRIBUTOR_STATS(CB_CF_NET_CASH_INVESTING_ACT, MEDIAN)/1M</stp>
        <stp>FPR=2022Y</stp>
        <stp>FPT=A</stp>
        <stp>FA_ACT_EST_DATA=E</stp>
        <stp>ACT_EST_MAPPING=PRECISE</stp>
        <stp>FS=MRC</stp>
        <stp>CURRENCY=USD</stp>
        <stp>XLFILL=b</stp>
        <tr r="I173" s="2"/>
      </tp>
      <tp>
        <v>3451.4856</v>
        <stp/>
        <stp>##V3_BQLV12</stp>
        <stp>[MODL_CRM_US1.xlsx]Single Period!R156C7</stp>
        <stp>CRM US Equity</stp>
        <stp>CONTRIBUTOR_STATS(CF_DEPR_AMORT, MAX)/1M</stp>
        <stp>FPR=2022Y</stp>
        <stp>FPT=A</stp>
        <stp>FA_ACT_EST_DATA=E</stp>
        <stp>ACT_EST_MAPPING=PRECISE</stp>
        <stp>FS=MRC</stp>
        <stp>CURRENCY=USD</stp>
        <stp>XLFILL=b</stp>
        <tr r="G156" s="2"/>
      </tp>
      <tp>
        <v>-14816</v>
        <stp/>
        <stp>##V3_BQLV12</stp>
        <stp>[MODL_CRM_US1.xlsx]Single Period!R170C9</stp>
        <stp>CRM US Equity</stp>
        <stp>CONTRIBUTOR_STATS(CF_CASH_FOR_ACQUIS_SUBSIDIARIES, MEDIAN)/1M</stp>
        <stp>FPR=2022Y</stp>
        <stp>FPT=A</stp>
        <stp>FA_ACT_EST_DATA=E</stp>
        <stp>ACT_EST_MAPPING=PRECISE</stp>
        <stp>FS=MRC</stp>
        <stp>CURRENCY=USD</stp>
        <stp>XLFILL=b</stp>
        <tr r="I170" s="2"/>
      </tp>
      <tp>
        <v>716</v>
        <stp/>
        <stp>##V3_BQLV12</stp>
        <stp>[MODL_CRM_US1.xlsx]Single Period!R106C13</stp>
        <stp>CRM US Equity</stp>
        <stp>IS_AMORT_ACQD_INTANG_S_AND_M/1M</stp>
        <stp>FPR=2022Y</stp>
        <stp>FPT=A</stp>
        <stp>FA_ACT_EST_DATA=E, EST_SOURCE=BCA</stp>
        <stp>ACT_EST_MAPPING=PRECISE</stp>
        <stp>FS=MRC</stp>
        <stp>CURRENCY=USD</stp>
        <stp>XLFILL=b</stp>
        <tr r="M106" s="2"/>
      </tp>
      <tp>
        <v>424.08885498574449</v>
        <stp/>
        <stp>##V3_BQLV12</stp>
        <stp>[MODL_CRM_US1.xlsx]Single Period!R87C15</stp>
        <stp>CRM US Equity</stp>
        <stp>IS_EBIT_AS_REPORTED/1M</stp>
        <stp>FPR=2022Y</stp>
        <stp>FPT=A</stp>
        <stp>FA_ACT_EST_DATA=E, EST_SOURCE=MSV</stp>
        <stp>ACT_EST_MAPPING=PRECISE</stp>
        <stp>FS=MRC</stp>
        <stp>CURRENCY=USD</stp>
        <stp>XLFILL=b</stp>
        <tr r="O87" s="2"/>
      </tp>
      <tp t="s">
        <v/>
        <stp/>
        <stp>##V3_BQLV12</stp>
        <stp>[MODL_CRM_US1.xlsx]Single Period!R87C41</stp>
        <stp>CRM US Equity</stp>
        <stp>IS_EBIT_AS_REPORTED/1M</stp>
        <stp>FPR=2022Y</stp>
        <stp>FPT=A</stp>
        <stp>FA_ACT_EST_DATA=E, EST_SOURCE=GSR</stp>
        <stp>ACT_EST_MAPPING=PRECISE</stp>
        <stp>FS=MRC</stp>
        <stp>CURRENCY=USD</stp>
        <stp>XLFILL=b</stp>
        <tr r="AO87" s="2"/>
      </tp>
      <tp>
        <v>1.63799999999992</v>
        <stp/>
        <stp>##V3_BQLV12</stp>
        <stp>[MODL_CRM_US1.xlsx]Single Period!R164C6</stp>
        <stp>CRM US Equity</stp>
        <stp>CONTRIBUTOR_STATS(CHG_IN_ACCT_PYBL_AND_ACC_EXPNSS, MIN)/1M</stp>
        <stp>FPR=2022Y</stp>
        <stp>FPT=A</stp>
        <stp>FA_ACT_EST_DATA=E</stp>
        <stp>ACT_EST_MAPPING=PRECISE</stp>
        <stp>FS=MRC</stp>
        <stp>CURRENCY=USD</stp>
        <stp>XLFILL=b</stp>
        <tr r="F164" s="2"/>
      </tp>
      <tp>
        <v>50.703833446149481</v>
        <stp/>
        <stp>##V3_BQLV12</stp>
        <stp>[MODL_CRM_US1.xlsx]Single Period!R164C7</stp>
        <stp>CRM US Equity</stp>
        <stp>CONTRIBUTOR_STATS(CHG_IN_ACCT_PYBL_AND_ACC_EXPNSS, MAX)/1M</stp>
        <stp>FPR=2022Y</stp>
        <stp>FPT=A</stp>
        <stp>FA_ACT_EST_DATA=E</stp>
        <stp>ACT_EST_MAPPING=PRECISE</stp>
        <stp>FS=MRC</stp>
        <stp>CURRENCY=USD</stp>
        <stp>XLFILL=b</stp>
        <tr r="G164" s="2"/>
      </tp>
      <tp t="s">
        <v/>
        <stp/>
        <stp>##V3_BQLV12</stp>
        <stp>[MODL_CRM_US1.xlsx]Single Period!R87C38</stp>
        <stp>CRM US Equity</stp>
        <stp>IS_EBIT_AS_REPORTED/1M</stp>
        <stp>FPR=2022Y</stp>
        <stp>FPT=A</stp>
        <stp>FA_ACT_EST_DATA=E, EST_SOURCE=MSR</stp>
        <stp>ACT_EST_MAPPING=PRECISE</stp>
        <stp>FS=MRC</stp>
        <stp>CURRENCY=USD</stp>
        <stp>XLFILL=b</stp>
        <tr r="AL87" s="2"/>
      </tp>
      <tp t="s">
        <v/>
        <stp/>
        <stp>##V3_BQLV12</stp>
        <stp>[MODL_CRM_US1.xlsx]Single Period!R121C41</stp>
        <stp>CRM US Equity</stp>
        <stp>CB_BS_INTANG_ASSETS_EX_GW_NT/1M</stp>
        <stp>FPR=2022Y</stp>
        <stp>FPT=A</stp>
        <stp>FA_ACT_EST_DATA=E, EST_SOURCE=GSR</stp>
        <stp>ACT_EST_MAPPING=PRECISE</stp>
        <stp>FS=MRC</stp>
        <stp>CURRENCY=USD</stp>
        <stp>XLFILL=b</stp>
        <tr r="AO121" s="2"/>
      </tp>
      <tp t="s">
        <v/>
        <stp/>
        <stp>##V3_BQLV12</stp>
        <stp>[MODL_CRM_US1.xlsx]Single Period!R106C36</stp>
        <stp>CRM US Equity</stp>
        <stp>IS_AMORT_ACQD_INTANG_S_AND_M/1M</stp>
        <stp>FPR=2022Y</stp>
        <stp>FPT=A</stp>
        <stp>FA_ACT_EST_DATA=E, EST_SOURCE=MAC</stp>
        <stp>ACT_EST_MAPPING=PRECISE</stp>
        <stp>FS=MRC</stp>
        <stp>CURRENCY=USD</stp>
        <stp>XLFILL=b</stp>
        <tr r="AJ106" s="2"/>
      </tp>
      <tp t="s">
        <v/>
        <stp/>
        <stp>##V3_BQLV12</stp>
        <stp>[MODL_CRM_US1.xlsx]Single Period!R106C19</stp>
        <stp>CRM US Equity</stp>
        <stp>IS_AMORT_ACQD_INTANG_S_AND_M/1M</stp>
        <stp>FPR=2022Y</stp>
        <stp>FPT=A</stp>
        <stp>FA_ACT_EST_DATA=E, EST_SOURCE=SCB</stp>
        <stp>ACT_EST_MAPPING=PRECISE</stp>
        <stp>FS=MRC</stp>
        <stp>CURRENCY=USD</stp>
        <stp>XLFILL=b</stp>
        <tr r="S106" s="2"/>
      </tp>
      <tp t="s">
        <v/>
        <stp/>
        <stp>##V3_BQLV12</stp>
        <stp>[MODL_CRM_US1.xlsx]Single Period!R58C47</stp>
        <stp>CRM US Equity</stp>
        <stp>CB_IS_ADJUSTED_OPEX/1M</stp>
        <stp>FPR=2022Y</stp>
        <stp>FPT=A</stp>
        <stp>FA_ACT_EST_DATA=E, EST_SOURCE=WFT</stp>
        <stp>ACT_EST_MAPPING=PRECISE</stp>
        <stp>FS=MRC</stp>
        <stp>CURRENCY=USD</stp>
        <stp>XLFILL=b</stp>
        <tr r="AU58" s="2"/>
      </tp>
      <tp t="s">
        <v/>
        <stp/>
        <stp>##V3_BQLV12</stp>
        <stp>[MODL_CRM_US1.xlsx]Single Period!R125C23</stp>
        <stp>CRM US Equity</stp>
        <stp>BS_TOT_ASSET/1M</stp>
        <stp>FPR=2022Y</stp>
        <stp>FPT=A</stp>
        <stp>FA_ACT_EST_DATA=E, EST_SOURCE=JPM</stp>
        <stp>ACT_EST_MAPPING=PRECISE</stp>
        <stp>FS=MRC</stp>
        <stp>CURRENCY=USD</stp>
        <stp>XLFILL=b</stp>
        <tr r="W125" s="2"/>
      </tp>
      <tp>
        <v>296.15057616357984</v>
        <stp/>
        <stp>##V3_BQLV12</stp>
        <stp>[MODL_CRM_US1.xlsx]Single Period!R163C8</stp>
        <stp>CRM US Equity</stp>
        <stp>CONTRIBUTOR_STATS(CB_CF_OTHR_NONCSH_ITEMS, STD)/1M</stp>
        <stp>FPR=2022Y</stp>
        <stp>FPT=A</stp>
        <stp>FA_ACT_EST_DATA=E</stp>
        <stp>ACT_EST_MAPPING=PRECISE</stp>
        <stp>FS=MRC</stp>
        <stp>CURRENCY=USD</stp>
        <stp>XLFILL=b</stp>
        <tr r="H163" s="2"/>
      </tp>
      <tp t="s">
        <v/>
        <stp/>
        <stp>##V3_BQLV12</stp>
        <stp>[MODL_CRM_US1.xlsx]Single Period!R142C23</stp>
        <stp>CRM US Equity</stp>
        <stp>BS_TOT_ASSET/1M</stp>
        <stp>FPR=2022Y</stp>
        <stp>FPT=A</stp>
        <stp>FA_ACT_EST_DATA=E, EST_SOURCE=JPM</stp>
        <stp>ACT_EST_MAPPING=PRECISE</stp>
        <stp>FS=MRC</stp>
        <stp>CURRENCY=USD</stp>
        <stp>XLFILL=b</stp>
        <tr r="W142" s="2"/>
      </tp>
      <tp t="s">
        <v/>
        <stp/>
        <stp>##V3_BQLV12</stp>
        <stp>[MODL_CRM_US1.xlsx]Single Period!R58C52</stp>
        <stp>CRM US Equity</stp>
        <stp>CB_IS_ADJUSTED_OPEX/1M</stp>
        <stp>FPR=2022Y</stp>
        <stp>FPT=A</stp>
        <stp>FA_ACT_EST_DATA=E, EST_SOURCE=WFR</stp>
        <stp>ACT_EST_MAPPING=PRECISE</stp>
        <stp>FS=MRC</stp>
        <stp>CURRENCY=USD</stp>
        <stp>XLFILL=b</stp>
        <tr r="AZ58" s="2"/>
      </tp>
      <tp t="s">
        <v/>
        <stp/>
        <stp>##V3_BQLV12</stp>
        <stp>[MODL_CRM_US1.xlsx]Single Period!R106C30</stp>
        <stp>CRM US Equity</stp>
        <stp>IS_AMORT_ACQD_INTANG_S_AND_M/1M</stp>
        <stp>FPR=2022Y</stp>
        <stp>FPT=A</stp>
        <stp>FA_ACT_EST_DATA=E, EST_SOURCE=BAM</stp>
        <stp>ACT_EST_MAPPING=PRECISE</stp>
        <stp>FS=MRC</stp>
        <stp>CURRENCY=USD</stp>
        <stp>XLFILL=b</stp>
        <tr r="AD106" s="2"/>
      </tp>
      <tp t="s">
        <v/>
        <stp/>
        <stp>##V3_BQLV12</stp>
        <stp>[MODL_CRM_US1.xlsx]Single Period!R106C47</stp>
        <stp>CRM US Equity</stp>
        <stp>IS_AMORT_ACQD_INTANG_S_AND_M/1M</stp>
        <stp>FPR=2022Y</stp>
        <stp>FPT=A</stp>
        <stp>FA_ACT_EST_DATA=E, EST_SOURCE=WFT</stp>
        <stp>ACT_EST_MAPPING=PRECISE</stp>
        <stp>FS=MRC</stp>
        <stp>CURRENCY=USD</stp>
        <stp>XLFILL=b</stp>
        <tr r="AU106" s="2"/>
      </tp>
      <tp>
        <v>90188.902489366752</v>
        <stp/>
        <stp>##V3_BQLV12</stp>
        <stp>[MODL_CRM_US1.xlsx]Single Period!R142C15</stp>
        <stp>CRM US Equity</stp>
        <stp>BS_TOT_ASSET/1M</stp>
        <stp>FPR=2022Y</stp>
        <stp>FPT=A</stp>
        <stp>FA_ACT_EST_DATA=E, EST_SOURCE=MSV</stp>
        <stp>ACT_EST_MAPPING=PRECISE</stp>
        <stp>FS=MRC</stp>
        <stp>CURRENCY=USD</stp>
        <stp>XLFILL=b</stp>
        <tr r="O142" s="2"/>
      </tp>
      <tp t="s">
        <v/>
        <stp/>
        <stp>##V3_BQLV12</stp>
        <stp>[MODL_CRM_US1.xlsx]Single Period!R104C50</stp>
        <stp>CRM US Equity</stp>
        <stp>IS_AMORT_OF_TOT_INTANG_PRETX/1M</stp>
        <stp>FPR=2022Y</stp>
        <stp>FPT=A</stp>
        <stp>FA_ACT_EST_DATA=E, EST_SOURCE=MZS</stp>
        <stp>ACT_EST_MAPPING=PRECISE</stp>
        <stp>FS=MRC</stp>
        <stp>CURRENCY=USD</stp>
        <stp>XLFILL=b</stp>
        <tr r="AX104" s="2"/>
      </tp>
      <tp t="s">
        <v/>
        <stp/>
        <stp>##V3_BQLV12</stp>
        <stp>[MODL_CRM_US1.xlsx]Single Period!R121C42</stp>
        <stp>CRM US Equity</stp>
        <stp>CB_BS_INTANG_ASSETS_EX_GW_NT/1M</stp>
        <stp>FPR=2022Y</stp>
        <stp>FPT=A</stp>
        <stp>FA_ACT_EST_DATA=E, EST_SOURCE=PSG</stp>
        <stp>ACT_EST_MAPPING=PRECISE</stp>
        <stp>FS=MRC</stp>
        <stp>CURRENCY=USD</stp>
        <stp>XLFILL=b</stp>
        <tr r="AP121" s="2"/>
      </tp>
      <tp>
        <v>-1223</v>
        <stp/>
        <stp>##V3_BQLV12</stp>
        <stp>[MODL_CRM_US1.xlsx]Single Period!R163C7</stp>
        <stp>CRM US Equity</stp>
        <stp>CONTRIBUTOR_STATS(CB_CF_OTHR_NONCSH_ITEMS, MAX)/1M</stp>
        <stp>FPR=2022Y</stp>
        <stp>FPT=A</stp>
        <stp>FA_ACT_EST_DATA=E</stp>
        <stp>ACT_EST_MAPPING=PRECISE</stp>
        <stp>FS=MRC</stp>
        <stp>CURRENCY=USD</stp>
        <stp>XLFILL=b</stp>
        <tr r="G163" s="2"/>
      </tp>
      <tp>
        <v>-2029.4</v>
        <stp/>
        <stp>##V3_BQLV12</stp>
        <stp>[MODL_CRM_US1.xlsx]Single Period!R163C6</stp>
        <stp>CRM US Equity</stp>
        <stp>CONTRIBUTOR_STATS(CB_CF_OTHR_NONCSH_ITEMS, MIN)/1M</stp>
        <stp>FPR=2022Y</stp>
        <stp>FPT=A</stp>
        <stp>FA_ACT_EST_DATA=E</stp>
        <stp>ACT_EST_MAPPING=PRECISE</stp>
        <stp>FS=MRC</stp>
        <stp>CURRENCY=USD</stp>
        <stp>XLFILL=b</stp>
        <tr r="F163" s="2"/>
      </tp>
      <tp t="s">
        <v/>
        <stp/>
        <stp>##V3_BQLV12</stp>
        <stp>[MODL_CRM_US1.xlsx]Single Period!R45C37</stp>
        <stp>SEG0000269240 Segment</stp>
        <stp>REVENUE_GROWTH_CC_1_YR</stp>
        <stp>FPR=2022Y</stp>
        <stp>FPT=A</stp>
        <stp>FA_ACT_EST_DATA=E, EST_SOURCE=EVR</stp>
        <stp>ACT_EST_MAPPING=PRECISE</stp>
        <stp>FS=MRC</stp>
        <stp>CURRENCY=USD</stp>
        <stp>XLFILL=b</stp>
        <tr r="AK45" s="2"/>
      </tp>
      <tp t="s">
        <v/>
        <stp/>
        <stp>##V3_BQLV12</stp>
        <stp>[MODL_CRM_US1.xlsx]Single Period!R135C43</stp>
        <stp>CRM US Equity</stp>
        <stp>CB_BS_OTHER_NONCURRENT_LIABS/1M</stp>
        <stp>FPR=2022Y</stp>
        <stp>FPT=A</stp>
        <stp>FA_ACT_EST_DATA=E, EST_SOURCE=DWI</stp>
        <stp>ACT_EST_MAPPING=PRECISE</stp>
        <stp>FS=MRC</stp>
        <stp>CURRENCY=USD</stp>
        <stp>XLFILL=b</stp>
        <tr r="AQ135" s="2"/>
      </tp>
      <tp t="s">
        <v/>
        <stp/>
        <stp>##V3_BQLV12</stp>
        <stp>[MODL_CRM_US1.xlsx]Single Period!R87C42</stp>
        <stp>CRM US Equity</stp>
        <stp>IS_EBIT_AS_REPORTED/1M</stp>
        <stp>FPR=2022Y</stp>
        <stp>FPT=A</stp>
        <stp>FA_ACT_EST_DATA=E, EST_SOURCE=PSG</stp>
        <stp>ACT_EST_MAPPING=PRECISE</stp>
        <stp>FS=MRC</stp>
        <stp>CURRENCY=USD</stp>
        <stp>XLFILL=b</stp>
        <tr r="AP87" s="2"/>
      </tp>
      <tp t="s">
        <v/>
        <stp/>
        <stp>##V3_BQLV12</stp>
        <stp>[MODL_CRM_US1.xlsx]Single Period!R121C54</stp>
        <stp>CRM US Equity</stp>
        <stp>CB_BS_INTANG_ASSETS_EX_GW_NT/1M</stp>
        <stp>FPR=2022Y</stp>
        <stp>FPT=A</stp>
        <stp>FA_ACT_EST_DATA=E, EST_SOURCE=ARE</stp>
        <stp>ACT_EST_MAPPING=PRECISE</stp>
        <stp>FS=MRC</stp>
        <stp>CURRENCY=USD</stp>
        <stp>XLFILL=b</stp>
        <tr r="BB121" s="2"/>
      </tp>
      <tp>
        <v>90188.902489366752</v>
        <stp/>
        <stp>##V3_BQLV12</stp>
        <stp>[MODL_CRM_US1.xlsx]Single Period!R125C15</stp>
        <stp>CRM US Equity</stp>
        <stp>BS_TOT_ASSET/1M</stp>
        <stp>FPR=2022Y</stp>
        <stp>FPT=A</stp>
        <stp>FA_ACT_EST_DATA=E, EST_SOURCE=MSV</stp>
        <stp>ACT_EST_MAPPING=PRECISE</stp>
        <stp>FS=MRC</stp>
        <stp>CURRENCY=USD</stp>
        <stp>XLFILL=b</stp>
        <tr r="O125" s="2"/>
      </tp>
      <tp t="s">
        <v/>
        <stp/>
        <stp>##V3_BQLV12</stp>
        <stp>[MODL_CRM_US1.xlsx]Single Period!R142C22</stp>
        <stp>CRM US Equity</stp>
        <stp>BS_TOT_ASSET/1M</stp>
        <stp>FPR=2022Y</stp>
        <stp>FPT=A</stp>
        <stp>FA_ACT_EST_DATA=E, EST_SOURCE=OPY</stp>
        <stp>ACT_EST_MAPPING=PRECISE</stp>
        <stp>FS=MRC</stp>
        <stp>CURRENCY=USD</stp>
        <stp>XLFILL=b</stp>
        <tr r="V142" s="2"/>
      </tp>
      <tp t="s">
        <v/>
        <stp/>
        <stp>##V3_BQLV12</stp>
        <stp>[MODL_CRM_US1.xlsx]Single Period!R135C44</stp>
        <stp>CRM US Equity</stp>
        <stp>CB_BS_OTHER_NONCURRENT_LIABS/1M</stp>
        <stp>FPR=2022Y</stp>
        <stp>FPT=A</stp>
        <stp>FA_ACT_EST_DATA=E, EST_SOURCE=RWB</stp>
        <stp>ACT_EST_MAPPING=PRECISE</stp>
        <stp>FS=MRC</stp>
        <stp>CURRENCY=USD</stp>
        <stp>XLFILL=b</stp>
        <tr r="AR135" s="2"/>
      </tp>
      <tp>
        <v>34.69478355434206</v>
        <stp/>
        <stp>##V3_BQLV12</stp>
        <stp>[MODL_CRM_US1.xlsx]Single Period!R164C8</stp>
        <stp>CRM US Equity</stp>
        <stp>CONTRIBUTOR_STATS(CHG_IN_ACCT_PYBL_AND_ACC_EXPNSS, STD)/1M</stp>
        <stp>FPR=2022Y</stp>
        <stp>FPT=A</stp>
        <stp>FA_ACT_EST_DATA=E</stp>
        <stp>ACT_EST_MAPPING=PRECISE</stp>
        <stp>FS=MRC</stp>
        <stp>CURRENCY=USD</stp>
        <stp>XLFILL=b</stp>
        <tr r="H164" s="2"/>
      </tp>
      <tp t="s">
        <v/>
        <stp/>
        <stp>##V3_BQLV12</stp>
        <stp>[MODL_CRM_US1.xlsx]Single Period!R179C50</stp>
        <stp>CRM US Equity</stp>
        <stp>CB_CF_NET_CASH_FINANCING_ACT/1M</stp>
        <stp>FPR=2022Y</stp>
        <stp>FPT=A</stp>
        <stp>FA_ACT_EST_DATA=E, EST_SOURCE=MZS</stp>
        <stp>ACT_EST_MAPPING=PRECISE</stp>
        <stp>FS=MRC</stp>
        <stp>CURRENCY=USD</stp>
        <stp>XLFILL=b</stp>
        <tr r="AX179" s="2"/>
      </tp>
      <tp t="s">
        <v/>
        <stp/>
        <stp>##V3_BQLV12</stp>
        <stp>[MODL_CRM_US1.xlsx]Single Period!R124C17</stp>
        <stp>CRM US Equity</stp>
        <stp>CAPITALIZED_SOFTWARE/1M</stp>
        <stp>FPR=2022Y</stp>
        <stp>FPT=A</stp>
        <stp>FA_ACT_EST_DATA=E, EST_SOURCE=NDH</stp>
        <stp>ACT_EST_MAPPING=PRECISE</stp>
        <stp>FS=MRC</stp>
        <stp>CURRENCY=USD</stp>
        <stp>XLFILL=b</stp>
        <tr r="Q124" s="2"/>
      </tp>
      <tp t="s">
        <v/>
        <stp/>
        <stp>##V3_BQLV12</stp>
        <stp>[MODL_CRM_US1.xlsx]Single Period!R121C35</stp>
        <stp>CRM US Equity</stp>
        <stp>CB_BS_INTANG_ASSETS_EX_GW_NT/1M</stp>
        <stp>FPR=2022Y</stp>
        <stp>FPT=A</stp>
        <stp>FA_ACT_EST_DATA=E, EST_SOURCE=ATL</stp>
        <stp>ACT_EST_MAPPING=PRECISE</stp>
        <stp>FS=MRC</stp>
        <stp>CURRENCY=USD</stp>
        <stp>XLFILL=b</stp>
        <tr r="AI121" s="2"/>
      </tp>
      <tp t="s">
        <v/>
        <stp/>
        <stp>##V3_BQLV12</stp>
        <stp>[MODL_CRM_US1.xlsx]Single Period!R136C21</stp>
        <stp>CRM US Equity</stp>
        <stp>BS_TOTAL_LIABILITIES/1M</stp>
        <stp>FPR=2022Y</stp>
        <stp>FPT=A</stp>
        <stp>FA_ACT_EST_DATA=E, EST_SOURCE=RJA</stp>
        <stp>ACT_EST_MAPPING=PRECISE</stp>
        <stp>FS=MRC</stp>
        <stp>CURRENCY=USD</stp>
        <stp>XLFILL=b</stp>
        <tr r="U136" s="2"/>
      </tp>
      <tp t="s">
        <v/>
        <stp/>
        <stp>##V3_BQLV12</stp>
        <stp>[MODL_CRM_US1.xlsx]Single Period!R125C22</stp>
        <stp>CRM US Equity</stp>
        <stp>BS_TOT_ASSET/1M</stp>
        <stp>FPR=2022Y</stp>
        <stp>FPT=A</stp>
        <stp>FA_ACT_EST_DATA=E, EST_SOURCE=OPY</stp>
        <stp>ACT_EST_MAPPING=PRECISE</stp>
        <stp>FS=MRC</stp>
        <stp>CURRENCY=USD</stp>
        <stp>XLFILL=b</stp>
        <tr r="V125" s="2"/>
      </tp>
      <tp t="s">
        <v/>
        <stp/>
        <stp>##V3_BQLV12</stp>
        <stp>[MODL_CRM_US1.xlsx]Single Period!R67C42</stp>
        <stp>CRM US Equity</stp>
        <stp>IS_NON_OPERATING_INC_LOSS_GAAP/1M</stp>
        <stp>FPR=2022Y</stp>
        <stp>FPT=A</stp>
        <stp>FA_ACT_EST_DATA=E, EST_SOURCE=PSG</stp>
        <stp>ACT_EST_MAPPING=PRECISE</stp>
        <stp>FS=MRC</stp>
        <stp>CURRENCY=USD</stp>
        <stp>XLFILL=b</stp>
        <tr r="AP67" s="2"/>
      </tp>
      <tp t="s">
        <v/>
        <stp/>
        <stp>##V3_BQLV12</stp>
        <stp>[MODL_CRM_US1.xlsx]Single Period!R90C44</stp>
        <stp>CRM US Equity</stp>
        <stp>IS_INC_TAX_EXP/1M</stp>
        <stp>FPR=2022Y</stp>
        <stp>FPT=A</stp>
        <stp>FA_ACT_EST_DATA=E, EST_SOURCE=RWB</stp>
        <stp>ACT_EST_MAPPING=PRECISE</stp>
        <stp>FS=MRC</stp>
        <stp>CURRENCY=USD</stp>
        <stp>XLFILL=b</stp>
        <tr r="AR90" s="2"/>
      </tp>
      <tp t="s">
        <v>Frederick Havemeyer</v>
        <stp/>
        <stp>##V3_BQLV12</stp>
        <stp>[MODL_CRM_US1.xlsx]Single Period!R4C36</stp>
        <stp>CRM US Equity</stp>
        <stp>LAST(IS_COMP_SALES(FA_ACT_EST_DATA=E, EST_SOURCE=MAC).analyst_name)</stp>
        <stp>FPR=2022Y</stp>
        <stp>FPT=A</stp>
        <stp>ACT_EST_MAPPING=PRECISE</stp>
        <stp>FS=MRC</stp>
        <stp>CURRENCY=USD</stp>
        <stp>XLFILL=b</stp>
        <tr r="AJ4" s="2"/>
      </tp>
      <tp>
        <v>40.179522919993367</v>
        <stp/>
        <stp>##V3_BQLV12</stp>
        <stp>[MODL_CRM_US1.xlsx]Single Period!R7C8</stp>
        <stp>CRM US Equity</stp>
        <stp>CONTRIBUTOR_STATS(IS_COMP_SALES, STD)/1M</stp>
        <stp>FPR=2022Y</stp>
        <stp>FPT=A</stp>
        <stp>FA_ACT_EST_DATA=E</stp>
        <stp>ACT_EST_MAPPING=PRECISE</stp>
        <stp>FS=MRC</stp>
        <stp>CURRENCY=USD</stp>
        <stp>XLFILL=b</stp>
        <tr r="H7" s="2"/>
      </tp>
      <tp t="s">
        <v/>
        <stp/>
        <stp>##V3_BQLV12</stp>
        <stp>[MODL_CRM_US1.xlsx]Single Period!R90C28</stp>
        <stp>CRM US Equity</stp>
        <stp>IS_INC_TAX_EXP/1M</stp>
        <stp>FPR=2022Y</stp>
        <stp>FPT=A</stp>
        <stp>FA_ACT_EST_DATA=E, EST_SOURCE=CWN</stp>
        <stp>ACT_EST_MAPPING=PRECISE</stp>
        <stp>FS=MRC</stp>
        <stp>CURRENCY=USD</stp>
        <stp>XLFILL=b</stp>
        <tr r="AB90" s="2"/>
      </tp>
      <tp t="s">
        <v/>
        <stp/>
        <stp>##V3_BQLV12</stp>
        <stp>[MODL_CRM_US1.xlsx]Single Period!R90C43</stp>
        <stp>CRM US Equity</stp>
        <stp>IS_INC_TAX_EXP/1M</stp>
        <stp>FPR=2022Y</stp>
        <stp>FPT=A</stp>
        <stp>FA_ACT_EST_DATA=E, EST_SOURCE=DWI</stp>
        <stp>ACT_EST_MAPPING=PRECISE</stp>
        <stp>FS=MRC</stp>
        <stp>CURRENCY=USD</stp>
        <stp>XLFILL=b</stp>
        <tr r="AQ90" s="2"/>
      </tp>
      <tp t="s">
        <v/>
        <stp/>
        <stp>##V3_BQLV12</stp>
        <stp>[MODL_CRM_US1.xlsx]Single Period!R193C33</stp>
        <stp>CRM US Equity</stp>
        <stp>FCF_PER_DIL_SHR</stp>
        <stp>FPR=2022Y</stp>
        <stp>FPT=A</stp>
        <stp>FA_ACT_EST_DATA=E, EST_SOURCE=RHR</stp>
        <stp>ACT_EST_MAPPING=PRECISE</stp>
        <stp>FS=MRC</stp>
        <stp>CURRENCY=USD</stp>
        <stp>XLFILL=b</stp>
        <tr r="AG193" s="2"/>
      </tp>
      <tp t="s">
        <v/>
        <stp/>
        <stp>##V3_BQLV12</stp>
        <stp>[MODL_CRM_US1.xlsx]Single Period!R158C10</stp>
        <stp>CRM US Equity</stp>
        <stp>IS_SBC_NON_GAAP/1M</stp>
        <stp>FPR=2022Y</stp>
        <stp>FPT=A</stp>
        <stp>FA_ACT_EST_DATA=E, EST_SOURCE=CMPY</stp>
        <stp>ACT_EST_MAPPING=PRECISE</stp>
        <stp>FS=MRC</stp>
        <stp>CURRENCY=USD</stp>
        <stp>XLFILL=b</stp>
        <tr r="J158" s="2"/>
      </tp>
      <tp t="s">
        <v/>
        <stp/>
        <stp>##V3_BQLV12</stp>
        <stp>[MODL_CRM_US1.xlsx]Single Period!R84C30</stp>
        <stp>CRM US Equity</stp>
        <stp>RD_EXPEND_TO_NET_SALES</stp>
        <stp>FPR=2022Y</stp>
        <stp>FPT=A</stp>
        <stp>FA_ACT_EST_DATA=E, EST_SOURCE=BAM</stp>
        <stp>ACT_EST_MAPPING=PRECISE</stp>
        <stp>FS=MRC</stp>
        <stp>CURRENCY=USD</stp>
        <stp>XLFILL=b</stp>
        <tr r="AD84" s="2"/>
      </tp>
      <tp t="s">
        <v/>
        <stp/>
        <stp>##V3_BQLV12</stp>
        <stp>[MODL_CRM_US1.xlsx]Single Period!R67C41</stp>
        <stp>CRM US Equity</stp>
        <stp>IS_NON_OPERATING_INC_LOSS_GAAP/1M</stp>
        <stp>FPR=2022Y</stp>
        <stp>FPT=A</stp>
        <stp>FA_ACT_EST_DATA=E, EST_SOURCE=GSR</stp>
        <stp>ACT_EST_MAPPING=PRECISE</stp>
        <stp>FS=MRC</stp>
        <stp>CURRENCY=USD</stp>
        <stp>XLFILL=b</stp>
        <tr r="AO67" s="2"/>
      </tp>
      <tp t="s">
        <v/>
        <stp/>
        <stp>##V3_BQLV12</stp>
        <stp>[MODL_CRM_US1.xlsx]Single Period!R67C38</stp>
        <stp>CRM US Equity</stp>
        <stp>IS_NON_OPERATING_INC_LOSS_GAAP/1M</stp>
        <stp>FPR=2022Y</stp>
        <stp>FPT=A</stp>
        <stp>FA_ACT_EST_DATA=E, EST_SOURCE=MSR</stp>
        <stp>ACT_EST_MAPPING=PRECISE</stp>
        <stp>FS=MRC</stp>
        <stp>CURRENCY=USD</stp>
        <stp>XLFILL=b</stp>
        <tr r="AL67" s="2"/>
      </tp>
      <tp t="s">
        <v/>
        <stp/>
        <stp>##V3_BQLV12</stp>
        <stp>[MODL_CRM_US1.xlsx]Single Period!R84C18</stp>
        <stp>CRM US Equity</stp>
        <stp>RD_EXPEND_TO_NET_SALES</stp>
        <stp>FPR=2022Y</stp>
        <stp>FPT=A</stp>
        <stp>FA_ACT_EST_DATA=E, EST_SOURCE=CAN</stp>
        <stp>ACT_EST_MAPPING=PRECISE</stp>
        <stp>FS=MRC</stp>
        <stp>CURRENCY=USD</stp>
        <stp>XLFILL=b</stp>
        <tr r="R84" s="2"/>
      </tp>
      <tp t="s">
        <v>Keith Eric Weiss</v>
        <stp/>
        <stp>##V3_BQLV12</stp>
        <stp>[MODL_CRM_US1.xlsx]Single Period!R4C38</stp>
        <stp>CRM US Equity</stp>
        <stp>LAST(IS_COMP_SALES(FA_ACT_EST_DATA=E, EST_SOURCE=MSR).analyst_name)</stp>
        <stp>FPR=2022Y</stp>
        <stp>FPT=A</stp>
        <stp>ACT_EST_MAPPING=PRECISE</stp>
        <stp>FS=MRC</stp>
        <stp>CURRENCY=USD</stp>
        <stp>XLFILL=b</stp>
        <tr r="AL4" s="2"/>
      </tp>
      <tp t="s">
        <v>Daniel J Romanoff "Dan"</v>
        <stp/>
        <stp>##V3_BQLV12</stp>
        <stp>[MODL_CRM_US1.xlsx]Single Period!R4C15</stp>
        <stp>CRM US Equity</stp>
        <stp>LAST(IS_COMP_SALES(FA_ACT_EST_DATA=E, EST_SOURCE=MSV).analyst_name)</stp>
        <stp>FPR=2022Y</stp>
        <stp>FPT=A</stp>
        <stp>ACT_EST_MAPPING=PRECISE</stp>
        <stp>FS=MRC</stp>
        <stp>CURRENCY=USD</stp>
        <stp>XLFILL=b</stp>
        <tr r="O4" s="2"/>
      </tp>
      <tp>
        <v>-1005</v>
        <stp/>
        <stp>##V3_BQLV12</stp>
        <stp>[MODL_CRM_US1.xlsx]Single Period!R67C15</stp>
        <stp>CRM US Equity</stp>
        <stp>IS_NON_OPERATING_INC_LOSS_GAAP/1M</stp>
        <stp>FPR=2022Y</stp>
        <stp>FPT=A</stp>
        <stp>FA_ACT_EST_DATA=E, EST_SOURCE=MSV</stp>
        <stp>ACT_EST_MAPPING=PRECISE</stp>
        <stp>FS=MRC</stp>
        <stp>CURRENCY=USD</stp>
        <stp>XLFILL=b</stp>
        <tr r="O67" s="2"/>
      </tp>
      <tp t="s">
        <v>Gregg Moskowitz</v>
        <stp/>
        <stp>##V3_BQLV12</stp>
        <stp>[MODL_CRM_US1.xlsx]Single Period!R4C50</stp>
        <stp>CRM US Equity</stp>
        <stp>LAST(IS_COMP_SALES(FA_ACT_EST_DATA=E, EST_SOURCE=MZS).analyst_name)</stp>
        <stp>FPR=2022Y</stp>
        <stp>FPT=A</stp>
        <stp>ACT_EST_MAPPING=PRECISE</stp>
        <stp>FS=MRC</stp>
        <stp>CURRENCY=USD</stp>
        <stp>XLFILL=b</stp>
        <tr r="AX4" s="2"/>
      </tp>
      <tp t="s">
        <v/>
        <stp/>
        <stp>##V3_BQLV12</stp>
        <stp>[MODL_CRM_US1.xlsx]Single Period!R84C36</stp>
        <stp>CRM US Equity</stp>
        <stp>RD_EXPEND_TO_NET_SALES</stp>
        <stp>FPR=2022Y</stp>
        <stp>FPT=A</stp>
        <stp>FA_ACT_EST_DATA=E, EST_SOURCE=MAC</stp>
        <stp>ACT_EST_MAPPING=PRECISE</stp>
        <stp>FS=MRC</stp>
        <stp>CURRENCY=USD</stp>
        <stp>XLFILL=b</stp>
        <tr r="AJ84" s="2"/>
      </tp>
      <tp>
        <v>1850</v>
        <stp/>
        <stp>##V3_BQLV12</stp>
        <stp>[MODL_CRM_US1.xlsx]Single Period!R119C6</stp>
        <stp>CRM US Equity</stp>
        <stp>CONTRIBUTOR_STATS(CB_BS_OTHER_NONCURRENT_ASSETS, MIN)/1M</stp>
        <stp>FPR=2022Y</stp>
        <stp>FPT=A</stp>
        <stp>FA_ACT_EST_DATA=E</stp>
        <stp>ACT_EST_MAPPING=PRECISE</stp>
        <stp>FS=MRC</stp>
        <stp>CURRENCY=USD</stp>
        <stp>XLFILL=b</stp>
        <tr r="F119" s="2"/>
      </tp>
      <tp>
        <v>3250</v>
        <stp/>
        <stp>##V3_BQLV12</stp>
        <stp>[MODL_CRM_US1.xlsx]Single Period!R123C7</stp>
        <stp>CRM US Equity</stp>
        <stp>CONTRIBUTOR_STATS(TOT_OPER_LEA_RT_OF_USE_ASSETS, MAX)/1M</stp>
        <stp>FPR=2022Y</stp>
        <stp>FPT=A</stp>
        <stp>FA_ACT_EST_DATA=E</stp>
        <stp>ACT_EST_MAPPING=PRECISE</stp>
        <stp>FS=MRC</stp>
        <stp>CURRENCY=USD</stp>
        <stp>XLFILL=b</stp>
        <tr r="G123" s="2"/>
      </tp>
      <tp>
        <v>7.2447646582048586</v>
        <stp/>
        <stp>##V3_BQLV12</stp>
        <stp>[MODL_CRM_US1.xlsx]Single Period!R147C8</stp>
        <stp>CRM US Equity</stp>
        <stp>CONTRIBUTOR_STATS(BV_PER_WEIGHTED_DILUTED_SHARE, STD)</stp>
        <stp>FPR=2022Y</stp>
        <stp>FPT=A</stp>
        <stp>FA_ACT_EST_DATA=E</stp>
        <stp>ACT_EST_MAPPING=PRECISE</stp>
        <stp>FS=MRC</stp>
        <stp>CURRENCY=USD</stp>
        <stp>XLFILL=b</stp>
        <tr r="H147" s="2"/>
      </tp>
      <tp>
        <v>4.68</v>
        <stp/>
        <stp>##V3_BQLV12</stp>
        <stp>[MODL_CRM_US1.xlsx]Single Period!R6C9</stp>
        <stp>CRM US Equity</stp>
        <stp>CONTRIBUTOR_STATS(IS_COMP_EPS_EXCL_STOCK_COMP, MEDIAN)</stp>
        <stp>FPR=2022Y</stp>
        <stp>FPT=A</stp>
        <stp>FA_ACT_EST_DATA=E</stp>
        <stp>ACT_EST_MAPPING=PRECISE</stp>
        <stp>FS=MRC</stp>
        <stp>CURRENCY=USD</stp>
        <stp>XLFILL=b</stp>
        <tr r="I6" s="2"/>
      </tp>
      <tp>
        <v>26414</v>
        <stp/>
        <stp>##V3_BQLV12</stp>
        <stp>[MODL_CRM_US1.xlsx]Single Period!R7C28</stp>
        <stp>CRM US Equity</stp>
        <stp>IS_COMP_SALES/1M</stp>
        <stp>FPR=2022Y</stp>
        <stp>FPT=A</stp>
        <stp>FA_ACT_EST_DATA=E, EST_SOURCE=CWN</stp>
        <stp>ACT_EST_MAPPING=PRECISE</stp>
        <stp>FS=MRC</stp>
        <stp>CURRENCY=USD</stp>
        <stp>XLFILL=b</stp>
        <tr r="AB7" s="2"/>
      </tp>
      <tp>
        <v>386.01817552647782</v>
        <stp/>
        <stp>##V3_BQLV12</stp>
        <stp>[MODL_CRM_US1.xlsx]Single Period!R103C9</stp>
        <stp>CRM US Equity</stp>
        <stp>CONTRIBUTOR_STATS(IS_SBC_ATT_TO_GENL_AND_ADMIN_PRETX, MEDIAN)/1M</stp>
        <stp>FPR=2022Y</stp>
        <stp>FPT=A</stp>
        <stp>FA_ACT_EST_DATA=E</stp>
        <stp>ACT_EST_MAPPING=PRECISE</stp>
        <stp>FS=MRC</stp>
        <stp>CURRENCY=USD</stp>
        <stp>XLFILL=b</stp>
        <tr r="I103" s="2"/>
      </tp>
      <tp t="s">
        <v/>
        <stp/>
        <stp>##V3_BQLV12</stp>
        <stp>[MODL_CRM_US1.xlsx]Single Period!R124C47</stp>
        <stp>CRM US Equity</stp>
        <stp>CAPITALIZED_SOFTWARE/1M</stp>
        <stp>FPR=2022Y</stp>
        <stp>FPT=A</stp>
        <stp>FA_ACT_EST_DATA=E, EST_SOURCE=WFT</stp>
        <stp>ACT_EST_MAPPING=PRECISE</stp>
        <stp>FS=MRC</stp>
        <stp>CURRENCY=USD</stp>
        <stp>XLFILL=b</stp>
        <tr r="AU124" s="2"/>
      </tp>
      <tp t="s">
        <v/>
        <stp/>
        <stp>##V3_BQLV12</stp>
        <stp>[MODL_CRM_US1.xlsx]Single Period!R125C28</stp>
        <stp>CRM US Equity</stp>
        <stp>BS_TOT_ASSET/1M</stp>
        <stp>FPR=2022Y</stp>
        <stp>FPT=A</stp>
        <stp>FA_ACT_EST_DATA=E, EST_SOURCE=CWN</stp>
        <stp>ACT_EST_MAPPING=PRECISE</stp>
        <stp>FS=MRC</stp>
        <stp>CURRENCY=USD</stp>
        <stp>XLFILL=b</stp>
        <tr r="AB125" s="2"/>
      </tp>
      <tp t="s">
        <v/>
        <stp/>
        <stp>##V3_BQLV12</stp>
        <stp>[MODL_CRM_US1.xlsx]Single Period!R142C28</stp>
        <stp>CRM US Equity</stp>
        <stp>BS_TOT_ASSET/1M</stp>
        <stp>FPR=2022Y</stp>
        <stp>FPT=A</stp>
        <stp>FA_ACT_EST_DATA=E, EST_SOURCE=CWN</stp>
        <stp>ACT_EST_MAPPING=PRECISE</stp>
        <stp>FS=MRC</stp>
        <stp>CURRENCY=USD</stp>
        <stp>XLFILL=b</stp>
        <tr r="AB142" s="2"/>
      </tp>
      <tp t="s">
        <v/>
        <stp/>
        <stp>##V3_BQLV12</stp>
        <stp>[MODL_CRM_US1.xlsx]Single Period!R136C25</stp>
        <stp>CRM US Equity</stp>
        <stp>BS_TOTAL_LIABILITIES/1M</stp>
        <stp>FPR=2022Y</stp>
        <stp>FPT=A</stp>
        <stp>FA_ACT_EST_DATA=E, EST_SOURCE=WMS</stp>
        <stp>ACT_EST_MAPPING=PRECISE</stp>
        <stp>FS=MRC</stp>
        <stp>CURRENCY=USD</stp>
        <stp>XLFILL=b</stp>
        <tr r="Y136" s="2"/>
      </tp>
      <tp t="s">
        <v/>
        <stp/>
        <stp>##V3_BQLV12</stp>
        <stp>[MODL_CRM_US1.xlsx]Single Period!R136C14</stp>
        <stp>CRM US Equity</stp>
        <stp>BS_TOTAL_LIABILITIES/1M</stp>
        <stp>FPR=2022Y</stp>
        <stp>FPT=A</stp>
        <stp>FA_ACT_EST_DATA=E, EST_SOURCE=SNR</stp>
        <stp>ACT_EST_MAPPING=PRECISE</stp>
        <stp>FS=MRC</stp>
        <stp>CURRENCY=USD</stp>
        <stp>XLFILL=b</stp>
        <tr r="N136" s="2"/>
      </tp>
      <tp t="s">
        <v/>
        <stp/>
        <stp>##V3_BQLV12</stp>
        <stp>[MODL_CRM_US1.xlsx]Single Period!R121C38</stp>
        <stp>CRM US Equity</stp>
        <stp>CB_BS_INTANG_ASSETS_EX_GW_NT/1M</stp>
        <stp>FPR=2022Y</stp>
        <stp>FPT=A</stp>
        <stp>FA_ACT_EST_DATA=E, EST_SOURCE=MSR</stp>
        <stp>ACT_EST_MAPPING=PRECISE</stp>
        <stp>FS=MRC</stp>
        <stp>CURRENCY=USD</stp>
        <stp>XLFILL=b</stp>
        <tr r="AL121" s="2"/>
      </tp>
      <tp t="s">
        <v/>
        <stp/>
        <stp>##V3_BQLV12</stp>
        <stp>[MODL_CRM_US1.xlsx]Single Period!R106C17</stp>
        <stp>CRM US Equity</stp>
        <stp>IS_AMORT_ACQD_INTANG_S_AND_M/1M</stp>
        <stp>FPR=2022Y</stp>
        <stp>FPT=A</stp>
        <stp>FA_ACT_EST_DATA=E, EST_SOURCE=NDH</stp>
        <stp>ACT_EST_MAPPING=PRECISE</stp>
        <stp>FS=MRC</stp>
        <stp>CURRENCY=USD</stp>
        <stp>XLFILL=b</stp>
        <tr r="Q106" s="2"/>
      </tp>
      <tp t="s">
        <v/>
        <stp/>
        <stp>##V3_BQLV12</stp>
        <stp>[MODL_CRM_US1.xlsx]Single Period!R136C20</stp>
        <stp>CRM US Equity</stp>
        <stp>BS_TOTAL_LIABILITIES/1M</stp>
        <stp>FPR=2022Y</stp>
        <stp>FPT=A</stp>
        <stp>FA_ACT_EST_DATA=E, EST_SOURCE=JMP</stp>
        <stp>ACT_EST_MAPPING=PRECISE</stp>
        <stp>FS=MRC</stp>
        <stp>CURRENCY=USD</stp>
        <stp>XLFILL=b</stp>
        <tr r="T136" s="2"/>
      </tp>
      <tp>
        <v>582</v>
        <stp/>
        <stp>##V3_BQLV12</stp>
        <stp>[MODL_CRM_US1.xlsx]Single Period!R124C13</stp>
        <stp>CRM US Equity</stp>
        <stp>CAPITALIZED_SOFTWARE/1M</stp>
        <stp>FPR=2022Y</stp>
        <stp>FPT=A</stp>
        <stp>FA_ACT_EST_DATA=E, EST_SOURCE=BCA</stp>
        <stp>ACT_EST_MAPPING=PRECISE</stp>
        <stp>FS=MRC</stp>
        <stp>CURRENCY=USD</stp>
        <stp>XLFILL=b</stp>
        <tr r="M124" s="2"/>
      </tp>
      <tp t="s">
        <v/>
        <stp/>
        <stp>##V3_BQLV12</stp>
        <stp>[MODL_CRM_US1.xlsx]Single Period!R125C37</stp>
        <stp>CRM US Equity</stp>
        <stp>BS_TOT_ASSET/1M</stp>
        <stp>FPR=2022Y</stp>
        <stp>FPT=A</stp>
        <stp>FA_ACT_EST_DATA=E, EST_SOURCE=EVR</stp>
        <stp>ACT_EST_MAPPING=PRECISE</stp>
        <stp>FS=MRC</stp>
        <stp>CURRENCY=USD</stp>
        <stp>XLFILL=b</stp>
        <tr r="AK125" s="2"/>
      </tp>
      <tp t="s">
        <v/>
        <stp/>
        <stp>##V3_BQLV12</stp>
        <stp>[MODL_CRM_US1.xlsx]Single Period!R124C36</stp>
        <stp>CRM US Equity</stp>
        <stp>CAPITALIZED_SOFTWARE/1M</stp>
        <stp>FPR=2022Y</stp>
        <stp>FPT=A</stp>
        <stp>FA_ACT_EST_DATA=E, EST_SOURCE=MAC</stp>
        <stp>ACT_EST_MAPPING=PRECISE</stp>
        <stp>FS=MRC</stp>
        <stp>CURRENCY=USD</stp>
        <stp>XLFILL=b</stp>
        <tr r="AJ124" s="2"/>
      </tp>
      <tp t="s">
        <v/>
        <stp/>
        <stp>##V3_BQLV12</stp>
        <stp>[MODL_CRM_US1.xlsx]Single Period!R58C18</stp>
        <stp>CRM US Equity</stp>
        <stp>CB_IS_ADJUSTED_OPEX/1M</stp>
        <stp>FPR=2022Y</stp>
        <stp>FPT=A</stp>
        <stp>FA_ACT_EST_DATA=E, EST_SOURCE=CAN</stp>
        <stp>ACT_EST_MAPPING=PRECISE</stp>
        <stp>FS=MRC</stp>
        <stp>CURRENCY=USD</stp>
        <stp>XLFILL=b</stp>
        <tr r="R58" s="2"/>
      </tp>
      <tp t="s">
        <v/>
        <stp/>
        <stp>##V3_BQLV12</stp>
        <stp>[MODL_CRM_US1.xlsx]Single Period!R142C37</stp>
        <stp>CRM US Equity</stp>
        <stp>BS_TOT_ASSET/1M</stp>
        <stp>FPR=2022Y</stp>
        <stp>FPT=A</stp>
        <stp>FA_ACT_EST_DATA=E, EST_SOURCE=EVR</stp>
        <stp>ACT_EST_MAPPING=PRECISE</stp>
        <stp>FS=MRC</stp>
        <stp>CURRENCY=USD</stp>
        <stp>XLFILL=b</stp>
        <tr r="AK142" s="2"/>
      </tp>
      <tp t="s">
        <v/>
        <stp/>
        <stp>##V3_BQLV12</stp>
        <stp>[MODL_CRM_US1.xlsx]Single Period!R58C30</stp>
        <stp>CRM US Equity</stp>
        <stp>CB_IS_ADJUSTED_OPEX/1M</stp>
        <stp>FPR=2022Y</stp>
        <stp>FPT=A</stp>
        <stp>FA_ACT_EST_DATA=E, EST_SOURCE=BAM</stp>
        <stp>ACT_EST_MAPPING=PRECISE</stp>
        <stp>FS=MRC</stp>
        <stp>CURRENCY=USD</stp>
        <stp>XLFILL=b</stp>
        <tr r="AD58" s="2"/>
      </tp>
      <tp t="s">
        <v/>
        <stp/>
        <stp>##V3_BQLV12</stp>
        <stp>[MODL_CRM_US1.xlsx]Single Period!R87C46</stp>
        <stp>CRM US Equity</stp>
        <stp>IS_EBIT_AS_REPORTED/1M</stp>
        <stp>FPR=2022Y</stp>
        <stp>FPT=A</stp>
        <stp>FA_ACT_EST_DATA=E, EST_SOURCE=CTI</stp>
        <stp>ACT_EST_MAPPING=PRECISE</stp>
        <stp>FS=MRC</stp>
        <stp>CURRENCY=USD</stp>
        <stp>XLFILL=b</stp>
        <tr r="AT87" s="2"/>
      </tp>
      <tp t="s">
        <v/>
        <stp/>
        <stp>##V3_BQLV12</stp>
        <stp>[MODL_CRM_US1.xlsx]Single Period!R124C19</stp>
        <stp>CRM US Equity</stp>
        <stp>CAPITALIZED_SOFTWARE/1M</stp>
        <stp>FPR=2022Y</stp>
        <stp>FPT=A</stp>
        <stp>FA_ACT_EST_DATA=E, EST_SOURCE=SCB</stp>
        <stp>ACT_EST_MAPPING=PRECISE</stp>
        <stp>FS=MRC</stp>
        <stp>CURRENCY=USD</stp>
        <stp>XLFILL=b</stp>
        <tr r="S124" s="2"/>
      </tp>
      <tp t="s">
        <v/>
        <stp/>
        <stp>##V3_BQLV12</stp>
        <stp>[MODL_CRM_US1.xlsx]Single Period!R121C46</stp>
        <stp>CRM US Equity</stp>
        <stp>CB_BS_INTANG_ASSETS_EX_GW_NT/1M</stp>
        <stp>FPR=2022Y</stp>
        <stp>FPT=A</stp>
        <stp>FA_ACT_EST_DATA=E, EST_SOURCE=CTI</stp>
        <stp>ACT_EST_MAPPING=PRECISE</stp>
        <stp>FS=MRC</stp>
        <stp>CURRENCY=USD</stp>
        <stp>XLFILL=b</stp>
        <tr r="AT121" s="2"/>
      </tp>
      <tp t="s">
        <v/>
        <stp/>
        <stp>##V3_BQLV12</stp>
        <stp>[MODL_CRM_US1.xlsx]Single Period!R58C36</stp>
        <stp>CRM US Equity</stp>
        <stp>CB_IS_ADJUSTED_OPEX/1M</stp>
        <stp>FPR=2022Y</stp>
        <stp>FPT=A</stp>
        <stp>FA_ACT_EST_DATA=E, EST_SOURCE=MAC</stp>
        <stp>ACT_EST_MAPPING=PRECISE</stp>
        <stp>FS=MRC</stp>
        <stp>CURRENCY=USD</stp>
        <stp>XLFILL=b</stp>
        <tr r="AJ58" s="2"/>
      </tp>
      <tp t="s">
        <v/>
        <stp/>
        <stp>##V3_BQLV12</stp>
        <stp>[MODL_CRM_US1.xlsx]Single Period!R87C35</stp>
        <stp>CRM US Equity</stp>
        <stp>IS_EBIT_AS_REPORTED/1M</stp>
        <stp>FPR=2022Y</stp>
        <stp>FPT=A</stp>
        <stp>FA_ACT_EST_DATA=E, EST_SOURCE=ATL</stp>
        <stp>ACT_EST_MAPPING=PRECISE</stp>
        <stp>FS=MRC</stp>
        <stp>CURRENCY=USD</stp>
        <stp>XLFILL=b</stp>
        <tr r="AI87" s="2"/>
      </tp>
      <tp t="s">
        <v/>
        <stp/>
        <stp>##V3_BQLV12</stp>
        <stp>[MODL_CRM_US1.xlsx]Single Period!R124C30</stp>
        <stp>CRM US Equity</stp>
        <stp>CAPITALIZED_SOFTWARE/1M</stp>
        <stp>FPR=2022Y</stp>
        <stp>FPT=A</stp>
        <stp>FA_ACT_EST_DATA=E, EST_SOURCE=BAM</stp>
        <stp>ACT_EST_MAPPING=PRECISE</stp>
        <stp>FS=MRC</stp>
        <stp>CURRENCY=USD</stp>
        <stp>XLFILL=b</stp>
        <tr r="AD124" s="2"/>
      </tp>
      <tp>
        <v>2796.3566040000001</v>
        <stp/>
        <stp>##V3_BQLV12</stp>
        <stp>[MODL_CRM_US1.xlsx]Single Period!R99C9</stp>
        <stp>CRM US Equity</stp>
        <stp>CONTRIBUTOR_STATS(IS_SBC_NON_GAAP, MEDIAN)/1M</stp>
        <stp>FPR=2022Y</stp>
        <stp>FPT=A</stp>
        <stp>FA_ACT_EST_DATA=E</stp>
        <stp>ACT_EST_MAPPING=PRECISE</stp>
        <stp>FS=MRC</stp>
        <stp>CURRENCY=USD</stp>
        <stp>XLFILL=b</stp>
        <tr r="I99" s="2"/>
      </tp>
      <tp t="s">
        <v/>
        <stp/>
        <stp>##V3_BQLV12</stp>
        <stp>[MODL_CRM_US1.xlsx]Single Period!R67C54</stp>
        <stp>CRM US Equity</stp>
        <stp>IS_NON_OPERATING_INC_LOSS_GAAP/1M</stp>
        <stp>FPR=2022Y</stp>
        <stp>FPT=A</stp>
        <stp>FA_ACT_EST_DATA=E, EST_SOURCE=ARE</stp>
        <stp>ACT_EST_MAPPING=PRECISE</stp>
        <stp>FS=MRC</stp>
        <stp>CURRENCY=USD</stp>
        <stp>XLFILL=b</stp>
        <tr r="BB67" s="2"/>
      </tp>
      <tp t="s">
        <v>Yun Kim</v>
        <stp/>
        <stp>##V3_BQLV12</stp>
        <stp>[MODL_CRM_US1.xlsx]Single Period!R4C27</stp>
        <stp>CRM US Equity</stp>
        <stp>LAST(IS_COMP_SALES(FA_ACT_EST_DATA=E, EST_SOURCE=LCM).analyst_name)</stp>
        <stp>FPR=2022Y</stp>
        <stp>FPT=A</stp>
        <stp>ACT_EST_MAPPING=PRECISE</stp>
        <stp>FS=MRC</stp>
        <stp>CURRENCY=USD</stp>
        <stp>XLFILL=b</stp>
        <tr r="AA4" s="2"/>
      </tp>
      <tp t="s">
        <v/>
        <stp/>
        <stp>##V3_BQLV12</stp>
        <stp>[MODL_CRM_US1.xlsx]Single Period!R67C45</stp>
        <stp>CRM US Equity</stp>
        <stp>IS_NON_OPERATING_INC_LOSS_GAAP/1M</stp>
        <stp>FPR=2022Y</stp>
        <stp>FPT=A</stp>
        <stp>FA_ACT_EST_DATA=E, EST_SOURCE=ARG</stp>
        <stp>ACT_EST_MAPPING=PRECISE</stp>
        <stp>FS=MRC</stp>
        <stp>CURRENCY=USD</stp>
        <stp>XLFILL=b</stp>
        <tr r="AS67" s="2"/>
      </tp>
      <tp>
        <v>36546.406386666669</v>
        <stp/>
        <stp>##V3_BQLV12</stp>
        <stp>[MODL_CRM_US1.xlsx]Single Period!R136C9</stp>
        <stp>CRM US Equity</stp>
        <stp>CONTRIBUTOR_STATS(BS_TOTAL_LIABILITIES, MEDIAN)/1M</stp>
        <stp>FPR=2022Y</stp>
        <stp>FPT=A</stp>
        <stp>FA_ACT_EST_DATA=E</stp>
        <stp>ACT_EST_MAPPING=PRECISE</stp>
        <stp>FS=MRC</stp>
        <stp>CURRENCY=USD</stp>
        <stp>XLFILL=b</stp>
        <tr r="I136" s="2"/>
      </tp>
      <tp t="s">
        <v/>
        <stp/>
        <stp>##V3_BQLV12</stp>
        <stp>[MODL_CRM_US1.xlsx]Single Period!R90C37</stp>
        <stp>CRM US Equity</stp>
        <stp>IS_INC_TAX_EXP/1M</stp>
        <stp>FPR=2022Y</stp>
        <stp>FPT=A</stp>
        <stp>FA_ACT_EST_DATA=E, EST_SOURCE=EVR</stp>
        <stp>ACT_EST_MAPPING=PRECISE</stp>
        <stp>FS=MRC</stp>
        <stp>CURRENCY=USD</stp>
        <stp>XLFILL=b</stp>
        <tr r="AK90" s="2"/>
      </tp>
      <tp>
        <v>2176</v>
        <stp/>
        <stp>##V3_BQLV12</stp>
        <stp>[MODL_CRM_US1.xlsx]Single Period!R119C7</stp>
        <stp>CRM US Equity</stp>
        <stp>CONTRIBUTOR_STATS(CB_BS_OTHER_NONCURRENT_ASSETS, MAX)/1M</stp>
        <stp>FPR=2022Y</stp>
        <stp>FPT=A</stp>
        <stp>FA_ACT_EST_DATA=E</stp>
        <stp>ACT_EST_MAPPING=PRECISE</stp>
        <stp>FS=MRC</stp>
        <stp>CURRENCY=USD</stp>
        <stp>XLFILL=b</stp>
        <tr r="G119" s="2"/>
      </tp>
      <tp>
        <v>121.9702288370591</v>
        <stp/>
        <stp>##V3_BQLV12</stp>
        <stp>[MODL_CRM_US1.xlsx]Single Period!R157C8</stp>
        <stp>CRM US Equity</stp>
        <stp>CONTRIBUTOR_STATS(CF_AMORTIZATN_OF_DEFRRD_COMPNSTN, STD)/1M</stp>
        <stp>FPR=2022Y</stp>
        <stp>FPT=A</stp>
        <stp>FA_ACT_EST_DATA=E</stp>
        <stp>ACT_EST_MAPPING=PRECISE</stp>
        <stp>FS=MRC</stp>
        <stp>CURRENCY=USD</stp>
        <stp>XLFILL=b</stp>
        <tr r="H157" s="2"/>
      </tp>
      <tp>
        <v>2909</v>
        <stp/>
        <stp>##V3_BQLV12</stp>
        <stp>[MODL_CRM_US1.xlsx]Single Period!R123C6</stp>
        <stp>CRM US Equity</stp>
        <stp>CONTRIBUTOR_STATS(TOT_OPER_LEA_RT_OF_USE_ASSETS, MIN)/1M</stp>
        <stp>FPR=2022Y</stp>
        <stp>FPT=A</stp>
        <stp>FA_ACT_EST_DATA=E</stp>
        <stp>ACT_EST_MAPPING=PRECISE</stp>
        <stp>FS=MRC</stp>
        <stp>CURRENCY=USD</stp>
        <stp>XLFILL=b</stp>
        <tr r="F123" s="2"/>
      </tp>
      <tp>
        <v>286.91989590593869</v>
        <stp/>
        <stp>##V3_BQLV12</stp>
        <stp>[MODL_CRM_US1.xlsx]Single Period!R149C8</stp>
        <stp>CRM US Equity</stp>
        <stp>CONTRIBUTOR_STATS(TOT_FUTURE_REV_UNDER_CONTRACT, STD)/1M</stp>
        <stp>FPR=2022Y</stp>
        <stp>FPT=A</stp>
        <stp>FA_ACT_EST_DATA=E</stp>
        <stp>ACT_EST_MAPPING=PRECISE</stp>
        <stp>FS=MRC</stp>
        <stp>CURRENCY=USD</stp>
        <stp>XLFILL=b</stp>
        <tr r="H149" s="2"/>
      </tp>
      <tp>
        <v>1598.0319999999999</v>
        <stp/>
        <stp>##V3_BQLV12</stp>
        <stp>[MODL_CRM_US1.xlsx]Single Period!R157C7</stp>
        <stp>CRM US Equity</stp>
        <stp>CONTRIBUTOR_STATS(CF_AMORTIZATN_OF_DEFRRD_COMPNSTN, MAX)/1M</stp>
        <stp>FPR=2022Y</stp>
        <stp>FPT=A</stp>
        <stp>FA_ACT_EST_DATA=E</stp>
        <stp>ACT_EST_MAPPING=PRECISE</stp>
        <stp>FS=MRC</stp>
        <stp>CURRENCY=USD</stp>
        <stp>XLFILL=b</stp>
        <tr r="G157" s="2"/>
      </tp>
      <tp>
        <v>992</v>
        <stp/>
        <stp>##V3_BQLV12</stp>
        <stp>[MODL_CRM_US1.xlsx]Single Period!R157C6</stp>
        <stp>CRM US Equity</stp>
        <stp>CONTRIBUTOR_STATS(CF_AMORTIZATN_OF_DEFRRD_COMPNSTN, MIN)/1M</stp>
        <stp>FPR=2022Y</stp>
        <stp>FPT=A</stp>
        <stp>FA_ACT_EST_DATA=E</stp>
        <stp>ACT_EST_MAPPING=PRECISE</stp>
        <stp>FS=MRC</stp>
        <stp>CURRENCY=USD</stp>
        <stp>XLFILL=b</stp>
        <tr r="F157" s="2"/>
      </tp>
      <tp>
        <v>2796.3566040000001</v>
        <stp/>
        <stp>##V3_BQLV12</stp>
        <stp>[MODL_CRM_US1.xlsx]Single Period!R158C9</stp>
        <stp>CRM US Equity</stp>
        <stp>CONTRIBUTOR_STATS(IS_SBC_NON_GAAP, MEDIAN)/1M</stp>
        <stp>FPR=2022Y</stp>
        <stp>FPT=A</stp>
        <stp>FA_ACT_EST_DATA=E</stp>
        <stp>ACT_EST_MAPPING=PRECISE</stp>
        <stp>FS=MRC</stp>
        <stp>CURRENCY=USD</stp>
        <stp>XLFILL=b</stp>
        <tr r="I158" s="2"/>
      </tp>
      <tp t="s">
        <v/>
        <stp/>
        <stp>##V3_BQLV12</stp>
        <stp>[MODL_CRM_US1.xlsx]Single Period!R106C39</stp>
        <stp>CRM US Equity</stp>
        <stp>IS_AMORT_ACQD_INTANG_S_AND_M/1M</stp>
        <stp>FPR=2022Y</stp>
        <stp>FPT=A</stp>
        <stp>FA_ACT_EST_DATA=E, EST_SOURCE=KGI</stp>
        <stp>ACT_EST_MAPPING=PRECISE</stp>
        <stp>FS=MRC</stp>
        <stp>CURRENCY=USD</stp>
        <stp>XLFILL=b</stp>
        <tr r="AM106" s="2"/>
      </tp>
      <tp t="s">
        <v/>
        <stp/>
        <stp>##V3_BQLV12</stp>
        <stp>[MODL_CRM_US1.xlsx]Single Period!R124C52</stp>
        <stp>CRM US Equity</stp>
        <stp>CAPITALIZED_SOFTWARE/1M</stp>
        <stp>FPR=2022Y</stp>
        <stp>FPT=A</stp>
        <stp>FA_ACT_EST_DATA=E, EST_SOURCE=WFR</stp>
        <stp>ACT_EST_MAPPING=PRECISE</stp>
        <stp>FS=MRC</stp>
        <stp>CURRENCY=USD</stp>
        <stp>XLFILL=b</stp>
        <tr r="AZ124" s="2"/>
      </tp>
      <tp t="s">
        <v/>
        <stp/>
        <stp>##V3_BQLV12</stp>
        <stp>[MODL_CRM_US1.xlsx]Single Period!R173C33</stp>
        <stp>CRM US Equity</stp>
        <stp>CB_CF_NET_CASH_INVESTING_ACT/1M</stp>
        <stp>FPR=2022Y</stp>
        <stp>FPT=A</stp>
        <stp>FA_ACT_EST_DATA=E, EST_SOURCE=RHR</stp>
        <stp>ACT_EST_MAPPING=PRECISE</stp>
        <stp>FS=MRC</stp>
        <stp>CURRENCY=USD</stp>
        <stp>XLFILL=b</stp>
        <tr r="AG173" s="2"/>
      </tp>
      <tp t="s">
        <v/>
        <stp/>
        <stp>##V3_BQLV12</stp>
        <stp>[MODL_CRM_US1.xlsx]Single Period!R135C37</stp>
        <stp>CRM US Equity</stp>
        <stp>CB_BS_OTHER_NONCURRENT_LIABS/1M</stp>
        <stp>FPR=2022Y</stp>
        <stp>FPT=A</stp>
        <stp>FA_ACT_EST_DATA=E, EST_SOURCE=EVR</stp>
        <stp>ACT_EST_MAPPING=PRECISE</stp>
        <stp>FS=MRC</stp>
        <stp>CURRENCY=USD</stp>
        <stp>XLFILL=b</stp>
        <tr r="AK135" s="2"/>
      </tp>
      <tp t="s">
        <v/>
        <stp/>
        <stp>##V3_BQLV12</stp>
        <stp>[MODL_CRM_US1.xlsx]Single Period!R45C23</stp>
        <stp>SEG0000269240 Segment</stp>
        <stp>REVENUE_GROWTH_CC_1_YR</stp>
        <stp>FPR=2022Y</stp>
        <stp>FPT=A</stp>
        <stp>FA_ACT_EST_DATA=E, EST_SOURCE=JPM</stp>
        <stp>ACT_EST_MAPPING=PRECISE</stp>
        <stp>FS=MRC</stp>
        <stp>CURRENCY=USD</stp>
        <stp>XLFILL=b</stp>
        <tr r="W45" s="2"/>
      </tp>
      <tp t="s">
        <v/>
        <stp/>
        <stp>##V3_BQLV12</stp>
        <stp>[MODL_CRM_US1.xlsx]Single Period!R124C16</stp>
        <stp>CRM US Equity</stp>
        <stp>CAPITALIZED_SOFTWARE/1M</stp>
        <stp>FPR=2022Y</stp>
        <stp>FPT=A</stp>
        <stp>FA_ACT_EST_DATA=E, EST_SOURCE=DBG</stp>
        <stp>ACT_EST_MAPPING=PRECISE</stp>
        <stp>FS=MRC</stp>
        <stp>CURRENCY=USD</stp>
        <stp>XLFILL=b</stp>
        <tr r="P124" s="2"/>
      </tp>
      <tp t="s">
        <v/>
        <stp/>
        <stp>##V3_BQLV12</stp>
        <stp>[MODL_CRM_US1.xlsx]Single Period!R136C48</stp>
        <stp>CRM US Equity</stp>
        <stp>BS_TOTAL_LIABILITIES/1M</stp>
        <stp>FPR=2022Y</stp>
        <stp>FPT=A</stp>
        <stp>FA_ACT_EST_DATA=E, EST_SOURCE=PJE</stp>
        <stp>ACT_EST_MAPPING=PRECISE</stp>
        <stp>FS=MRC</stp>
        <stp>CURRENCY=USD</stp>
        <stp>XLFILL=b</stp>
        <tr r="AV136" s="2"/>
      </tp>
      <tp t="s">
        <v/>
        <stp/>
        <stp>##V3_BQLV12</stp>
        <stp>[MODL_CRM_US1.xlsx]Single Period!R167C50</stp>
        <stp>CRM US Equity</stp>
        <stp>CB_CF_NET_CASH_OPERATING_ACT/1M</stp>
        <stp>FPR=2022Y</stp>
        <stp>FPT=A</stp>
        <stp>FA_ACT_EST_DATA=E, EST_SOURCE=MZS</stp>
        <stp>ACT_EST_MAPPING=PRECISE</stp>
        <stp>FS=MRC</stp>
        <stp>CURRENCY=USD</stp>
        <stp>XLFILL=b</stp>
        <tr r="AX167" s="2"/>
      </tp>
      <tp t="s">
        <v/>
        <stp/>
        <stp>##V3_BQLV12</stp>
        <stp>[MODL_CRM_US1.xlsx]Single Period!R135C28</stp>
        <stp>CRM US Equity</stp>
        <stp>CB_BS_OTHER_NONCURRENT_LIABS/1M</stp>
        <stp>FPR=2022Y</stp>
        <stp>FPT=A</stp>
        <stp>FA_ACT_EST_DATA=E, EST_SOURCE=CWN</stp>
        <stp>ACT_EST_MAPPING=PRECISE</stp>
        <stp>FS=MRC</stp>
        <stp>CURRENCY=USD</stp>
        <stp>XLFILL=b</stp>
        <tr r="AB135" s="2"/>
      </tp>
      <tp t="s">
        <v/>
        <stp/>
        <stp>##V3_BQLV12</stp>
        <stp>[MODL_CRM_US1.xlsx]Single Period!R182C50</stp>
        <stp>CRM US Equity</stp>
        <stp>CB_CF_NET_CASH_OPERATING_ACT/1M</stp>
        <stp>FPR=2022Y</stp>
        <stp>FPT=A</stp>
        <stp>FA_ACT_EST_DATA=E, EST_SOURCE=MZS</stp>
        <stp>ACT_EST_MAPPING=PRECISE</stp>
        <stp>FS=MRC</stp>
        <stp>CURRENCY=USD</stp>
        <stp>XLFILL=b</stp>
        <tr r="AX182" s="2"/>
      </tp>
      <tp t="s">
        <v/>
        <stp/>
        <stp>##V3_BQLV12</stp>
        <stp>[MODL_CRM_US1.xlsx]Single Period!R124C11</stp>
        <stp>CRM US Equity</stp>
        <stp>CAPITALIZED_SOFTWARE/1M</stp>
        <stp>FPR=2022Y</stp>
        <stp>FPT=A</stp>
        <stp>FA_ACT_EST_DATA=E, EST_SOURCE=WBL</stp>
        <stp>ACT_EST_MAPPING=PRECISE</stp>
        <stp>FS=MRC</stp>
        <stp>CURRENCY=USD</stp>
        <stp>XLFILL=b</stp>
        <tr r="K124" s="2"/>
      </tp>
      <tp t="s">
        <v/>
        <stp/>
        <stp>##V3_BQLV12</stp>
        <stp>[MODL_CRM_US1.xlsx]Single Period!R45C22</stp>
        <stp>SEG0000269240 Segment</stp>
        <stp>REVENUE_GROWTH_CC_1_YR</stp>
        <stp>FPR=2022Y</stp>
        <stp>FPT=A</stp>
        <stp>FA_ACT_EST_DATA=E, EST_SOURCE=OPY</stp>
        <stp>ACT_EST_MAPPING=PRECISE</stp>
        <stp>FS=MRC</stp>
        <stp>CURRENCY=USD</stp>
        <stp>XLFILL=b</stp>
        <tr r="V45" s="2"/>
      </tp>
      <tp t="s">
        <v/>
        <stp/>
        <stp>##V3_BQLV12</stp>
        <stp>[MODL_CRM_US1.xlsx]Single Period!R124C49</stp>
        <stp>CRM US Equity</stp>
        <stp>CAPITALIZED_SOFTWARE/1M</stp>
        <stp>FPR=2022Y</stp>
        <stp>FPT=A</stp>
        <stp>FA_ACT_EST_DATA=E, EST_SOURCE=SGE</stp>
        <stp>ACT_EST_MAPPING=PRECISE</stp>
        <stp>FS=MRC</stp>
        <stp>CURRENCY=USD</stp>
        <stp>XLFILL=b</stp>
        <tr r="AW124" s="2"/>
      </tp>
      <tp t="s">
        <v/>
        <stp/>
        <stp>##V3_BQLV12</stp>
        <stp>[MODL_CRM_US1.xlsx]Single Period!R84C51</stp>
        <stp>CRM US Equity</stp>
        <stp>RD_EXPEND_TO_NET_SALES</stp>
        <stp>FPR=2022Y</stp>
        <stp>FPT=A</stp>
        <stp>FA_ACT_EST_DATA=E, EST_SOURCE=RCP</stp>
        <stp>ACT_EST_MAPPING=PRECISE</stp>
        <stp>FS=MRC</stp>
        <stp>CURRENCY=USD</stp>
        <stp>XLFILL=b</stp>
        <tr r="AY84" s="2"/>
      </tp>
      <tp t="s">
        <v/>
        <stp/>
        <stp>##V3_BQLV12</stp>
        <stp>[MODL_CRM_US1.xlsx]Single Period!R159C10</stp>
        <stp>CRM US Equity</stp>
        <stp>SBC_NON_GAAP_TO_SALES</stp>
        <stp>FPR=2022Y</stp>
        <stp>FPT=A</stp>
        <stp>FA_ACT_EST_DATA=E, EST_SOURCE=CMPY</stp>
        <stp>ACT_EST_MAPPING=PRECISE</stp>
        <stp>FS=MRC</stp>
        <stp>CURRENCY=USD</stp>
        <stp>XLFILL=b</stp>
        <tr r="J159" s="2"/>
      </tp>
      <tp t="s">
        <v/>
        <stp/>
        <stp>##V3_BQLV12</stp>
        <stp>[MODL_CRM_US1.xlsx]Single Period!R178C10</stp>
        <stp>CRM US Equity</stp>
        <stp>CB_CF_REPAYMENT_LT_DEBT/1M</stp>
        <stp>FPR=2022Y</stp>
        <stp>FPT=A</stp>
        <stp>FA_ACT_EST_DATA=E, EST_SOURCE=CMPY</stp>
        <stp>ACT_EST_MAPPING=PRECISE</stp>
        <stp>FS=MRC</stp>
        <stp>CURRENCY=USD</stp>
        <stp>XLFILL=b</stp>
        <tr r="J178" s="2"/>
      </tp>
      <tp t="s">
        <v/>
        <stp/>
        <stp>##V3_BQLV12</stp>
        <stp>[MODL_CRM_US1.xlsx]Single Period!R84C27</stp>
        <stp>CRM US Equity</stp>
        <stp>RD_EXPEND_TO_NET_SALES</stp>
        <stp>FPR=2022Y</stp>
        <stp>FPT=A</stp>
        <stp>FA_ACT_EST_DATA=E, EST_SOURCE=LCM</stp>
        <stp>ACT_EST_MAPPING=PRECISE</stp>
        <stp>FS=MRC</stp>
        <stp>CURRENCY=USD</stp>
        <stp>XLFILL=b</stp>
        <tr r="AA84" s="2"/>
      </tp>
      <tp t="s">
        <v>Brian Schwartz</v>
        <stp/>
        <stp>##V3_BQLV12</stp>
        <stp>[MODL_CRM_US1.xlsx]Single Period!R4C22</stp>
        <stp>CRM US Equity</stp>
        <stp>LAST(IS_COMP_SALES(FA_ACT_EST_DATA=E, EST_SOURCE=OPY).analyst_name)</stp>
        <stp>FPR=2022Y</stp>
        <stp>FPT=A</stp>
        <stp>ACT_EST_MAPPING=PRECISE</stp>
        <stp>FS=MRC</stp>
        <stp>CURRENCY=USD</stp>
        <stp>XLFILL=b</stp>
        <tr r="V4" s="2"/>
      </tp>
      <tp>
        <v>2034</v>
        <stp/>
        <stp>##V3_BQLV12</stp>
        <stp>[MODL_CRM_US1.xlsx]Single Period!R135C9</stp>
        <stp>CRM US Equity</stp>
        <stp>CONTRIBUTOR_STATS(CB_BS_OTHER_NONCURRENT_LIABS, MEDIAN)/1M</stp>
        <stp>FPR=2022Y</stp>
        <stp>FPT=A</stp>
        <stp>FA_ACT_EST_DATA=E</stp>
        <stp>ACT_EST_MAPPING=PRECISE</stp>
        <stp>FS=MRC</stp>
        <stp>CURRENCY=USD</stp>
        <stp>XLFILL=b</stp>
        <tr r="I135" s="2"/>
      </tp>
      <tp t="s">
        <v/>
        <stp/>
        <stp>##V3_BQLV12</stp>
        <stp>[MODL_CRM_US1.xlsx]Single Period!R84C40</stp>
        <stp>CRM US Equity</stp>
        <stp>RD_EXPEND_TO_NET_SALES</stp>
        <stp>FPR=2022Y</stp>
        <stp>FPT=A</stp>
        <stp>FA_ACT_EST_DATA=E, EST_SOURCE=ACC</stp>
        <stp>ACT_EST_MAPPING=PRECISE</stp>
        <stp>FS=MRC</stp>
        <stp>CURRENCY=USD</stp>
        <stp>XLFILL=b</stp>
        <tr r="AN84" s="2"/>
      </tp>
      <tp>
        <v>16.958025071915031</v>
        <stp/>
        <stp>##V3_BQLV12</stp>
        <stp>[MODL_CRM_US1.xlsx]Single Period!R84C13</stp>
        <stp>CRM US Equity</stp>
        <stp>RD_EXPEND_TO_NET_SALES</stp>
        <stp>FPR=2022Y</stp>
        <stp>FPT=A</stp>
        <stp>FA_ACT_EST_DATA=E, EST_SOURCE=BCA</stp>
        <stp>ACT_EST_MAPPING=PRECISE</stp>
        <stp>FS=MRC</stp>
        <stp>CURRENCY=USD</stp>
        <stp>XLFILL=b</stp>
        <tr r="M84" s="2"/>
      </tp>
      <tp t="s">
        <v/>
        <stp/>
        <stp>##V3_BQLV12</stp>
        <stp>[MODL_CRM_US1.xlsx]Single Period!R84C19</stp>
        <stp>CRM US Equity</stp>
        <stp>RD_EXPEND_TO_NET_SALES</stp>
        <stp>FPR=2022Y</stp>
        <stp>FPT=A</stp>
        <stp>FA_ACT_EST_DATA=E, EST_SOURCE=SCB</stp>
        <stp>ACT_EST_MAPPING=PRECISE</stp>
        <stp>FS=MRC</stp>
        <stp>CURRENCY=USD</stp>
        <stp>XLFILL=b</stp>
        <tr r="S84" s="2"/>
      </tp>
      <tp t="s">
        <v/>
        <stp/>
        <stp>##V3_BQLV12</stp>
        <stp>[MODL_CRM_US1.xlsx]Single Period!R138C10</stp>
        <stp>CRM US Equity</stp>
        <stp>BS_COMMON_STOCK/1M</stp>
        <stp>FPR=2022Y</stp>
        <stp>FPT=A</stp>
        <stp>FA_ACT_EST_DATA=E, EST_SOURCE=CMPY</stp>
        <stp>ACT_EST_MAPPING=PRECISE</stp>
        <stp>FS=MRC</stp>
        <stp>CURRENCY=USD</stp>
        <stp>XLFILL=b</stp>
        <tr r="J138" s="2"/>
      </tp>
      <tp>
        <v>-119.22727272727271</v>
        <stp/>
        <stp>##V3_BQLV12</stp>
        <stp>[MODL_CRM_US1.xlsx]Single Period!R177C5</stp>
        <stp>CRM US Equity</stp>
        <stp>CB_CF_OTHER_FINANCING_ACTIVITIES/1M</stp>
        <stp>FPR=2022Y</stp>
        <stp>FPT=A</stp>
        <stp>FA_ACT_EST_DATA=E</stp>
        <stp>ACT_EST_MAPPING=PRECISE</stp>
        <stp>FS=MRC</stp>
        <stp>CURRENCY=USD</stp>
        <stp>XLFILL=b</stp>
        <tr r="E177" s="2"/>
      </tp>
      <tp>
        <v>26.170916723074701</v>
        <stp/>
        <stp>##V3_BQLV12</stp>
        <stp>[MODL_CRM_US1.xlsx]Single Period!R164C9</stp>
        <stp>CRM US Equity</stp>
        <stp>CONTRIBUTOR_STATS(CHG_IN_ACCT_PYBL_AND_ACC_EXPNSS, MEDIAN)/1M</stp>
        <stp>FPR=2022Y</stp>
        <stp>FPT=A</stp>
        <stp>FA_ACT_EST_DATA=E</stp>
        <stp>ACT_EST_MAPPING=PRECISE</stp>
        <stp>FS=MRC</stp>
        <stp>CURRENCY=USD</stp>
        <stp>XLFILL=b</stp>
        <tr r="I164" s="2"/>
      </tp>
      <tp>
        <v>-122</v>
        <stp/>
        <stp>##V3_BQLV12</stp>
        <stp>[MODL_CRM_US1.xlsx]Single Period!R140C5</stp>
        <stp>CRM US Equity</stp>
        <stp>BS_ACCUMULATED_OTHER_COMP_INC/1M</stp>
        <stp>FPR=2022Y</stp>
        <stp>FPT=A</stp>
        <stp>FA_ACT_EST_DATA=E</stp>
        <stp>ACT_EST_MAPPING=PRECISE</stp>
        <stp>FS=MRC</stp>
        <stp>CURRENCY=USD</stp>
        <stp>XLFILL=b</stp>
        <tr r="E140" s="2"/>
      </tp>
      <tp t="s">
        <v/>
        <stp/>
        <stp>##V3_BQLV12</stp>
        <stp>[MODL_CRM_US1.xlsx]Single Period!R106C40</stp>
        <stp>CRM US Equity</stp>
        <stp>IS_AMORT_ACQD_INTANG_S_AND_M/1M</stp>
        <stp>FPR=2022Y</stp>
        <stp>FPT=A</stp>
        <stp>FA_ACT_EST_DATA=E, EST_SOURCE=ACC</stp>
        <stp>ACT_EST_MAPPING=PRECISE</stp>
        <stp>FS=MRC</stp>
        <stp>CURRENCY=USD</stp>
        <stp>XLFILL=b</stp>
        <tr r="AN106" s="2"/>
      </tp>
      <tp t="s">
        <v/>
        <stp/>
        <stp>##V3_BQLV12</stp>
        <stp>[MODL_CRM_US1.xlsx]Single Period!R125C42</stp>
        <stp>CRM US Equity</stp>
        <stp>BS_TOT_ASSET/1M</stp>
        <stp>FPR=2022Y</stp>
        <stp>FPT=A</stp>
        <stp>FA_ACT_EST_DATA=E, EST_SOURCE=PSG</stp>
        <stp>ACT_EST_MAPPING=PRECISE</stp>
        <stp>FS=MRC</stp>
        <stp>CURRENCY=USD</stp>
        <stp>XLFILL=b</stp>
        <tr r="AP125" s="2"/>
      </tp>
      <tp t="s">
        <v/>
        <stp/>
        <stp>##V3_BQLV12</stp>
        <stp>[MODL_CRM_US1.xlsx]Single Period!R142C54</stp>
        <stp>CRM US Equity</stp>
        <stp>BS_TOT_ASSET/1M</stp>
        <stp>FPR=2022Y</stp>
        <stp>FPT=A</stp>
        <stp>FA_ACT_EST_DATA=E, EST_SOURCE=ARE</stp>
        <stp>ACT_EST_MAPPING=PRECISE</stp>
        <stp>FS=MRC</stp>
        <stp>CURRENCY=USD</stp>
        <stp>XLFILL=b</stp>
        <tr r="BB142" s="2"/>
      </tp>
      <tp t="s">
        <v/>
        <stp/>
        <stp>##V3_BQLV12</stp>
        <stp>[MODL_CRM_US1.xlsx]Single Period!R87C37</stp>
        <stp>CRM US Equity</stp>
        <stp>IS_EBIT_AS_REPORTED/1M</stp>
        <stp>FPR=2022Y</stp>
        <stp>FPT=A</stp>
        <stp>FA_ACT_EST_DATA=E, EST_SOURCE=EVR</stp>
        <stp>ACT_EST_MAPPING=PRECISE</stp>
        <stp>FS=MRC</stp>
        <stp>CURRENCY=USD</stp>
        <stp>XLFILL=b</stp>
        <tr r="AK87" s="2"/>
      </tp>
      <tp>
        <v>2036</v>
        <stp/>
        <stp>##V3_BQLV12</stp>
        <stp>[MODL_CRM_US1.xlsx]Single Period!R121C15</stp>
        <stp>CRM US Equity</stp>
        <stp>CB_BS_INTANG_ASSETS_EX_GW_NT/1M</stp>
        <stp>FPR=2022Y</stp>
        <stp>FPT=A</stp>
        <stp>FA_ACT_EST_DATA=E, EST_SOURCE=MSV</stp>
        <stp>ACT_EST_MAPPING=PRECISE</stp>
        <stp>FS=MRC</stp>
        <stp>CURRENCY=USD</stp>
        <stp>XLFILL=b</stp>
        <tr r="O121" s="2"/>
      </tp>
      <tp t="s">
        <v/>
        <stp/>
        <stp>##V3_BQLV12</stp>
        <stp>[MODL_CRM_US1.xlsx]Single Period!R125C54</stp>
        <stp>CRM US Equity</stp>
        <stp>BS_TOT_ASSET/1M</stp>
        <stp>FPR=2022Y</stp>
        <stp>FPT=A</stp>
        <stp>FA_ACT_EST_DATA=E, EST_SOURCE=ARE</stp>
        <stp>ACT_EST_MAPPING=PRECISE</stp>
        <stp>FS=MRC</stp>
        <stp>CURRENCY=USD</stp>
        <stp>XLFILL=b</stp>
        <tr r="BB125" s="2"/>
      </tp>
      <tp t="s">
        <v/>
        <stp/>
        <stp>##V3_BQLV12</stp>
        <stp>[MODL_CRM_US1.xlsx]Single Period!R45C42</stp>
        <stp>SEG0000269240 Segment</stp>
        <stp>REVENUE_GROWTH_CC_1_YR</stp>
        <stp>FPR=2022Y</stp>
        <stp>FPT=A</stp>
        <stp>FA_ACT_EST_DATA=E, EST_SOURCE=PSG</stp>
        <stp>ACT_EST_MAPPING=PRECISE</stp>
        <stp>FS=MRC</stp>
        <stp>CURRENCY=USD</stp>
        <stp>XLFILL=b</stp>
        <tr r="AP45" s="2"/>
      </tp>
      <tp t="s">
        <v/>
        <stp/>
        <stp>##V3_BQLV12</stp>
        <stp>[MODL_CRM_US1.xlsx]Single Period!R142C42</stp>
        <stp>CRM US Equity</stp>
        <stp>BS_TOT_ASSET/1M</stp>
        <stp>FPR=2022Y</stp>
        <stp>FPT=A</stp>
        <stp>FA_ACT_EST_DATA=E, EST_SOURCE=PSG</stp>
        <stp>ACT_EST_MAPPING=PRECISE</stp>
        <stp>FS=MRC</stp>
        <stp>CURRENCY=USD</stp>
        <stp>XLFILL=b</stp>
        <tr r="AP142" s="2"/>
      </tp>
      <tp t="s">
        <v/>
        <stp/>
        <stp>##V3_BQLV12</stp>
        <stp>[MODL_CRM_US1.xlsx]Single Period!R142C35</stp>
        <stp>CRM US Equity</stp>
        <stp>BS_TOT_ASSET/1M</stp>
        <stp>FPR=2022Y</stp>
        <stp>FPT=A</stp>
        <stp>FA_ACT_EST_DATA=E, EST_SOURCE=ATL</stp>
        <stp>ACT_EST_MAPPING=PRECISE</stp>
        <stp>FS=MRC</stp>
        <stp>CURRENCY=USD</stp>
        <stp>XLFILL=b</stp>
        <tr r="AI142" s="2"/>
      </tp>
      <tp t="s">
        <v/>
        <stp/>
        <stp>##V3_BQLV12</stp>
        <stp>[MODL_CRM_US1.xlsx]Single Period!R58C51</stp>
        <stp>CRM US Equity</stp>
        <stp>CB_IS_ADJUSTED_OPEX/1M</stp>
        <stp>FPR=2022Y</stp>
        <stp>FPT=A</stp>
        <stp>FA_ACT_EST_DATA=E, EST_SOURCE=RCP</stp>
        <stp>ACT_EST_MAPPING=PRECISE</stp>
        <stp>FS=MRC</stp>
        <stp>CURRENCY=USD</stp>
        <stp>XLFILL=b</stp>
        <tr r="AY58" s="2"/>
      </tp>
      <tp t="s">
        <v/>
        <stp/>
        <stp>##V3_BQLV12</stp>
        <stp>[MODL_CRM_US1.xlsx]Single Period!R121C22</stp>
        <stp>CRM US Equity</stp>
        <stp>CB_BS_INTANG_ASSETS_EX_GW_NT/1M</stp>
        <stp>FPR=2022Y</stp>
        <stp>FPT=A</stp>
        <stp>FA_ACT_EST_DATA=E, EST_SOURCE=OPY</stp>
        <stp>ACT_EST_MAPPING=PRECISE</stp>
        <stp>FS=MRC</stp>
        <stp>CURRENCY=USD</stp>
        <stp>XLFILL=b</stp>
        <tr r="V121" s="2"/>
      </tp>
      <tp t="s">
        <v/>
        <stp/>
        <stp>##V3_BQLV12</stp>
        <stp>[MODL_CRM_US1.xlsx]Single Period!R125C35</stp>
        <stp>CRM US Equity</stp>
        <stp>BS_TOT_ASSET/1M</stp>
        <stp>FPR=2022Y</stp>
        <stp>FPT=A</stp>
        <stp>FA_ACT_EST_DATA=E, EST_SOURCE=ATL</stp>
        <stp>ACT_EST_MAPPING=PRECISE</stp>
        <stp>FS=MRC</stp>
        <stp>CURRENCY=USD</stp>
        <stp>XLFILL=b</stp>
        <tr r="AI125" s="2"/>
      </tp>
      <tp t="s">
        <v/>
        <stp/>
        <stp>##V3_BQLV12</stp>
        <stp>[MODL_CRM_US1.xlsx]Single Period!R142C41</stp>
        <stp>CRM US Equity</stp>
        <stp>BS_TOT_ASSET/1M</stp>
        <stp>FPR=2022Y</stp>
        <stp>FPT=A</stp>
        <stp>FA_ACT_EST_DATA=E, EST_SOURCE=GSR</stp>
        <stp>ACT_EST_MAPPING=PRECISE</stp>
        <stp>FS=MRC</stp>
        <stp>CURRENCY=USD</stp>
        <stp>XLFILL=b</stp>
        <tr r="AO142" s="2"/>
      </tp>
      <tp t="s">
        <v/>
        <stp/>
        <stp>##V3_BQLV12</stp>
        <stp>[MODL_CRM_US1.xlsx]Single Period!R45C41</stp>
        <stp>SEG0000269240 Segment</stp>
        <stp>REVENUE_GROWTH_CC_1_YR</stp>
        <stp>FPR=2022Y</stp>
        <stp>FPT=A</stp>
        <stp>FA_ACT_EST_DATA=E, EST_SOURCE=GSR</stp>
        <stp>ACT_EST_MAPPING=PRECISE</stp>
        <stp>FS=MRC</stp>
        <stp>CURRENCY=USD</stp>
        <stp>XLFILL=b</stp>
        <tr r="AO45" s="2"/>
      </tp>
      <tp t="s">
        <v/>
        <stp/>
        <stp>##V3_BQLV12</stp>
        <stp>[MODL_CRM_US1.xlsx]Single Period!R124C55</stp>
        <stp>CRM US Equity</stp>
        <stp>CAPITALIZED_SOFTWARE/1M</stp>
        <stp>FPR=2022Y</stp>
        <stp>FPT=A</stp>
        <stp>FA_ACT_EST_DATA=E, EST_SOURCE=RED</stp>
        <stp>ACT_EST_MAPPING=PRECISE</stp>
        <stp>FS=MRC</stp>
        <stp>CURRENCY=USD</stp>
        <stp>XLFILL=b</stp>
        <tr r="BC124" s="2"/>
      </tp>
      <tp t="s">
        <v/>
        <stp/>
        <stp>##V3_BQLV12</stp>
        <stp>[MODL_CRM_US1.xlsx]Single Period!R45C15</stp>
        <stp>SEG0000269240 Segment</stp>
        <stp>REVENUE_GROWTH_CC_1_YR</stp>
        <stp>FPR=2022Y</stp>
        <stp>FPT=A</stp>
        <stp>FA_ACT_EST_DATA=E, EST_SOURCE=MSV</stp>
        <stp>ACT_EST_MAPPING=PRECISE</stp>
        <stp>FS=MRC</stp>
        <stp>CURRENCY=USD</stp>
        <stp>XLFILL=b</stp>
        <tr r="O45" s="2"/>
      </tp>
      <tp t="s">
        <v/>
        <stp/>
        <stp>##V3_BQLV12</stp>
        <stp>[MODL_CRM_US1.xlsx]Single Period!R124C24</stp>
        <stp>CRM US Equity</stp>
        <stp>CAPITALIZED_SOFTWARE/1M</stp>
        <stp>FPR=2022Y</stp>
        <stp>FPT=A</stp>
        <stp>FA_ACT_EST_DATA=E, EST_SOURCE=FBC</stp>
        <stp>ACT_EST_MAPPING=PRECISE</stp>
        <stp>FS=MRC</stp>
        <stp>CURRENCY=USD</stp>
        <stp>XLFILL=b</stp>
        <tr r="X124" s="2"/>
      </tp>
      <tp t="s">
        <v/>
        <stp/>
        <stp>##V3_BQLV12</stp>
        <stp>[MODL_CRM_US1.xlsx]Single Period!R124C18</stp>
        <stp>CRM US Equity</stp>
        <stp>CAPITALIZED_SOFTWARE/1M</stp>
        <stp>FPR=2022Y</stp>
        <stp>FPT=A</stp>
        <stp>FA_ACT_EST_DATA=E, EST_SOURCE=CAN</stp>
        <stp>ACT_EST_MAPPING=PRECISE</stp>
        <stp>FS=MRC</stp>
        <stp>CURRENCY=USD</stp>
        <stp>XLFILL=b</stp>
        <tr r="R124" s="2"/>
      </tp>
      <tp t="s">
        <v/>
        <stp/>
        <stp>##V3_BQLV12</stp>
        <stp>[MODL_CRM_US1.xlsx]Single Period!R45C38</stp>
        <stp>SEG0000269240 Segment</stp>
        <stp>REVENUE_GROWTH_CC_1_YR</stp>
        <stp>FPR=2022Y</stp>
        <stp>FPT=A</stp>
        <stp>FA_ACT_EST_DATA=E, EST_SOURCE=MSR</stp>
        <stp>ACT_EST_MAPPING=PRECISE</stp>
        <stp>FS=MRC</stp>
        <stp>CURRENCY=USD</stp>
        <stp>XLFILL=b</stp>
        <tr r="AL45" s="2"/>
      </tp>
      <tp t="s">
        <v/>
        <stp/>
        <stp>##V3_BQLV12</stp>
        <stp>[MODL_CRM_US1.xlsx]Single Period!R58C27</stp>
        <stp>CRM US Equity</stp>
        <stp>CB_IS_ADJUSTED_OPEX/1M</stp>
        <stp>FPR=2022Y</stp>
        <stp>FPT=A</stp>
        <stp>FA_ACT_EST_DATA=E, EST_SOURCE=LCM</stp>
        <stp>ACT_EST_MAPPING=PRECISE</stp>
        <stp>FS=MRC</stp>
        <stp>CURRENCY=USD</stp>
        <stp>XLFILL=b</stp>
        <tr r="AA58" s="2"/>
      </tp>
      <tp t="s">
        <v/>
        <stp/>
        <stp>##V3_BQLV12</stp>
        <stp>[MODL_CRM_US1.xlsx]Single Period!R78C50</stp>
        <stp>CRM US Equity</stp>
        <stp>COGS_TO_NET_SALES</stp>
        <stp>FPR=2022Y</stp>
        <stp>FPT=A</stp>
        <stp>FA_ACT_EST_DATA=E, EST_SOURCE=MZS</stp>
        <stp>ACT_EST_MAPPING=PRECISE</stp>
        <stp>FS=MRC</stp>
        <stp>CURRENCY=USD</stp>
        <stp>XLFILL=b</stp>
        <tr r="AX78" s="2"/>
      </tp>
      <tp t="s">
        <v/>
        <stp/>
        <stp>##V3_BQLV12</stp>
        <stp>[MODL_CRM_US1.xlsx]Single Period!R125C41</stp>
        <stp>CRM US Equity</stp>
        <stp>BS_TOT_ASSET/1M</stp>
        <stp>FPR=2022Y</stp>
        <stp>FPT=A</stp>
        <stp>FA_ACT_EST_DATA=E, EST_SOURCE=GSR</stp>
        <stp>ACT_EST_MAPPING=PRECISE</stp>
        <stp>FS=MRC</stp>
        <stp>CURRENCY=USD</stp>
        <stp>XLFILL=b</stp>
        <tr r="AO125" s="2"/>
      </tp>
      <tp t="s">
        <v/>
        <stp/>
        <stp>##V3_BQLV12</stp>
        <stp>[MODL_CRM_US1.xlsx]Single Period!R121C23</stp>
        <stp>CRM US Equity</stp>
        <stp>CB_BS_INTANG_ASSETS_EX_GW_NT/1M</stp>
        <stp>FPR=2022Y</stp>
        <stp>FPT=A</stp>
        <stp>FA_ACT_EST_DATA=E, EST_SOURCE=JPM</stp>
        <stp>ACT_EST_MAPPING=PRECISE</stp>
        <stp>FS=MRC</stp>
        <stp>CURRENCY=USD</stp>
        <stp>XLFILL=b</stp>
        <tr r="W121" s="2"/>
      </tp>
      <tp>
        <v>-13307</v>
        <stp/>
        <stp>##V3_BQLV12</stp>
        <stp>[MODL_CRM_US1.xlsx]Single Period!R173C21</stp>
        <stp>CRM US Equity</stp>
        <stp>CB_CF_NET_CASH_INVESTING_ACT/1M</stp>
        <stp>FPR=2022Y</stp>
        <stp>FPT=A</stp>
        <stp>FA_ACT_EST_DATA=E, EST_SOURCE=RJA</stp>
        <stp>ACT_EST_MAPPING=PRECISE</stp>
        <stp>FS=MRC</stp>
        <stp>CURRENCY=USD</stp>
        <stp>XLFILL=b</stp>
        <tr r="U173" s="2"/>
      </tp>
      <tp>
        <v>15865.471298900329</v>
        <stp/>
        <stp>##V3_BQLV12</stp>
        <stp>[MODL_CRM_US1.xlsx]Single Period!R58C13</stp>
        <stp>CRM US Equity</stp>
        <stp>CB_IS_ADJUSTED_OPEX/1M</stp>
        <stp>FPR=2022Y</stp>
        <stp>FPT=A</stp>
        <stp>FA_ACT_EST_DATA=E, EST_SOURCE=BCA</stp>
        <stp>ACT_EST_MAPPING=PRECISE</stp>
        <stp>FS=MRC</stp>
        <stp>CURRENCY=USD</stp>
        <stp>XLFILL=b</stp>
        <tr r="M58" s="2"/>
      </tp>
      <tp t="s">
        <v/>
        <stp/>
        <stp>##V3_BQLV12</stp>
        <stp>[MODL_CRM_US1.xlsx]Single Period!R58C19</stp>
        <stp>CRM US Equity</stp>
        <stp>CB_IS_ADJUSTED_OPEX/1M</stp>
        <stp>FPR=2022Y</stp>
        <stp>FPT=A</stp>
        <stp>FA_ACT_EST_DATA=E, EST_SOURCE=SCB</stp>
        <stp>ACT_EST_MAPPING=PRECISE</stp>
        <stp>FS=MRC</stp>
        <stp>CURRENCY=USD</stp>
        <stp>XLFILL=b</stp>
        <tr r="S58" s="2"/>
      </tp>
      <tp>
        <v>678.04779938087768</v>
        <stp/>
        <stp>##V3_BQLV12</stp>
        <stp>[MODL_CRM_US1.xlsx]Single Period!R106C26</stp>
        <stp>CRM US Equity</stp>
        <stp>IS_AMORT_ACQD_INTANG_S_AND_M/1M</stp>
        <stp>FPR=2022Y</stp>
        <stp>FPT=A</stp>
        <stp>FA_ACT_EST_DATA=E, EST_SOURCE=KEY</stp>
        <stp>ACT_EST_MAPPING=PRECISE</stp>
        <stp>FS=MRC</stp>
        <stp>CURRENCY=USD</stp>
        <stp>XLFILL=b</stp>
        <tr r="Z106" s="2"/>
      </tp>
      <tp t="s">
        <v/>
        <stp/>
        <stp>##V3_BQLV12</stp>
        <stp>[MODL_CRM_US1.xlsx]Single Period!R135C45</stp>
        <stp>CRM US Equity</stp>
        <stp>CB_BS_OTHER_NONCURRENT_LIABS/1M</stp>
        <stp>FPR=2022Y</stp>
        <stp>FPT=A</stp>
        <stp>FA_ACT_EST_DATA=E, EST_SOURCE=ARG</stp>
        <stp>ACT_EST_MAPPING=PRECISE</stp>
        <stp>FS=MRC</stp>
        <stp>CURRENCY=USD</stp>
        <stp>XLFILL=b</stp>
        <tr r="AS135" s="2"/>
      </tp>
      <tp t="s">
        <v/>
        <stp/>
        <stp>##V3_BQLV12</stp>
        <stp>[MODL_CRM_US1.xlsx]Single Period!R58C40</stp>
        <stp>CRM US Equity</stp>
        <stp>CB_IS_ADJUSTED_OPEX/1M</stp>
        <stp>FPR=2022Y</stp>
        <stp>FPT=A</stp>
        <stp>FA_ACT_EST_DATA=E, EST_SOURCE=ACC</stp>
        <stp>ACT_EST_MAPPING=PRECISE</stp>
        <stp>FS=MRC</stp>
        <stp>CURRENCY=USD</stp>
        <stp>XLFILL=b</stp>
        <tr r="AN58" s="2"/>
      </tp>
      <tp t="s">
        <v>Scott Berg</v>
        <stp/>
        <stp>##V3_BQLV12</stp>
        <stp>[MODL_CRM_US1.xlsx]Single Period!R4C17</stp>
        <stp>CRM US Equity</stp>
        <stp>LAST(IS_COMP_SALES(FA_ACT_EST_DATA=E, EST_SOURCE=NDH).analyst_name)</stp>
        <stp>FPR=2022Y</stp>
        <stp>FPT=A</stp>
        <stp>ACT_EST_MAPPING=PRECISE</stp>
        <stp>FS=MRC</stp>
        <stp>CURRENCY=USD</stp>
        <stp>XLFILL=b</stp>
        <tr r="Q4" s="2"/>
      </tp>
      <tp t="s">
        <v/>
        <stp/>
        <stp>##V3_BQLV12</stp>
        <stp>[MODL_CRM_US1.xlsx]Single Period!R90C35</stp>
        <stp>CRM US Equity</stp>
        <stp>IS_INC_TAX_EXP/1M</stp>
        <stp>FPR=2022Y</stp>
        <stp>FPT=A</stp>
        <stp>FA_ACT_EST_DATA=E, EST_SOURCE=ATL</stp>
        <stp>ACT_EST_MAPPING=PRECISE</stp>
        <stp>FS=MRC</stp>
        <stp>CURRENCY=USD</stp>
        <stp>XLFILL=b</stp>
        <tr r="AI90" s="2"/>
      </tp>
      <tp t="s">
        <v/>
        <stp/>
        <stp>##V3_BQLV12</stp>
        <stp>[MODL_CRM_US1.xlsx]Single Period!R84C32</stp>
        <stp>CRM US Equity</stp>
        <stp>RD_EXPEND_TO_NET_SALES</stp>
        <stp>FPR=2022Y</stp>
        <stp>FPT=A</stp>
        <stp>FA_ACT_EST_DATA=E, EST_SOURCE=UBS</stp>
        <stp>ACT_EST_MAPPING=PRECISE</stp>
        <stp>FS=MRC</stp>
        <stp>CURRENCY=USD</stp>
        <stp>XLFILL=b</stp>
        <tr r="AF84" s="2"/>
      </tp>
      <tp t="s">
        <v/>
        <stp/>
        <stp>##V3_BQLV12</stp>
        <stp>[MODL_CRM_US1.xlsx]Single Period!R67C23</stp>
        <stp>CRM US Equity</stp>
        <stp>IS_NON_OPERATING_INC_LOSS_GAAP/1M</stp>
        <stp>FPR=2022Y</stp>
        <stp>FPT=A</stp>
        <stp>FA_ACT_EST_DATA=E, EST_SOURCE=JPM</stp>
        <stp>ACT_EST_MAPPING=PRECISE</stp>
        <stp>FS=MRC</stp>
        <stp>CURRENCY=USD</stp>
        <stp>XLFILL=b</stp>
        <tr r="W67" s="2"/>
      </tp>
      <tp t="s">
        <v/>
        <stp/>
        <stp>##V3_BQLV12</stp>
        <stp>[MODL_CRM_US1.xlsx]Single Period!R90C46</stp>
        <stp>CRM US Equity</stp>
        <stp>IS_INC_TAX_EXP/1M</stp>
        <stp>FPR=2022Y</stp>
        <stp>FPT=A</stp>
        <stp>FA_ACT_EST_DATA=E, EST_SOURCE=CTI</stp>
        <stp>ACT_EST_MAPPING=PRECISE</stp>
        <stp>FS=MRC</stp>
        <stp>CURRENCY=USD</stp>
        <stp>XLFILL=b</stp>
        <tr r="AT90" s="2"/>
      </tp>
      <tp t="s">
        <v>Steven R Koenig</v>
        <stp/>
        <stp>##V3_BQLV12</stp>
        <stp>[MODL_CRM_US1.xlsx]Single Period!R4C53</stp>
        <stp>CRM US Equity</stp>
        <stp>LAST(IS_COMP_SALES(FA_ACT_EST_DATA=E, EST_SOURCE=NIK).analyst_name)</stp>
        <stp>FPR=2022Y</stp>
        <stp>FPT=A</stp>
        <stp>ACT_EST_MAPPING=PRECISE</stp>
        <stp>FS=MRC</stp>
        <stp>CURRENCY=USD</stp>
        <stp>XLFILL=b</stp>
        <tr r="BA4" s="2"/>
      </tp>
      <tp>
        <v>25.333333333333339</v>
        <stp/>
        <stp>##V3_BQLV12</stp>
        <stp>[MODL_CRM_US1.xlsx]Single Period!R45C7</stp>
        <stp>SEG0000269240 Segment</stp>
        <stp>CONTRIBUTOR_STATS(REVENUE_GROWTH_CC_1_YR, MAX)</stp>
        <stp>FPR=2022Y</stp>
        <stp>FPT=A</stp>
        <stp>FA_ACT_EST_DATA=E</stp>
        <stp>ACT_EST_MAPPING=PRECISE</stp>
        <stp>FS=MRC</stp>
        <stp>CURRENCY=USD</stp>
        <stp>XLFILL=b</stp>
        <tr r="G45" s="2"/>
      </tp>
      <tp t="s">
        <v/>
        <stp/>
        <stp>##V3_BQLV12</stp>
        <stp>[MODL_CRM_US1.xlsx]Single Period!R84C11</stp>
        <stp>CRM US Equity</stp>
        <stp>RD_EXPEND_TO_NET_SALES</stp>
        <stp>FPR=2022Y</stp>
        <stp>FPT=A</stp>
        <stp>FA_ACT_EST_DATA=E, EST_SOURCE=WBL</stp>
        <stp>ACT_EST_MAPPING=PRECISE</stp>
        <stp>FS=MRC</stp>
        <stp>CURRENCY=USD</stp>
        <stp>XLFILL=b</stp>
        <tr r="K84" s="2"/>
      </tp>
      <tp t="s">
        <v/>
        <stp/>
        <stp>##V3_BQLV12</stp>
        <stp>[MODL_CRM_US1.xlsx]Single Period!R67C22</stp>
        <stp>CRM US Equity</stp>
        <stp>IS_NON_OPERATING_INC_LOSS_GAAP/1M</stp>
        <stp>FPR=2022Y</stp>
        <stp>FPT=A</stp>
        <stp>FA_ACT_EST_DATA=E, EST_SOURCE=OPY</stp>
        <stp>ACT_EST_MAPPING=PRECISE</stp>
        <stp>FS=MRC</stp>
        <stp>CURRENCY=USD</stp>
        <stp>XLFILL=b</stp>
        <tr r="V67" s="2"/>
      </tp>
      <tp>
        <v>25.333333333333339</v>
        <stp/>
        <stp>##V3_BQLV12</stp>
        <stp>[MODL_CRM_US1.xlsx]Single Period!R45C6</stp>
        <stp>SEG0000269240 Segment</stp>
        <stp>CONTRIBUTOR_STATS(REVENUE_GROWTH_CC_1_YR, MIN)</stp>
        <stp>FPR=2022Y</stp>
        <stp>FPT=A</stp>
        <stp>FA_ACT_EST_DATA=E</stp>
        <stp>ACT_EST_MAPPING=PRECISE</stp>
        <stp>FS=MRC</stp>
        <stp>CURRENCY=USD</stp>
        <stp>XLFILL=b</stp>
        <tr r="F45" s="2"/>
      </tp>
      <tp t="s">
        <v/>
        <stp/>
        <stp>##V3_BQLV12</stp>
        <stp>[MODL_CRM_US1.xlsx]Single Period!R84C16</stp>
        <stp>CRM US Equity</stp>
        <stp>RD_EXPEND_TO_NET_SALES</stp>
        <stp>FPR=2022Y</stp>
        <stp>FPT=A</stp>
        <stp>FA_ACT_EST_DATA=E, EST_SOURCE=DBG</stp>
        <stp>ACT_EST_MAPPING=PRECISE</stp>
        <stp>FS=MRC</stp>
        <stp>CURRENCY=USD</stp>
        <stp>XLFILL=b</stp>
        <tr r="P84" s="2"/>
      </tp>
      <tp t="s">
        <v/>
        <stp/>
        <stp>##V3_BQLV12</stp>
        <stp>[MODL_CRM_US1.xlsx]Single Period!R84C31</stp>
        <stp>CRM US Equity</stp>
        <stp>RD_EXPEND_TO_NET_SALES</stp>
        <stp>FPR=2022Y</stp>
        <stp>FPT=A</stp>
        <stp>FA_ACT_EST_DATA=E, EST_SOURCE=RBC</stp>
        <stp>ACT_EST_MAPPING=PRECISE</stp>
        <stp>FS=MRC</stp>
        <stp>CURRENCY=USD</stp>
        <stp>XLFILL=b</stp>
        <tr r="AE84" s="2"/>
      </tp>
      <tp t="s">
        <v/>
        <stp/>
        <stp>##V3_BQLV12</stp>
        <stp>[MODL_CRM_US1.xlsx]Single Period!R84C24</stp>
        <stp>CRM US Equity</stp>
        <stp>RD_EXPEND_TO_NET_SALES</stp>
        <stp>FPR=2022Y</stp>
        <stp>FPT=A</stp>
        <stp>FA_ACT_EST_DATA=E, EST_SOURCE=FBC</stp>
        <stp>ACT_EST_MAPPING=PRECISE</stp>
        <stp>FS=MRC</stp>
        <stp>CURRENCY=USD</stp>
        <stp>XLFILL=b</stp>
        <tr r="X84" s="2"/>
      </tp>
      <tp>
        <v>5.0209762486979201</v>
        <stp/>
        <stp>##V3_BQLV12</stp>
        <stp>[MODL_CRM_US1.xlsx]Single Period!R193C21</stp>
        <stp>CRM US Equity</stp>
        <stp>FCF_PER_DIL_SHR</stp>
        <stp>FPR=2022Y</stp>
        <stp>FPT=A</stp>
        <stp>FA_ACT_EST_DATA=E, EST_SOURCE=RJA</stp>
        <stp>ACT_EST_MAPPING=PRECISE</stp>
        <stp>FS=MRC</stp>
        <stp>CURRENCY=USD</stp>
        <stp>XLFILL=b</stp>
        <tr r="U193" s="2"/>
      </tp>
      <tp t="s">
        <v/>
        <stp/>
        <stp>##V3_BQLV12</stp>
        <stp>[MODL_CRM_US1.xlsx]Single Period!R67C10</stp>
        <stp>CRM US Equity</stp>
        <stp>IS_NON_OPERATING_INC_LOSS_GAAP/1M</stp>
        <stp>FPR=2022Y</stp>
        <stp>FPT=A</stp>
        <stp>FA_ACT_EST_DATA=E, EST_SOURCE=CMPY</stp>
        <stp>ACT_EST_MAPPING=PRECISE</stp>
        <stp>FS=MRC</stp>
        <stp>CURRENCY=USD</stp>
        <stp>XLFILL=b</stp>
        <tr r="J67" s="2"/>
      </tp>
      <tp>
        <v>3909</v>
        <stp/>
        <stp>##V3_BQLV12</stp>
        <stp>[MODL_CRM_US1.xlsx]Single Period!R120C6</stp>
        <stp>CRM US Equity</stp>
        <stp>CONTRIBUTOR_STATS(BS_LONG_TERM_INVESTMENTS, MIN)/1M</stp>
        <stp>FPR=2022Y</stp>
        <stp>FPT=A</stp>
        <stp>FA_ACT_EST_DATA=E</stp>
        <stp>ACT_EST_MAPPING=PRECISE</stp>
        <stp>FS=MRC</stp>
        <stp>CURRENCY=USD</stp>
        <stp>XLFILL=b</stp>
        <tr r="F120" s="2"/>
      </tp>
      <tp>
        <v>4004</v>
        <stp/>
        <stp>##V3_BQLV12</stp>
        <stp>[MODL_CRM_US1.xlsx]Single Period!R120C7</stp>
        <stp>CRM US Equity</stp>
        <stp>CONTRIBUTOR_STATS(BS_LONG_TERM_INVESTMENTS, MAX)/1M</stp>
        <stp>FPR=2022Y</stp>
        <stp>FPT=A</stp>
        <stp>FA_ACT_EST_DATA=E</stp>
        <stp>ACT_EST_MAPPING=PRECISE</stp>
        <stp>FS=MRC</stp>
        <stp>CURRENCY=USD</stp>
        <stp>XLFILL=b</stp>
        <tr r="G120" s="2"/>
      </tp>
      <tp>
        <v>40.180554370524824</v>
        <stp/>
        <stp>##V3_BQLV12</stp>
        <stp>[MODL_CRM_US1.xlsx]Single Period!R120C8</stp>
        <stp>CRM US Equity</stp>
        <stp>CONTRIBUTOR_STATS(BS_LONG_TERM_INVESTMENTS, STD)/1M</stp>
        <stp>FPR=2022Y</stp>
        <stp>FPT=A</stp>
        <stp>FA_ACT_EST_DATA=E</stp>
        <stp>ACT_EST_MAPPING=PRECISE</stp>
        <stp>FS=MRC</stp>
        <stp>CURRENCY=USD</stp>
        <stp>XLFILL=b</stp>
        <tr r="H120" s="2"/>
      </tp>
      <tp>
        <v>21026.666666666679</v>
        <stp/>
        <stp>##V3_BQLV12</stp>
        <stp>[MODL_CRM_US1.xlsx]Single Period!R151C5</stp>
        <stp>CRM US Equity</stp>
        <stp>NON_CURRENT_FUTURE_REV_UNDER_CONTRACT/1M</stp>
        <stp>FPR=2022Y</stp>
        <stp>FPT=A</stp>
        <stp>FA_ACT_EST_DATA=E</stp>
        <stp>ACT_EST_MAPPING=PRECISE</stp>
        <stp>FS=MRC</stp>
        <stp>CURRENCY=USD</stp>
        <stp>XLFILL=b</stp>
        <tr r="E151" s="2"/>
      </tp>
      <tp>
        <v>-122</v>
        <stp/>
        <stp>##V3_BQLV12</stp>
        <stp>[MODL_CRM_US1.xlsx]Single Period!R140C9</stp>
        <stp>CRM US Equity</stp>
        <stp>CONTRIBUTOR_STATS(BS_ACCUMULATED_OTHER_COMP_INC, MEDIAN)/1M</stp>
        <stp>FPR=2022Y</stp>
        <stp>FPT=A</stp>
        <stp>FA_ACT_EST_DATA=E</stp>
        <stp>ACT_EST_MAPPING=PRECISE</stp>
        <stp>FS=MRC</stp>
        <stp>CURRENCY=USD</stp>
        <stp>XLFILL=b</stp>
        <tr r="I140" s="2"/>
      </tp>
      <tp>
        <v>0.13681922396706669</v>
        <stp/>
        <stp>##V3_BQLV12</stp>
        <stp>[MODL_CRM_US1.xlsx]Single Period!R159C8</stp>
        <stp>CRM US Equity</stp>
        <stp>CONTRIBUTOR_STATS(SBC_NON_GAAP_TO_SALES, STD)</stp>
        <stp>FPR=2022Y</stp>
        <stp>FPT=A</stp>
        <stp>FA_ACT_EST_DATA=E</stp>
        <stp>ACT_EST_MAPPING=PRECISE</stp>
        <stp>FS=MRC</stp>
        <stp>CURRENCY=USD</stp>
        <stp>XLFILL=b</stp>
        <tr r="H159" s="2"/>
      </tp>
      <tp t="s">
        <v/>
        <stp/>
        <stp>##V3_BQLV12</stp>
        <stp>[MODL_CRM_US1.xlsx]Single Period!R106C34</stp>
        <stp>CRM US Equity</stp>
        <stp>IS_AMORT_ACQD_INTANG_S_AND_M/1M</stp>
        <stp>FPR=2022Y</stp>
        <stp>FPT=A</stp>
        <stp>FA_ACT_EST_DATA=E, EST_SOURCE=JEF</stp>
        <stp>ACT_EST_MAPPING=PRECISE</stp>
        <stp>FS=MRC</stp>
        <stp>CURRENCY=USD</stp>
        <stp>XLFILL=b</stp>
        <tr r="AH106" s="2"/>
      </tp>
      <tp t="s">
        <v/>
        <stp/>
        <stp>##V3_BQLV12</stp>
        <stp>[MODL_CRM_US1.xlsx]Single Period!R142C45</stp>
        <stp>CRM US Equity</stp>
        <stp>BS_TOT_ASSET/1M</stp>
        <stp>FPR=2022Y</stp>
        <stp>FPT=A</stp>
        <stp>FA_ACT_EST_DATA=E, EST_SOURCE=ARG</stp>
        <stp>ACT_EST_MAPPING=PRECISE</stp>
        <stp>FS=MRC</stp>
        <stp>CURRENCY=USD</stp>
        <stp>XLFILL=b</stp>
        <tr r="AS142" s="2"/>
      </tp>
      <tp t="s">
        <v/>
        <stp/>
        <stp>##V3_BQLV12</stp>
        <stp>[MODL_CRM_US1.xlsx]Single Period!R124C32</stp>
        <stp>CRM US Equity</stp>
        <stp>CAPITALIZED_SOFTWARE/1M</stp>
        <stp>FPR=2022Y</stp>
        <stp>FPT=A</stp>
        <stp>FA_ACT_EST_DATA=E, EST_SOURCE=UBS</stp>
        <stp>ACT_EST_MAPPING=PRECISE</stp>
        <stp>FS=MRC</stp>
        <stp>CURRENCY=USD</stp>
        <stp>XLFILL=b</stp>
        <tr r="AF124" s="2"/>
      </tp>
      <tp t="s">
        <v/>
        <stp/>
        <stp>##V3_BQLV12</stp>
        <stp>[MODL_CRM_US1.xlsx]Single Period!R45C54</stp>
        <stp>SEG0000269240 Segment</stp>
        <stp>REVENUE_GROWTH_CC_1_YR</stp>
        <stp>FPR=2022Y</stp>
        <stp>FPT=A</stp>
        <stp>FA_ACT_EST_DATA=E, EST_SOURCE=ARE</stp>
        <stp>ACT_EST_MAPPING=PRECISE</stp>
        <stp>FS=MRC</stp>
        <stp>CURRENCY=USD</stp>
        <stp>XLFILL=b</stp>
        <tr r="BB45" s="2"/>
      </tp>
      <tp t="s">
        <v/>
        <stp/>
        <stp>##V3_BQLV12</stp>
        <stp>[MODL_CRM_US1.xlsx]Single Period!R183C10</stp>
        <stp>CRM US Equity</stp>
        <stp>CASH_FLOW_PER_SH</stp>
        <stp>FPR=2022Y</stp>
        <stp>FPT=A</stp>
        <stp>FA_ACT_EST_DATA=E, EST_SOURCE=CMPY</stp>
        <stp>ACT_EST_MAPPING=PRECISE</stp>
        <stp>FS=MRC</stp>
        <stp>CURRENCY=USD</stp>
        <stp>XLFILL=b</stp>
        <tr r="J183" s="2"/>
      </tp>
      <tp t="s">
        <v/>
        <stp/>
        <stp>##V3_BQLV12</stp>
        <stp>[MODL_CRM_US1.xlsx]Single Period!R136C29</stp>
        <stp>CRM US Equity</stp>
        <stp>BS_TOTAL_LIABILITIES/1M</stp>
        <stp>FPR=2022Y</stp>
        <stp>FPT=A</stp>
        <stp>FA_ACT_EST_DATA=E, EST_SOURCE=BNS</stp>
        <stp>ACT_EST_MAPPING=PRECISE</stp>
        <stp>FS=MRC</stp>
        <stp>CURRENCY=USD</stp>
        <stp>XLFILL=b</stp>
        <tr r="AC136" s="2"/>
      </tp>
      <tp t="s">
        <v/>
        <stp/>
        <stp>##V3_BQLV12</stp>
        <stp>[MODL_CRM_US1.xlsx]Single Period!R125C45</stp>
        <stp>CRM US Equity</stp>
        <stp>BS_TOT_ASSET/1M</stp>
        <stp>FPR=2022Y</stp>
        <stp>FPT=A</stp>
        <stp>FA_ACT_EST_DATA=E, EST_SOURCE=ARG</stp>
        <stp>ACT_EST_MAPPING=PRECISE</stp>
        <stp>FS=MRC</stp>
        <stp>CURRENCY=USD</stp>
        <stp>XLFILL=b</stp>
        <tr r="AS125" s="2"/>
      </tp>
      <tp t="s">
        <v/>
        <stp/>
        <stp>##V3_BQLV12</stp>
        <stp>[MODL_CRM_US1.xlsx]Single Period!R45C45</stp>
        <stp>SEG0000269240 Segment</stp>
        <stp>REVENUE_GROWTH_CC_1_YR</stp>
        <stp>FPR=2022Y</stp>
        <stp>FPT=A</stp>
        <stp>FA_ACT_EST_DATA=E, EST_SOURCE=ARG</stp>
        <stp>ACT_EST_MAPPING=PRECISE</stp>
        <stp>FS=MRC</stp>
        <stp>CURRENCY=USD</stp>
        <stp>XLFILL=b</stp>
        <tr r="AS45" s="2"/>
      </tp>
      <tp>
        <v>165.05196226129939</v>
        <stp/>
        <stp>##V3_BQLV12</stp>
        <stp>[MODL_CRM_US1.xlsx]Single Period!R155C8</stp>
        <stp>CRM US Equity</stp>
        <stp>CONTRIBUTOR_STATS(IS_COMP_NET_INCOME_GAAP, STD)/1M</stp>
        <stp>FPR=2022Y</stp>
        <stp>FPT=A</stp>
        <stp>FA_ACT_EST_DATA=E</stp>
        <stp>ACT_EST_MAPPING=PRECISE</stp>
        <stp>FS=MRC</stp>
        <stp>CURRENCY=USD</stp>
        <stp>XLFILL=b</stp>
        <tr r="H155" s="2"/>
      </tp>
      <tp t="s">
        <v/>
        <stp/>
        <stp>##V3_BQLV12</stp>
        <stp>[MODL_CRM_US1.xlsx]Single Period!R58C32</stp>
        <stp>CRM US Equity</stp>
        <stp>CB_IS_ADJUSTED_OPEX/1M</stp>
        <stp>FPR=2022Y</stp>
        <stp>FPT=A</stp>
        <stp>FA_ACT_EST_DATA=E, EST_SOURCE=UBS</stp>
        <stp>ACT_EST_MAPPING=PRECISE</stp>
        <stp>FS=MRC</stp>
        <stp>CURRENCY=USD</stp>
        <stp>XLFILL=b</stp>
        <tr r="AF58" s="2"/>
      </tp>
      <tp t="s">
        <v/>
        <stp/>
        <stp>##V3_BQLV12</stp>
        <stp>[MODL_CRM_US1.xlsx]Single Period!R136C56</stp>
        <stp>CRM US Equity</stp>
        <stp>BS_TOTAL_LIABILITIES/1M</stp>
        <stp>FPR=2022Y</stp>
        <stp>FPT=A</stp>
        <stp>FA_ACT_EST_DATA=E, EST_SOURCE=DIR</stp>
        <stp>ACT_EST_MAPPING=PRECISE</stp>
        <stp>FS=MRC</stp>
        <stp>CURRENCY=USD</stp>
        <stp>XLFILL=b</stp>
        <tr r="BD136" s="2"/>
      </tp>
      <tp t="s">
        <v/>
        <stp/>
        <stp>##V3_BQLV12</stp>
        <stp>[MODL_CRM_US1.xlsx]Single Period!R135C41</stp>
        <stp>CRM US Equity</stp>
        <stp>CB_BS_OTHER_NONCURRENT_LIABS/1M</stp>
        <stp>FPR=2022Y</stp>
        <stp>FPT=A</stp>
        <stp>FA_ACT_EST_DATA=E, EST_SOURCE=GSR</stp>
        <stp>ACT_EST_MAPPING=PRECISE</stp>
        <stp>FS=MRC</stp>
        <stp>CURRENCY=USD</stp>
        <stp>XLFILL=b</stp>
        <tr r="AO135" s="2"/>
      </tp>
      <tp t="s">
        <v/>
        <stp/>
        <stp>##V3_BQLV12</stp>
        <stp>[MODL_CRM_US1.xlsx]Single Period!R121C44</stp>
        <stp>CRM US Equity</stp>
        <stp>CB_BS_INTANG_ASSETS_EX_GW_NT/1M</stp>
        <stp>FPR=2022Y</stp>
        <stp>FPT=A</stp>
        <stp>FA_ACT_EST_DATA=E, EST_SOURCE=RWB</stp>
        <stp>ACT_EST_MAPPING=PRECISE</stp>
        <stp>FS=MRC</stp>
        <stp>CURRENCY=USD</stp>
        <stp>XLFILL=b</stp>
        <tr r="AR121" s="2"/>
      </tp>
      <tp t="s">
        <v/>
        <stp/>
        <stp>##V3_BQLV12</stp>
        <stp>[MODL_CRM_US1.xlsx]Single Period!R124C31</stp>
        <stp>CRM US Equity</stp>
        <stp>CAPITALIZED_SOFTWARE/1M</stp>
        <stp>FPR=2022Y</stp>
        <stp>FPT=A</stp>
        <stp>FA_ACT_EST_DATA=E, EST_SOURCE=RBC</stp>
        <stp>ACT_EST_MAPPING=PRECISE</stp>
        <stp>FS=MRC</stp>
        <stp>CURRENCY=USD</stp>
        <stp>XLFILL=b</stp>
        <tr r="AE124" s="2"/>
      </tp>
      <tp t="s">
        <v/>
        <stp/>
        <stp>##V3_BQLV12</stp>
        <stp>[MODL_CRM_US1.xlsx]Single Period!R40C50</stp>
        <stp>SEG0000269228 Segment</stp>
        <stp>REVENUE_GROWTH_CC_1_YR</stp>
        <stp>FPR=2022Y</stp>
        <stp>FPT=A</stp>
        <stp>FA_ACT_EST_DATA=E, EST_SOURCE=MZS</stp>
        <stp>ACT_EST_MAPPING=PRECISE</stp>
        <stp>FS=MRC</stp>
        <stp>CURRENCY=USD</stp>
        <stp>XLFILL=b</stp>
        <tr r="AX40" s="2"/>
      </tp>
      <tp t="s">
        <v/>
        <stp/>
        <stp>##V3_BQLV12</stp>
        <stp>[MODL_CRM_US1.xlsx]Single Period!R136C12</stp>
        <stp>CRM US Equity</stp>
        <stp>BS_TOTAL_LIABILITIES/1M</stp>
        <stp>FPR=2022Y</stp>
        <stp>FPT=A</stp>
        <stp>FA_ACT_EST_DATA=E, EST_SOURCE=BMO</stp>
        <stp>ACT_EST_MAPPING=PRECISE</stp>
        <stp>FS=MRC</stp>
        <stp>CURRENCY=USD</stp>
        <stp>XLFILL=b</stp>
        <tr r="L136" s="2"/>
      </tp>
      <tp t="s">
        <v/>
        <stp/>
        <stp>##V3_BQLV12</stp>
        <stp>[MODL_CRM_US1.xlsx]Single Period!R87C44</stp>
        <stp>CRM US Equity</stp>
        <stp>IS_EBIT_AS_REPORTED/1M</stp>
        <stp>FPR=2022Y</stp>
        <stp>FPT=A</stp>
        <stp>FA_ACT_EST_DATA=E, EST_SOURCE=RWB</stp>
        <stp>ACT_EST_MAPPING=PRECISE</stp>
        <stp>FS=MRC</stp>
        <stp>CURRENCY=USD</stp>
        <stp>XLFILL=b</stp>
        <tr r="AR87" s="2"/>
      </tp>
      <tp t="s">
        <v/>
        <stp/>
        <stp>##V3_BQLV12</stp>
        <stp>[MODL_CRM_US1.xlsx]Single Period!R106C51</stp>
        <stp>CRM US Equity</stp>
        <stp>IS_AMORT_ACQD_INTANG_S_AND_M/1M</stp>
        <stp>FPR=2022Y</stp>
        <stp>FPT=A</stp>
        <stp>FA_ACT_EST_DATA=E, EST_SOURCE=RCP</stp>
        <stp>ACT_EST_MAPPING=PRECISE</stp>
        <stp>FS=MRC</stp>
        <stp>CURRENCY=USD</stp>
        <stp>XLFILL=b</stp>
        <tr r="AY106" s="2"/>
      </tp>
      <tp t="s">
        <v/>
        <stp/>
        <stp>##V3_BQLV12</stp>
        <stp>[MODL_CRM_US1.xlsx]Single Period!R58C11</stp>
        <stp>CRM US Equity</stp>
        <stp>CB_IS_ADJUSTED_OPEX/1M</stp>
        <stp>FPR=2022Y</stp>
        <stp>FPT=A</stp>
        <stp>FA_ACT_EST_DATA=E, EST_SOURCE=WBL</stp>
        <stp>ACT_EST_MAPPING=PRECISE</stp>
        <stp>FS=MRC</stp>
        <stp>CURRENCY=USD</stp>
        <stp>XLFILL=b</stp>
        <tr r="K58" s="2"/>
      </tp>
      <tp>
        <v>1.551546351735541</v>
        <stp/>
        <stp>##V3_BQLV12</stp>
        <stp>[MODL_CRM_US1.xlsx]Single Period!R88C6</stp>
        <stp>CRM US Equity</stp>
        <stp>CONTRIBUTOR_STATS(OPER_INC_TO_NET_SALES, MIN)</stp>
        <stp>FPR=2022Y</stp>
        <stp>FPT=A</stp>
        <stp>FA_ACT_EST_DATA=E</stp>
        <stp>ACT_EST_MAPPING=PRECISE</stp>
        <stp>FS=MRC</stp>
        <stp>CURRENCY=USD</stp>
        <stp>XLFILL=b</stp>
        <tr r="F88" s="2"/>
      </tp>
      <tp t="s">
        <v/>
        <stp/>
        <stp>##V3_BQLV12</stp>
        <stp>[MODL_CRM_US1.xlsx]Single Period!R135C35</stp>
        <stp>CRM US Equity</stp>
        <stp>CB_BS_OTHER_NONCURRENT_LIABS/1M</stp>
        <stp>FPR=2022Y</stp>
        <stp>FPT=A</stp>
        <stp>FA_ACT_EST_DATA=E, EST_SOURCE=ATL</stp>
        <stp>ACT_EST_MAPPING=PRECISE</stp>
        <stp>FS=MRC</stp>
        <stp>CURRENCY=USD</stp>
        <stp>XLFILL=b</stp>
        <tr r="AI135" s="2"/>
      </tp>
      <tp>
        <v>1343</v>
        <stp/>
        <stp>##V3_BQLV12</stp>
        <stp>[MODL_CRM_US1.xlsx]Single Period!R155C7</stp>
        <stp>CRM US Equity</stp>
        <stp>CONTRIBUTOR_STATS(IS_COMP_NET_INCOME_GAAP, MAX)/1M</stp>
        <stp>FPR=2022Y</stp>
        <stp>FPT=A</stp>
        <stp>FA_ACT_EST_DATA=E</stp>
        <stp>ACT_EST_MAPPING=PRECISE</stp>
        <stp>FS=MRC</stp>
        <stp>CURRENCY=USD</stp>
        <stp>XLFILL=b</stp>
        <tr r="G155" s="2"/>
      </tp>
      <tp>
        <v>810</v>
        <stp/>
        <stp>##V3_BQLV12</stp>
        <stp>[MODL_CRM_US1.xlsx]Single Period!R155C6</stp>
        <stp>CRM US Equity</stp>
        <stp>CONTRIBUTOR_STATS(IS_COMP_NET_INCOME_GAAP, MIN)/1M</stp>
        <stp>FPR=2022Y</stp>
        <stp>FPT=A</stp>
        <stp>FA_ACT_EST_DATA=E</stp>
        <stp>ACT_EST_MAPPING=PRECISE</stp>
        <stp>FS=MRC</stp>
        <stp>CURRENCY=USD</stp>
        <stp>XLFILL=b</stp>
        <tr r="F155" s="2"/>
      </tp>
      <tp t="s">
        <v/>
        <stp/>
        <stp>##V3_BQLV12</stp>
        <stp>[MODL_CRM_US1.xlsx]Single Period!R136C53</stp>
        <stp>CRM US Equity</stp>
        <stp>BS_TOTAL_LIABILITIES/1M</stp>
        <stp>FPR=2022Y</stp>
        <stp>FPT=A</stp>
        <stp>FA_ACT_EST_DATA=E, EST_SOURCE=NIK</stp>
        <stp>ACT_EST_MAPPING=PRECISE</stp>
        <stp>FS=MRC</stp>
        <stp>CURRENCY=USD</stp>
        <stp>XLFILL=b</stp>
        <tr r="BA136" s="2"/>
      </tp>
      <tp t="s">
        <v/>
        <stp/>
        <stp>##V3_BQLV12</stp>
        <stp>[MODL_CRM_US1.xlsx]Single Period!R87C43</stp>
        <stp>CRM US Equity</stp>
        <stp>IS_EBIT_AS_REPORTED/1M</stp>
        <stp>FPR=2022Y</stp>
        <stp>FPT=A</stp>
        <stp>FA_ACT_EST_DATA=E, EST_SOURCE=DWI</stp>
        <stp>ACT_EST_MAPPING=PRECISE</stp>
        <stp>FS=MRC</stp>
        <stp>CURRENCY=USD</stp>
        <stp>XLFILL=b</stp>
        <tr r="AQ87" s="2"/>
      </tp>
      <tp>
        <v>15835.83757602267</v>
        <stp/>
        <stp>##V3_BQLV12</stp>
        <stp>[MODL_CRM_US1.xlsx]Single Period!R58C24</stp>
        <stp>CRM US Equity</stp>
        <stp>CB_IS_ADJUSTED_OPEX/1M</stp>
        <stp>FPR=2022Y</stp>
        <stp>FPT=A</stp>
        <stp>FA_ACT_EST_DATA=E, EST_SOURCE=FBC</stp>
        <stp>ACT_EST_MAPPING=PRECISE</stp>
        <stp>FS=MRC</stp>
        <stp>CURRENCY=USD</stp>
        <stp>XLFILL=b</stp>
        <tr r="X58" s="2"/>
      </tp>
      <tp t="s">
        <v/>
        <stp/>
        <stp>##V3_BQLV12</stp>
        <stp>[MODL_CRM_US1.xlsx]Single Period!R87C28</stp>
        <stp>CRM US Equity</stp>
        <stp>IS_EBIT_AS_REPORTED/1M</stp>
        <stp>FPR=2022Y</stp>
        <stp>FPT=A</stp>
        <stp>FA_ACT_EST_DATA=E, EST_SOURCE=CWN</stp>
        <stp>ACT_EST_MAPPING=PRECISE</stp>
        <stp>FS=MRC</stp>
        <stp>CURRENCY=USD</stp>
        <stp>XLFILL=b</stp>
        <tr r="AB87" s="2"/>
      </tp>
      <tp t="s">
        <v/>
        <stp/>
        <stp>##V3_BQLV12</stp>
        <stp>[MODL_CRM_US1.xlsx]Single Period!R124C27</stp>
        <stp>CRM US Equity</stp>
        <stp>CAPITALIZED_SOFTWARE/1M</stp>
        <stp>FPR=2022Y</stp>
        <stp>FPT=A</stp>
        <stp>FA_ACT_EST_DATA=E, EST_SOURCE=LCM</stp>
        <stp>ACT_EST_MAPPING=PRECISE</stp>
        <stp>FS=MRC</stp>
        <stp>CURRENCY=USD</stp>
        <stp>XLFILL=b</stp>
        <tr r="AA124" s="2"/>
      </tp>
      <tp t="s">
        <v/>
        <stp/>
        <stp>##V3_BQLV12</stp>
        <stp>[MODL_CRM_US1.xlsx]Single Period!R58C31</stp>
        <stp>CRM US Equity</stp>
        <stp>CB_IS_ADJUSTED_OPEX/1M</stp>
        <stp>FPR=2022Y</stp>
        <stp>FPT=A</stp>
        <stp>FA_ACT_EST_DATA=E, EST_SOURCE=RBC</stp>
        <stp>ACT_EST_MAPPING=PRECISE</stp>
        <stp>FS=MRC</stp>
        <stp>CURRENCY=USD</stp>
        <stp>XLFILL=b</stp>
        <tr r="AE58" s="2"/>
      </tp>
      <tp t="s">
        <v/>
        <stp/>
        <stp>##V3_BQLV12</stp>
        <stp>[MODL_CRM_US1.xlsx]Single Period!R135C42</stp>
        <stp>CRM US Equity</stp>
        <stp>CB_BS_OTHER_NONCURRENT_LIABS/1M</stp>
        <stp>FPR=2022Y</stp>
        <stp>FPT=A</stp>
        <stp>FA_ACT_EST_DATA=E, EST_SOURCE=PSG</stp>
        <stp>ACT_EST_MAPPING=PRECISE</stp>
        <stp>FS=MRC</stp>
        <stp>CURRENCY=USD</stp>
        <stp>XLFILL=b</stp>
        <tr r="AP135" s="2"/>
      </tp>
      <tp t="s">
        <v/>
        <stp/>
        <stp>##V3_BQLV12</stp>
        <stp>[MODL_CRM_US1.xlsx]Single Period!R121C43</stp>
        <stp>CRM US Equity</stp>
        <stp>CB_BS_INTANG_ASSETS_EX_GW_NT/1M</stp>
        <stp>FPR=2022Y</stp>
        <stp>FPT=A</stp>
        <stp>FA_ACT_EST_DATA=E, EST_SOURCE=DWI</stp>
        <stp>ACT_EST_MAPPING=PRECISE</stp>
        <stp>FS=MRC</stp>
        <stp>CURRENCY=USD</stp>
        <stp>XLFILL=b</stp>
        <tr r="AQ121" s="2"/>
      </tp>
      <tp>
        <v>2.030065523868966</v>
        <stp/>
        <stp>##V3_BQLV12</stp>
        <stp>[MODL_CRM_US1.xlsx]Single Period!R88C7</stp>
        <stp>CRM US Equity</stp>
        <stp>CONTRIBUTOR_STATS(OPER_INC_TO_NET_SALES, MAX)</stp>
        <stp>FPR=2022Y</stp>
        <stp>FPT=A</stp>
        <stp>FA_ACT_EST_DATA=E</stp>
        <stp>ACT_EST_MAPPING=PRECISE</stp>
        <stp>FS=MRC</stp>
        <stp>CURRENCY=USD</stp>
        <stp>XLFILL=b</stp>
        <tr r="G88" s="2"/>
      </tp>
      <tp t="s">
        <v/>
        <stp/>
        <stp>##V3_BQLV12</stp>
        <stp>[MODL_CRM_US1.xlsx]Single Period!R135C54</stp>
        <stp>CRM US Equity</stp>
        <stp>CB_BS_OTHER_NONCURRENT_LIABS/1M</stp>
        <stp>FPR=2022Y</stp>
        <stp>FPT=A</stp>
        <stp>FA_ACT_EST_DATA=E, EST_SOURCE=ARE</stp>
        <stp>ACT_EST_MAPPING=PRECISE</stp>
        <stp>FS=MRC</stp>
        <stp>CURRENCY=USD</stp>
        <stp>XLFILL=b</stp>
        <tr r="BB135" s="2"/>
      </tp>
      <tp>
        <v>15830.37459096231</v>
        <stp/>
        <stp>##V3_BQLV12</stp>
        <stp>[MODL_CRM_US1.xlsx]Single Period!R58C16</stp>
        <stp>CRM US Equity</stp>
        <stp>CB_IS_ADJUSTED_OPEX/1M</stp>
        <stp>FPR=2022Y</stp>
        <stp>FPT=A</stp>
        <stp>FA_ACT_EST_DATA=E, EST_SOURCE=DBG</stp>
        <stp>ACT_EST_MAPPING=PRECISE</stp>
        <stp>FS=MRC</stp>
        <stp>CURRENCY=USD</stp>
        <stp>XLFILL=b</stp>
        <tr r="P58" s="2"/>
      </tp>
      <tp>
        <v>6754.5687179654888</v>
        <stp/>
        <stp>##V3_BQLV12</stp>
        <stp>[MODL_CRM_US1.xlsx]Single Period!R77C6</stp>
        <stp>CRM US Equity</stp>
        <stp>CONTRIBUTOR_STATS(IS_COGS_TO_FE_AND_PP_AND_G, MIN)/1M</stp>
        <stp>FPR=2022Y</stp>
        <stp>FPT=A</stp>
        <stp>FA_ACT_EST_DATA=E</stp>
        <stp>ACT_EST_MAPPING=PRECISE</stp>
        <stp>FS=MRC</stp>
        <stp>CURRENCY=USD</stp>
        <stp>XLFILL=b</stp>
        <tr r="F77" s="2"/>
      </tp>
      <tp>
        <v>7048.3947670446742</v>
        <stp/>
        <stp>##V3_BQLV12</stp>
        <stp>[MODL_CRM_US1.xlsx]Single Period!R77C7</stp>
        <stp>CRM US Equity</stp>
        <stp>CONTRIBUTOR_STATS(IS_COGS_TO_FE_AND_PP_AND_G, MAX)/1M</stp>
        <stp>FPR=2022Y</stp>
        <stp>FPT=A</stp>
        <stp>FA_ACT_EST_DATA=E</stp>
        <stp>ACT_EST_MAPPING=PRECISE</stp>
        <stp>FS=MRC</stp>
        <stp>CURRENCY=USD</stp>
        <stp>XLFILL=b</stp>
        <tr r="G77" s="2"/>
      </tp>
      <tp t="s">
        <v/>
        <stp/>
        <stp>##V3_BQLV12</stp>
        <stp>[MODL_CRM_US1.xlsx]Single Period!R193C41</stp>
        <stp>CRM US Equity</stp>
        <stp>FCF_PER_DIL_SHR</stp>
        <stp>FPR=2022Y</stp>
        <stp>FPT=A</stp>
        <stp>FA_ACT_EST_DATA=E, EST_SOURCE=GSR</stp>
        <stp>ACT_EST_MAPPING=PRECISE</stp>
        <stp>FS=MRC</stp>
        <stp>CURRENCY=USD</stp>
        <stp>XLFILL=b</stp>
        <tr r="AO193" s="2"/>
      </tp>
      <tp t="s">
        <v/>
        <stp/>
        <stp>##V3_BQLV12</stp>
        <stp>[MODL_CRM_US1.xlsx]Single Period!R193C35</stp>
        <stp>CRM US Equity</stp>
        <stp>FCF_PER_DIL_SHR</stp>
        <stp>FPR=2022Y</stp>
        <stp>FPT=A</stp>
        <stp>FA_ACT_EST_DATA=E, EST_SOURCE=ATL</stp>
        <stp>ACT_EST_MAPPING=PRECISE</stp>
        <stp>FS=MRC</stp>
        <stp>CURRENCY=USD</stp>
        <stp>XLFILL=b</stp>
        <tr r="AI193" s="2"/>
      </tp>
      <tp t="s">
        <v/>
        <stp/>
        <stp>##V3_BQLV12</stp>
        <stp>[MODL_CRM_US1.xlsx]Single Period!R193C42</stp>
        <stp>CRM US Equity</stp>
        <stp>FCF_PER_DIL_SHR</stp>
        <stp>FPR=2022Y</stp>
        <stp>FPT=A</stp>
        <stp>FA_ACT_EST_DATA=E, EST_SOURCE=PSG</stp>
        <stp>ACT_EST_MAPPING=PRECISE</stp>
        <stp>FS=MRC</stp>
        <stp>CURRENCY=USD</stp>
        <stp>XLFILL=b</stp>
        <tr r="AP193" s="2"/>
      </tp>
      <tp>
        <v>85.639455104696282</v>
        <stp/>
        <stp>##V3_BQLV12</stp>
        <stp>[MODL_CRM_US1.xlsx]Single Period!R77C8</stp>
        <stp>CRM US Equity</stp>
        <stp>CONTRIBUTOR_STATS(IS_COGS_TO_FE_AND_PP_AND_G, STD)/1M</stp>
        <stp>FPR=2022Y</stp>
        <stp>FPT=A</stp>
        <stp>FA_ACT_EST_DATA=E</stp>
        <stp>ACT_EST_MAPPING=PRECISE</stp>
        <stp>FS=MRC</stp>
        <stp>CURRENCY=USD</stp>
        <stp>XLFILL=b</stp>
        <tr r="H77" s="2"/>
      </tp>
      <tp t="s">
        <v/>
        <stp/>
        <stp>##V3_BQLV12</stp>
        <stp>[MODL_CRM_US1.xlsx]Single Period!R193C54</stp>
        <stp>CRM US Equity</stp>
        <stp>FCF_PER_DIL_SHR</stp>
        <stp>FPR=2022Y</stp>
        <stp>FPT=A</stp>
        <stp>FA_ACT_EST_DATA=E, EST_SOURCE=ARE</stp>
        <stp>ACT_EST_MAPPING=PRECISE</stp>
        <stp>FS=MRC</stp>
        <stp>CURRENCY=USD</stp>
        <stp>XLFILL=b</stp>
        <tr r="BB193" s="2"/>
      </tp>
      <tp>
        <v>1323.6983379324788</v>
        <stp/>
        <stp>##V3_BQLV12</stp>
        <stp>[MODL_CRM_US1.xlsx]Single Period!R157C5</stp>
        <stp>CRM US Equity</stp>
        <stp>CF_AMORTIZATN_OF_DEFRRD_COMPNSTN/1M</stp>
        <stp>FPR=2022Y</stp>
        <stp>FPT=A</stp>
        <stp>FA_ACT_EST_DATA=E</stp>
        <stp>ACT_EST_MAPPING=PRECISE</stp>
        <stp>FS=MRC</stp>
        <stp>CURRENCY=USD</stp>
        <stp>XLFILL=b</stp>
        <tr r="E157" s="2"/>
      </tp>
      <tp>
        <v>26395</v>
        <stp/>
        <stp>##V3_BQLV12</stp>
        <stp>[MODL_CRM_US1.xlsx]Single Period!R7C17</stp>
        <stp>CRM US Equity</stp>
        <stp>IS_COMP_SALES/1M</stp>
        <stp>FPR=2022Y</stp>
        <stp>FPT=A</stp>
        <stp>FA_ACT_EST_DATA=E, EST_SOURCE=NDH</stp>
        <stp>ACT_EST_MAPPING=PRECISE</stp>
        <stp>FS=MRC</stp>
        <stp>CURRENCY=USD</stp>
        <stp>XLFILL=b</stp>
        <tr r="Q7" s="2"/>
      </tp>
      <tp>
        <v>26394</v>
        <stp/>
        <stp>##V3_BQLV12</stp>
        <stp>[MODL_CRM_US1.xlsx]Single Period!R7C11</stp>
        <stp>CRM US Equity</stp>
        <stp>IS_COMP_SALES/1M</stp>
        <stp>FPR=2022Y</stp>
        <stp>FPT=A</stp>
        <stp>FA_ACT_EST_DATA=E, EST_SOURCE=WBL</stp>
        <stp>ACT_EST_MAPPING=PRECISE</stp>
        <stp>FS=MRC</stp>
        <stp>CURRENCY=USD</stp>
        <stp>XLFILL=b</stp>
        <tr r="K7" s="2"/>
      </tp>
      <tp>
        <v>26391</v>
        <stp/>
        <stp>##V3_BQLV12</stp>
        <stp>[MODL_CRM_US1.xlsx]Single Period!R7C40</stp>
        <stp>CRM US Equity</stp>
        <stp>IS_COMP_SALES/1M</stp>
        <stp>FPR=2022Y</stp>
        <stp>FPT=A</stp>
        <stp>FA_ACT_EST_DATA=E, EST_SOURCE=ACC</stp>
        <stp>ACT_EST_MAPPING=PRECISE</stp>
        <stp>FS=MRC</stp>
        <stp>CURRENCY=USD</stp>
        <stp>XLFILL=b</stp>
        <tr r="AN7" s="2"/>
      </tp>
      <tp>
        <v>26396</v>
        <stp/>
        <stp>##V3_BQLV12</stp>
        <stp>[MODL_CRM_US1.xlsx]Single Period!R7C31</stp>
        <stp>CRM US Equity</stp>
        <stp>IS_COMP_SALES/1M</stp>
        <stp>FPR=2022Y</stp>
        <stp>FPT=A</stp>
        <stp>FA_ACT_EST_DATA=E, EST_SOURCE=RBC</stp>
        <stp>ACT_EST_MAPPING=PRECISE</stp>
        <stp>FS=MRC</stp>
        <stp>CURRENCY=USD</stp>
        <stp>XLFILL=b</stp>
        <tr r="AE7" s="2"/>
      </tp>
      <tp>
        <v>21.666666666666671</v>
        <stp/>
        <stp>##V3_BQLV12</stp>
        <stp>[MODL_CRM_US1.xlsx]Single Period!R40C9</stp>
        <stp>SEG0000269228 Segment</stp>
        <stp>CONTRIBUTOR_STATS(REVENUE_GROWTH_CC_1_YR, MEDIAN)</stp>
        <stp>FPR=2022Y</stp>
        <stp>FPT=A</stp>
        <stp>FA_ACT_EST_DATA=E</stp>
        <stp>ACT_EST_MAPPING=PRECISE</stp>
        <stp>FS=MRC</stp>
        <stp>CURRENCY=USD</stp>
        <stp>XLFILL=b</stp>
        <tr r="I40" s="2"/>
      </tp>
      <tp>
        <v>26395</v>
        <stp/>
        <stp>##V3_BQLV12</stp>
        <stp>[MODL_CRM_US1.xlsx]Single Period!R7C26</stp>
        <stp>CRM US Equity</stp>
        <stp>IS_COMP_SALES/1M</stp>
        <stp>FPR=2022Y</stp>
        <stp>FPT=A</stp>
        <stp>FA_ACT_EST_DATA=E, EST_SOURCE=KEY</stp>
        <stp>ACT_EST_MAPPING=PRECISE</stp>
        <stp>FS=MRC</stp>
        <stp>CURRENCY=USD</stp>
        <stp>XLFILL=b</stp>
        <tr r="Z7" s="2"/>
      </tp>
      <tp>
        <v>5.8141424054552262</v>
        <stp/>
        <stp>##V3_BQLV12</stp>
        <stp>[MODL_CRM_US1.xlsx]Single Period!R183C6</stp>
        <stp>CRM US Equity</stp>
        <stp>CONTRIBUTOR_STATS(CASH_FLOW_PER_SH, MIN)</stp>
        <stp>FPR=2022Y</stp>
        <stp>FPT=A</stp>
        <stp>FA_ACT_EST_DATA=E</stp>
        <stp>ACT_EST_MAPPING=PRECISE</stp>
        <stp>FS=MRC</stp>
        <stp>CURRENCY=USD</stp>
        <stp>XLFILL=b</stp>
        <tr r="F183" s="2"/>
      </tp>
      <tp t="s">
        <v/>
        <stp/>
        <stp>##V3_BQLV12</stp>
        <stp>[MODL_CRM_US1.xlsx]Single Period!R40C34</stp>
        <stp>SEG0000269228 Segment</stp>
        <stp>REVENUE_GROWTH_CC_1_YR</stp>
        <stp>FPR=2022Y</stp>
        <stp>FPT=A</stp>
        <stp>FA_ACT_EST_DATA=E, EST_SOURCE=JEF</stp>
        <stp>ACT_EST_MAPPING=PRECISE</stp>
        <stp>FS=MRC</stp>
        <stp>CURRENCY=USD</stp>
        <stp>XLFILL=b</stp>
        <tr r="AH40" s="2"/>
      </tp>
      <tp t="s">
        <v/>
        <stp/>
        <stp>##V3_BQLV12</stp>
        <stp>[MODL_CRM_US1.xlsx]Single Period!R167C36</stp>
        <stp>CRM US Equity</stp>
        <stp>CB_CF_NET_CASH_OPERATING_ACT/1M</stp>
        <stp>FPR=2022Y</stp>
        <stp>FPT=A</stp>
        <stp>FA_ACT_EST_DATA=E, EST_SOURCE=MAC</stp>
        <stp>ACT_EST_MAPPING=PRECISE</stp>
        <stp>FS=MRC</stp>
        <stp>CURRENCY=USD</stp>
        <stp>XLFILL=b</stp>
        <tr r="AJ167" s="2"/>
      </tp>
      <tp t="s">
        <v/>
        <stp/>
        <stp>##V3_BQLV12</stp>
        <stp>[MODL_CRM_US1.xlsx]Single Period!R182C19</stp>
        <stp>CRM US Equity</stp>
        <stp>CB_CF_NET_CASH_OPERATING_ACT/1M</stp>
        <stp>FPR=2022Y</stp>
        <stp>FPT=A</stp>
        <stp>FA_ACT_EST_DATA=E, EST_SOURCE=SCB</stp>
        <stp>ACT_EST_MAPPING=PRECISE</stp>
        <stp>FS=MRC</stp>
        <stp>CURRENCY=USD</stp>
        <stp>XLFILL=b</stp>
        <tr r="S182" s="2"/>
      </tp>
      <tp t="s">
        <v/>
        <stp/>
        <stp>##V3_BQLV12</stp>
        <stp>[MODL_CRM_US1.xlsx]Single Period!R121C56</stp>
        <stp>CRM US Equity</stp>
        <stp>CB_BS_INTANG_ASSETS_EX_GW_NT/1M</stp>
        <stp>FPR=2022Y</stp>
        <stp>FPT=A</stp>
        <stp>FA_ACT_EST_DATA=E, EST_SOURCE=DIR</stp>
        <stp>ACT_EST_MAPPING=PRECISE</stp>
        <stp>FS=MRC</stp>
        <stp>CURRENCY=USD</stp>
        <stp>XLFILL=b</stp>
        <tr r="BD121" s="2"/>
      </tp>
      <tp t="s">
        <v/>
        <stp/>
        <stp>##V3_BQLV12</stp>
        <stp>[MODL_CRM_US1.xlsx]Single Period!R104C39</stp>
        <stp>CRM US Equity</stp>
        <stp>IS_AMORT_OF_TOT_INTANG_PRETX/1M</stp>
        <stp>FPR=2022Y</stp>
        <stp>FPT=A</stp>
        <stp>FA_ACT_EST_DATA=E, EST_SOURCE=KGI</stp>
        <stp>ACT_EST_MAPPING=PRECISE</stp>
        <stp>FS=MRC</stp>
        <stp>CURRENCY=USD</stp>
        <stp>XLFILL=b</stp>
        <tr r="AM104" s="2"/>
      </tp>
      <tp t="s">
        <v/>
        <stp/>
        <stp>##V3_BQLV12</stp>
        <stp>[MODL_CRM_US1.xlsx]Single Period!R87C33</stp>
        <stp>CRM US Equity</stp>
        <stp>IS_EBIT_AS_REPORTED/1M</stp>
        <stp>FPR=2022Y</stp>
        <stp>FPT=A</stp>
        <stp>FA_ACT_EST_DATA=E, EST_SOURCE=RHR</stp>
        <stp>ACT_EST_MAPPING=PRECISE</stp>
        <stp>FS=MRC</stp>
        <stp>CURRENCY=USD</stp>
        <stp>XLFILL=b</stp>
        <tr r="AG87" s="2"/>
      </tp>
      <tp t="s">
        <v/>
        <stp/>
        <stp>##V3_BQLV12</stp>
        <stp>[MODL_CRM_US1.xlsx]Single Period!R182C30</stp>
        <stp>CRM US Equity</stp>
        <stp>CB_CF_NET_CASH_OPERATING_ACT/1M</stp>
        <stp>FPR=2022Y</stp>
        <stp>FPT=A</stp>
        <stp>FA_ACT_EST_DATA=E, EST_SOURCE=BAM</stp>
        <stp>ACT_EST_MAPPING=PRECISE</stp>
        <stp>FS=MRC</stp>
        <stp>CURRENCY=USD</stp>
        <stp>XLFILL=b</stp>
        <tr r="AD182" s="2"/>
      </tp>
      <tp t="s">
        <v/>
        <stp/>
        <stp>##V3_BQLV12</stp>
        <stp>[MODL_CRM_US1.xlsx]Single Period!R71C11</stp>
        <stp>CRM US Equity</stp>
        <stp>ADJ_PROFIT_MARGIN</stp>
        <stp>FPR=2022Y</stp>
        <stp>FPT=A</stp>
        <stp>FA_ACT_EST_DATA=E, EST_SOURCE=WBL</stp>
        <stp>ACT_EST_MAPPING=PRECISE</stp>
        <stp>FS=MRC</stp>
        <stp>CURRENCY=USD</stp>
        <stp>XLFILL=b</stp>
        <tr r="K71" s="2"/>
      </tp>
      <tp t="s">
        <v/>
        <stp/>
        <stp>##V3_BQLV12</stp>
        <stp>[MODL_CRM_US1.xlsx]Single Period!R40C55</stp>
        <stp>SEG0000269228 Segment</stp>
        <stp>REVENUE_GROWTH_CC_1_YR</stp>
        <stp>FPR=2022Y</stp>
        <stp>FPT=A</stp>
        <stp>FA_ACT_EST_DATA=E, EST_SOURCE=RED</stp>
        <stp>ACT_EST_MAPPING=PRECISE</stp>
        <stp>FS=MRC</stp>
        <stp>CURRENCY=USD</stp>
        <stp>XLFILL=b</stp>
        <tr r="BC40" s="2"/>
      </tp>
      <tp>
        <v>5691.6109343772123</v>
        <stp/>
        <stp>##V3_BQLV12</stp>
        <stp>[MODL_CRM_US1.xlsx]Single Period!R167C13</stp>
        <stp>CRM US Equity</stp>
        <stp>CB_CF_NET_CASH_OPERATING_ACT/1M</stp>
        <stp>FPR=2022Y</stp>
        <stp>FPT=A</stp>
        <stp>FA_ACT_EST_DATA=E, EST_SOURCE=BCA</stp>
        <stp>ACT_EST_MAPPING=PRECISE</stp>
        <stp>FS=MRC</stp>
        <stp>CURRENCY=USD</stp>
        <stp>XLFILL=b</stp>
        <tr r="M167" s="2"/>
      </tp>
      <tp t="s">
        <v/>
        <stp/>
        <stp>##V3_BQLV12</stp>
        <stp>[MODL_CRM_US1.xlsx]Single Period!R179C39</stp>
        <stp>CRM US Equity</stp>
        <stp>CB_CF_NET_CASH_FINANCING_ACT/1M</stp>
        <stp>FPR=2022Y</stp>
        <stp>FPT=A</stp>
        <stp>FA_ACT_EST_DATA=E, EST_SOURCE=KGI</stp>
        <stp>ACT_EST_MAPPING=PRECISE</stp>
        <stp>FS=MRC</stp>
        <stp>CURRENCY=USD</stp>
        <stp>XLFILL=b</stp>
        <tr r="AM179" s="2"/>
      </tp>
      <tp t="s">
        <v/>
        <stp/>
        <stp>##V3_BQLV12</stp>
        <stp>[MODL_CRM_US1.xlsx]Single Period!R71C31</stp>
        <stp>CRM US Equity</stp>
        <stp>ADJ_PROFIT_MARGIN</stp>
        <stp>FPR=2022Y</stp>
        <stp>FPT=A</stp>
        <stp>FA_ACT_EST_DATA=E, EST_SOURCE=RBC</stp>
        <stp>ACT_EST_MAPPING=PRECISE</stp>
        <stp>FS=MRC</stp>
        <stp>CURRENCY=USD</stp>
        <stp>XLFILL=b</stp>
        <tr r="AE71" s="2"/>
      </tp>
      <tp>
        <v>16.321635004554011</v>
        <stp/>
        <stp>##V3_BQLV12</stp>
        <stp>[MODL_CRM_US1.xlsx]Single Period!R71C24</stp>
        <stp>CRM US Equity</stp>
        <stp>ADJ_PROFIT_MARGIN</stp>
        <stp>FPR=2022Y</stp>
        <stp>FPT=A</stp>
        <stp>FA_ACT_EST_DATA=E, EST_SOURCE=FBC</stp>
        <stp>ACT_EST_MAPPING=PRECISE</stp>
        <stp>FS=MRC</stp>
        <stp>CURRENCY=USD</stp>
        <stp>XLFILL=b</stp>
        <tr r="X71" s="2"/>
      </tp>
      <tp t="s">
        <v/>
        <stp/>
        <stp>##V3_BQLV12</stp>
        <stp>[MODL_CRM_US1.xlsx]Single Period!R167C30</stp>
        <stp>CRM US Equity</stp>
        <stp>CB_CF_NET_CASH_OPERATING_ACT/1M</stp>
        <stp>FPR=2022Y</stp>
        <stp>FPT=A</stp>
        <stp>FA_ACT_EST_DATA=E, EST_SOURCE=BAM</stp>
        <stp>ACT_EST_MAPPING=PRECISE</stp>
        <stp>FS=MRC</stp>
        <stp>CURRENCY=USD</stp>
        <stp>XLFILL=b</stp>
        <tr r="AD167" s="2"/>
      </tp>
      <tp t="s">
        <v/>
        <stp/>
        <stp>##V3_BQLV12</stp>
        <stp>[MODL_CRM_US1.xlsx]Single Period!R45C12</stp>
        <stp>SEG0000269240 Segment</stp>
        <stp>REVENUE_GROWTH_CC_1_YR</stp>
        <stp>FPR=2022Y</stp>
        <stp>FPT=A</stp>
        <stp>FA_ACT_EST_DATA=E, EST_SOURCE=BMO</stp>
        <stp>ACT_EST_MAPPING=PRECISE</stp>
        <stp>FS=MRC</stp>
        <stp>CURRENCY=USD</stp>
        <stp>XLFILL=b</stp>
        <tr r="L45" s="2"/>
      </tp>
      <tp>
        <v>5691.6109343772123</v>
        <stp/>
        <stp>##V3_BQLV12</stp>
        <stp>[MODL_CRM_US1.xlsx]Single Period!R182C13</stp>
        <stp>CRM US Equity</stp>
        <stp>CB_CF_NET_CASH_OPERATING_ACT/1M</stp>
        <stp>FPR=2022Y</stp>
        <stp>FPT=A</stp>
        <stp>FA_ACT_EST_DATA=E, EST_SOURCE=BCA</stp>
        <stp>ACT_EST_MAPPING=PRECISE</stp>
        <stp>FS=MRC</stp>
        <stp>CURRENCY=USD</stp>
        <stp>XLFILL=b</stp>
        <tr r="M182" s="2"/>
      </tp>
      <tp t="s">
        <v/>
        <stp/>
        <stp>##V3_BQLV12</stp>
        <stp>[MODL_CRM_US1.xlsx]Single Period!R78C17</stp>
        <stp>CRM US Equity</stp>
        <stp>COGS_TO_NET_SALES</stp>
        <stp>FPR=2022Y</stp>
        <stp>FPT=A</stp>
        <stp>FA_ACT_EST_DATA=E, EST_SOURCE=NDH</stp>
        <stp>ACT_EST_MAPPING=PRECISE</stp>
        <stp>FS=MRC</stp>
        <stp>CURRENCY=USD</stp>
        <stp>XLFILL=b</stp>
        <tr r="Q78" s="2"/>
      </tp>
      <tp t="s">
        <v/>
        <stp/>
        <stp>##V3_BQLV12</stp>
        <stp>[MODL_CRM_US1.xlsx]Single Period!R167C19</stp>
        <stp>CRM US Equity</stp>
        <stp>CB_CF_NET_CASH_OPERATING_ACT/1M</stp>
        <stp>FPR=2022Y</stp>
        <stp>FPT=A</stp>
        <stp>FA_ACT_EST_DATA=E, EST_SOURCE=SCB</stp>
        <stp>ACT_EST_MAPPING=PRECISE</stp>
        <stp>FS=MRC</stp>
        <stp>CURRENCY=USD</stp>
        <stp>XLFILL=b</stp>
        <tr r="S167" s="2"/>
      </tp>
      <tp t="s">
        <v/>
        <stp/>
        <stp>##V3_BQLV12</stp>
        <stp>[MODL_CRM_US1.xlsx]Single Period!R182C36</stp>
        <stp>CRM US Equity</stp>
        <stp>CB_CF_NET_CASH_OPERATING_ACT/1M</stp>
        <stp>FPR=2022Y</stp>
        <stp>FPT=A</stp>
        <stp>FA_ACT_EST_DATA=E, EST_SOURCE=MAC</stp>
        <stp>ACT_EST_MAPPING=PRECISE</stp>
        <stp>FS=MRC</stp>
        <stp>CURRENCY=USD</stp>
        <stp>XLFILL=b</stp>
        <tr r="AJ182" s="2"/>
      </tp>
      <tp t="s">
        <v/>
        <stp/>
        <stp>##V3_BQLV12</stp>
        <stp>[MODL_CRM_US1.xlsx]Single Period!R121C29</stp>
        <stp>CRM US Equity</stp>
        <stp>CB_BS_INTANG_ASSETS_EX_GW_NT/1M</stp>
        <stp>FPR=2022Y</stp>
        <stp>FPT=A</stp>
        <stp>FA_ACT_EST_DATA=E, EST_SOURCE=BNS</stp>
        <stp>ACT_EST_MAPPING=PRECISE</stp>
        <stp>FS=MRC</stp>
        <stp>CURRENCY=USD</stp>
        <stp>XLFILL=b</stp>
        <tr r="AC121" s="2"/>
      </tp>
      <tp t="s">
        <v/>
        <stp/>
        <stp>##V3_BQLV12</stp>
        <stp>[MODL_CRM_US1.xlsx]Single Period!R71C16</stp>
        <stp>CRM US Equity</stp>
        <stp>ADJ_PROFIT_MARGIN</stp>
        <stp>FPR=2022Y</stp>
        <stp>FPT=A</stp>
        <stp>FA_ACT_EST_DATA=E, EST_SOURCE=DBG</stp>
        <stp>ACT_EST_MAPPING=PRECISE</stp>
        <stp>FS=MRC</stp>
        <stp>CURRENCY=USD</stp>
        <stp>XLFILL=b</stp>
        <tr r="P71" s="2"/>
      </tp>
      <tp>
        <v>4.6819999999999986</v>
        <stp/>
        <stp>##V3_BQLV12</stp>
        <stp>[MODL_CRM_US1.xlsx]Single Period!R74C5</stp>
        <stp>CRM US Equity</stp>
        <stp>IS_COMP_EPS_EXCL_STOCK_COMP</stp>
        <stp>FPR=2022Y</stp>
        <stp>FPT=A</stp>
        <stp>FA_ACT_EST_DATA=E</stp>
        <stp>ACT_EST_MAPPING=PRECISE</stp>
        <stp>FS=MRC</stp>
        <stp>CURRENCY=USD</stp>
        <stp>XLFILL=b</stp>
        <tr r="E74" s="2"/>
      </tp>
      <tp t="s">
        <v/>
        <stp/>
        <stp>##V3_BQLV12</stp>
        <stp>[MODL_CRM_US1.xlsx]Single Period!R167C47</stp>
        <stp>CRM US Equity</stp>
        <stp>CB_CF_NET_CASH_OPERATING_ACT/1M</stp>
        <stp>FPR=2022Y</stp>
        <stp>FPT=A</stp>
        <stp>FA_ACT_EST_DATA=E, EST_SOURCE=WFT</stp>
        <stp>ACT_EST_MAPPING=PRECISE</stp>
        <stp>FS=MRC</stp>
        <stp>CURRENCY=USD</stp>
        <stp>XLFILL=b</stp>
        <tr r="AU167" s="2"/>
      </tp>
      <tp t="s">
        <v/>
        <stp/>
        <stp>##V3_BQLV12</stp>
        <stp>[MODL_CRM_US1.xlsx]Single Period!R45C25</stp>
        <stp>SEG0000269240 Segment</stp>
        <stp>REVENUE_GROWTH_CC_1_YR</stp>
        <stp>FPR=2022Y</stp>
        <stp>FPT=A</stp>
        <stp>FA_ACT_EST_DATA=E, EST_SOURCE=WMS</stp>
        <stp>ACT_EST_MAPPING=PRECISE</stp>
        <stp>FS=MRC</stp>
        <stp>CURRENCY=USD</stp>
        <stp>XLFILL=b</stp>
        <tr r="Y45" s="2"/>
      </tp>
      <tp t="s">
        <v/>
        <stp/>
        <stp>##V3_BQLV12</stp>
        <stp>[MODL_CRM_US1.xlsx]Single Period!R136C43</stp>
        <stp>CRM US Equity</stp>
        <stp>BS_TOTAL_LIABILITIES/1M</stp>
        <stp>FPR=2022Y</stp>
        <stp>FPT=A</stp>
        <stp>FA_ACT_EST_DATA=E, EST_SOURCE=DWI</stp>
        <stp>ACT_EST_MAPPING=PRECISE</stp>
        <stp>FS=MRC</stp>
        <stp>CURRENCY=USD</stp>
        <stp>XLFILL=b</stp>
        <tr r="AQ136" s="2"/>
      </tp>
      <tp t="s">
        <v/>
        <stp/>
        <stp>##V3_BQLV12</stp>
        <stp>[MODL_CRM_US1.xlsx]Single Period!R45C20</stp>
        <stp>SEG0000269240 Segment</stp>
        <stp>REVENUE_GROWTH_CC_1_YR</stp>
        <stp>FPR=2022Y</stp>
        <stp>FPT=A</stp>
        <stp>FA_ACT_EST_DATA=E, EST_SOURCE=JMP</stp>
        <stp>ACT_EST_MAPPING=PRECISE</stp>
        <stp>FS=MRC</stp>
        <stp>CURRENCY=USD</stp>
        <stp>XLFILL=b</stp>
        <tr r="T45" s="2"/>
      </tp>
      <tp t="s">
        <v/>
        <stp/>
        <stp>##V3_BQLV12</stp>
        <stp>[MODL_CRM_US1.xlsx]Single Period!R136C44</stp>
        <stp>CRM US Equity</stp>
        <stp>BS_TOTAL_LIABILITIES/1M</stp>
        <stp>FPR=2022Y</stp>
        <stp>FPT=A</stp>
        <stp>FA_ACT_EST_DATA=E, EST_SOURCE=RWB</stp>
        <stp>ACT_EST_MAPPING=PRECISE</stp>
        <stp>FS=MRC</stp>
        <stp>CURRENCY=USD</stp>
        <stp>XLFILL=b</stp>
        <tr r="AR136" s="2"/>
      </tp>
      <tp t="s">
        <v/>
        <stp/>
        <stp>##V3_BQLV12</stp>
        <stp>[MODL_CRM_US1.xlsx]Single Period!R71C32</stp>
        <stp>CRM US Equity</stp>
        <stp>ADJ_PROFIT_MARGIN</stp>
        <stp>FPR=2022Y</stp>
        <stp>FPT=A</stp>
        <stp>FA_ACT_EST_DATA=E, EST_SOURCE=UBS</stp>
        <stp>ACT_EST_MAPPING=PRECISE</stp>
        <stp>FS=MRC</stp>
        <stp>CURRENCY=USD</stp>
        <stp>XLFILL=b</stp>
        <tr r="AF71" s="2"/>
      </tp>
      <tp t="s">
        <v/>
        <stp/>
        <stp>##V3_BQLV12</stp>
        <stp>[MODL_CRM_US1.xlsx]Single Period!R182C47</stp>
        <stp>CRM US Equity</stp>
        <stp>CB_CF_NET_CASH_OPERATING_ACT/1M</stp>
        <stp>FPR=2022Y</stp>
        <stp>FPT=A</stp>
        <stp>FA_ACT_EST_DATA=E, EST_SOURCE=WFT</stp>
        <stp>ACT_EST_MAPPING=PRECISE</stp>
        <stp>FS=MRC</stp>
        <stp>CURRENCY=USD</stp>
        <stp>XLFILL=b</stp>
        <tr r="AU182" s="2"/>
      </tp>
      <tp t="s">
        <v/>
        <stp/>
        <stp>##V3_BQLV12</stp>
        <stp>[MODL_CRM_US1.xlsx]Single Period!R173C45</stp>
        <stp>CRM US Equity</stp>
        <stp>CB_CF_NET_CASH_INVESTING_ACT/1M</stp>
        <stp>FPR=2022Y</stp>
        <stp>FPT=A</stp>
        <stp>FA_ACT_EST_DATA=E, EST_SOURCE=ARG</stp>
        <stp>ACT_EST_MAPPING=PRECISE</stp>
        <stp>FS=MRC</stp>
        <stp>CURRENCY=USD</stp>
        <stp>XLFILL=b</stp>
        <tr r="AS173" s="2"/>
      </tp>
      <tp t="s">
        <v/>
        <stp/>
        <stp>##V3_BQLV12</stp>
        <stp>[MODL_CRM_US1.xlsx]Single Period!R121C12</stp>
        <stp>CRM US Equity</stp>
        <stp>CB_BS_INTANG_ASSETS_EX_GW_NT/1M</stp>
        <stp>FPR=2022Y</stp>
        <stp>FPT=A</stp>
        <stp>FA_ACT_EST_DATA=E, EST_SOURCE=BMO</stp>
        <stp>ACT_EST_MAPPING=PRECISE</stp>
        <stp>FS=MRC</stp>
        <stp>CURRENCY=USD</stp>
        <stp>XLFILL=b</stp>
        <tr r="L121" s="2"/>
      </tp>
      <tp t="s">
        <v/>
        <stp/>
        <stp>##V3_BQLV12</stp>
        <stp>[MODL_CRM_US1.xlsx]Single Period!R121C53</stp>
        <stp>CRM US Equity</stp>
        <stp>CB_BS_INTANG_ASSETS_EX_GW_NT/1M</stp>
        <stp>FPR=2022Y</stp>
        <stp>FPT=A</stp>
        <stp>FA_ACT_EST_DATA=E, EST_SOURCE=NIK</stp>
        <stp>ACT_EST_MAPPING=PRECISE</stp>
        <stp>FS=MRC</stp>
        <stp>CURRENCY=USD</stp>
        <stp>XLFILL=b</stp>
        <tr r="BA121" s="2"/>
      </tp>
      <tp t="s">
        <v/>
        <stp/>
        <stp>##V3_BQLV12</stp>
        <stp>[MODL_CRM_US1.xlsx]Single Period!R40C26</stp>
        <stp>SEG0000269228 Segment</stp>
        <stp>REVENUE_GROWTH_CC_1_YR</stp>
        <stp>FPR=2022Y</stp>
        <stp>FPT=A</stp>
        <stp>FA_ACT_EST_DATA=E, EST_SOURCE=KEY</stp>
        <stp>ACT_EST_MAPPING=PRECISE</stp>
        <stp>FS=MRC</stp>
        <stp>CURRENCY=USD</stp>
        <stp>XLFILL=b</stp>
        <tr r="Z40" s="2"/>
      </tp>
      <tp t="s">
        <v/>
        <stp/>
        <stp>##V3_BQLV12</stp>
        <stp>[MODL_CRM_US1.xlsx]Single Period!R135C21</stp>
        <stp>CRM US Equity</stp>
        <stp>CB_BS_OTHER_NONCURRENT_LIABS/1M</stp>
        <stp>FPR=2022Y</stp>
        <stp>FPT=A</stp>
        <stp>FA_ACT_EST_DATA=E, EST_SOURCE=RJA</stp>
        <stp>ACT_EST_MAPPING=PRECISE</stp>
        <stp>FS=MRC</stp>
        <stp>CURRENCY=USD</stp>
        <stp>XLFILL=b</stp>
        <tr r="U135" s="2"/>
      </tp>
      <tp t="s">
        <v/>
        <stp/>
        <stp>##V3_BQLV12</stp>
        <stp>[MODL_CRM_US1.xlsx]Single Period!R55C10</stp>
        <stp>CRM US Equity</stp>
        <stp>IS_ADJ_GROSS_PROFIT_AS_REPORTED/1M</stp>
        <stp>FPR=2022Y</stp>
        <stp>FPT=A</stp>
        <stp>FA_ACT_EST_DATA=E, EST_SOURCE=CMPY</stp>
        <stp>ACT_EST_MAPPING=PRECISE</stp>
        <stp>FS=MRC</stp>
        <stp>CURRENCY=USD</stp>
        <stp>XLFILL=b</stp>
        <tr r="J55" s="2"/>
      </tp>
      <tp t="s">
        <v/>
        <stp/>
        <stp>##V3_BQLV12</stp>
        <stp>[MODL_CRM_US1.xlsx]Single Period!R90C48</stp>
        <stp>CRM US Equity</stp>
        <stp>IS_INC_TAX_EXP/1M</stp>
        <stp>FPR=2022Y</stp>
        <stp>FPT=A</stp>
        <stp>FA_ACT_EST_DATA=E, EST_SOURCE=PJE</stp>
        <stp>ACT_EST_MAPPING=PRECISE</stp>
        <stp>FS=MRC</stp>
        <stp>CURRENCY=USD</stp>
        <stp>XLFILL=b</stp>
        <tr r="AV90" s="2"/>
      </tp>
      <tp t="s">
        <v/>
        <stp/>
        <stp>##V3_BQLV12</stp>
        <stp>[MODL_CRM_US1.xlsx]Single Period!R16C10</stp>
        <stp>CRM US Equity</stp>
        <stp>IS_ADJ_GROSS_PROFIT_AS_REPORTED/1M</stp>
        <stp>FPR=2022Y</stp>
        <stp>FPT=A</stp>
        <stp>FA_ACT_EST_DATA=E, EST_SOURCE=CMPY</stp>
        <stp>ACT_EST_MAPPING=PRECISE</stp>
        <stp>FS=MRC</stp>
        <stp>CURRENCY=USD</stp>
        <stp>XLFILL=b</stp>
        <tr r="J16" s="2"/>
      </tp>
      <tp>
        <v>146.42443206193241</v>
        <stp/>
        <stp>##V3_BQLV12</stp>
        <stp>[MODL_CRM_US1.xlsx]Single Period!R90C21</stp>
        <stp>CRM US Equity</stp>
        <stp>IS_INC_TAX_EXP/1M</stp>
        <stp>FPR=2022Y</stp>
        <stp>FPT=A</stp>
        <stp>FA_ACT_EST_DATA=E, EST_SOURCE=RJA</stp>
        <stp>ACT_EST_MAPPING=PRECISE</stp>
        <stp>FS=MRC</stp>
        <stp>CURRENCY=USD</stp>
        <stp>XLFILL=b</stp>
        <tr r="U90" s="2"/>
      </tp>
      <tp t="s">
        <v/>
        <stp/>
        <stp>##V3_BQLV12</stp>
        <stp>[MODL_CRM_US1.xlsx]Single Period!R45C8</stp>
        <stp>SEG0000269240 Segment</stp>
        <stp>CONTRIBUTOR_STATS(REVENUE_GROWTH_CC_1_YR, STD)</stp>
        <stp>FPR=2022Y</stp>
        <stp>FPT=A</stp>
        <stp>FA_ACT_EST_DATA=E</stp>
        <stp>ACT_EST_MAPPING=PRECISE</stp>
        <stp>FS=MRC</stp>
        <stp>CURRENCY=USD</stp>
        <stp>XLFILL=b</stp>
        <tr r="H45" s="2"/>
      </tp>
      <tp>
        <v>7635</v>
        <stp/>
        <stp>##V3_BQLV12</stp>
        <stp>[MODL_CRM_US1.xlsx]Single Period!R179C9</stp>
        <stp>CRM US Equity</stp>
        <stp>CONTRIBUTOR_STATS(CB_CF_NET_CASH_FINANCING_ACT, MEDIAN)/1M</stp>
        <stp>FPR=2022Y</stp>
        <stp>FPT=A</stp>
        <stp>FA_ACT_EST_DATA=E</stp>
        <stp>ACT_EST_MAPPING=PRECISE</stp>
        <stp>FS=MRC</stp>
        <stp>CURRENCY=USD</stp>
        <stp>XLFILL=b</stp>
        <tr r="I179" s="2"/>
      </tp>
      <tp t="s">
        <v/>
        <stp/>
        <stp>##V3_BQLV12</stp>
        <stp>[MODL_CRM_US1.xlsx]Single Period!R116C10</stp>
        <stp>CRM US Equity</stp>
        <stp>PREPAID_EXPNSS_AND_OTHR/1M</stp>
        <stp>FPR=2022Y</stp>
        <stp>FPT=A</stp>
        <stp>FA_ACT_EST_DATA=E, EST_SOURCE=CMPY</stp>
        <stp>ACT_EST_MAPPING=PRECISE</stp>
        <stp>FS=MRC</stp>
        <stp>CURRENCY=USD</stp>
        <stp>XLFILL=b</stp>
        <tr r="J116" s="2"/>
      </tp>
      <tp t="s">
        <v>Brent A Bracelin</v>
        <stp/>
        <stp>##V3_BQLV12</stp>
        <stp>[MODL_CRM_US1.xlsx]Single Period!R4C48</stp>
        <stp>CRM US Equity</stp>
        <stp>LAST(IS_COMP_SALES(FA_ACT_EST_DATA=E, EST_SOURCE=PJE).analyst_name)</stp>
        <stp>FPR=2022Y</stp>
        <stp>FPT=A</stp>
        <stp>ACT_EST_MAPPING=PRECISE</stp>
        <stp>FS=MRC</stp>
        <stp>CURRENCY=USD</stp>
        <stp>XLFILL=b</stp>
        <tr r="AV4" s="2"/>
      </tp>
      <tp>
        <v>5699.8640802877599</v>
        <stp/>
        <stp>##V3_BQLV12</stp>
        <stp>[MODL_CRM_US1.xlsx]Single Period!R167C9</stp>
        <stp>CRM US Equity</stp>
        <stp>CONTRIBUTOR_STATS(CB_CF_NET_CASH_OPERATING_ACT, MEDIAN)/1M</stp>
        <stp>FPR=2022Y</stp>
        <stp>FPT=A</stp>
        <stp>FA_ACT_EST_DATA=E</stp>
        <stp>ACT_EST_MAPPING=PRECISE</stp>
        <stp>FS=MRC</stp>
        <stp>CURRENCY=USD</stp>
        <stp>XLFILL=b</stp>
        <tr r="I167" s="2"/>
      </tp>
      <tp t="s">
        <v/>
        <stp/>
        <stp>##V3_BQLV12</stp>
        <stp>[MODL_CRM_US1.xlsx]Single Period!R67C29</stp>
        <stp>CRM US Equity</stp>
        <stp>IS_NON_OPERATING_INC_LOSS_GAAP/1M</stp>
        <stp>FPR=2022Y</stp>
        <stp>FPT=A</stp>
        <stp>FA_ACT_EST_DATA=E, EST_SOURCE=BNS</stp>
        <stp>ACT_EST_MAPPING=PRECISE</stp>
        <stp>FS=MRC</stp>
        <stp>CURRENCY=USD</stp>
        <stp>XLFILL=b</stp>
        <tr r="AC67" s="2"/>
      </tp>
      <tp t="s">
        <v/>
        <stp/>
        <stp>##V3_BQLV12</stp>
        <stp>[MODL_CRM_US1.xlsx]Single Period!R67C14</stp>
        <stp>CRM US Equity</stp>
        <stp>IS_NON_OPERATING_INC_LOSS_GAAP/1M</stp>
        <stp>FPR=2022Y</stp>
        <stp>FPT=A</stp>
        <stp>FA_ACT_EST_DATA=E, EST_SOURCE=SNR</stp>
        <stp>ACT_EST_MAPPING=PRECISE</stp>
        <stp>FS=MRC</stp>
        <stp>CURRENCY=USD</stp>
        <stp>XLFILL=b</stp>
        <tr r="N67" s="2"/>
      </tp>
      <tp t="s">
        <v>Pooh Chuang</v>
        <stp/>
        <stp>##V3_BQLV12</stp>
        <stp>[MODL_CRM_US1.xlsx]Single Period!R4C42</stp>
        <stp>CRM US Equity</stp>
        <stp>LAST(IS_COMP_SALES(FA_ACT_EST_DATA=E, EST_SOURCE=PSG).analyst_name)</stp>
        <stp>FPR=2022Y</stp>
        <stp>FPT=A</stp>
        <stp>ACT_EST_MAPPING=PRECISE</stp>
        <stp>FS=MRC</stp>
        <stp>CURRENCY=USD</stp>
        <stp>XLFILL=b</stp>
        <tr r="AP4" s="2"/>
      </tp>
      <tp>
        <v>1622</v>
        <stp/>
        <stp>##V3_BQLV12</stp>
        <stp>[MODL_CRM_US1.xlsx]Single Period!R104C9</stp>
        <stp>CRM US Equity</stp>
        <stp>CONTRIBUTOR_STATS(IS_AMORT_OF_TOT_INTANG_PRETX, MEDIAN)/1M</stp>
        <stp>FPR=2022Y</stp>
        <stp>FPT=A</stp>
        <stp>FA_ACT_EST_DATA=E</stp>
        <stp>ACT_EST_MAPPING=PRECISE</stp>
        <stp>FS=MRC</stp>
        <stp>CURRENCY=USD</stp>
        <stp>XLFILL=b</stp>
        <tr r="I104" s="2"/>
      </tp>
      <tp t="s">
        <v/>
        <stp/>
        <stp>##V3_BQLV12</stp>
        <stp>[MODL_CRM_US1.xlsx]Single Period!R193C45</stp>
        <stp>CRM US Equity</stp>
        <stp>FCF_PER_DIL_SHR</stp>
        <stp>FPR=2022Y</stp>
        <stp>FPT=A</stp>
        <stp>FA_ACT_EST_DATA=E, EST_SOURCE=ARG</stp>
        <stp>ACT_EST_MAPPING=PRECISE</stp>
        <stp>FS=MRC</stp>
        <stp>CURRENCY=USD</stp>
        <stp>XLFILL=b</stp>
        <tr r="AS193" s="2"/>
      </tp>
      <tp>
        <v>0</v>
        <stp/>
        <stp>##V3_BQLV12</stp>
        <stp>[MODL_CRM_US1.xlsx]Single Period!R140C8</stp>
        <stp>CRM US Equity</stp>
        <stp>CONTRIBUTOR_STATS(BS_ACCUMULATED_OTHER_COMP_INC, STD)/1M</stp>
        <stp>FPR=2022Y</stp>
        <stp>FPT=A</stp>
        <stp>FA_ACT_EST_DATA=E</stp>
        <stp>ACT_EST_MAPPING=PRECISE</stp>
        <stp>FS=MRC</stp>
        <stp>CURRENCY=USD</stp>
        <stp>XLFILL=b</stp>
        <tr r="H140" s="2"/>
      </tp>
      <tp t="s">
        <v/>
        <stp/>
        <stp>##V3_BQLV12</stp>
        <stp>[MODL_CRM_US1.xlsx]Single Period!R193C10</stp>
        <stp>CRM US Equity</stp>
        <stp>FCF_PER_DIL_SHR</stp>
        <stp>FPR=2022Y</stp>
        <stp>FPT=A</stp>
        <stp>FA_ACT_EST_DATA=E, EST_SOURCE=CMPY</stp>
        <stp>ACT_EST_MAPPING=PRECISE</stp>
        <stp>FS=MRC</stp>
        <stp>CURRENCY=USD</stp>
        <stp>XLFILL=b</stp>
        <tr r="J193" s="2"/>
      </tp>
      <tp>
        <v>46.188021535200889</v>
        <stp/>
        <stp>##V3_BQLV12</stp>
        <stp>[MODL_CRM_US1.xlsx]Single Period!R151C8</stp>
        <stp>CRM US Equity</stp>
        <stp>CONTRIBUTOR_STATS(NON_CURRENT_FUTURE_REV_UNDER_CONTRACT, STD)/1M</stp>
        <stp>FPR=2022Y</stp>
        <stp>FPT=A</stp>
        <stp>FA_ACT_EST_DATA=E</stp>
        <stp>ACT_EST_MAPPING=PRECISE</stp>
        <stp>FS=MRC</stp>
        <stp>CURRENCY=USD</stp>
        <stp>XLFILL=b</stp>
        <tr r="H151" s="2"/>
      </tp>
      <tp>
        <v>2722.8286917655141</v>
        <stp/>
        <stp>##V3_BQLV12</stp>
        <stp>[MODL_CRM_US1.xlsx]Single Period!R118C9</stp>
        <stp>CRM US Equity</stp>
        <stp>CONTRIBUTOR_STATS(CB_BS_PP_AND_E_NET, MEDIAN)/1M</stp>
        <stp>FPR=2022Y</stp>
        <stp>FPT=A</stp>
        <stp>FA_ACT_EST_DATA=E</stp>
        <stp>ACT_EST_MAPPING=PRECISE</stp>
        <stp>FS=MRC</stp>
        <stp>CURRENCY=USD</stp>
        <stp>XLFILL=b</stp>
        <tr r="I118" s="2"/>
      </tp>
      <tp>
        <v>10.568297945494169</v>
        <stp/>
        <stp>##V3_BQLV12</stp>
        <stp>[MODL_CRM_US1.xlsx]Single Period!R159C6</stp>
        <stp>CRM US Equity</stp>
        <stp>CONTRIBUTOR_STATS(SBC_NON_GAAP_TO_SALES, MIN)</stp>
        <stp>FPR=2022Y</stp>
        <stp>FPT=A</stp>
        <stp>FA_ACT_EST_DATA=E</stp>
        <stp>ACT_EST_MAPPING=PRECISE</stp>
        <stp>FS=MRC</stp>
        <stp>CURRENCY=USD</stp>
        <stp>XLFILL=b</stp>
        <tr r="F159" s="2"/>
      </tp>
      <tp>
        <v>5001.5449254472987</v>
        <stp/>
        <stp>##V3_BQLV12</stp>
        <stp>[MODL_CRM_US1.xlsx]Single Period!R129C9</stp>
        <stp>CRM US Equity</stp>
        <stp>CONTRIBUTOR_STATS(CB_BS_ACCT_PYBL_ACC_EXPNSS, MEDIAN)/1M</stp>
        <stp>FPR=2022Y</stp>
        <stp>FPT=A</stp>
        <stp>FA_ACT_EST_DATA=E</stp>
        <stp>ACT_EST_MAPPING=PRECISE</stp>
        <stp>FS=MRC</stp>
        <stp>CURRENCY=USD</stp>
        <stp>XLFILL=b</stp>
        <tr r="I129" s="2"/>
      </tp>
      <tp>
        <v>10.92433622979318</v>
        <stp/>
        <stp>##V3_BQLV12</stp>
        <stp>[MODL_CRM_US1.xlsx]Single Period!R159C7</stp>
        <stp>CRM US Equity</stp>
        <stp>CONTRIBUTOR_STATS(SBC_NON_GAAP_TO_SALES, MAX)</stp>
        <stp>FPR=2022Y</stp>
        <stp>FPT=A</stp>
        <stp>FA_ACT_EST_DATA=E</stp>
        <stp>ACT_EST_MAPPING=PRECISE</stp>
        <stp>FS=MRC</stp>
        <stp>CURRENCY=USD</stp>
        <stp>XLFILL=b</stp>
        <tr r="G159" s="2"/>
      </tp>
      <tp t="s">
        <v/>
        <stp/>
        <stp>##V3_BQLV12</stp>
        <stp>[MODL_CRM_US1.xlsx]Single Period!R7C48</stp>
        <stp>CRM US Equity</stp>
        <stp>IS_COMP_SALES/1M</stp>
        <stp>FPR=2022Y</stp>
        <stp>FPT=A</stp>
        <stp>FA_ACT_EST_DATA=E, EST_SOURCE=PJE</stp>
        <stp>ACT_EST_MAPPING=PRECISE</stp>
        <stp>FS=MRC</stp>
        <stp>CURRENCY=USD</stp>
        <stp>XLFILL=b</stp>
        <tr r="AV7" s="2"/>
      </tp>
      <tp t="s">
        <v/>
        <stp/>
        <stp>##V3_BQLV12</stp>
        <stp>[MODL_CRM_US1.xlsx]Single Period!R7C51</stp>
        <stp>CRM US Equity</stp>
        <stp>IS_COMP_SALES/1M</stp>
        <stp>FPR=2022Y</stp>
        <stp>FPT=A</stp>
        <stp>FA_ACT_EST_DATA=E, EST_SOURCE=RCP</stp>
        <stp>ACT_EST_MAPPING=PRECISE</stp>
        <stp>FS=MRC</stp>
        <stp>CURRENCY=USD</stp>
        <stp>XLFILL=b</stp>
        <tr r="AY7" s="2"/>
      </tp>
      <tp>
        <v>7.3347205387279431</v>
        <stp/>
        <stp>##V3_BQLV12</stp>
        <stp>[MODL_CRM_US1.xlsx]Single Period!R183C7</stp>
        <stp>CRM US Equity</stp>
        <stp>CONTRIBUTOR_STATS(CASH_FLOW_PER_SH, MAX)</stp>
        <stp>FPR=2022Y</stp>
        <stp>FPT=A</stp>
        <stp>FA_ACT_EST_DATA=E</stp>
        <stp>ACT_EST_MAPPING=PRECISE</stp>
        <stp>FS=MRC</stp>
        <stp>CURRENCY=USD</stp>
        <stp>XLFILL=b</stp>
        <tr r="G183" s="2"/>
      </tp>
      <tp t="s">
        <v/>
        <stp/>
        <stp>##V3_BQLV12</stp>
        <stp>[MODL_CRM_US1.xlsx]Single Period!R78C55</stp>
        <stp>CRM US Equity</stp>
        <stp>COGS_TO_NET_SALES</stp>
        <stp>FPR=2022Y</stp>
        <stp>FPT=A</stp>
        <stp>FA_ACT_EST_DATA=E, EST_SOURCE=RED</stp>
        <stp>ACT_EST_MAPPING=PRECISE</stp>
        <stp>FS=MRC</stp>
        <stp>CURRENCY=USD</stp>
        <stp>XLFILL=b</stp>
        <tr r="BC78" s="2"/>
      </tp>
      <tp t="s">
        <v/>
        <stp/>
        <stp>##V3_BQLV12</stp>
        <stp>[MODL_CRM_US1.xlsx]Single Period!R124C50</stp>
        <stp>CRM US Equity</stp>
        <stp>CAPITALIZED_SOFTWARE/1M</stp>
        <stp>FPR=2022Y</stp>
        <stp>FPT=A</stp>
        <stp>FA_ACT_EST_DATA=E, EST_SOURCE=MZS</stp>
        <stp>ACT_EST_MAPPING=PRECISE</stp>
        <stp>FS=MRC</stp>
        <stp>CURRENCY=USD</stp>
        <stp>XLFILL=b</stp>
        <tr r="AX124" s="2"/>
      </tp>
      <tp t="s">
        <v/>
        <stp/>
        <stp>##V3_BQLV12</stp>
        <stp>[MODL_CRM_US1.xlsx]Single Period!R78C34</stp>
        <stp>CRM US Equity</stp>
        <stp>COGS_TO_NET_SALES</stp>
        <stp>FPR=2022Y</stp>
        <stp>FPT=A</stp>
        <stp>FA_ACT_EST_DATA=E, EST_SOURCE=JEF</stp>
        <stp>ACT_EST_MAPPING=PRECISE</stp>
        <stp>FS=MRC</stp>
        <stp>CURRENCY=USD</stp>
        <stp>XLFILL=b</stp>
        <tr r="AH78" s="2"/>
      </tp>
      <tp t="s">
        <v/>
        <stp/>
        <stp>##V3_BQLV12</stp>
        <stp>[MODL_CRM_US1.xlsx]Single Period!R87C56</stp>
        <stp>CRM US Equity</stp>
        <stp>IS_EBIT_AS_REPORTED/1M</stp>
        <stp>FPR=2022Y</stp>
        <stp>FPT=A</stp>
        <stp>FA_ACT_EST_DATA=E, EST_SOURCE=DIR</stp>
        <stp>ACT_EST_MAPPING=PRECISE</stp>
        <stp>FS=MRC</stp>
        <stp>CURRENCY=USD</stp>
        <stp>XLFILL=b</stp>
        <tr r="BD87" s="2"/>
      </tp>
      <tp t="s">
        <v/>
        <stp/>
        <stp>##V3_BQLV12</stp>
        <stp>[MODL_CRM_US1.xlsx]Single Period!R142C21</stp>
        <stp>CRM US Equity</stp>
        <stp>BS_TOT_ASSET/1M</stp>
        <stp>FPR=2022Y</stp>
        <stp>FPT=A</stp>
        <stp>FA_ACT_EST_DATA=E, EST_SOURCE=RJA</stp>
        <stp>ACT_EST_MAPPING=PRECISE</stp>
        <stp>FS=MRC</stp>
        <stp>CURRENCY=USD</stp>
        <stp>XLFILL=b</stp>
        <tr r="U142" s="2"/>
      </tp>
      <tp t="s">
        <v/>
        <stp/>
        <stp>##V3_BQLV12</stp>
        <stp>[MODL_CRM_US1.xlsx]Single Period!R71C27</stp>
        <stp>CRM US Equity</stp>
        <stp>ADJ_PROFIT_MARGIN</stp>
        <stp>FPR=2022Y</stp>
        <stp>FPT=A</stp>
        <stp>FA_ACT_EST_DATA=E, EST_SOURCE=LCM</stp>
        <stp>ACT_EST_MAPPING=PRECISE</stp>
        <stp>FS=MRC</stp>
        <stp>CURRENCY=USD</stp>
        <stp>XLFILL=b</stp>
        <tr r="AA71" s="2"/>
      </tp>
      <tp t="s">
        <v/>
        <stp/>
        <stp>##V3_BQLV12</stp>
        <stp>[MODL_CRM_US1.xlsx]Single Period!R182C11</stp>
        <stp>CRM US Equity</stp>
        <stp>CB_CF_NET_CASH_OPERATING_ACT/1M</stp>
        <stp>FPR=2022Y</stp>
        <stp>FPT=A</stp>
        <stp>FA_ACT_EST_DATA=E, EST_SOURCE=WBL</stp>
        <stp>ACT_EST_MAPPING=PRECISE</stp>
        <stp>FS=MRC</stp>
        <stp>CURRENCY=USD</stp>
        <stp>XLFILL=b</stp>
        <tr r="K182" s="2"/>
      </tp>
      <tp t="s">
        <v/>
        <stp/>
        <stp>##V3_BQLV12</stp>
        <stp>[MODL_CRM_US1.xlsx]Single Period!R136C22</stp>
        <stp>CRM US Equity</stp>
        <stp>BS_TOTAL_LIABILITIES/1M</stp>
        <stp>FPR=2022Y</stp>
        <stp>FPT=A</stp>
        <stp>FA_ACT_EST_DATA=E, EST_SOURCE=OPY</stp>
        <stp>ACT_EST_MAPPING=PRECISE</stp>
        <stp>FS=MRC</stp>
        <stp>CURRENCY=USD</stp>
        <stp>XLFILL=b</stp>
        <tr r="V136" s="2"/>
      </tp>
      <tp t="s">
        <v/>
        <stp/>
        <stp>##V3_BQLV12</stp>
        <stp>[MODL_CRM_US1.xlsx]Single Period!R125C21</stp>
        <stp>CRM US Equity</stp>
        <stp>BS_TOT_ASSET/1M</stp>
        <stp>FPR=2022Y</stp>
        <stp>FPT=A</stp>
        <stp>FA_ACT_EST_DATA=E, EST_SOURCE=RJA</stp>
        <stp>ACT_EST_MAPPING=PRECISE</stp>
        <stp>FS=MRC</stp>
        <stp>CURRENCY=USD</stp>
        <stp>XLFILL=b</stp>
        <tr r="U125" s="2"/>
      </tp>
      <tp t="s">
        <v/>
        <stp/>
        <stp>##V3_BQLV12</stp>
        <stp>[MODL_CRM_US1.xlsx]Single Period!R182C49</stp>
        <stp>CRM US Equity</stp>
        <stp>CB_CF_NET_CASH_OPERATING_ACT/1M</stp>
        <stp>FPR=2022Y</stp>
        <stp>FPT=A</stp>
        <stp>FA_ACT_EST_DATA=E, EST_SOURCE=SGE</stp>
        <stp>ACT_EST_MAPPING=PRECISE</stp>
        <stp>FS=MRC</stp>
        <stp>CURRENCY=USD</stp>
        <stp>XLFILL=b</stp>
        <tr r="AW182" s="2"/>
      </tp>
      <tp>
        <v>5699.8640802877599</v>
        <stp/>
        <stp>##V3_BQLV12</stp>
        <stp>[MODL_CRM_US1.xlsx]Single Period!R167C16</stp>
        <stp>CRM US Equity</stp>
        <stp>CB_CF_NET_CASH_OPERATING_ACT/1M</stp>
        <stp>FPR=2022Y</stp>
        <stp>FPT=A</stp>
        <stp>FA_ACT_EST_DATA=E, EST_SOURCE=DBG</stp>
        <stp>ACT_EST_MAPPING=PRECISE</stp>
        <stp>FS=MRC</stp>
        <stp>CURRENCY=USD</stp>
        <stp>XLFILL=b</stp>
        <tr r="P167" s="2"/>
      </tp>
      <tp t="s">
        <v/>
        <stp/>
        <stp>##V3_BQLV12</stp>
        <stp>[MODL_CRM_US1.xlsx]Single Period!R179C17</stp>
        <stp>CRM US Equity</stp>
        <stp>CB_CF_NET_CASH_FINANCING_ACT/1M</stp>
        <stp>FPR=2022Y</stp>
        <stp>FPT=A</stp>
        <stp>FA_ACT_EST_DATA=E, EST_SOURCE=NDH</stp>
        <stp>ACT_EST_MAPPING=PRECISE</stp>
        <stp>FS=MRC</stp>
        <stp>CURRENCY=USD</stp>
        <stp>XLFILL=b</stp>
        <tr r="Q179" s="2"/>
      </tp>
      <tp>
        <v>0.14835735160188171</v>
        <stp/>
        <stp>##V3_BQLV12</stp>
        <stp>[MODL_CRM_US1.xlsx]Single Period!R88C8</stp>
        <stp>CRM US Equity</stp>
        <stp>CONTRIBUTOR_STATS(OPER_INC_TO_NET_SALES, STD)</stp>
        <stp>FPR=2022Y</stp>
        <stp>FPT=A</stp>
        <stp>FA_ACT_EST_DATA=E</stp>
        <stp>ACT_EST_MAPPING=PRECISE</stp>
        <stp>FS=MRC</stp>
        <stp>CURRENCY=USD</stp>
        <stp>XLFILL=b</stp>
        <tr r="H88" s="2"/>
      </tp>
      <tp t="s">
        <v/>
        <stp/>
        <stp>##V3_BQLV12</stp>
        <stp>[MODL_CRM_US1.xlsx]Single Period!R71C13</stp>
        <stp>CRM US Equity</stp>
        <stp>ADJ_PROFIT_MARGIN</stp>
        <stp>FPR=2022Y</stp>
        <stp>FPT=A</stp>
        <stp>FA_ACT_EST_DATA=E, EST_SOURCE=BCA</stp>
        <stp>ACT_EST_MAPPING=PRECISE</stp>
        <stp>FS=MRC</stp>
        <stp>CURRENCY=USD</stp>
        <stp>XLFILL=b</stp>
        <tr r="M71" s="2"/>
      </tp>
      <tp>
        <v>5699.8640802877599</v>
        <stp/>
        <stp>##V3_BQLV12</stp>
        <stp>[MODL_CRM_US1.xlsx]Single Period!R182C16</stp>
        <stp>CRM US Equity</stp>
        <stp>CB_CF_NET_CASH_OPERATING_ACT/1M</stp>
        <stp>FPR=2022Y</stp>
        <stp>FPT=A</stp>
        <stp>FA_ACT_EST_DATA=E, EST_SOURCE=DBG</stp>
        <stp>ACT_EST_MAPPING=PRECISE</stp>
        <stp>FS=MRC</stp>
        <stp>CURRENCY=USD</stp>
        <stp>XLFILL=b</stp>
        <tr r="P182" s="2"/>
      </tp>
      <tp t="s">
        <v/>
        <stp/>
        <stp>##V3_BQLV12</stp>
        <stp>[MODL_CRM_US1.xlsx]Single Period!R71C40</stp>
        <stp>CRM US Equity</stp>
        <stp>ADJ_PROFIT_MARGIN</stp>
        <stp>FPR=2022Y</stp>
        <stp>FPT=A</stp>
        <stp>FA_ACT_EST_DATA=E, EST_SOURCE=ACC</stp>
        <stp>ACT_EST_MAPPING=PRECISE</stp>
        <stp>FS=MRC</stp>
        <stp>CURRENCY=USD</stp>
        <stp>XLFILL=b</stp>
        <tr r="AN71" s="2"/>
      </tp>
      <tp t="s">
        <v/>
        <stp/>
        <stp>##V3_BQLV12</stp>
        <stp>[MODL_CRM_US1.xlsx]Single Period!R167C11</stp>
        <stp>CRM US Equity</stp>
        <stp>CB_CF_NET_CASH_OPERATING_ACT/1M</stp>
        <stp>FPR=2022Y</stp>
        <stp>FPT=A</stp>
        <stp>FA_ACT_EST_DATA=E, EST_SOURCE=WBL</stp>
        <stp>ACT_EST_MAPPING=PRECISE</stp>
        <stp>FS=MRC</stp>
        <stp>CURRENCY=USD</stp>
        <stp>XLFILL=b</stp>
        <tr r="K167" s="2"/>
      </tp>
      <tp t="s">
        <v/>
        <stp/>
        <stp>##V3_BQLV12</stp>
        <stp>[MODL_CRM_US1.xlsx]Single Period!R71C19</stp>
        <stp>CRM US Equity</stp>
        <stp>ADJ_PROFIT_MARGIN</stp>
        <stp>FPR=2022Y</stp>
        <stp>FPT=A</stp>
        <stp>FA_ACT_EST_DATA=E, EST_SOURCE=SCB</stp>
        <stp>ACT_EST_MAPPING=PRECISE</stp>
        <stp>FS=MRC</stp>
        <stp>CURRENCY=USD</stp>
        <stp>XLFILL=b</stp>
        <tr r="S71" s="2"/>
      </tp>
      <tp t="s">
        <v/>
        <stp/>
        <stp>##V3_BQLV12</stp>
        <stp>[MODL_CRM_US1.xlsx]Single Period!R167C49</stp>
        <stp>CRM US Equity</stp>
        <stp>CB_CF_NET_CASH_OPERATING_ACT/1M</stp>
        <stp>FPR=2022Y</stp>
        <stp>FPT=A</stp>
        <stp>FA_ACT_EST_DATA=E, EST_SOURCE=SGE</stp>
        <stp>ACT_EST_MAPPING=PRECISE</stp>
        <stp>FS=MRC</stp>
        <stp>CURRENCY=USD</stp>
        <stp>XLFILL=b</stp>
        <tr r="AW167" s="2"/>
      </tp>
      <tp t="s">
        <v/>
        <stp/>
        <stp>##V3_BQLV12</stp>
        <stp>[MODL_CRM_US1.xlsx]Single Period!R173C41</stp>
        <stp>CRM US Equity</stp>
        <stp>CB_CF_NET_CASH_INVESTING_ACT/1M</stp>
        <stp>FPR=2022Y</stp>
        <stp>FPT=A</stp>
        <stp>FA_ACT_EST_DATA=E, EST_SOURCE=GSR</stp>
        <stp>ACT_EST_MAPPING=PRECISE</stp>
        <stp>FS=MRC</stp>
        <stp>CURRENCY=USD</stp>
        <stp>XLFILL=b</stp>
        <tr r="AO173" s="2"/>
      </tp>
      <tp>
        <v>47459.412858554155</v>
        <stp/>
        <stp>##V3_BQLV12</stp>
        <stp>[MODL_CRM_US1.xlsx]Single Period!R136C15</stp>
        <stp>CRM US Equity</stp>
        <stp>BS_TOTAL_LIABILITIES/1M</stp>
        <stp>FPR=2022Y</stp>
        <stp>FPT=A</stp>
        <stp>FA_ACT_EST_DATA=E, EST_SOURCE=MSV</stp>
        <stp>ACT_EST_MAPPING=PRECISE</stp>
        <stp>FS=MRC</stp>
        <stp>CURRENCY=USD</stp>
        <stp>XLFILL=b</stp>
        <tr r="O136" s="2"/>
      </tp>
      <tp t="s">
        <v/>
        <stp/>
        <stp>##V3_BQLV12</stp>
        <stp>[MODL_CRM_US1.xlsx]Single Period!R40C17</stp>
        <stp>SEG0000269228 Segment</stp>
        <stp>REVENUE_GROWTH_CC_1_YR</stp>
        <stp>FPR=2022Y</stp>
        <stp>FPT=A</stp>
        <stp>FA_ACT_EST_DATA=E, EST_SOURCE=NDH</stp>
        <stp>ACT_EST_MAPPING=PRECISE</stp>
        <stp>FS=MRC</stp>
        <stp>CURRENCY=USD</stp>
        <stp>XLFILL=b</stp>
        <tr r="Q40" s="2"/>
      </tp>
      <tp>
        <v>1665</v>
        <stp/>
        <stp>##V3_BQLV12</stp>
        <stp>[MODL_CRM_US1.xlsx]Single Period!R104C17</stp>
        <stp>CRM US Equity</stp>
        <stp>IS_AMORT_OF_TOT_INTANG_PRETX/1M</stp>
        <stp>FPR=2022Y</stp>
        <stp>FPT=A</stp>
        <stp>FA_ACT_EST_DATA=E, EST_SOURCE=NDH</stp>
        <stp>ACT_EST_MAPPING=PRECISE</stp>
        <stp>FS=MRC</stp>
        <stp>CURRENCY=USD</stp>
        <stp>XLFILL=b</stp>
        <tr r="Q104" s="2"/>
      </tp>
      <tp t="s">
        <v/>
        <stp/>
        <stp>##V3_BQLV12</stp>
        <stp>[MODL_CRM_US1.xlsx]Single Period!R136C23</stp>
        <stp>CRM US Equity</stp>
        <stp>BS_TOTAL_LIABILITIES/1M</stp>
        <stp>FPR=2022Y</stp>
        <stp>FPT=A</stp>
        <stp>FA_ACT_EST_DATA=E, EST_SOURCE=JPM</stp>
        <stp>ACT_EST_MAPPING=PRECISE</stp>
        <stp>FS=MRC</stp>
        <stp>CURRENCY=USD</stp>
        <stp>XLFILL=b</stp>
        <tr r="W136" s="2"/>
      </tp>
      <tp t="s">
        <v/>
        <stp/>
        <stp>##V3_BQLV12</stp>
        <stp>[MODL_CRM_US1.xlsx]Single Period!R173C35</stp>
        <stp>CRM US Equity</stp>
        <stp>CB_CF_NET_CASH_INVESTING_ACT/1M</stp>
        <stp>FPR=2022Y</stp>
        <stp>FPT=A</stp>
        <stp>FA_ACT_EST_DATA=E, EST_SOURCE=ATL</stp>
        <stp>ACT_EST_MAPPING=PRECISE</stp>
        <stp>FS=MRC</stp>
        <stp>CURRENCY=USD</stp>
        <stp>XLFILL=b</stp>
        <tr r="AI173" s="2"/>
      </tp>
      <tp t="s">
        <v/>
        <stp/>
        <stp>##V3_BQLV12</stp>
        <stp>[MODL_CRM_US1.xlsx]Single Period!R167C52</stp>
        <stp>CRM US Equity</stp>
        <stp>CB_CF_NET_CASH_OPERATING_ACT/1M</stp>
        <stp>FPR=2022Y</stp>
        <stp>FPT=A</stp>
        <stp>FA_ACT_EST_DATA=E, EST_SOURCE=WFR</stp>
        <stp>ACT_EST_MAPPING=PRECISE</stp>
        <stp>FS=MRC</stp>
        <stp>CURRENCY=USD</stp>
        <stp>XLFILL=b</stp>
        <tr r="AZ167" s="2"/>
      </tp>
      <tp t="s">
        <v/>
        <stp/>
        <stp>##V3_BQLV12</stp>
        <stp>[MODL_CRM_US1.xlsx]Single Period!R71C51</stp>
        <stp>CRM US Equity</stp>
        <stp>ADJ_PROFIT_MARGIN</stp>
        <stp>FPR=2022Y</stp>
        <stp>FPT=A</stp>
        <stp>FA_ACT_EST_DATA=E, EST_SOURCE=RCP</stp>
        <stp>ACT_EST_MAPPING=PRECISE</stp>
        <stp>FS=MRC</stp>
        <stp>CURRENCY=USD</stp>
        <stp>XLFILL=b</stp>
        <tr r="AY71" s="2"/>
      </tp>
      <tp t="s">
        <v/>
        <stp/>
        <stp>##V3_BQLV12</stp>
        <stp>[MODL_CRM_US1.xlsx]Single Period!R182C52</stp>
        <stp>CRM US Equity</stp>
        <stp>CB_CF_NET_CASH_OPERATING_ACT/1M</stp>
        <stp>FPR=2022Y</stp>
        <stp>FPT=A</stp>
        <stp>FA_ACT_EST_DATA=E, EST_SOURCE=WFR</stp>
        <stp>ACT_EST_MAPPING=PRECISE</stp>
        <stp>FS=MRC</stp>
        <stp>CURRENCY=USD</stp>
        <stp>XLFILL=b</stp>
        <tr r="AZ182" s="2"/>
      </tp>
      <tp t="s">
        <v/>
        <stp/>
        <stp>##V3_BQLV12</stp>
        <stp>[MODL_CRM_US1.xlsx]Single Period!R173C54</stp>
        <stp>CRM US Equity</stp>
        <stp>CB_CF_NET_CASH_INVESTING_ACT/1M</stp>
        <stp>FPR=2022Y</stp>
        <stp>FPT=A</stp>
        <stp>FA_ACT_EST_DATA=E, EST_SOURCE=ARE</stp>
        <stp>ACT_EST_MAPPING=PRECISE</stp>
        <stp>FS=MRC</stp>
        <stp>CURRENCY=USD</stp>
        <stp>XLFILL=b</stp>
        <tr r="BB173" s="2"/>
      </tp>
      <tp t="s">
        <v/>
        <stp/>
        <stp>##V3_BQLV12</stp>
        <stp>[MODL_CRM_US1.xlsx]Single Period!R87C53</stp>
        <stp>CRM US Equity</stp>
        <stp>IS_EBIT_AS_REPORTED/1M</stp>
        <stp>FPR=2022Y</stp>
        <stp>FPT=A</stp>
        <stp>FA_ACT_EST_DATA=E, EST_SOURCE=NIK</stp>
        <stp>ACT_EST_MAPPING=PRECISE</stp>
        <stp>FS=MRC</stp>
        <stp>CURRENCY=USD</stp>
        <stp>XLFILL=b</stp>
        <tr r="BA87" s="2"/>
      </tp>
      <tp t="s">
        <v/>
        <stp/>
        <stp>##V3_BQLV12</stp>
        <stp>[MODL_CRM_US1.xlsx]Single Period!R78C26</stp>
        <stp>CRM US Equity</stp>
        <stp>COGS_TO_NET_SALES</stp>
        <stp>FPR=2022Y</stp>
        <stp>FPT=A</stp>
        <stp>FA_ACT_EST_DATA=E, EST_SOURCE=KEY</stp>
        <stp>ACT_EST_MAPPING=PRECISE</stp>
        <stp>FS=MRC</stp>
        <stp>CURRENCY=USD</stp>
        <stp>XLFILL=b</stp>
        <tr r="Z78" s="2"/>
      </tp>
      <tp t="s">
        <v/>
        <stp/>
        <stp>##V3_BQLV12</stp>
        <stp>[MODL_CRM_US1.xlsx]Single Period!R173C42</stp>
        <stp>CRM US Equity</stp>
        <stp>CB_CF_NET_CASH_INVESTING_ACT/1M</stp>
        <stp>FPR=2022Y</stp>
        <stp>FPT=A</stp>
        <stp>FA_ACT_EST_DATA=E, EST_SOURCE=PSG</stp>
        <stp>ACT_EST_MAPPING=PRECISE</stp>
        <stp>FS=MRC</stp>
        <stp>CURRENCY=USD</stp>
        <stp>XLFILL=b</stp>
        <tr r="AP173" s="2"/>
      </tp>
      <tp t="s">
        <v>Richard Nguyen</v>
        <stp/>
        <stp>##V3_BQLV12</stp>
        <stp>[MODL_CRM_US1.xlsx]Single Period!R4C49</stp>
        <stp>CRM US Equity</stp>
        <stp>LAST(IS_COMP_SALES(FA_ACT_EST_DATA=E, EST_SOURCE=SGE).analyst_name)</stp>
        <stp>FPR=2022Y</stp>
        <stp>FPT=A</stp>
        <stp>ACT_EST_MAPPING=PRECISE</stp>
        <stp>FS=MRC</stp>
        <stp>CURRENCY=USD</stp>
        <stp>XLFILL=b</stp>
        <tr r="AW4" s="2"/>
      </tp>
      <tp t="s">
        <v>Mark L Moerdler</v>
        <stp/>
        <stp>##V3_BQLV12</stp>
        <stp>[MODL_CRM_US1.xlsx]Single Period!R4C19</stp>
        <stp>CRM US Equity</stp>
        <stp>LAST(IS_COMP_SALES(FA_ACT_EST_DATA=E, EST_SOURCE=SCB).analyst_name)</stp>
        <stp>FPR=2022Y</stp>
        <stp>FPT=A</stp>
        <stp>ACT_EST_MAPPING=PRECISE</stp>
        <stp>FS=MRC</stp>
        <stp>CURRENCY=USD</stp>
        <stp>XLFILL=b</stp>
        <tr r="S4" s="2"/>
      </tp>
      <tp>
        <v>94.886219383244679</v>
        <stp/>
        <stp>##V3_BQLV12</stp>
        <stp>[MODL_CRM_US1.xlsx]Single Period!R79C8</stp>
        <stp>CRM US Equity</stp>
        <stp>CONTRIBUTOR_STATS(CB_IS_GROSS_PROFIT, STD)/1M</stp>
        <stp>FPR=2022Y</stp>
        <stp>FPT=A</stp>
        <stp>FA_ACT_EST_DATA=E</stp>
        <stp>ACT_EST_MAPPING=PRECISE</stp>
        <stp>FS=MRC</stp>
        <stp>CURRENCY=USD</stp>
        <stp>XLFILL=b</stp>
        <tr r="H79" s="2"/>
      </tp>
      <tp t="s">
        <v>J Parker Lane</v>
        <stp/>
        <stp>##V3_BQLV12</stp>
        <stp>[MODL_CRM_US1.xlsx]Single Period!R4C14</stp>
        <stp>CRM US Equity</stp>
        <stp>LAST(IS_COMP_SALES(FA_ACT_EST_DATA=E, EST_SOURCE=SNR).analyst_name)</stp>
        <stp>FPR=2022Y</stp>
        <stp>FPT=A</stp>
        <stp>ACT_EST_MAPPING=PRECISE</stp>
        <stp>FS=MRC</stp>
        <stp>CURRENCY=USD</stp>
        <stp>XLFILL=b</stp>
        <tr r="N4" s="2"/>
      </tp>
      <tp t="s">
        <v/>
        <stp/>
        <stp>##V3_BQLV12</stp>
        <stp>[MODL_CRM_US1.xlsx]Single Period!R193C37</stp>
        <stp>CRM US Equity</stp>
        <stp>FCF_PER_DIL_SHR</stp>
        <stp>FPR=2022Y</stp>
        <stp>FPT=A</stp>
        <stp>FA_ACT_EST_DATA=E, EST_SOURCE=EVR</stp>
        <stp>ACT_EST_MAPPING=PRECISE</stp>
        <stp>FS=MRC</stp>
        <stp>CURRENCY=USD</stp>
        <stp>XLFILL=b</stp>
        <tr r="AK193" s="2"/>
      </tp>
      <tp t="s">
        <v/>
        <stp/>
        <stp>##V3_BQLV12</stp>
        <stp>[MODL_CRM_US1.xlsx]Single Period!R67C12</stp>
        <stp>CRM US Equity</stp>
        <stp>IS_NON_OPERATING_INC_LOSS_GAAP/1M</stp>
        <stp>FPR=2022Y</stp>
        <stp>FPT=A</stp>
        <stp>FA_ACT_EST_DATA=E, EST_SOURCE=BMO</stp>
        <stp>ACT_EST_MAPPING=PRECISE</stp>
        <stp>FS=MRC</stp>
        <stp>CURRENCY=USD</stp>
        <stp>XLFILL=b</stp>
        <tr r="L67" s="2"/>
      </tp>
      <tp t="s">
        <v/>
        <stp/>
        <stp>##V3_BQLV12</stp>
        <stp>[MODL_CRM_US1.xlsx]Single Period!R90C53</stp>
        <stp>CRM US Equity</stp>
        <stp>IS_INC_TAX_EXP/1M</stp>
        <stp>FPR=2022Y</stp>
        <stp>FPT=A</stp>
        <stp>FA_ACT_EST_DATA=E, EST_SOURCE=NIK</stp>
        <stp>ACT_EST_MAPPING=PRECISE</stp>
        <stp>FS=MRC</stp>
        <stp>CURRENCY=USD</stp>
        <stp>XLFILL=b</stp>
        <tr r="BA90" s="2"/>
      </tp>
      <tp>
        <v>-965</v>
        <stp/>
        <stp>##V3_BQLV12</stp>
        <stp>[MODL_CRM_US1.xlsx]Single Period!R67C20</stp>
        <stp>CRM US Equity</stp>
        <stp>IS_NON_OPERATING_INC_LOSS_GAAP/1M</stp>
        <stp>FPR=2022Y</stp>
        <stp>FPT=A</stp>
        <stp>FA_ACT_EST_DATA=E, EST_SOURCE=JMP</stp>
        <stp>ACT_EST_MAPPING=PRECISE</stp>
        <stp>FS=MRC</stp>
        <stp>CURRENCY=USD</stp>
        <stp>XLFILL=b</stp>
        <tr r="T67" s="2"/>
      </tp>
      <tp>
        <v>120</v>
        <stp/>
        <stp>##V3_BQLV12</stp>
        <stp>[MODL_CRM_US1.xlsx]Single Period!R67C25</stp>
        <stp>CRM US Equity</stp>
        <stp>IS_NON_OPERATING_INC_LOSS_GAAP/1M</stp>
        <stp>FPR=2022Y</stp>
        <stp>FPT=A</stp>
        <stp>FA_ACT_EST_DATA=E, EST_SOURCE=WMS</stp>
        <stp>ACT_EST_MAPPING=PRECISE</stp>
        <stp>FS=MRC</stp>
        <stp>CURRENCY=USD</stp>
        <stp>XLFILL=b</stp>
        <tr r="Y67" s="2"/>
      </tp>
      <tp t="s">
        <v/>
        <stp/>
        <stp>##V3_BQLV12</stp>
        <stp>[MODL_CRM_US1.xlsx]Single Period!R90C56</stp>
        <stp>CRM US Equity</stp>
        <stp>IS_INC_TAX_EXP/1M</stp>
        <stp>FPR=2022Y</stp>
        <stp>FPT=A</stp>
        <stp>FA_ACT_EST_DATA=E, EST_SOURCE=DIR</stp>
        <stp>ACT_EST_MAPPING=PRECISE</stp>
        <stp>FS=MRC</stp>
        <stp>CURRENCY=USD</stp>
        <stp>XLFILL=b</stp>
        <tr r="BD90" s="2"/>
      </tp>
      <tp>
        <v>19742.710566459209</v>
        <stp/>
        <stp>##V3_BQLV12</stp>
        <stp>[MODL_CRM_US1.xlsx]Single Period!R79C7</stp>
        <stp>CRM US Equity</stp>
        <stp>CONTRIBUTOR_STATS(CB_IS_GROSS_PROFIT, MAX)/1M</stp>
        <stp>FPR=2022Y</stp>
        <stp>FPT=A</stp>
        <stp>FA_ACT_EST_DATA=E</stp>
        <stp>ACT_EST_MAPPING=PRECISE</stp>
        <stp>FS=MRC</stp>
        <stp>CURRENCY=USD</stp>
        <stp>XLFILL=b</stp>
        <tr r="G79" s="2"/>
      </tp>
      <tp>
        <v>19405.550039999998</v>
        <stp/>
        <stp>##V3_BQLV12</stp>
        <stp>[MODL_CRM_US1.xlsx]Single Period!R79C6</stp>
        <stp>CRM US Equity</stp>
        <stp>CONTRIBUTOR_STATS(CB_IS_GROSS_PROFIT, MIN)/1M</stp>
        <stp>FPR=2022Y</stp>
        <stp>FPT=A</stp>
        <stp>FA_ACT_EST_DATA=E</stp>
        <stp>ACT_EST_MAPPING=PRECISE</stp>
        <stp>FS=MRC</stp>
        <stp>CURRENCY=USD</stp>
        <stp>XLFILL=b</stp>
        <tr r="F79" s="2"/>
      </tp>
      <tp t="s">
        <v/>
        <stp/>
        <stp>##V3_BQLV12</stp>
        <stp>[MODL_CRM_US1.xlsx]Single Period!R193C28</stp>
        <stp>CRM US Equity</stp>
        <stp>FCF_PER_DIL_SHR</stp>
        <stp>FPR=2022Y</stp>
        <stp>FPT=A</stp>
        <stp>FA_ACT_EST_DATA=E, EST_SOURCE=CWN</stp>
        <stp>ACT_EST_MAPPING=PRECISE</stp>
        <stp>FS=MRC</stp>
        <stp>CURRENCY=USD</stp>
        <stp>XLFILL=b</stp>
        <tr r="AB193" s="2"/>
      </tp>
      <tp>
        <v>6499.5853333333334</v>
        <stp/>
        <stp>##V3_BQLV12</stp>
        <stp>[MODL_CRM_US1.xlsx]Single Period!R27C5</stp>
        <stp>SEG0000269241 Segment</stp>
        <stp>SALES_REV_TURN/1M</stp>
        <stp>FPR=2022Y</stp>
        <stp>FPT=A</stp>
        <stp>FA_ACT_EST_DATA=E</stp>
        <stp>ACT_EST_MAPPING=PRECISE</stp>
        <stp>FS=MRC</stp>
        <stp>CURRENCY=USD</stp>
        <stp>XLFILL=b</stp>
        <tr r="E27" s="2"/>
      </tp>
      <tp>
        <v>10.8546789410144</v>
        <stp/>
        <stp>##V3_BQLV12</stp>
        <stp>[MODL_CRM_US1.xlsx]Single Period!R103C8</stp>
        <stp>CRM US Equity</stp>
        <stp>CONTRIBUTOR_STATS(IS_SBC_ATT_TO_GENL_AND_ADMIN_PRETX, STD)/1M</stp>
        <stp>FPR=2022Y</stp>
        <stp>FPT=A</stp>
        <stp>FA_ACT_EST_DATA=E</stp>
        <stp>ACT_EST_MAPPING=PRECISE</stp>
        <stp>FS=MRC</stp>
        <stp>CURRENCY=USD</stp>
        <stp>XLFILL=b</stp>
        <tr r="H103" s="2"/>
      </tp>
      <tp>
        <v>5968.4552708333331</v>
        <stp/>
        <stp>##V3_BQLV12</stp>
        <stp>[MODL_CRM_US1.xlsx]Single Period!R26C5</stp>
        <stp>SEG0000269247 Segment</stp>
        <stp>SALES_REV_TURN/1M</stp>
        <stp>FPR=2022Y</stp>
        <stp>FPT=A</stp>
        <stp>FA_ACT_EST_DATA=E</stp>
        <stp>ACT_EST_MAPPING=PRECISE</stp>
        <stp>FS=MRC</stp>
        <stp>CURRENCY=USD</stp>
        <stp>XLFILL=b</stp>
        <tr r="E26" s="2"/>
      </tp>
      <tp>
        <v>2049.0967361212297</v>
        <stp/>
        <stp>##V3_BQLV12</stp>
        <stp>[MODL_CRM_US1.xlsx]Single Period!R48C5</stp>
        <stp>SEG0000269229 Segment</stp>
        <stp>SALES_REV_TURN/1M</stp>
        <stp>FPR=2022Y</stp>
        <stp>FPT=A</stp>
        <stp>FA_ACT_EST_DATA=E</stp>
        <stp>ACT_EST_MAPPING=PRECISE</stp>
        <stp>FS=MRC</stp>
        <stp>CURRENCY=USD</stp>
        <stp>XLFILL=b</stp>
        <tr r="E48" s="2"/>
      </tp>
      <tp>
        <v>6244.9018749999996</v>
        <stp/>
        <stp>##V3_BQLV12</stp>
        <stp>[MODL_CRM_US1.xlsx]Single Period!R28C5</stp>
        <stp>SEG0000269242 Segment</stp>
        <stp>SALES_REV_TURN/1M</stp>
        <stp>FPR=2022Y</stp>
        <stp>FPT=A</stp>
        <stp>FA_ACT_EST_DATA=E</stp>
        <stp>ACT_EST_MAPPING=PRECISE</stp>
        <stp>FS=MRC</stp>
        <stp>CURRENCY=USD</stp>
        <stp>XLFILL=b</stp>
        <tr r="E28" s="2"/>
      </tp>
      <tp>
        <v>398</v>
        <stp/>
        <stp>##V3_BQLV12</stp>
        <stp>[MODL_CRM_US1.xlsx]Single Period!R103C7</stp>
        <stp>CRM US Equity</stp>
        <stp>CONTRIBUTOR_STATS(IS_SBC_ATT_TO_GENL_AND_ADMIN_PRETX, MAX)/1M</stp>
        <stp>FPR=2022Y</stp>
        <stp>FPT=A</stp>
        <stp>FA_ACT_EST_DATA=E</stp>
        <stp>ACT_EST_MAPPING=PRECISE</stp>
        <stp>FS=MRC</stp>
        <stp>CURRENCY=USD</stp>
        <stp>XLFILL=b</stp>
        <tr r="G103" s="2"/>
      </tp>
      <tp>
        <v>362.75184819587628</v>
        <stp/>
        <stp>##V3_BQLV12</stp>
        <stp>[MODL_CRM_US1.xlsx]Single Period!R103C6</stp>
        <stp>CRM US Equity</stp>
        <stp>CONTRIBUTOR_STATS(IS_SBC_ATT_TO_GENL_AND_ADMIN_PRETX, MIN)/1M</stp>
        <stp>FPR=2022Y</stp>
        <stp>FPT=A</stp>
        <stp>FA_ACT_EST_DATA=E</stp>
        <stp>ACT_EST_MAPPING=PRECISE</stp>
        <stp>FS=MRC</stp>
        <stp>CURRENCY=USD</stp>
        <stp>XLFILL=b</stp>
        <tr r="F103" s="2"/>
      </tp>
      <tp>
        <v>2909</v>
        <stp/>
        <stp>##V3_BQLV12</stp>
        <stp>[MODL_CRM_US1.xlsx]Single Period!R123C9</stp>
        <stp>CRM US Equity</stp>
        <stp>CONTRIBUTOR_STATS(TOT_OPER_LEA_RT_OF_USE_ASSETS, MEDIAN)/1M</stp>
        <stp>FPR=2022Y</stp>
        <stp>FPT=A</stp>
        <stp>FA_ACT_EST_DATA=E</stp>
        <stp>ACT_EST_MAPPING=PRECISE</stp>
        <stp>FS=MRC</stp>
        <stp>CURRENCY=USD</stp>
        <stp>XLFILL=b</stp>
        <tr r="I123" s="2"/>
      </tp>
      <tp>
        <v>26398</v>
        <stp/>
        <stp>##V3_BQLV12</stp>
        <stp>[MODL_CRM_US1.xlsx]Single Period!R7C30</stp>
        <stp>CRM US Equity</stp>
        <stp>IS_COMP_SALES/1M</stp>
        <stp>FPR=2022Y</stp>
        <stp>FPT=A</stp>
        <stp>FA_ACT_EST_DATA=E, EST_SOURCE=BAM</stp>
        <stp>ACT_EST_MAPPING=PRECISE</stp>
        <stp>FS=MRC</stp>
        <stp>CURRENCY=USD</stp>
        <stp>XLFILL=b</stp>
        <tr r="AD7" s="2"/>
      </tp>
      <tp>
        <v>26395</v>
        <stp/>
        <stp>##V3_BQLV12</stp>
        <stp>[MODL_CRM_US1.xlsx]Single Period!R7C34</stp>
        <stp>CRM US Equity</stp>
        <stp>IS_COMP_SALES/1M</stp>
        <stp>FPR=2022Y</stp>
        <stp>FPT=A</stp>
        <stp>FA_ACT_EST_DATA=E, EST_SOURCE=JEF</stp>
        <stp>ACT_EST_MAPPING=PRECISE</stp>
        <stp>FS=MRC</stp>
        <stp>CURRENCY=USD</stp>
        <stp>XLFILL=b</stp>
        <tr r="AH7" s="2"/>
      </tp>
      <tp>
        <v>59.708411242703527</v>
        <stp/>
        <stp>##V3_BQLV12</stp>
        <stp>[MODL_CRM_US1.xlsx]Single Period!R147C7</stp>
        <stp>CRM US Equity</stp>
        <stp>CONTRIBUTOR_STATS(BV_PER_WEIGHTED_DILUTED_SHARE, MAX)</stp>
        <stp>FPR=2022Y</stp>
        <stp>FPT=A</stp>
        <stp>FA_ACT_EST_DATA=E</stp>
        <stp>ACT_EST_MAPPING=PRECISE</stp>
        <stp>FS=MRC</stp>
        <stp>CURRENCY=USD</stp>
        <stp>XLFILL=b</stp>
        <tr r="G147" s="2"/>
      </tp>
      <tp>
        <v>-3</v>
        <stp/>
        <stp>##V3_BQLV12</stp>
        <stp>[MODL_CRM_US1.xlsx]Single Period!R178C5</stp>
        <stp>CRM US Equity</stp>
        <stp>CB_CF_REPAYMENT_LT_DEBT/1M</stp>
        <stp>FPR=2022Y</stp>
        <stp>FPT=A</stp>
        <stp>FA_ACT_EST_DATA=E</stp>
        <stp>ACT_EST_MAPPING=PRECISE</stp>
        <stp>FS=MRC</stp>
        <stp>CURRENCY=USD</stp>
        <stp>XLFILL=b</stp>
        <tr r="E178" s="2"/>
      </tp>
      <tp t="s">
        <v/>
        <stp/>
        <stp>##V3_BQLV12</stp>
        <stp>[MODL_CRM_US1.xlsx]Single Period!R7C47</stp>
        <stp>CRM US Equity</stp>
        <stp>IS_COMP_SALES/1M</stp>
        <stp>FPR=2022Y</stp>
        <stp>FPT=A</stp>
        <stp>FA_ACT_EST_DATA=E, EST_SOURCE=WFT</stp>
        <stp>ACT_EST_MAPPING=PRECISE</stp>
        <stp>FS=MRC</stp>
        <stp>CURRENCY=USD</stp>
        <stp>XLFILL=b</stp>
        <tr r="AU7" s="2"/>
      </tp>
      <tp>
        <v>46.981304413418819</v>
        <stp/>
        <stp>##V3_BQLV12</stp>
        <stp>[MODL_CRM_US1.xlsx]Single Period!R147C6</stp>
        <stp>CRM US Equity</stp>
        <stp>CONTRIBUTOR_STATS(BV_PER_WEIGHTED_DILUTED_SHARE, MIN)</stp>
        <stp>FPR=2022Y</stp>
        <stp>FPT=A</stp>
        <stp>FA_ACT_EST_DATA=E</stp>
        <stp>ACT_EST_MAPPING=PRECISE</stp>
        <stp>FS=MRC</stp>
        <stp>CURRENCY=USD</stp>
        <stp>XLFILL=b</stp>
        <tr r="F147" s="2"/>
      </tp>
      <tp>
        <v>5616.431827569917</v>
        <stp/>
        <stp>##V3_BQLV12</stp>
        <stp>[MODL_CRM_US1.xlsx]Single Period!R167C24</stp>
        <stp>CRM US Equity</stp>
        <stp>CB_CF_NET_CASH_OPERATING_ACT/1M</stp>
        <stp>FPR=2022Y</stp>
        <stp>FPT=A</stp>
        <stp>FA_ACT_EST_DATA=E, EST_SOURCE=FBC</stp>
        <stp>ACT_EST_MAPPING=PRECISE</stp>
        <stp>FS=MRC</stp>
        <stp>CURRENCY=USD</stp>
        <stp>XLFILL=b</stp>
        <tr r="X167" s="2"/>
      </tp>
      <tp t="s">
        <v/>
        <stp/>
        <stp>##V3_BQLV12</stp>
        <stp>[MODL_CRM_US1.xlsx]Single Period!R104C34</stp>
        <stp>CRM US Equity</stp>
        <stp>IS_AMORT_OF_TOT_INTANG_PRETX/1M</stp>
        <stp>FPR=2022Y</stp>
        <stp>FPT=A</stp>
        <stp>FA_ACT_EST_DATA=E, EST_SOURCE=JEF</stp>
        <stp>ACT_EST_MAPPING=PRECISE</stp>
        <stp>FS=MRC</stp>
        <stp>CURRENCY=USD</stp>
        <stp>XLFILL=b</stp>
        <tr r="AH104" s="2"/>
      </tp>
      <tp t="s">
        <v/>
        <stp/>
        <stp>##V3_BQLV12</stp>
        <stp>[MODL_CRM_US1.xlsx]Single Period!R167C18</stp>
        <stp>CRM US Equity</stp>
        <stp>CB_CF_NET_CASH_OPERATING_ACT/1M</stp>
        <stp>FPR=2022Y</stp>
        <stp>FPT=A</stp>
        <stp>FA_ACT_EST_DATA=E, EST_SOURCE=CAN</stp>
        <stp>ACT_EST_MAPPING=PRECISE</stp>
        <stp>FS=MRC</stp>
        <stp>CURRENCY=USD</stp>
        <stp>XLFILL=b</stp>
        <tr r="R167" s="2"/>
      </tp>
      <tp t="s">
        <v/>
        <stp/>
        <stp>##V3_BQLV12</stp>
        <stp>[MODL_CRM_US1.xlsx]Single Period!R40C49</stp>
        <stp>SEG0000269228 Segment</stp>
        <stp>REVENUE_GROWTH_CC_1_YR</stp>
        <stp>FPR=2022Y</stp>
        <stp>FPT=A</stp>
        <stp>FA_ACT_EST_DATA=E, EST_SOURCE=SGE</stp>
        <stp>ACT_EST_MAPPING=PRECISE</stp>
        <stp>FS=MRC</stp>
        <stp>CURRENCY=USD</stp>
        <stp>XLFILL=b</stp>
        <tr r="AW40" s="2"/>
      </tp>
      <tp t="s">
        <v/>
        <stp/>
        <stp>##V3_BQLV12</stp>
        <stp>[MODL_CRM_US1.xlsx]Single Period!R167C55</stp>
        <stp>CRM US Equity</stp>
        <stp>CB_CF_NET_CASH_OPERATING_ACT/1M</stp>
        <stp>FPR=2022Y</stp>
        <stp>FPT=A</stp>
        <stp>FA_ACT_EST_DATA=E, EST_SOURCE=RED</stp>
        <stp>ACT_EST_MAPPING=PRECISE</stp>
        <stp>FS=MRC</stp>
        <stp>CURRENCY=USD</stp>
        <stp>XLFILL=b</stp>
        <tr r="BC167" s="2"/>
      </tp>
      <tp t="s">
        <v/>
        <stp/>
        <stp>##V3_BQLV12</stp>
        <stp>[MODL_CRM_US1.xlsx]Single Period!R182C55</stp>
        <stp>CRM US Equity</stp>
        <stp>CB_CF_NET_CASH_OPERATING_ACT/1M</stp>
        <stp>FPR=2022Y</stp>
        <stp>FPT=A</stp>
        <stp>FA_ACT_EST_DATA=E, EST_SOURCE=RED</stp>
        <stp>ACT_EST_MAPPING=PRECISE</stp>
        <stp>FS=MRC</stp>
        <stp>CURRENCY=USD</stp>
        <stp>XLFILL=b</stp>
        <tr r="BC182" s="2"/>
      </tp>
      <tp t="s">
        <v/>
        <stp/>
        <stp>##V3_BQLV12</stp>
        <stp>[MODL_CRM_US1.xlsx]Single Period!R179C34</stp>
        <stp>CRM US Equity</stp>
        <stp>CB_CF_NET_CASH_FINANCING_ACT/1M</stp>
        <stp>FPR=2022Y</stp>
        <stp>FPT=A</stp>
        <stp>FA_ACT_EST_DATA=E, EST_SOURCE=JEF</stp>
        <stp>ACT_EST_MAPPING=PRECISE</stp>
        <stp>FS=MRC</stp>
        <stp>CURRENCY=USD</stp>
        <stp>XLFILL=b</stp>
        <tr r="AH179" s="2"/>
      </tp>
      <tp>
        <v>5616.431827569917</v>
        <stp/>
        <stp>##V3_BQLV12</stp>
        <stp>[MODL_CRM_US1.xlsx]Single Period!R182C24</stp>
        <stp>CRM US Equity</stp>
        <stp>CB_CF_NET_CASH_OPERATING_ACT/1M</stp>
        <stp>FPR=2022Y</stp>
        <stp>FPT=A</stp>
        <stp>FA_ACT_EST_DATA=E, EST_SOURCE=FBC</stp>
        <stp>ACT_EST_MAPPING=PRECISE</stp>
        <stp>FS=MRC</stp>
        <stp>CURRENCY=USD</stp>
        <stp>XLFILL=b</stp>
        <tr r="X182" s="2"/>
      </tp>
      <tp t="s">
        <v/>
        <stp/>
        <stp>##V3_BQLV12</stp>
        <stp>[MODL_CRM_US1.xlsx]Single Period!R40C39</stp>
        <stp>SEG0000269228 Segment</stp>
        <stp>REVENUE_GROWTH_CC_1_YR</stp>
        <stp>FPR=2022Y</stp>
        <stp>FPT=A</stp>
        <stp>FA_ACT_EST_DATA=E, EST_SOURCE=KGI</stp>
        <stp>ACT_EST_MAPPING=PRECISE</stp>
        <stp>FS=MRC</stp>
        <stp>CURRENCY=USD</stp>
        <stp>XLFILL=b</stp>
        <tr r="AM40" s="2"/>
      </tp>
      <tp t="s">
        <v/>
        <stp/>
        <stp>##V3_BQLV12</stp>
        <stp>[MODL_CRM_US1.xlsx]Single Period!R182C18</stp>
        <stp>CRM US Equity</stp>
        <stp>CB_CF_NET_CASH_OPERATING_ACT/1M</stp>
        <stp>FPR=2022Y</stp>
        <stp>FPT=A</stp>
        <stp>FA_ACT_EST_DATA=E, EST_SOURCE=CAN</stp>
        <stp>ACT_EST_MAPPING=PRECISE</stp>
        <stp>FS=MRC</stp>
        <stp>CURRENCY=USD</stp>
        <stp>XLFILL=b</stp>
        <tr r="R182" s="2"/>
      </tp>
      <tp t="s">
        <v/>
        <stp/>
        <stp>##V3_BQLV12</stp>
        <stp>[MODL_CRM_US1.xlsx]Single Period!R78C47</stp>
        <stp>CRM US Equity</stp>
        <stp>COGS_TO_NET_SALES</stp>
        <stp>FPR=2022Y</stp>
        <stp>FPT=A</stp>
        <stp>FA_ACT_EST_DATA=E, EST_SOURCE=WFT</stp>
        <stp>ACT_EST_MAPPING=PRECISE</stp>
        <stp>FS=MRC</stp>
        <stp>CURRENCY=USD</stp>
        <stp>XLFILL=b</stp>
        <tr r="AU78" s="2"/>
      </tp>
      <tp t="s">
        <v/>
        <stp/>
        <stp>##V3_BQLV12</stp>
        <stp>[MODL_CRM_US1.xlsx]Single Period!R142C33</stp>
        <stp>CRM US Equity</stp>
        <stp>BS_TOT_ASSET/1M</stp>
        <stp>FPR=2022Y</stp>
        <stp>FPT=A</stp>
        <stp>FA_ACT_EST_DATA=E, EST_SOURCE=RHR</stp>
        <stp>ACT_EST_MAPPING=PRECISE</stp>
        <stp>FS=MRC</stp>
        <stp>CURRENCY=USD</stp>
        <stp>XLFILL=b</stp>
        <tr r="AG142" s="2"/>
      </tp>
      <tp t="s">
        <v/>
        <stp/>
        <stp>##V3_BQLV12</stp>
        <stp>[MODL_CRM_US1.xlsx]Single Period!R104C51</stp>
        <stp>CRM US Equity</stp>
        <stp>IS_AMORT_OF_TOT_INTANG_PRETX/1M</stp>
        <stp>FPR=2022Y</stp>
        <stp>FPT=A</stp>
        <stp>FA_ACT_EST_DATA=E, EST_SOURCE=RCP</stp>
        <stp>ACT_EST_MAPPING=PRECISE</stp>
        <stp>FS=MRC</stp>
        <stp>CURRENCY=USD</stp>
        <stp>XLFILL=b</stp>
        <tr r="AY104" s="2"/>
      </tp>
      <tp t="s">
        <v/>
        <stp/>
        <stp>##V3_BQLV12</stp>
        <stp>[MODL_CRM_US1.xlsx]Single Period!R87C48</stp>
        <stp>CRM US Equity</stp>
        <stp>IS_EBIT_AS_REPORTED/1M</stp>
        <stp>FPR=2022Y</stp>
        <stp>FPT=A</stp>
        <stp>FA_ACT_EST_DATA=E, EST_SOURCE=PJE</stp>
        <stp>ACT_EST_MAPPING=PRECISE</stp>
        <stp>FS=MRC</stp>
        <stp>CURRENCY=USD</stp>
        <stp>XLFILL=b</stp>
        <tr r="AV87" s="2"/>
      </tp>
      <tp t="s">
        <v/>
        <stp/>
        <stp>##V3_BQLV12</stp>
        <stp>[MODL_CRM_US1.xlsx]Single Period!R125C33</stp>
        <stp>CRM US Equity</stp>
        <stp>BS_TOT_ASSET/1M</stp>
        <stp>FPR=2022Y</stp>
        <stp>FPT=A</stp>
        <stp>FA_ACT_EST_DATA=E, EST_SOURCE=RHR</stp>
        <stp>ACT_EST_MAPPING=PRECISE</stp>
        <stp>FS=MRC</stp>
        <stp>CURRENCY=USD</stp>
        <stp>XLFILL=b</stp>
        <tr r="AG125" s="2"/>
      </tp>
      <tp t="s">
        <v/>
        <stp/>
        <stp>##V3_BQLV12</stp>
        <stp>[MODL_CRM_US1.xlsx]Single Period!R78C52</stp>
        <stp>CRM US Equity</stp>
        <stp>COGS_TO_NET_SALES</stp>
        <stp>FPR=2022Y</stp>
        <stp>FPT=A</stp>
        <stp>FA_ACT_EST_DATA=E, EST_SOURCE=WFR</stp>
        <stp>ACT_EST_MAPPING=PRECISE</stp>
        <stp>FS=MRC</stp>
        <stp>CURRENCY=USD</stp>
        <stp>XLFILL=b</stp>
        <tr r="AZ78" s="2"/>
      </tp>
      <tp>
        <v>484.53428999999909</v>
        <stp/>
        <stp>##V3_BQLV12</stp>
        <stp>[MODL_CRM_US1.xlsx]Single Period!R87C21</stp>
        <stp>CRM US Equity</stp>
        <stp>IS_EBIT_AS_REPORTED/1M</stp>
        <stp>FPR=2022Y</stp>
        <stp>FPT=A</stp>
        <stp>FA_ACT_EST_DATA=E, EST_SOURCE=RJA</stp>
        <stp>ACT_EST_MAPPING=PRECISE</stp>
        <stp>FS=MRC</stp>
        <stp>CURRENCY=USD</stp>
        <stp>XLFILL=b</stp>
        <tr r="U87" s="2"/>
      </tp>
      <tp t="s">
        <v/>
        <stp/>
        <stp>##V3_BQLV12</stp>
        <stp>[MODL_CRM_US1.xlsx]Single Period!R179C51</stp>
        <stp>CRM US Equity</stp>
        <stp>CB_CF_NET_CASH_FINANCING_ACT/1M</stp>
        <stp>FPR=2022Y</stp>
        <stp>FPT=A</stp>
        <stp>FA_ACT_EST_DATA=E, EST_SOURCE=RCP</stp>
        <stp>ACT_EST_MAPPING=PRECISE</stp>
        <stp>FS=MRC</stp>
        <stp>CURRENCY=USD</stp>
        <stp>XLFILL=b</stp>
        <tr r="AY179" s="2"/>
      </tp>
      <tp t="s">
        <v/>
        <stp/>
        <stp>##V3_BQLV12</stp>
        <stp>[MODL_CRM_US1.xlsx]Single Period!R121C48</stp>
        <stp>CRM US Equity</stp>
        <stp>CB_BS_INTANG_ASSETS_EX_GW_NT/1M</stp>
        <stp>FPR=2022Y</stp>
        <stp>FPT=A</stp>
        <stp>FA_ACT_EST_DATA=E, EST_SOURCE=PJE</stp>
        <stp>ACT_EST_MAPPING=PRECISE</stp>
        <stp>FS=MRC</stp>
        <stp>CURRENCY=USD</stp>
        <stp>XLFILL=b</stp>
        <tr r="AV121" s="2"/>
      </tp>
      <tp t="s">
        <v>Neil Steer</v>
        <stp/>
        <stp>##V3_BQLV12</stp>
        <stp>[MODL_CRM_US1.xlsx]Single Period!R4C55</stp>
        <stp>CRM US Equity</stp>
        <stp>LAST(IS_COMP_SALES(FA_ACT_EST_DATA=E, EST_SOURCE=RED).analyst_name)</stp>
        <stp>FPR=2022Y</stp>
        <stp>FPT=A</stp>
        <stp>ACT_EST_MAPPING=PRECISE</stp>
        <stp>FS=MRC</stp>
        <stp>CURRENCY=USD</stp>
        <stp>XLFILL=b</stp>
        <tr r="BC4" s="2"/>
      </tp>
      <tp t="s">
        <v>Rishi N Jaluria</v>
        <stp/>
        <stp>##V3_BQLV12</stp>
        <stp>[MODL_CRM_US1.xlsx]Single Period!R4C31</stp>
        <stp>CRM US Equity</stp>
        <stp>LAST(IS_COMP_SALES(FA_ACT_EST_DATA=E, EST_SOURCE=RBC).analyst_name)</stp>
        <stp>FPR=2022Y</stp>
        <stp>FPT=A</stp>
        <stp>ACT_EST_MAPPING=PRECISE</stp>
        <stp>FS=MRC</stp>
        <stp>CURRENCY=USD</stp>
        <stp>XLFILL=b</stp>
        <tr r="AE4" s="2"/>
      </tp>
      <tp t="s">
        <v>Richard K Baldry</v>
        <stp/>
        <stp>##V3_BQLV12</stp>
        <stp>[MODL_CRM_US1.xlsx]Single Period!R4C51</stp>
        <stp>CRM US Equity</stp>
        <stp>LAST(IS_COMP_SALES(FA_ACT_EST_DATA=E, EST_SOURCE=RCP).analyst_name)</stp>
        <stp>FPR=2022Y</stp>
        <stp>FPT=A</stp>
        <stp>ACT_EST_MAPPING=PRECISE</stp>
        <stp>FS=MRC</stp>
        <stp>CURRENCY=USD</stp>
        <stp>XLFILL=b</stp>
        <tr r="AY4" s="2"/>
      </tp>
      <tp t="s">
        <v>Brian Peterson</v>
        <stp/>
        <stp>##V3_BQLV12</stp>
        <stp>[MODL_CRM_US1.xlsx]Single Period!R4C21</stp>
        <stp>CRM US Equity</stp>
        <stp>LAST(IS_COMP_SALES(FA_ACT_EST_DATA=E, EST_SOURCE=RJA).analyst_name)</stp>
        <stp>FPR=2022Y</stp>
        <stp>FPT=A</stp>
        <stp>ACT_EST_MAPPING=PRECISE</stp>
        <stp>FS=MRC</stp>
        <stp>CURRENCY=USD</stp>
        <stp>XLFILL=b</stp>
        <tr r="U4" s="2"/>
      </tp>
      <tp t="s">
        <v>Terry Tillman</v>
        <stp/>
        <stp>##V3_BQLV12</stp>
        <stp>[MODL_CRM_US1.xlsx]Single Period!R4C33</stp>
        <stp>CRM US Equity</stp>
        <stp>LAST(IS_COMP_SALES(FA_ACT_EST_DATA=E, EST_SOURCE=RHR).analyst_name)</stp>
        <stp>FPR=2022Y</stp>
        <stp>FPT=A</stp>
        <stp>ACT_EST_MAPPING=PRECISE</stp>
        <stp>FS=MRC</stp>
        <stp>CURRENCY=USD</stp>
        <stp>XLFILL=b</stp>
        <tr r="AG4" s="2"/>
      </tp>
      <tp>
        <v>94587.032565434391</v>
        <stp/>
        <stp>##V3_BQLV12</stp>
        <stp>[MODL_CRM_US1.xlsx]Single Period!R142C9</stp>
        <stp>CRM US Equity</stp>
        <stp>CONTRIBUTOR_STATS(BS_TOT_ASSET, MEDIAN)/1M</stp>
        <stp>FPR=2022Y</stp>
        <stp>FPT=A</stp>
        <stp>FA_ACT_EST_DATA=E</stp>
        <stp>ACT_EST_MAPPING=PRECISE</stp>
        <stp>FS=MRC</stp>
        <stp>CURRENCY=USD</stp>
        <stp>XLFILL=b</stp>
        <tr r="I142" s="2"/>
      </tp>
      <tp t="s">
        <v>Rob Oliver</v>
        <stp/>
        <stp>##V3_BQLV12</stp>
        <stp>[MODL_CRM_US1.xlsx]Single Period!R4C44</stp>
        <stp>CRM US Equity</stp>
        <stp>LAST(IS_COMP_SALES(FA_ACT_EST_DATA=E, EST_SOURCE=RWB).analyst_name)</stp>
        <stp>FPR=2022Y</stp>
        <stp>FPT=A</stp>
        <stp>ACT_EST_MAPPING=PRECISE</stp>
        <stp>FS=MRC</stp>
        <stp>CURRENCY=USD</stp>
        <stp>XLFILL=b</stp>
        <tr r="AR4" s="2"/>
      </tp>
      <tp t="s">
        <v/>
        <stp/>
        <stp>##V3_BQLV12</stp>
        <stp>[MODL_CRM_US1.xlsx]Single Period!R90C33</stp>
        <stp>CRM US Equity</stp>
        <stp>IS_INC_TAX_EXP/1M</stp>
        <stp>FPR=2022Y</stp>
        <stp>FPT=A</stp>
        <stp>FA_ACT_EST_DATA=E, EST_SOURCE=RHR</stp>
        <stp>ACT_EST_MAPPING=PRECISE</stp>
        <stp>FS=MRC</stp>
        <stp>CURRENCY=USD</stp>
        <stp>XLFILL=b</stp>
        <tr r="AG90" s="2"/>
      </tp>
      <tp>
        <v>721</v>
        <stp/>
        <stp>##V3_BQLV12</stp>
        <stp>[MODL_CRM_US1.xlsx]Single Period!R106C9</stp>
        <stp>CRM US Equity</stp>
        <stp>CONTRIBUTOR_STATS(IS_AMORT_ACQD_INTANG_S_AND_M, MEDIAN)/1M</stp>
        <stp>FPR=2022Y</stp>
        <stp>FPT=A</stp>
        <stp>FA_ACT_EST_DATA=E</stp>
        <stp>ACT_EST_MAPPING=PRECISE</stp>
        <stp>FS=MRC</stp>
        <stp>CURRENCY=USD</stp>
        <stp>XLFILL=b</stp>
        <tr r="I106" s="2"/>
      </tp>
      <tp t="s">
        <v/>
        <stp/>
        <stp>##V3_BQLV12</stp>
        <stp>[MODL_CRM_US1.xlsx]Single Period!R39C10</stp>
        <stp>SEG0000269228 Segment</stp>
        <stp>IS_PERCENTAGE_OF_REVENUE</stp>
        <stp>FPR=2022Y</stp>
        <stp>FPT=A</stp>
        <stp>FA_ACT_EST_DATA=E, EST_SOURCE=CMPY</stp>
        <stp>ACT_EST_MAPPING=PRECISE</stp>
        <stp>FS=MRC</stp>
        <stp>CURRENCY=USD</stp>
        <stp>XLFILL=b</stp>
        <tr r="J39" s="2"/>
      </tp>
      <tp t="s">
        <v/>
        <stp/>
        <stp>##V3_BQLV12</stp>
        <stp>[MODL_CRM_US1.xlsx]Single Period!R84C10</stp>
        <stp>CRM US Equity</stp>
        <stp>RD_EXPEND_TO_NET_SALES</stp>
        <stp>FPR=2022Y</stp>
        <stp>FPT=A</stp>
        <stp>FA_ACT_EST_DATA=E, EST_SOURCE=CMPY</stp>
        <stp>ACT_EST_MAPPING=PRECISE</stp>
        <stp>FS=MRC</stp>
        <stp>CURRENCY=USD</stp>
        <stp>XLFILL=b</stp>
        <tr r="J84" s="2"/>
      </tp>
      <tp t="s">
        <v/>
        <stp/>
        <stp>##V3_BQLV12</stp>
        <stp>[MODL_CRM_US1.xlsx]Single Period!R49C10</stp>
        <stp>SEG0000269229 Segment</stp>
        <stp>IS_PERCENTAGE_OF_REVENUE</stp>
        <stp>FPR=2022Y</stp>
        <stp>FPT=A</stp>
        <stp>FA_ACT_EST_DATA=E, EST_SOURCE=CMPY</stp>
        <stp>ACT_EST_MAPPING=PRECISE</stp>
        <stp>FS=MRC</stp>
        <stp>CURRENCY=USD</stp>
        <stp>XLFILL=b</stp>
        <tr r="J49" s="2"/>
      </tp>
      <tp>
        <v>0</v>
        <stp/>
        <stp>##V3_BQLV12</stp>
        <stp>[MODL_CRM_US1.xlsx]Single Period!R145C8</stp>
        <stp>CRM US Equity</stp>
        <stp>CONTRIBUTOR_STATS(CB_BS_LT_BORROWING, STD)/1M</stp>
        <stp>FPR=2022Y</stp>
        <stp>FPT=A</stp>
        <stp>FA_ACT_EST_DATA=E</stp>
        <stp>ACT_EST_MAPPING=PRECISE</stp>
        <stp>FS=MRC</stp>
        <stp>CURRENCY=USD</stp>
        <stp>XLFILL=b</stp>
        <tr r="H145" s="2"/>
      </tp>
      <tp>
        <v>10591</v>
        <stp/>
        <stp>##V3_BQLV12</stp>
        <stp>[MODL_CRM_US1.xlsx]Single Period!R145C7</stp>
        <stp>CRM US Equity</stp>
        <stp>CONTRIBUTOR_STATS(CB_BS_LT_BORROWING, MAX)/1M</stp>
        <stp>FPR=2022Y</stp>
        <stp>FPT=A</stp>
        <stp>FA_ACT_EST_DATA=E</stp>
        <stp>ACT_EST_MAPPING=PRECISE</stp>
        <stp>FS=MRC</stp>
        <stp>CURRENCY=USD</stp>
        <stp>XLFILL=b</stp>
        <tr r="G145" s="2"/>
      </tp>
      <tp>
        <v>10591</v>
        <stp/>
        <stp>##V3_BQLV12</stp>
        <stp>[MODL_CRM_US1.xlsx]Single Period!R145C6</stp>
        <stp>CRM US Equity</stp>
        <stp>CONTRIBUTOR_STATS(CB_BS_LT_BORROWING, MIN)/1M</stp>
        <stp>FPR=2022Y</stp>
        <stp>FPT=A</stp>
        <stp>FA_ACT_EST_DATA=E</stp>
        <stp>ACT_EST_MAPPING=PRECISE</stp>
        <stp>FS=MRC</stp>
        <stp>CURRENCY=USD</stp>
        <stp>XLFILL=b</stp>
        <tr r="F145" s="2"/>
      </tp>
      <tp>
        <v>26395</v>
        <stp/>
        <stp>##V3_BQLV12</stp>
        <stp>[MODL_CRM_US1.xlsx]Single Period!R7C13</stp>
        <stp>CRM US Equity</stp>
        <stp>IS_COMP_SALES/1M</stp>
        <stp>FPR=2022Y</stp>
        <stp>FPT=A</stp>
        <stp>FA_ACT_EST_DATA=E, EST_SOURCE=BCA</stp>
        <stp>ACT_EST_MAPPING=PRECISE</stp>
        <stp>FS=MRC</stp>
        <stp>CURRENCY=USD</stp>
        <stp>XLFILL=b</stp>
        <tr r="M7" s="2"/>
      </tp>
      <tp>
        <v>12271.33333333333</v>
        <stp/>
        <stp>##V3_BQLV12</stp>
        <stp>[MODL_CRM_US1.xlsx]Single Period!R133C5</stp>
        <stp>CRM US Equity</stp>
        <stp>BS_LONG_TERM_BORROWINGS/1M</stp>
        <stp>FPR=2022Y</stp>
        <stp>FPT=A</stp>
        <stp>FA_ACT_EST_DATA=E</stp>
        <stp>ACT_EST_MAPPING=PRECISE</stp>
        <stp>FS=MRC</stp>
        <stp>CURRENCY=USD</stp>
        <stp>XLFILL=b</stp>
        <tr r="E133" s="2"/>
      </tp>
      <tp t="s">
        <v/>
        <stp/>
        <stp>##V3_BQLV12</stp>
        <stp>[MODL_CRM_US1.xlsx]Single Period!R7C55</stp>
        <stp>CRM US Equity</stp>
        <stp>IS_COMP_SALES/1M</stp>
        <stp>FPR=2022Y</stp>
        <stp>FPT=A</stp>
        <stp>FA_ACT_EST_DATA=E, EST_SOURCE=RED</stp>
        <stp>ACT_EST_MAPPING=PRECISE</stp>
        <stp>FS=MRC</stp>
        <stp>CURRENCY=USD</stp>
        <stp>XLFILL=b</stp>
        <tr r="BC7" s="2"/>
      </tp>
      <tp>
        <v>26487</v>
        <stp/>
        <stp>##V3_BQLV12</stp>
        <stp>[MODL_CRM_US1.xlsx]Single Period!R7C32</stp>
        <stp>CRM US Equity</stp>
        <stp>IS_COMP_SALES/1M</stp>
        <stp>FPR=2022Y</stp>
        <stp>FPT=A</stp>
        <stp>FA_ACT_EST_DATA=E, EST_SOURCE=UBS</stp>
        <stp>ACT_EST_MAPPING=PRECISE</stp>
        <stp>FS=MRC</stp>
        <stp>CURRENCY=USD</stp>
        <stp>XLFILL=b</stp>
        <tr r="AF7" s="2"/>
      </tp>
      <tp>
        <v>1</v>
        <stp/>
        <stp>##V3_BQLV12</stp>
        <stp>[MODL_CRM_US1.xlsx]Single Period!R138C5</stp>
        <stp>CRM US Equity</stp>
        <stp>BS_COMMON_STOCK/1M</stp>
        <stp>FPR=2022Y</stp>
        <stp>FPT=A</stp>
        <stp>FA_ACT_EST_DATA=E</stp>
        <stp>ACT_EST_MAPPING=PRECISE</stp>
        <stp>FS=MRC</stp>
        <stp>CURRENCY=USD</stp>
        <stp>XLFILL=b</stp>
        <tr r="E138" s="2"/>
      </tp>
      <tp>
        <v>42302.300000000025</v>
        <stp/>
        <stp>##V3_BQLV12</stp>
        <stp>[MODL_CRM_US1.xlsx]Single Period!R149C5</stp>
        <stp>CRM US Equity</stp>
        <stp>TOT_FUTURE_REV_UNDER_CONTRACT/1M</stp>
        <stp>FPR=2022Y</stp>
        <stp>FPT=A</stp>
        <stp>FA_ACT_EST_DATA=E</stp>
        <stp>ACT_EST_MAPPING=PRECISE</stp>
        <stp>FS=MRC</stp>
        <stp>CURRENCY=USD</stp>
        <stp>XLFILL=b</stp>
        <tr r="E149" s="2"/>
      </tp>
      <tp t="s">
        <v/>
        <stp/>
        <stp>##V3_BQLV12</stp>
        <stp>[MODL_CRM_US1.xlsx]Single Period!R121C14</stp>
        <stp>CRM US Equity</stp>
        <stp>CB_BS_INTANG_ASSETS_EX_GW_NT/1M</stp>
        <stp>FPR=2022Y</stp>
        <stp>FPT=A</stp>
        <stp>FA_ACT_EST_DATA=E, EST_SOURCE=SNR</stp>
        <stp>ACT_EST_MAPPING=PRECISE</stp>
        <stp>FS=MRC</stp>
        <stp>CURRENCY=USD</stp>
        <stp>XLFILL=b</stp>
        <tr r="N121" s="2"/>
      </tp>
      <tp t="s">
        <v/>
        <stp/>
        <stp>##V3_BQLV12</stp>
        <stp>[MODL_CRM_US1.xlsx]Single Period!R121C25</stp>
        <stp>CRM US Equity</stp>
        <stp>CB_BS_INTANG_ASSETS_EX_GW_NT/1M</stp>
        <stp>FPR=2022Y</stp>
        <stp>FPT=A</stp>
        <stp>FA_ACT_EST_DATA=E, EST_SOURCE=WMS</stp>
        <stp>ACT_EST_MAPPING=PRECISE</stp>
        <stp>FS=MRC</stp>
        <stp>CURRENCY=USD</stp>
        <stp>XLFILL=b</stp>
        <tr r="Y121" s="2"/>
      </tp>
      <tp>
        <v>18988.90094396564</v>
        <stp/>
        <stp>##V3_BQLV12</stp>
        <stp>[MODL_CRM_US1.xlsx]Single Period!R81C9</stp>
        <stp>CRM US Equity</stp>
        <stp>CONTRIBUTOR_STATS(IS_TOT_OPER_EXP, MEDIAN)/1M</stp>
        <stp>FPR=2022Y</stp>
        <stp>FPT=A</stp>
        <stp>FA_ACT_EST_DATA=E</stp>
        <stp>ACT_EST_MAPPING=PRECISE</stp>
        <stp>FS=MRC</stp>
        <stp>CURRENCY=USD</stp>
        <stp>XLFILL=b</stp>
        <tr r="I81" s="2"/>
      </tp>
      <tp t="s">
        <v/>
        <stp/>
        <stp>##V3_BQLV12</stp>
        <stp>[MODL_CRM_US1.xlsx]Single Period!R78C49</stp>
        <stp>CRM US Equity</stp>
        <stp>COGS_TO_NET_SALES</stp>
        <stp>FPR=2022Y</stp>
        <stp>FPT=A</stp>
        <stp>FA_ACT_EST_DATA=E, EST_SOURCE=SGE</stp>
        <stp>ACT_EST_MAPPING=PRECISE</stp>
        <stp>FS=MRC</stp>
        <stp>CURRENCY=USD</stp>
        <stp>XLFILL=b</stp>
        <tr r="AW78" s="2"/>
      </tp>
      <tp t="s">
        <v/>
        <stp/>
        <stp>##V3_BQLV12</stp>
        <stp>[MODL_CRM_US1.xlsx]Single Period!R104C40</stp>
        <stp>CRM US Equity</stp>
        <stp>IS_AMORT_OF_TOT_INTANG_PRETX/1M</stp>
        <stp>FPR=2022Y</stp>
        <stp>FPT=A</stp>
        <stp>FA_ACT_EST_DATA=E, EST_SOURCE=ACC</stp>
        <stp>ACT_EST_MAPPING=PRECISE</stp>
        <stp>FS=MRC</stp>
        <stp>CURRENCY=USD</stp>
        <stp>XLFILL=b</stp>
        <tr r="AN104" s="2"/>
      </tp>
      <tp t="s">
        <v/>
        <stp/>
        <stp>##V3_BQLV12</stp>
        <stp>[MODL_CRM_US1.xlsx]Single Period!R182C27</stp>
        <stp>CRM US Equity</stp>
        <stp>CB_CF_NET_CASH_OPERATING_ACT/1M</stp>
        <stp>FPR=2022Y</stp>
        <stp>FPT=A</stp>
        <stp>FA_ACT_EST_DATA=E, EST_SOURCE=LCM</stp>
        <stp>ACT_EST_MAPPING=PRECISE</stp>
        <stp>FS=MRC</stp>
        <stp>CURRENCY=USD</stp>
        <stp>XLFILL=b</stp>
        <tr r="AA182" s="2"/>
      </tp>
      <tp t="s">
        <v/>
        <stp/>
        <stp>##V3_BQLV12</stp>
        <stp>[MODL_CRM_US1.xlsx]Single Period!R71C30</stp>
        <stp>CRM US Equity</stp>
        <stp>ADJ_PROFIT_MARGIN</stp>
        <stp>FPR=2022Y</stp>
        <stp>FPT=A</stp>
        <stp>FA_ACT_EST_DATA=E, EST_SOURCE=BAM</stp>
        <stp>ACT_EST_MAPPING=PRECISE</stp>
        <stp>FS=MRC</stp>
        <stp>CURRENCY=USD</stp>
        <stp>XLFILL=b</stp>
        <tr r="AD71" s="2"/>
      </tp>
      <tp t="s">
        <v/>
        <stp/>
        <stp>##V3_BQLV12</stp>
        <stp>[MODL_CRM_US1.xlsx]Single Period!R167C31</stp>
        <stp>CRM US Equity</stp>
        <stp>CB_CF_NET_CASH_OPERATING_ACT/1M</stp>
        <stp>FPR=2022Y</stp>
        <stp>FPT=A</stp>
        <stp>FA_ACT_EST_DATA=E, EST_SOURCE=RBC</stp>
        <stp>ACT_EST_MAPPING=PRECISE</stp>
        <stp>FS=MRC</stp>
        <stp>CURRENCY=USD</stp>
        <stp>XLFILL=b</stp>
        <tr r="AE167" s="2"/>
      </tp>
      <tp t="s">
        <v/>
        <stp/>
        <stp>##V3_BQLV12</stp>
        <stp>[MODL_CRM_US1.xlsx]Single Period!R136C38</stp>
        <stp>CRM US Equity</stp>
        <stp>BS_TOTAL_LIABILITIES/1M</stp>
        <stp>FPR=2022Y</stp>
        <stp>FPT=A</stp>
        <stp>FA_ACT_EST_DATA=E, EST_SOURCE=MSR</stp>
        <stp>ACT_EST_MAPPING=PRECISE</stp>
        <stp>FS=MRC</stp>
        <stp>CURRENCY=USD</stp>
        <stp>XLFILL=b</stp>
        <tr r="AL136" s="2"/>
      </tp>
      <tp t="s">
        <v/>
        <stp/>
        <stp>##V3_BQLV12</stp>
        <stp>[MODL_CRM_US1.xlsx]Single Period!R121C20</stp>
        <stp>CRM US Equity</stp>
        <stp>CB_BS_INTANG_ASSETS_EX_GW_NT/1M</stp>
        <stp>FPR=2022Y</stp>
        <stp>FPT=A</stp>
        <stp>FA_ACT_EST_DATA=E, EST_SOURCE=JMP</stp>
        <stp>ACT_EST_MAPPING=PRECISE</stp>
        <stp>FS=MRC</stp>
        <stp>CURRENCY=USD</stp>
        <stp>XLFILL=b</stp>
        <tr r="T121" s="2"/>
      </tp>
      <tp t="s">
        <v/>
        <stp/>
        <stp>##V3_BQLV12</stp>
        <stp>[MODL_CRM_US1.xlsx]Single Period!R71C18</stp>
        <stp>CRM US Equity</stp>
        <stp>ADJ_PROFIT_MARGIN</stp>
        <stp>FPR=2022Y</stp>
        <stp>FPT=A</stp>
        <stp>FA_ACT_EST_DATA=E, EST_SOURCE=CAN</stp>
        <stp>ACT_EST_MAPPING=PRECISE</stp>
        <stp>FS=MRC</stp>
        <stp>CURRENCY=USD</stp>
        <stp>XLFILL=b</stp>
        <tr r="R71" s="2"/>
      </tp>
      <tp>
        <v>-14816</v>
        <stp/>
        <stp>##V3_BQLV12</stp>
        <stp>[MODL_CRM_US1.xlsx]Single Period!R170C6</stp>
        <stp>CRM US Equity</stp>
        <stp>CONTRIBUTOR_STATS(CF_CASH_FOR_ACQUIS_SUBSIDIARIES, MIN)/1M</stp>
        <stp>FPR=2022Y</stp>
        <stp>FPT=A</stp>
        <stp>FA_ACT_EST_DATA=E</stp>
        <stp>ACT_EST_MAPPING=PRECISE</stp>
        <stp>FS=MRC</stp>
        <stp>CURRENCY=USD</stp>
        <stp>XLFILL=b</stp>
        <tr r="F170" s="2"/>
      </tp>
      <tp>
        <v>-14816</v>
        <stp/>
        <stp>##V3_BQLV12</stp>
        <stp>[MODL_CRM_US1.xlsx]Single Period!R170C7</stp>
        <stp>CRM US Equity</stp>
        <stp>CONTRIBUTOR_STATS(CF_CASH_FOR_ACQUIS_SUBSIDIARIES, MAX)/1M</stp>
        <stp>FPR=2022Y</stp>
        <stp>FPT=A</stp>
        <stp>FA_ACT_EST_DATA=E</stp>
        <stp>ACT_EST_MAPPING=PRECISE</stp>
        <stp>FS=MRC</stp>
        <stp>CURRENCY=USD</stp>
        <stp>XLFILL=b</stp>
        <tr r="G170" s="2"/>
      </tp>
      <tp t="s">
        <v/>
        <stp/>
        <stp>##V3_BQLV12</stp>
        <stp>[MODL_CRM_US1.xlsx]Single Period!R71C36</stp>
        <stp>CRM US Equity</stp>
        <stp>ADJ_PROFIT_MARGIN</stp>
        <stp>FPR=2022Y</stp>
        <stp>FPT=A</stp>
        <stp>FA_ACT_EST_DATA=E, EST_SOURCE=MAC</stp>
        <stp>ACT_EST_MAPPING=PRECISE</stp>
        <stp>FS=MRC</stp>
        <stp>CURRENCY=USD</stp>
        <stp>XLFILL=b</stp>
        <tr r="AJ71" s="2"/>
      </tp>
      <tp t="s">
        <v/>
        <stp/>
        <stp>##V3_BQLV12</stp>
        <stp>[MODL_CRM_US1.xlsx]Single Period!R179C40</stp>
        <stp>CRM US Equity</stp>
        <stp>CB_CF_NET_CASH_FINANCING_ACT/1M</stp>
        <stp>FPR=2022Y</stp>
        <stp>FPT=A</stp>
        <stp>FA_ACT_EST_DATA=E, EST_SOURCE=ACC</stp>
        <stp>ACT_EST_MAPPING=PRECISE</stp>
        <stp>FS=MRC</stp>
        <stp>CURRENCY=USD</stp>
        <stp>XLFILL=b</stp>
        <tr r="AN179" s="2"/>
      </tp>
      <tp t="s">
        <v/>
        <stp/>
        <stp>##V3_BQLV12</stp>
        <stp>[MODL_CRM_US1.xlsx]Single Period!R182C31</stp>
        <stp>CRM US Equity</stp>
        <stp>CB_CF_NET_CASH_OPERATING_ACT/1M</stp>
        <stp>FPR=2022Y</stp>
        <stp>FPT=A</stp>
        <stp>FA_ACT_EST_DATA=E, EST_SOURCE=RBC</stp>
        <stp>ACT_EST_MAPPING=PRECISE</stp>
        <stp>FS=MRC</stp>
        <stp>CURRENCY=USD</stp>
        <stp>XLFILL=b</stp>
        <tr r="AE182" s="2"/>
      </tp>
      <tp t="s">
        <v/>
        <stp/>
        <stp>##V3_BQLV12</stp>
        <stp>[MODL_CRM_US1.xlsx]Single Period!R78C39</stp>
        <stp>CRM US Equity</stp>
        <stp>COGS_TO_NET_SALES</stp>
        <stp>FPR=2022Y</stp>
        <stp>FPT=A</stp>
        <stp>FA_ACT_EST_DATA=E, EST_SOURCE=KGI</stp>
        <stp>ACT_EST_MAPPING=PRECISE</stp>
        <stp>FS=MRC</stp>
        <stp>CURRENCY=USD</stp>
        <stp>XLFILL=b</stp>
        <tr r="AM78" s="2"/>
      </tp>
      <tp t="s">
        <v/>
        <stp/>
        <stp>##V3_BQLV12</stp>
        <stp>[MODL_CRM_US1.xlsx]Single Period!R167C27</stp>
        <stp>CRM US Equity</stp>
        <stp>CB_CF_NET_CASH_OPERATING_ACT/1M</stp>
        <stp>FPR=2022Y</stp>
        <stp>FPT=A</stp>
        <stp>FA_ACT_EST_DATA=E, EST_SOURCE=LCM</stp>
        <stp>ACT_EST_MAPPING=PRECISE</stp>
        <stp>FS=MRC</stp>
        <stp>CURRENCY=USD</stp>
        <stp>XLFILL=b</stp>
        <tr r="AA167" s="2"/>
      </tp>
      <tp t="s">
        <v/>
        <stp/>
        <stp>##V3_BQLV12</stp>
        <stp>[MODL_CRM_US1.xlsx]Single Period!R173C37</stp>
        <stp>CRM US Equity</stp>
        <stp>CB_CF_NET_CASH_INVESTING_ACT/1M</stp>
        <stp>FPR=2022Y</stp>
        <stp>FPT=A</stp>
        <stp>FA_ACT_EST_DATA=E, EST_SOURCE=EVR</stp>
        <stp>ACT_EST_MAPPING=PRECISE</stp>
        <stp>FS=MRC</stp>
        <stp>CURRENCY=USD</stp>
        <stp>XLFILL=b</stp>
        <tr r="AK173" s="2"/>
      </tp>
      <tp t="s">
        <v/>
        <stp/>
        <stp>##V3_BQLV12</stp>
        <stp>[MODL_CRM_US1.xlsx]Single Period!R135C33</stp>
        <stp>CRM US Equity</stp>
        <stp>CB_BS_OTHER_NONCURRENT_LIABS/1M</stp>
        <stp>FPR=2022Y</stp>
        <stp>FPT=A</stp>
        <stp>FA_ACT_EST_DATA=E, EST_SOURCE=RHR</stp>
        <stp>ACT_EST_MAPPING=PRECISE</stp>
        <stp>FS=MRC</stp>
        <stp>CURRENCY=USD</stp>
        <stp>XLFILL=b</stp>
        <tr r="AG135" s="2"/>
      </tp>
      <tp t="s">
        <v/>
        <stp/>
        <stp>##V3_BQLV12</stp>
        <stp>[MODL_CRM_US1.xlsx]Single Period!R136C46</stp>
        <stp>CRM US Equity</stp>
        <stp>BS_TOTAL_LIABILITIES/1M</stp>
        <stp>FPR=2022Y</stp>
        <stp>FPT=A</stp>
        <stp>FA_ACT_EST_DATA=E, EST_SOURCE=CTI</stp>
        <stp>ACT_EST_MAPPING=PRECISE</stp>
        <stp>FS=MRC</stp>
        <stp>CURRENCY=USD</stp>
        <stp>XLFILL=b</stp>
        <tr r="AT136" s="2"/>
      </tp>
      <tp t="s">
        <v/>
        <stp/>
        <stp>##V3_BQLV12</stp>
        <stp>[MODL_CRM_US1.xlsx]Single Period!R40C52</stp>
        <stp>SEG0000269228 Segment</stp>
        <stp>REVENUE_GROWTH_CC_1_YR</stp>
        <stp>FPR=2022Y</stp>
        <stp>FPT=A</stp>
        <stp>FA_ACT_EST_DATA=E, EST_SOURCE=WFR</stp>
        <stp>ACT_EST_MAPPING=PRECISE</stp>
        <stp>FS=MRC</stp>
        <stp>CURRENCY=USD</stp>
        <stp>XLFILL=b</stp>
        <tr r="AZ40" s="2"/>
      </tp>
      <tp>
        <v>0</v>
        <stp/>
        <stp>##V3_BQLV12</stp>
        <stp>[MODL_CRM_US1.xlsx]Single Period!R170C8</stp>
        <stp>CRM US Equity</stp>
        <stp>CONTRIBUTOR_STATS(CF_CASH_FOR_ACQUIS_SUBSIDIARIES, STD)/1M</stp>
        <stp>FPR=2022Y</stp>
        <stp>FPT=A</stp>
        <stp>FA_ACT_EST_DATA=E</stp>
        <stp>ACT_EST_MAPPING=PRECISE</stp>
        <stp>FS=MRC</stp>
        <stp>CURRENCY=USD</stp>
        <stp>XLFILL=b</stp>
        <tr r="H170" s="2"/>
      </tp>
      <tp t="s">
        <v/>
        <stp/>
        <stp>##V3_BQLV12</stp>
        <stp>[MODL_CRM_US1.xlsx]Single Period!R40C47</stp>
        <stp>SEG0000269228 Segment</stp>
        <stp>REVENUE_GROWTH_CC_1_YR</stp>
        <stp>FPR=2022Y</stp>
        <stp>FPT=A</stp>
        <stp>FA_ACT_EST_DATA=E, EST_SOURCE=WFT</stp>
        <stp>ACT_EST_MAPPING=PRECISE</stp>
        <stp>FS=MRC</stp>
        <stp>CURRENCY=USD</stp>
        <stp>XLFILL=b</stp>
        <tr r="AU40" s="2"/>
      </tp>
      <tp t="s">
        <v/>
        <stp/>
        <stp>##V3_BQLV12</stp>
        <stp>[MODL_CRM_US1.xlsx]Single Period!R45C29</stp>
        <stp>SEG0000269240 Segment</stp>
        <stp>REVENUE_GROWTH_CC_1_YR</stp>
        <stp>FPR=2022Y</stp>
        <stp>FPT=A</stp>
        <stp>FA_ACT_EST_DATA=E, EST_SOURCE=BNS</stp>
        <stp>ACT_EST_MAPPING=PRECISE</stp>
        <stp>FS=MRC</stp>
        <stp>CURRENCY=USD</stp>
        <stp>XLFILL=b</stp>
        <tr r="AC45" s="2"/>
      </tp>
      <tp t="s">
        <v/>
        <stp/>
        <stp>##V3_BQLV12</stp>
        <stp>[MODL_CRM_US1.xlsx]Single Period!R167C32</stp>
        <stp>CRM US Equity</stp>
        <stp>CB_CF_NET_CASH_OPERATING_ACT/1M</stp>
        <stp>FPR=2022Y</stp>
        <stp>FPT=A</stp>
        <stp>FA_ACT_EST_DATA=E, EST_SOURCE=UBS</stp>
        <stp>ACT_EST_MAPPING=PRECISE</stp>
        <stp>FS=MRC</stp>
        <stp>CURRENCY=USD</stp>
        <stp>XLFILL=b</stp>
        <tr r="AF167" s="2"/>
      </tp>
      <tp>
        <v>23.125811187045361</v>
        <stp/>
        <stp>##V3_BQLV12</stp>
        <stp>[MODL_CRM_US1.xlsx]Single Period!R8C5</stp>
        <stp>CRM US Equity</stp>
        <stp>REVENUE_GROWTH_CC_1_YR</stp>
        <stp>FPR=2022Y</stp>
        <stp>FPT=A</stp>
        <stp>FA_ACT_EST_DATA=E</stp>
        <stp>ACT_EST_MAPPING=PRECISE</stp>
        <stp>FS=MRC</stp>
        <stp>CURRENCY=USD</stp>
        <stp>XLFILL=b</stp>
        <tr r="E8" s="2"/>
      </tp>
      <tp t="s">
        <v/>
        <stp/>
        <stp>##V3_BQLV12</stp>
        <stp>[MODL_CRM_US1.xlsx]Single Period!R45C14</stp>
        <stp>SEG0000269240 Segment</stp>
        <stp>REVENUE_GROWTH_CC_1_YR</stp>
        <stp>FPR=2022Y</stp>
        <stp>FPT=A</stp>
        <stp>FA_ACT_EST_DATA=E, EST_SOURCE=SNR</stp>
        <stp>ACT_EST_MAPPING=PRECISE</stp>
        <stp>FS=MRC</stp>
        <stp>CURRENCY=USD</stp>
        <stp>XLFILL=b</stp>
        <tr r="N45" s="2"/>
      </tp>
      <tp>
        <v>8605</v>
        <stp/>
        <stp>##V3_BQLV12</stp>
        <stp>[MODL_CRM_US1.xlsx]Single Period!R179C26</stp>
        <stp>CRM US Equity</stp>
        <stp>CB_CF_NET_CASH_FINANCING_ACT/1M</stp>
        <stp>FPR=2022Y</stp>
        <stp>FPT=A</stp>
        <stp>FA_ACT_EST_DATA=E, EST_SOURCE=KEY</stp>
        <stp>ACT_EST_MAPPING=PRECISE</stp>
        <stp>FS=MRC</stp>
        <stp>CURRENCY=USD</stp>
        <stp>XLFILL=b</stp>
        <tr r="Z179" s="2"/>
      </tp>
      <tp t="s">
        <v/>
        <stp/>
        <stp>##V3_BQLV12</stp>
        <stp>[MODL_CRM_US1.xlsx]Single Period!R182C32</stp>
        <stp>CRM US Equity</stp>
        <stp>CB_CF_NET_CASH_OPERATING_ACT/1M</stp>
        <stp>FPR=2022Y</stp>
        <stp>FPT=A</stp>
        <stp>FA_ACT_EST_DATA=E, EST_SOURCE=UBS</stp>
        <stp>ACT_EST_MAPPING=PRECISE</stp>
        <stp>FS=MRC</stp>
        <stp>CURRENCY=USD</stp>
        <stp>XLFILL=b</stp>
        <tr r="AF182" s="2"/>
      </tp>
      <tp>
        <v>1606.6462815</v>
        <stp/>
        <stp>##V3_BQLV12</stp>
        <stp>[MODL_CRM_US1.xlsx]Single Period!R104C26</stp>
        <stp>CRM US Equity</stp>
        <stp>IS_AMORT_OF_TOT_INTANG_PRETX/1M</stp>
        <stp>FPR=2022Y</stp>
        <stp>FPT=A</stp>
        <stp>FA_ACT_EST_DATA=E, EST_SOURCE=KEY</stp>
        <stp>ACT_EST_MAPPING=PRECISE</stp>
        <stp>FS=MRC</stp>
        <stp>CURRENCY=USD</stp>
        <stp>XLFILL=b</stp>
        <tr r="Z104" s="2"/>
      </tp>
      <tp t="s">
        <v/>
        <stp/>
        <stp>##V3_BQLV12</stp>
        <stp>[MODL_CRM_US1.xlsx]Single Period!R173C28</stp>
        <stp>CRM US Equity</stp>
        <stp>CB_CF_NET_CASH_INVESTING_ACT/1M</stp>
        <stp>FPR=2022Y</stp>
        <stp>FPT=A</stp>
        <stp>FA_ACT_EST_DATA=E, EST_SOURCE=CWN</stp>
        <stp>ACT_EST_MAPPING=PRECISE</stp>
        <stp>FS=MRC</stp>
        <stp>CURRENCY=USD</stp>
        <stp>XLFILL=b</stp>
        <tr r="AB173" s="2"/>
      </tp>
      <tp t="s">
        <v>Karl Keirstead</v>
        <stp/>
        <stp>##V3_BQLV12</stp>
        <stp>[MODL_CRM_US1.xlsx]Single Period!R4C32</stp>
        <stp>CRM US Equity</stp>
        <stp>LAST(IS_COMP_SALES(FA_ACT_EST_DATA=E, EST_SOURCE=UBS).analyst_name)</stp>
        <stp>FPR=2022Y</stp>
        <stp>FPT=A</stp>
        <stp>ACT_EST_MAPPING=PRECISE</stp>
        <stp>FS=MRC</stp>
        <stp>CURRENCY=USD</stp>
        <stp>XLFILL=b</stp>
        <tr r="AF4" s="2"/>
      </tp>
      <tp>
        <v>5699.8640802877599</v>
        <stp/>
        <stp>##V3_BQLV12</stp>
        <stp>[MODL_CRM_US1.xlsx]Single Period!R182C9</stp>
        <stp>CRM US Equity</stp>
        <stp>CONTRIBUTOR_STATS(CB_CF_NET_CASH_OPERATING_ACT, MEDIAN)/1M</stp>
        <stp>FPR=2022Y</stp>
        <stp>FPT=A</stp>
        <stp>FA_ACT_EST_DATA=E</stp>
        <stp>ACT_EST_MAPPING=PRECISE</stp>
        <stp>FS=MRC</stp>
        <stp>CURRENCY=USD</stp>
        <stp>XLFILL=b</stp>
        <tr r="I182" s="2"/>
      </tp>
      <tp>
        <v>94587.032565434391</v>
        <stp/>
        <stp>##V3_BQLV12</stp>
        <stp>[MODL_CRM_US1.xlsx]Single Period!R125C9</stp>
        <stp>CRM US Equity</stp>
        <stp>CONTRIBUTOR_STATS(BS_TOT_ASSET, MEDIAN)/1M</stp>
        <stp>FPR=2022Y</stp>
        <stp>FPT=A</stp>
        <stp>FA_ACT_EST_DATA=E</stp>
        <stp>ACT_EST_MAPPING=PRECISE</stp>
        <stp>FS=MRC</stp>
        <stp>CURRENCY=USD</stp>
        <stp>XLFILL=b</stp>
        <tr r="I125" s="2"/>
      </tp>
      <tp t="s">
        <v/>
        <stp/>
        <stp>##V3_BQLV12</stp>
        <stp>[MODL_CRM_US1.xlsx]Single Period!R193C43</stp>
        <stp>CRM US Equity</stp>
        <stp>FCF_PER_DIL_SHR</stp>
        <stp>FPR=2022Y</stp>
        <stp>FPT=A</stp>
        <stp>FA_ACT_EST_DATA=E, EST_SOURCE=DWI</stp>
        <stp>ACT_EST_MAPPING=PRECISE</stp>
        <stp>FS=MRC</stp>
        <stp>CURRENCY=USD</stp>
        <stp>XLFILL=b</stp>
        <tr r="AQ193" s="2"/>
      </tp>
      <tp t="s">
        <v/>
        <stp/>
        <stp>##V3_BQLV12</stp>
        <stp>[MODL_CRM_US1.xlsx]Single Period!R193C44</stp>
        <stp>CRM US Equity</stp>
        <stp>FCF_PER_DIL_SHR</stp>
        <stp>FPR=2022Y</stp>
        <stp>FPT=A</stp>
        <stp>FA_ACT_EST_DATA=E, EST_SOURCE=RWB</stp>
        <stp>ACT_EST_MAPPING=PRECISE</stp>
        <stp>FS=MRC</stp>
        <stp>CURRENCY=USD</stp>
        <stp>XLFILL=b</stp>
        <tr r="AR193" s="2"/>
      </tp>
      <tp>
        <v>4854.0604655398511</v>
        <stp/>
        <stp>##V3_BQLV12</stp>
        <stp>[MODL_CRM_US1.xlsx]Single Period!R43C5</stp>
        <stp>SEG0000269240 Segment</stp>
        <stp>SALES_REV_TURN/1M</stp>
        <stp>FPR=2022Y</stp>
        <stp>FPT=A</stp>
        <stp>FA_ACT_EST_DATA=E</stp>
        <stp>ACT_EST_MAPPING=PRECISE</stp>
        <stp>FS=MRC</stp>
        <stp>CURRENCY=USD</stp>
        <stp>XLFILL=b</stp>
        <tr r="E43" s="2"/>
      </tp>
      <tp>
        <v>51123.578146006126</v>
        <stp/>
        <stp>##V3_BQLV12</stp>
        <stp>[MODL_CRM_US1.xlsx]Single Period!R139C7</stp>
        <stp>CRM US Equity</stp>
        <stp>CONTRIBUTOR_STATS(BS_ADD_PAID_IN_CAP, MAX)/1M</stp>
        <stp>FPR=2022Y</stp>
        <stp>FPT=A</stp>
        <stp>FA_ACT_EST_DATA=E</stp>
        <stp>ACT_EST_MAPPING=PRECISE</stp>
        <stp>FS=MRC</stp>
        <stp>CURRENCY=USD</stp>
        <stp>XLFILL=b</stp>
        <tr r="G139" s="2"/>
      </tp>
      <tp>
        <v>35601.57</v>
        <stp/>
        <stp>##V3_BQLV12</stp>
        <stp>[MODL_CRM_US1.xlsx]Single Period!R139C6</stp>
        <stp>CRM US Equity</stp>
        <stp>CONTRIBUTOR_STATS(BS_ADD_PAID_IN_CAP, MIN)/1M</stp>
        <stp>FPR=2022Y</stp>
        <stp>FPT=A</stp>
        <stp>FA_ACT_EST_DATA=E</stp>
        <stp>ACT_EST_MAPPING=PRECISE</stp>
        <stp>FS=MRC</stp>
        <stp>CURRENCY=USD</stp>
        <stp>XLFILL=b</stp>
        <tr r="F139" s="2"/>
      </tp>
      <tp>
        <v>6048.9600694241681</v>
        <stp/>
        <stp>##V3_BQLV12</stp>
        <stp>[MODL_CRM_US1.xlsx]Single Period!R139C8</stp>
        <stp>CRM US Equity</stp>
        <stp>CONTRIBUTOR_STATS(BS_ADD_PAID_IN_CAP, STD)/1M</stp>
        <stp>FPR=2022Y</stp>
        <stp>FPT=A</stp>
        <stp>FA_ACT_EST_DATA=E</stp>
        <stp>ACT_EST_MAPPING=PRECISE</stp>
        <stp>FS=MRC</stp>
        <stp>CURRENCY=USD</stp>
        <stp>XLFILL=b</stp>
        <tr r="H139" s="2"/>
      </tp>
      <tp>
        <v>23.125811187045361</v>
        <stp/>
        <stp>##V3_BQLV12</stp>
        <stp>[MODL_CRM_US1.xlsx]Single Period!R53C5</stp>
        <stp>CRM US Equity</stp>
        <stp>REVENUE_GROWTH_CC_1_YR</stp>
        <stp>FPR=2022Y</stp>
        <stp>FPT=A</stp>
        <stp>FA_ACT_EST_DATA=E</stp>
        <stp>ACT_EST_MAPPING=PRECISE</stp>
        <stp>FS=MRC</stp>
        <stp>CURRENCY=USD</stp>
        <stp>XLFILL=b</stp>
        <tr r="E53" s="2"/>
      </tp>
      <tp>
        <v>1250.5231632583311</v>
        <stp/>
        <stp>##V3_BQLV12</stp>
        <stp>[MODL_CRM_US1.xlsx]Single Period!R116C5</stp>
        <stp>CRM US Equity</stp>
        <stp>PREPAID_EXPNSS_AND_OTHR/1M</stp>
        <stp>FPR=2022Y</stp>
        <stp>FPT=A</stp>
        <stp>FA_ACT_EST_DATA=E</stp>
        <stp>ACT_EST_MAPPING=PRECISE</stp>
        <stp>FS=MRC</stp>
        <stp>CURRENCY=USD</stp>
        <stp>XLFILL=b</stp>
        <tr r="E116" s="2"/>
      </tp>
      <tp>
        <v>26396</v>
        <stp/>
        <stp>##V3_BQLV12</stp>
        <stp>[MODL_CRM_US1.xlsx]Single Period!R7C36</stp>
        <stp>CRM US Equity</stp>
        <stp>IS_COMP_SALES/1M</stp>
        <stp>FPR=2022Y</stp>
        <stp>FPT=A</stp>
        <stp>FA_ACT_EST_DATA=E, EST_SOURCE=MAC</stp>
        <stp>ACT_EST_MAPPING=PRECISE</stp>
        <stp>FS=MRC</stp>
        <stp>CURRENCY=USD</stp>
        <stp>XLFILL=b</stp>
        <tr r="AJ7" s="2"/>
      </tp>
      <tp>
        <v>50167.644719999997</v>
        <stp/>
        <stp>##V3_BQLV12</stp>
        <stp>[MODL_CRM_US1.xlsx]Single Period!R139C9</stp>
        <stp>CRM US Equity</stp>
        <stp>CONTRIBUTOR_STATS(BS_ADD_PAID_IN_CAP, MEDIAN)/1M</stp>
        <stp>FPR=2022Y</stp>
        <stp>FPT=A</stp>
        <stp>FA_ACT_EST_DATA=E</stp>
        <stp>ACT_EST_MAPPING=PRECISE</stp>
        <stp>FS=MRC</stp>
        <stp>CURRENCY=USD</stp>
        <stp>XLFILL=b</stp>
        <tr r="I139" s="2"/>
      </tp>
      <tp>
        <v>3160.2068607347987</v>
        <stp/>
        <stp>##V3_BQLV12</stp>
        <stp>[MODL_CRM_US1.xlsx]Single Period!R156C5</stp>
        <stp>CRM US Equity</stp>
        <stp>CF_DEPR_AMORT/1M</stp>
        <stp>FPR=2022Y</stp>
        <stp>FPT=A</stp>
        <stp>FA_ACT_EST_DATA=E</stp>
        <stp>ACT_EST_MAPPING=PRECISE</stp>
        <stp>FS=MRC</stp>
        <stp>CURRENCY=USD</stp>
        <stp>XLFILL=b</stp>
        <tr r="E156" s="2"/>
      </tp>
      <tp>
        <v>26394</v>
        <stp/>
        <stp>##V3_BQLV12</stp>
        <stp>[MODL_CRM_US1.xlsx]Single Period!R7C29</stp>
        <stp>CRM US Equity</stp>
        <stp>IS_COMP_SALES/1M</stp>
        <stp>FPR=2022Y</stp>
        <stp>FPT=A</stp>
        <stp>FA_ACT_EST_DATA=E, EST_SOURCE=BNS</stp>
        <stp>ACT_EST_MAPPING=PRECISE</stp>
        <stp>FS=MRC</stp>
        <stp>CURRENCY=USD</stp>
        <stp>XLFILL=b</stp>
        <tr r="AC7" s="2"/>
      </tp>
      <tp>
        <v>10591</v>
        <stp/>
        <stp>##V3_BQLV12</stp>
        <stp>[MODL_CRM_US1.xlsx]Single Period!R133C9</stp>
        <stp>CRM US Equity</stp>
        <stp>CONTRIBUTOR_STATS(BS_LONG_TERM_BORROWINGS, MEDIAN)/1M</stp>
        <stp>FPR=2022Y</stp>
        <stp>FPT=A</stp>
        <stp>FA_ACT_EST_DATA=E</stp>
        <stp>ACT_EST_MAPPING=PRECISE</stp>
        <stp>FS=MRC</stp>
        <stp>CURRENCY=USD</stp>
        <stp>XLFILL=b</stp>
        <tr r="I133" s="2"/>
      </tp>
      <tp t="s">
        <v/>
        <stp/>
        <stp>##V3_BQLV12</stp>
        <stp>[MODL_CRM_US1.xlsx]Single Period!R173C22</stp>
        <stp>CRM US Equity</stp>
        <stp>CB_CF_NET_CASH_INVESTING_ACT/1M</stp>
        <stp>FPR=2022Y</stp>
        <stp>FPT=A</stp>
        <stp>FA_ACT_EST_DATA=E, EST_SOURCE=OPY</stp>
        <stp>ACT_EST_MAPPING=PRECISE</stp>
        <stp>FS=MRC</stp>
        <stp>CURRENCY=USD</stp>
        <stp>XLFILL=b</stp>
        <tr r="V173" s="2"/>
      </tp>
      <tp t="s">
        <v/>
        <stp/>
        <stp>##V3_BQLV12</stp>
        <stp>[MODL_CRM_US1.xlsx]Single Period!R104C55</stp>
        <stp>CRM US Equity</stp>
        <stp>IS_AMORT_OF_TOT_INTANG_PRETX/1M</stp>
        <stp>FPR=2022Y</stp>
        <stp>FPT=A</stp>
        <stp>FA_ACT_EST_DATA=E, EST_SOURCE=RED</stp>
        <stp>ACT_EST_MAPPING=PRECISE</stp>
        <stp>FS=MRC</stp>
        <stp>CURRENCY=USD</stp>
        <stp>XLFILL=b</stp>
        <tr r="BC104" s="2"/>
      </tp>
      <tp t="s">
        <v/>
        <stp/>
        <stp>##V3_BQLV12</stp>
        <stp>[MODL_CRM_US1.xlsx]Single Period!R40C36</stp>
        <stp>SEG0000269228 Segment</stp>
        <stp>REVENUE_GROWTH_CC_1_YR</stp>
        <stp>FPR=2022Y</stp>
        <stp>FPT=A</stp>
        <stp>FA_ACT_EST_DATA=E, EST_SOURCE=MAC</stp>
        <stp>ACT_EST_MAPPING=PRECISE</stp>
        <stp>FS=MRC</stp>
        <stp>CURRENCY=USD</stp>
        <stp>XLFILL=b</stp>
        <tr r="AJ40" s="2"/>
      </tp>
      <tp t="s">
        <v/>
        <stp/>
        <stp>##V3_BQLV12</stp>
        <stp>[MODL_CRM_US1.xlsx]Single Period!R104C18</stp>
        <stp>CRM US Equity</stp>
        <stp>IS_AMORT_OF_TOT_INTANG_PRETX/1M</stp>
        <stp>FPR=2022Y</stp>
        <stp>FPT=A</stp>
        <stp>FA_ACT_EST_DATA=E, EST_SOURCE=CAN</stp>
        <stp>ACT_EST_MAPPING=PRECISE</stp>
        <stp>FS=MRC</stp>
        <stp>CURRENCY=USD</stp>
        <stp>XLFILL=b</stp>
        <tr r="R104" s="2"/>
      </tp>
      <tp t="s">
        <v/>
        <stp/>
        <stp>##V3_BQLV12</stp>
        <stp>[MODL_CRM_US1.xlsx]Single Period!R167C34</stp>
        <stp>CRM US Equity</stp>
        <stp>CB_CF_NET_CASH_OPERATING_ACT/1M</stp>
        <stp>FPR=2022Y</stp>
        <stp>FPT=A</stp>
        <stp>FA_ACT_EST_DATA=E, EST_SOURCE=JEF</stp>
        <stp>ACT_EST_MAPPING=PRECISE</stp>
        <stp>FS=MRC</stp>
        <stp>CURRENCY=USD</stp>
        <stp>XLFILL=b</stp>
        <tr r="AH167" s="2"/>
      </tp>
      <tp t="s">
        <v/>
        <stp/>
        <stp>##V3_BQLV12</stp>
        <stp>[MODL_CRM_US1.xlsx]Single Period!R135C29</stp>
        <stp>CRM US Equity</stp>
        <stp>CB_BS_OTHER_NONCURRENT_LIABS/1M</stp>
        <stp>FPR=2022Y</stp>
        <stp>FPT=A</stp>
        <stp>FA_ACT_EST_DATA=E, EST_SOURCE=BNS</stp>
        <stp>ACT_EST_MAPPING=PRECISE</stp>
        <stp>FS=MRC</stp>
        <stp>CURRENCY=USD</stp>
        <stp>XLFILL=b</stp>
        <tr r="AC135" s="2"/>
      </tp>
      <tp>
        <v>1628.09</v>
        <stp/>
        <stp>##V3_BQLV12</stp>
        <stp>[MODL_CRM_US1.xlsx]Single Period!R104C24</stp>
        <stp>CRM US Equity</stp>
        <stp>IS_AMORT_OF_TOT_INTANG_PRETX/1M</stp>
        <stp>FPR=2022Y</stp>
        <stp>FPT=A</stp>
        <stp>FA_ACT_EST_DATA=E, EST_SOURCE=FBC</stp>
        <stp>ACT_EST_MAPPING=PRECISE</stp>
        <stp>FS=MRC</stp>
        <stp>CURRENCY=USD</stp>
        <stp>XLFILL=b</stp>
        <tr r="X104" s="2"/>
      </tp>
      <tp t="s">
        <v/>
        <stp/>
        <stp>##V3_BQLV12</stp>
        <stp>[MODL_CRM_US1.xlsx]Single Period!R179C55</stp>
        <stp>CRM US Equity</stp>
        <stp>CB_CF_NET_CASH_FINANCING_ACT/1M</stp>
        <stp>FPR=2022Y</stp>
        <stp>FPT=A</stp>
        <stp>FA_ACT_EST_DATA=E, EST_SOURCE=RED</stp>
        <stp>ACT_EST_MAPPING=PRECISE</stp>
        <stp>FS=MRC</stp>
        <stp>CURRENCY=USD</stp>
        <stp>XLFILL=b</stp>
        <tr r="BC179" s="2"/>
      </tp>
      <tp t="s">
        <v/>
        <stp/>
        <stp>##V3_BQLV12</stp>
        <stp>[MODL_CRM_US1.xlsx]Single Period!R40C30</stp>
        <stp>SEG0000269228 Segment</stp>
        <stp>REVENUE_GROWTH_CC_1_YR</stp>
        <stp>FPR=2022Y</stp>
        <stp>FPT=A</stp>
        <stp>FA_ACT_EST_DATA=E, EST_SOURCE=BAM</stp>
        <stp>ACT_EST_MAPPING=PRECISE</stp>
        <stp>FS=MRC</stp>
        <stp>CURRENCY=USD</stp>
        <stp>XLFILL=b</stp>
        <tr r="AD40" s="2"/>
      </tp>
      <tp t="s">
        <v/>
        <stp/>
        <stp>##V3_BQLV12</stp>
        <stp>[MODL_CRM_US1.xlsx]Single Period!R45C53</stp>
        <stp>SEG0000269240 Segment</stp>
        <stp>REVENUE_GROWTH_CC_1_YR</stp>
        <stp>FPR=2022Y</stp>
        <stp>FPT=A</stp>
        <stp>FA_ACT_EST_DATA=E, EST_SOURCE=NIK</stp>
        <stp>ACT_EST_MAPPING=PRECISE</stp>
        <stp>FS=MRC</stp>
        <stp>CURRENCY=USD</stp>
        <stp>XLFILL=b</stp>
        <tr r="BA45" s="2"/>
      </tp>
      <tp t="s">
        <v/>
        <stp/>
        <stp>##V3_BQLV12</stp>
        <stp>[MODL_CRM_US1.xlsx]Single Period!R182C34</stp>
        <stp>CRM US Equity</stp>
        <stp>CB_CF_NET_CASH_OPERATING_ACT/1M</stp>
        <stp>FPR=2022Y</stp>
        <stp>FPT=A</stp>
        <stp>FA_ACT_EST_DATA=E, EST_SOURCE=JEF</stp>
        <stp>ACT_EST_MAPPING=PRECISE</stp>
        <stp>FS=MRC</stp>
        <stp>CURRENCY=USD</stp>
        <stp>XLFILL=b</stp>
        <tr r="AH182" s="2"/>
      </tp>
      <tp t="s">
        <v/>
        <stp/>
        <stp>##V3_BQLV12</stp>
        <stp>[MODL_CRM_US1.xlsx]Single Period!R40C18</stp>
        <stp>SEG0000269228 Segment</stp>
        <stp>REVENUE_GROWTH_CC_1_YR</stp>
        <stp>FPR=2022Y</stp>
        <stp>FPT=A</stp>
        <stp>FA_ACT_EST_DATA=E, EST_SOURCE=CAN</stp>
        <stp>ACT_EST_MAPPING=PRECISE</stp>
        <stp>FS=MRC</stp>
        <stp>CURRENCY=USD</stp>
        <stp>XLFILL=b</stp>
        <tr r="R40" s="2"/>
      </tp>
      <tp>
        <v>-13077</v>
        <stp/>
        <stp>##V3_BQLV12</stp>
        <stp>[MODL_CRM_US1.xlsx]Single Period!R173C15</stp>
        <stp>CRM US Equity</stp>
        <stp>CB_CF_NET_CASH_INVESTING_ACT/1M</stp>
        <stp>FPR=2022Y</stp>
        <stp>FPT=A</stp>
        <stp>FA_ACT_EST_DATA=E, EST_SOURCE=MSV</stp>
        <stp>ACT_EST_MAPPING=PRECISE</stp>
        <stp>FS=MRC</stp>
        <stp>CURRENCY=USD</stp>
        <stp>XLFILL=b</stp>
        <tr r="O173" s="2"/>
      </tp>
      <tp t="s">
        <v/>
        <stp/>
        <stp>##V3_BQLV12</stp>
        <stp>[MODL_CRM_US1.xlsx]Single Period!R135C56</stp>
        <stp>CRM US Equity</stp>
        <stp>CB_BS_OTHER_NONCURRENT_LIABS/1M</stp>
        <stp>FPR=2022Y</stp>
        <stp>FPT=A</stp>
        <stp>FA_ACT_EST_DATA=E, EST_SOURCE=DIR</stp>
        <stp>ACT_EST_MAPPING=PRECISE</stp>
        <stp>FS=MRC</stp>
        <stp>CURRENCY=USD</stp>
        <stp>XLFILL=b</stp>
        <tr r="BD135" s="2"/>
      </tp>
      <tp t="s">
        <v/>
        <stp/>
        <stp>##V3_BQLV12</stp>
        <stp>[MODL_CRM_US1.xlsx]Single Period!R136C41</stp>
        <stp>CRM US Equity</stp>
        <stp>BS_TOTAL_LIABILITIES/1M</stp>
        <stp>FPR=2022Y</stp>
        <stp>FPT=A</stp>
        <stp>FA_ACT_EST_DATA=E, EST_SOURCE=GSR</stp>
        <stp>ACT_EST_MAPPING=PRECISE</stp>
        <stp>FS=MRC</stp>
        <stp>CURRENCY=USD</stp>
        <stp>XLFILL=b</stp>
        <tr r="AO136" s="2"/>
      </tp>
      <tp t="s">
        <v/>
        <stp/>
        <stp>##V3_BQLV12</stp>
        <stp>[MODL_CRM_US1.xlsx]Single Period!R179C18</stp>
        <stp>CRM US Equity</stp>
        <stp>CB_CF_NET_CASH_FINANCING_ACT/1M</stp>
        <stp>FPR=2022Y</stp>
        <stp>FPT=A</stp>
        <stp>FA_ACT_EST_DATA=E, EST_SOURCE=CAN</stp>
        <stp>ACT_EST_MAPPING=PRECISE</stp>
        <stp>FS=MRC</stp>
        <stp>CURRENCY=USD</stp>
        <stp>XLFILL=b</stp>
        <tr r="R179" s="2"/>
      </tp>
      <tp>
        <v>7860.2974440894568</v>
        <stp/>
        <stp>##V3_BQLV12</stp>
        <stp>[MODL_CRM_US1.xlsx]Single Period!R179C24</stp>
        <stp>CRM US Equity</stp>
        <stp>CB_CF_NET_CASH_FINANCING_ACT/1M</stp>
        <stp>FPR=2022Y</stp>
        <stp>FPT=A</stp>
        <stp>FA_ACT_EST_DATA=E, EST_SOURCE=FBC</stp>
        <stp>ACT_EST_MAPPING=PRECISE</stp>
        <stp>FS=MRC</stp>
        <stp>CURRENCY=USD</stp>
        <stp>XLFILL=b</stp>
        <tr r="X179" s="2"/>
      </tp>
      <tp t="s">
        <v/>
        <stp/>
        <stp>##V3_BQLV12</stp>
        <stp>[MODL_CRM_US1.xlsx]Single Period!R135C12</stp>
        <stp>CRM US Equity</stp>
        <stp>CB_BS_OTHER_NONCURRENT_LIABS/1M</stp>
        <stp>FPR=2022Y</stp>
        <stp>FPT=A</stp>
        <stp>FA_ACT_EST_DATA=E, EST_SOURCE=BMO</stp>
        <stp>ACT_EST_MAPPING=PRECISE</stp>
        <stp>FS=MRC</stp>
        <stp>CURRENCY=USD</stp>
        <stp>XLFILL=b</stp>
        <tr r="L135" s="2"/>
      </tp>
      <tp t="s">
        <v/>
        <stp/>
        <stp>##V3_BQLV12</stp>
        <stp>[MODL_CRM_US1.xlsx]Single Period!R45C56</stp>
        <stp>SEG0000269240 Segment</stp>
        <stp>REVENUE_GROWTH_CC_1_YR</stp>
        <stp>FPR=2022Y</stp>
        <stp>FPT=A</stp>
        <stp>FA_ACT_EST_DATA=E, EST_SOURCE=DIR</stp>
        <stp>ACT_EST_MAPPING=PRECISE</stp>
        <stp>FS=MRC</stp>
        <stp>CURRENCY=USD</stp>
        <stp>XLFILL=b</stp>
        <tr r="BD45" s="2"/>
      </tp>
      <tp t="s">
        <v/>
        <stp/>
        <stp>##V3_BQLV12</stp>
        <stp>[MODL_CRM_US1.xlsx]Single Period!R167C51</stp>
        <stp>CRM US Equity</stp>
        <stp>CB_CF_NET_CASH_OPERATING_ACT/1M</stp>
        <stp>FPR=2022Y</stp>
        <stp>FPT=A</stp>
        <stp>FA_ACT_EST_DATA=E, EST_SOURCE=RCP</stp>
        <stp>ACT_EST_MAPPING=PRECISE</stp>
        <stp>FS=MRC</stp>
        <stp>CURRENCY=USD</stp>
        <stp>XLFILL=b</stp>
        <tr r="AY167" s="2"/>
      </tp>
      <tp t="s">
        <v/>
        <stp/>
        <stp>##V3_BQLV12</stp>
        <stp>[MODL_CRM_US1.xlsx]Single Period!R121C21</stp>
        <stp>CRM US Equity</stp>
        <stp>CB_BS_INTANG_ASSETS_EX_GW_NT/1M</stp>
        <stp>FPR=2022Y</stp>
        <stp>FPT=A</stp>
        <stp>FA_ACT_EST_DATA=E, EST_SOURCE=RJA</stp>
        <stp>ACT_EST_MAPPING=PRECISE</stp>
        <stp>FS=MRC</stp>
        <stp>CURRENCY=USD</stp>
        <stp>XLFILL=b</stp>
        <tr r="U121" s="2"/>
      </tp>
      <tp t="s">
        <v/>
        <stp/>
        <stp>##V3_BQLV12</stp>
        <stp>[MODL_CRM_US1.xlsx]Single Period!R136C35</stp>
        <stp>CRM US Equity</stp>
        <stp>BS_TOTAL_LIABILITIES/1M</stp>
        <stp>FPR=2022Y</stp>
        <stp>FPT=A</stp>
        <stp>FA_ACT_EST_DATA=E, EST_SOURCE=ATL</stp>
        <stp>ACT_EST_MAPPING=PRECISE</stp>
        <stp>FS=MRC</stp>
        <stp>CURRENCY=USD</stp>
        <stp>XLFILL=b</stp>
        <tr r="AI136" s="2"/>
      </tp>
      <tp t="s">
        <v/>
        <stp/>
        <stp>##V3_BQLV12</stp>
        <stp>[MODL_CRM_US1.xlsx]Single Period!R173C23</stp>
        <stp>CRM US Equity</stp>
        <stp>CB_CF_NET_CASH_INVESTING_ACT/1M</stp>
        <stp>FPR=2022Y</stp>
        <stp>FPT=A</stp>
        <stp>FA_ACT_EST_DATA=E, EST_SOURCE=JPM</stp>
        <stp>ACT_EST_MAPPING=PRECISE</stp>
        <stp>FS=MRC</stp>
        <stp>CURRENCY=USD</stp>
        <stp>XLFILL=b</stp>
        <tr r="W173" s="2"/>
      </tp>
      <tp t="s">
        <v/>
        <stp/>
        <stp>##V3_BQLV12</stp>
        <stp>[MODL_CRM_US1.xlsx]Single Period!R135C53</stp>
        <stp>CRM US Equity</stp>
        <stp>CB_BS_OTHER_NONCURRENT_LIABS/1M</stp>
        <stp>FPR=2022Y</stp>
        <stp>FPT=A</stp>
        <stp>FA_ACT_EST_DATA=E, EST_SOURCE=NIK</stp>
        <stp>ACT_EST_MAPPING=PRECISE</stp>
        <stp>FS=MRC</stp>
        <stp>CURRENCY=USD</stp>
        <stp>XLFILL=b</stp>
        <tr r="BA135" s="2"/>
      </tp>
      <tp t="s">
        <v/>
        <stp/>
        <stp>##V3_BQLV12</stp>
        <stp>[MODL_CRM_US1.xlsx]Single Period!R182C51</stp>
        <stp>CRM US Equity</stp>
        <stp>CB_CF_NET_CASH_OPERATING_ACT/1M</stp>
        <stp>FPR=2022Y</stp>
        <stp>FPT=A</stp>
        <stp>FA_ACT_EST_DATA=E, EST_SOURCE=RCP</stp>
        <stp>ACT_EST_MAPPING=PRECISE</stp>
        <stp>FS=MRC</stp>
        <stp>CURRENCY=USD</stp>
        <stp>XLFILL=b</stp>
        <tr r="AY182" s="2"/>
      </tp>
      <tp t="s">
        <v/>
        <stp/>
        <stp>##V3_BQLV12</stp>
        <stp>[MODL_CRM_US1.xlsx]Single Period!R136C42</stp>
        <stp>CRM US Equity</stp>
        <stp>BS_TOTAL_LIABILITIES/1M</stp>
        <stp>FPR=2022Y</stp>
        <stp>FPT=A</stp>
        <stp>FA_ACT_EST_DATA=E, EST_SOURCE=PSG</stp>
        <stp>ACT_EST_MAPPING=PRECISE</stp>
        <stp>FS=MRC</stp>
        <stp>CURRENCY=USD</stp>
        <stp>XLFILL=b</stp>
        <tr r="AP136" s="2"/>
      </tp>
      <tp t="s">
        <v/>
        <stp/>
        <stp>##V3_BQLV12</stp>
        <stp>[MODL_CRM_US1.xlsx]Single Period!R71C52</stp>
        <stp>CRM US Equity</stp>
        <stp>ADJ_PROFIT_MARGIN</stp>
        <stp>FPR=2022Y</stp>
        <stp>FPT=A</stp>
        <stp>FA_ACT_EST_DATA=E, EST_SOURCE=WFR</stp>
        <stp>ACT_EST_MAPPING=PRECISE</stp>
        <stp>FS=MRC</stp>
        <stp>CURRENCY=USD</stp>
        <stp>XLFILL=b</stp>
        <tr r="AZ71" s="2"/>
      </tp>
      <tp t="s">
        <v/>
        <stp/>
        <stp>##V3_BQLV12</stp>
        <stp>[MODL_CRM_US1.xlsx]Single Period!R71C47</stp>
        <stp>CRM US Equity</stp>
        <stp>ADJ_PROFIT_MARGIN</stp>
        <stp>FPR=2022Y</stp>
        <stp>FPT=A</stp>
        <stp>FA_ACT_EST_DATA=E, EST_SOURCE=WFT</stp>
        <stp>ACT_EST_MAPPING=PRECISE</stp>
        <stp>FS=MRC</stp>
        <stp>CURRENCY=USD</stp>
        <stp>XLFILL=b</stp>
        <tr r="AU71" s="2"/>
      </tp>
      <tp t="s">
        <v/>
        <stp/>
        <stp>##V3_BQLV12</stp>
        <stp>[MODL_CRM_US1.xlsx]Single Period!R136C54</stp>
        <stp>CRM US Equity</stp>
        <stp>BS_TOTAL_LIABILITIES/1M</stp>
        <stp>FPR=2022Y</stp>
        <stp>FPT=A</stp>
        <stp>FA_ACT_EST_DATA=E, EST_SOURCE=ARE</stp>
        <stp>ACT_EST_MAPPING=PRECISE</stp>
        <stp>FS=MRC</stp>
        <stp>CURRENCY=USD</stp>
        <stp>XLFILL=b</stp>
        <tr r="BB136" s="2"/>
      </tp>
      <tp>
        <v>-898.91706019353853</v>
        <stp/>
        <stp>##V3_BQLV12</stp>
        <stp>[MODL_CRM_US1.xlsx]Single Period!R67C21</stp>
        <stp>CRM US Equity</stp>
        <stp>IS_NON_OPERATING_INC_LOSS_GAAP/1M</stp>
        <stp>FPR=2022Y</stp>
        <stp>FPT=A</stp>
        <stp>FA_ACT_EST_DATA=E, EST_SOURCE=RJA</stp>
        <stp>ACT_EST_MAPPING=PRECISE</stp>
        <stp>FS=MRC</stp>
        <stp>CURRENCY=USD</stp>
        <stp>XLFILL=b</stp>
        <tr r="U67" s="2"/>
      </tp>
      <tp t="s">
        <v/>
        <stp/>
        <stp>##V3_BQLV12</stp>
        <stp>[MODL_CRM_US1.xlsx]Single Period!R67C48</stp>
        <stp>CRM US Equity</stp>
        <stp>IS_NON_OPERATING_INC_LOSS_GAAP/1M</stp>
        <stp>FPR=2022Y</stp>
        <stp>FPT=A</stp>
        <stp>FA_ACT_EST_DATA=E, EST_SOURCE=PJE</stp>
        <stp>ACT_EST_MAPPING=PRECISE</stp>
        <stp>FS=MRC</stp>
        <stp>CURRENCY=USD</stp>
        <stp>XLFILL=b</stp>
        <tr r="AV67" s="2"/>
      </tp>
      <tp t="s">
        <v/>
        <stp/>
        <stp>##V3_BQLV12</stp>
        <stp>[MODL_CRM_US1.xlsx]Single Period!R193C22</stp>
        <stp>CRM US Equity</stp>
        <stp>FCF_PER_DIL_SHR</stp>
        <stp>FPR=2022Y</stp>
        <stp>FPT=A</stp>
        <stp>FA_ACT_EST_DATA=E, EST_SOURCE=OPY</stp>
        <stp>ACT_EST_MAPPING=PRECISE</stp>
        <stp>FS=MRC</stp>
        <stp>CURRENCY=USD</stp>
        <stp>XLFILL=b</stp>
        <tr r="V193" s="2"/>
      </tp>
      <tp>
        <v>8.01804955814581</v>
        <stp/>
        <stp>##V3_BQLV12</stp>
        <stp>[MODL_CRM_US1.xlsx]Single Period!R193C15</stp>
        <stp>CRM US Equity</stp>
        <stp>FCF_PER_DIL_SHR</stp>
        <stp>FPR=2022Y</stp>
        <stp>FPT=A</stp>
        <stp>FA_ACT_EST_DATA=E, EST_SOURCE=MSV</stp>
        <stp>ACT_EST_MAPPING=PRECISE</stp>
        <stp>FS=MRC</stp>
        <stp>CURRENCY=USD</stp>
        <stp>XLFILL=b</stp>
        <tr r="O193" s="2"/>
      </tp>
      <tp t="s">
        <v/>
        <stp/>
        <stp>##V3_BQLV12</stp>
        <stp>[MODL_CRM_US1.xlsx]Single Period!R193C23</stp>
        <stp>CRM US Equity</stp>
        <stp>FCF_PER_DIL_SHR</stp>
        <stp>FPR=2022Y</stp>
        <stp>FPT=A</stp>
        <stp>FA_ACT_EST_DATA=E, EST_SOURCE=JPM</stp>
        <stp>ACT_EST_MAPPING=PRECISE</stp>
        <stp>FS=MRC</stp>
        <stp>CURRENCY=USD</stp>
        <stp>XLFILL=b</stp>
        <tr r="W193" s="2"/>
      </tp>
      <tp t="s">
        <v/>
        <stp/>
        <stp>##V3_BQLV12</stp>
        <stp>[MODL_CRM_US1.xlsx]Single Period!R90C14</stp>
        <stp>CRM US Equity</stp>
        <stp>IS_INC_TAX_EXP/1M</stp>
        <stp>FPR=2022Y</stp>
        <stp>FPT=A</stp>
        <stp>FA_ACT_EST_DATA=E, EST_SOURCE=SNR</stp>
        <stp>ACT_EST_MAPPING=PRECISE</stp>
        <stp>FS=MRC</stp>
        <stp>CURRENCY=USD</stp>
        <stp>XLFILL=b</stp>
        <tr r="N90" s="2"/>
      </tp>
      <tp t="s">
        <v/>
        <stp/>
        <stp>##V3_BQLV12</stp>
        <stp>[MODL_CRM_US1.xlsx]Single Period!R90C29</stp>
        <stp>CRM US Equity</stp>
        <stp>IS_INC_TAX_EXP/1M</stp>
        <stp>FPR=2022Y</stp>
        <stp>FPT=A</stp>
        <stp>FA_ACT_EST_DATA=E, EST_SOURCE=BNS</stp>
        <stp>ACT_EST_MAPPING=PRECISE</stp>
        <stp>FS=MRC</stp>
        <stp>CURRENCY=USD</stp>
        <stp>XLFILL=b</stp>
        <tr r="AC90" s="2"/>
      </tp>
      <tp t="s">
        <v/>
        <stp/>
        <stp>##V3_BQLV12</stp>
        <stp>[MODL_CRM_US1.xlsx]Single Period!R155C10</stp>
        <stp>CRM US Equity</stp>
        <stp>IS_COMP_NET_INCOME_GAAP/1M</stp>
        <stp>FPR=2022Y</stp>
        <stp>FPT=A</stp>
        <stp>FA_ACT_EST_DATA=E, EST_SOURCE=CMPY</stp>
        <stp>ACT_EST_MAPPING=PRECISE</stp>
        <stp>FS=MRC</stp>
        <stp>CURRENCY=USD</stp>
        <stp>XLFILL=b</stp>
        <tr r="J155" s="2"/>
      </tp>
      <tp>
        <v>1804.786670412843</v>
        <stp/>
        <stp>##V3_BQLV12</stp>
        <stp>[MODL_CRM_US1.xlsx]Single Period!R32C5</stp>
        <stp>SEG0000269227 Segment</stp>
        <stp>SALES_REV_TURN/1M</stp>
        <stp>FPR=2022Y</stp>
        <stp>FPT=A</stp>
        <stp>FA_ACT_EST_DATA=E</stp>
        <stp>ACT_EST_MAPPING=PRECISE</stp>
        <stp>FS=MRC</stp>
        <stp>CURRENCY=USD</stp>
        <stp>XLFILL=b</stp>
        <tr r="E32" s="2"/>
      </tp>
      <tp>
        <v>363.51204967077115</v>
        <stp/>
        <stp>##V3_BQLV12</stp>
        <stp>[MODL_CRM_US1.xlsx]Single Period!R161C8</stp>
        <stp>CRM US Equity</stp>
        <stp>CONTRIBUTOR_STATS(CF_ACCT_RCV_UNBILLED_REV, STD)/1M</stp>
        <stp>FPR=2022Y</stp>
        <stp>FPT=A</stp>
        <stp>FA_ACT_EST_DATA=E</stp>
        <stp>ACT_EST_MAPPING=PRECISE</stp>
        <stp>FS=MRC</stp>
        <stp>CURRENCY=USD</stp>
        <stp>XLFILL=b</stp>
        <tr r="H161" s="2"/>
      </tp>
      <tp>
        <v>14672.317798338921</v>
        <stp/>
        <stp>##V3_BQLV12</stp>
        <stp>[MODL_CRM_US1.xlsx]Single Period!R38C5</stp>
        <stp>SEG0000269228 Segment</stp>
        <stp>SALES_REV_TURN/1M</stp>
        <stp>FPR=2022Y</stp>
        <stp>FPT=A</stp>
        <stp>FA_ACT_EST_DATA=E</stp>
        <stp>ACT_EST_MAPPING=PRECISE</stp>
        <stp>FS=MRC</stp>
        <stp>CURRENCY=USD</stp>
        <stp>XLFILL=b</stp>
        <tr r="E38" s="2"/>
      </tp>
      <tp>
        <v>22.7850716991342</v>
        <stp/>
        <stp>##V3_BQLV12</stp>
        <stp>[MODL_CRM_US1.xlsx]Single Period!R8C9</stp>
        <stp>CRM US Equity</stp>
        <stp>CONTRIBUTOR_STATS(REVENUE_GROWTH_CC_1_YR, MEDIAN)</stp>
        <stp>FPR=2022Y</stp>
        <stp>FPT=A</stp>
        <stp>FA_ACT_EST_DATA=E</stp>
        <stp>ACT_EST_MAPPING=PRECISE</stp>
        <stp>FS=MRC</stp>
        <stp>CURRENCY=USD</stp>
        <stp>XLFILL=b</stp>
        <tr r="I8" s="2"/>
      </tp>
      <tp>
        <v>24597.759895865878</v>
        <stp/>
        <stp>##V3_BQLV12</stp>
        <stp>[MODL_CRM_US1.xlsx]Single Period!R24C5</stp>
        <stp>SEG0000269238 Segment</stp>
        <stp>SALES_REV_TURN/1M</stp>
        <stp>FPR=2022Y</stp>
        <stp>FPT=A</stp>
        <stp>FA_ACT_EST_DATA=E</stp>
        <stp>ACT_EST_MAPPING=PRECISE</stp>
        <stp>FS=MRC</stp>
        <stp>CURRENCY=USD</stp>
        <stp>XLFILL=b</stp>
        <tr r="E24" s="2"/>
      </tp>
      <tp>
        <v>3927.3205555555551</v>
        <stp/>
        <stp>##V3_BQLV12</stp>
        <stp>[MODL_CRM_US1.xlsx]Single Period!R29C5</stp>
        <stp>SEG0000269233 Segment</stp>
        <stp>SALES_REV_TURN/1M</stp>
        <stp>FPR=2022Y</stp>
        <stp>FPT=A</stp>
        <stp>FA_ACT_EST_DATA=E</stp>
        <stp>ACT_EST_MAPPING=PRECISE</stp>
        <stp>FS=MRC</stp>
        <stp>CURRENCY=USD</stp>
        <stp>XLFILL=b</stp>
        <tr r="E29" s="2"/>
      </tp>
      <tp>
        <v>-932.04092067452802</v>
        <stp/>
        <stp>##V3_BQLV12</stp>
        <stp>[MODL_CRM_US1.xlsx]Single Period!R161C7</stp>
        <stp>CRM US Equity</stp>
        <stp>CONTRIBUTOR_STATS(CF_ACCT_RCV_UNBILLED_REV, MAX)/1M</stp>
        <stp>FPR=2022Y</stp>
        <stp>FPT=A</stp>
        <stp>FA_ACT_EST_DATA=E</stp>
        <stp>ACT_EST_MAPPING=PRECISE</stp>
        <stp>FS=MRC</stp>
        <stp>CURRENCY=USD</stp>
        <stp>XLFILL=b</stp>
        <tr r="G161" s="2"/>
      </tp>
      <tp>
        <v>-2333.1839359999999</v>
        <stp/>
        <stp>##V3_BQLV12</stp>
        <stp>[MODL_CRM_US1.xlsx]Single Period!R161C6</stp>
        <stp>CRM US Equity</stp>
        <stp>CONTRIBUTOR_STATS(CF_ACCT_RCV_UNBILLED_REV, MIN)/1M</stp>
        <stp>FPR=2022Y</stp>
        <stp>FPT=A</stp>
        <stp>FA_ACT_EST_DATA=E</stp>
        <stp>ACT_EST_MAPPING=PRECISE</stp>
        <stp>FS=MRC</stp>
        <stp>CURRENCY=USD</stp>
        <stp>XLFILL=b</stp>
        <tr r="F161" s="2"/>
      </tp>
      <tp>
        <v>26400</v>
        <stp/>
        <stp>##V3_BQLV12</stp>
        <stp>[MODL_CRM_US1.xlsx]Single Period!R7C24</stp>
        <stp>CRM US Equity</stp>
        <stp>IS_COMP_SALES/1M</stp>
        <stp>FPR=2022Y</stp>
        <stp>FPT=A</stp>
        <stp>FA_ACT_EST_DATA=E, EST_SOURCE=FBC</stp>
        <stp>ACT_EST_MAPPING=PRECISE</stp>
        <stp>FS=MRC</stp>
        <stp>CURRENCY=USD</stp>
        <stp>XLFILL=b</stp>
        <tr r="X7" s="2"/>
      </tp>
      <tp t="s">
        <v/>
        <stp/>
        <stp>##V3_BQLV12</stp>
        <stp>[MODL_CRM_US1.xlsx]Single Period!R71C39</stp>
        <stp>CRM US Equity</stp>
        <stp>ADJ_PROFIT_MARGIN</stp>
        <stp>FPR=2022Y</stp>
        <stp>FPT=A</stp>
        <stp>FA_ACT_EST_DATA=E, EST_SOURCE=KGI</stp>
        <stp>ACT_EST_MAPPING=PRECISE</stp>
        <stp>FS=MRC</stp>
        <stp>CURRENCY=USD</stp>
        <stp>XLFILL=b</stp>
        <tr r="AM71" s="2"/>
      </tp>
      <tp t="s">
        <v/>
        <stp/>
        <stp>##V3_BQLV12</stp>
        <stp>[MODL_CRM_US1.xlsx]Single Period!R104C31</stp>
        <stp>CRM US Equity</stp>
        <stp>IS_AMORT_OF_TOT_INTANG_PRETX/1M</stp>
        <stp>FPR=2022Y</stp>
        <stp>FPT=A</stp>
        <stp>FA_ACT_EST_DATA=E, EST_SOURCE=RBC</stp>
        <stp>ACT_EST_MAPPING=PRECISE</stp>
        <stp>FS=MRC</stp>
        <stp>CURRENCY=USD</stp>
        <stp>XLFILL=b</stp>
        <tr r="AE104" s="2"/>
      </tp>
      <tp t="s">
        <v/>
        <stp/>
        <stp>##V3_BQLV12</stp>
        <stp>[MODL_CRM_US1.xlsx]Single Period!R179C27</stp>
        <stp>CRM US Equity</stp>
        <stp>CB_CF_NET_CASH_FINANCING_ACT/1M</stp>
        <stp>FPR=2022Y</stp>
        <stp>FPT=A</stp>
        <stp>FA_ACT_EST_DATA=E, EST_SOURCE=LCM</stp>
        <stp>ACT_EST_MAPPING=PRECISE</stp>
        <stp>FS=MRC</stp>
        <stp>CURRENCY=USD</stp>
        <stp>XLFILL=b</stp>
        <tr r="AA179" s="2"/>
      </tp>
      <tp t="s">
        <v/>
        <stp/>
        <stp>##V3_BQLV12</stp>
        <stp>[MODL_CRM_US1.xlsx]Single Period!R167C40</stp>
        <stp>CRM US Equity</stp>
        <stp>CB_CF_NET_CASH_OPERATING_ACT/1M</stp>
        <stp>FPR=2022Y</stp>
        <stp>FPT=A</stp>
        <stp>FA_ACT_EST_DATA=E, EST_SOURCE=ACC</stp>
        <stp>ACT_EST_MAPPING=PRECISE</stp>
        <stp>FS=MRC</stp>
        <stp>CURRENCY=USD</stp>
        <stp>XLFILL=b</stp>
        <tr r="AN167" s="2"/>
      </tp>
      <tp t="s">
        <v/>
        <stp/>
        <stp>##V3_BQLV12</stp>
        <stp>[MODL_CRM_US1.xlsx]Single Period!R87C25</stp>
        <stp>CRM US Equity</stp>
        <stp>IS_EBIT_AS_REPORTED/1M</stp>
        <stp>FPR=2022Y</stp>
        <stp>FPT=A</stp>
        <stp>FA_ACT_EST_DATA=E, EST_SOURCE=WMS</stp>
        <stp>ACT_EST_MAPPING=PRECISE</stp>
        <stp>FS=MRC</stp>
        <stp>CURRENCY=USD</stp>
        <stp>XLFILL=b</stp>
        <tr r="Y87" s="2"/>
      </tp>
      <tp t="s">
        <v/>
        <stp/>
        <stp>##V3_BQLV12</stp>
        <stp>[MODL_CRM_US1.xlsx]Single Period!R78C36</stp>
        <stp>CRM US Equity</stp>
        <stp>COGS_TO_NET_SALES</stp>
        <stp>FPR=2022Y</stp>
        <stp>FPT=A</stp>
        <stp>FA_ACT_EST_DATA=E, EST_SOURCE=MAC</stp>
        <stp>ACT_EST_MAPPING=PRECISE</stp>
        <stp>FS=MRC</stp>
        <stp>CURRENCY=USD</stp>
        <stp>XLFILL=b</stp>
        <tr r="AJ78" s="2"/>
      </tp>
      <tp>
        <v>483.72</v>
        <stp/>
        <stp>##V3_BQLV12</stp>
        <stp>[MODL_CRM_US1.xlsx]Single Period!R87C20</stp>
        <stp>CRM US Equity</stp>
        <stp>IS_EBIT_AS_REPORTED/1M</stp>
        <stp>FPR=2022Y</stp>
        <stp>FPT=A</stp>
        <stp>FA_ACT_EST_DATA=E, EST_SOURCE=JMP</stp>
        <stp>ACT_EST_MAPPING=PRECISE</stp>
        <stp>FS=MRC</stp>
        <stp>CURRENCY=USD</stp>
        <stp>XLFILL=b</stp>
        <tr r="T87" s="2"/>
      </tp>
      <tp t="s">
        <v/>
        <stp/>
        <stp>##V3_BQLV12</stp>
        <stp>[MODL_CRM_US1.xlsx]Single Period!R104C27</stp>
        <stp>CRM US Equity</stp>
        <stp>IS_AMORT_OF_TOT_INTANG_PRETX/1M</stp>
        <stp>FPR=2022Y</stp>
        <stp>FPT=A</stp>
        <stp>FA_ACT_EST_DATA=E, EST_SOURCE=LCM</stp>
        <stp>ACT_EST_MAPPING=PRECISE</stp>
        <stp>FS=MRC</stp>
        <stp>CURRENCY=USD</stp>
        <stp>XLFILL=b</stp>
        <tr r="AA104" s="2"/>
      </tp>
      <tp t="s">
        <v/>
        <stp/>
        <stp>##V3_BQLV12</stp>
        <stp>[MODL_CRM_US1.xlsx]Single Period!R78C30</stp>
        <stp>CRM US Equity</stp>
        <stp>COGS_TO_NET_SALES</stp>
        <stp>FPR=2022Y</stp>
        <stp>FPT=A</stp>
        <stp>FA_ACT_EST_DATA=E, EST_SOURCE=BAM</stp>
        <stp>ACT_EST_MAPPING=PRECISE</stp>
        <stp>FS=MRC</stp>
        <stp>CURRENCY=USD</stp>
        <stp>XLFILL=b</stp>
        <tr r="AD78" s="2"/>
      </tp>
      <tp t="s">
        <v/>
        <stp/>
        <stp>##V3_BQLV12</stp>
        <stp>[MODL_CRM_US1.xlsx]Single Period!R125C12</stp>
        <stp>CRM US Equity</stp>
        <stp>BS_TOT_ASSET/1M</stp>
        <stp>FPR=2022Y</stp>
        <stp>FPT=A</stp>
        <stp>FA_ACT_EST_DATA=E, EST_SOURCE=BMO</stp>
        <stp>ACT_EST_MAPPING=PRECISE</stp>
        <stp>FS=MRC</stp>
        <stp>CURRENCY=USD</stp>
        <stp>XLFILL=b</stp>
        <tr r="L125" s="2"/>
      </tp>
      <tp t="s">
        <v/>
        <stp/>
        <stp>##V3_BQLV12</stp>
        <stp>[MODL_CRM_US1.xlsx]Single Period!R78C18</stp>
        <stp>CRM US Equity</stp>
        <stp>COGS_TO_NET_SALES</stp>
        <stp>FPR=2022Y</stp>
        <stp>FPT=A</stp>
        <stp>FA_ACT_EST_DATA=E, EST_SOURCE=CAN</stp>
        <stp>ACT_EST_MAPPING=PRECISE</stp>
        <stp>FS=MRC</stp>
        <stp>CURRENCY=USD</stp>
        <stp>XLFILL=b</stp>
        <tr r="R78" s="2"/>
      </tp>
      <tp t="s">
        <v/>
        <stp/>
        <stp>##V3_BQLV12</stp>
        <stp>[MODL_CRM_US1.xlsx]Single Period!R179C31</stp>
        <stp>CRM US Equity</stp>
        <stp>CB_CF_NET_CASH_FINANCING_ACT/1M</stp>
        <stp>FPR=2022Y</stp>
        <stp>FPT=A</stp>
        <stp>FA_ACT_EST_DATA=E, EST_SOURCE=RBC</stp>
        <stp>ACT_EST_MAPPING=PRECISE</stp>
        <stp>FS=MRC</stp>
        <stp>CURRENCY=USD</stp>
        <stp>XLFILL=b</stp>
        <tr r="AE179" s="2"/>
      </tp>
      <tp t="s">
        <v/>
        <stp/>
        <stp>##V3_BQLV12</stp>
        <stp>[MODL_CRM_US1.xlsx]Single Period!R182C40</stp>
        <stp>CRM US Equity</stp>
        <stp>CB_CF_NET_CASH_OPERATING_ACT/1M</stp>
        <stp>FPR=2022Y</stp>
        <stp>FPT=A</stp>
        <stp>FA_ACT_EST_DATA=E, EST_SOURCE=ACC</stp>
        <stp>ACT_EST_MAPPING=PRECISE</stp>
        <stp>FS=MRC</stp>
        <stp>CURRENCY=USD</stp>
        <stp>XLFILL=b</stp>
        <tr r="AN182" s="2"/>
      </tp>
      <tp t="s">
        <v/>
        <stp/>
        <stp>##V3_BQLV12</stp>
        <stp>[MODL_CRM_US1.xlsx]Single Period!R142C53</stp>
        <stp>CRM US Equity</stp>
        <stp>BS_TOT_ASSET/1M</stp>
        <stp>FPR=2022Y</stp>
        <stp>FPT=A</stp>
        <stp>FA_ACT_EST_DATA=E, EST_SOURCE=NIK</stp>
        <stp>ACT_EST_MAPPING=PRECISE</stp>
        <stp>FS=MRC</stp>
        <stp>CURRENCY=USD</stp>
        <stp>XLFILL=b</stp>
        <tr r="BA142" s="2"/>
      </tp>
      <tp t="s">
        <v/>
        <stp/>
        <stp>##V3_BQLV12</stp>
        <stp>[MODL_CRM_US1.xlsx]Single Period!R71C49</stp>
        <stp>CRM US Equity</stp>
        <stp>ADJ_PROFIT_MARGIN</stp>
        <stp>FPR=2022Y</stp>
        <stp>FPT=A</stp>
        <stp>FA_ACT_EST_DATA=E, EST_SOURCE=SGE</stp>
        <stp>ACT_EST_MAPPING=PRECISE</stp>
        <stp>FS=MRC</stp>
        <stp>CURRENCY=USD</stp>
        <stp>XLFILL=b</stp>
        <tr r="AW71" s="2"/>
      </tp>
      <tp t="s">
        <v/>
        <stp/>
        <stp>##V3_BQLV12</stp>
        <stp>[MODL_CRM_US1.xlsx]Single Period!R125C53</stp>
        <stp>CRM US Equity</stp>
        <stp>BS_TOT_ASSET/1M</stp>
        <stp>FPR=2022Y</stp>
        <stp>FPT=A</stp>
        <stp>FA_ACT_EST_DATA=E, EST_SOURCE=NIK</stp>
        <stp>ACT_EST_MAPPING=PRECISE</stp>
        <stp>FS=MRC</stp>
        <stp>CURRENCY=USD</stp>
        <stp>XLFILL=b</stp>
        <tr r="BA125" s="2"/>
      </tp>
      <tp t="s">
        <v/>
        <stp/>
        <stp>##V3_BQLV12</stp>
        <stp>[MODL_CRM_US1.xlsx]Single Period!R142C12</stp>
        <stp>CRM US Equity</stp>
        <stp>BS_TOT_ASSET/1M</stp>
        <stp>FPR=2022Y</stp>
        <stp>FPT=A</stp>
        <stp>FA_ACT_EST_DATA=E, EST_SOURCE=BMO</stp>
        <stp>ACT_EST_MAPPING=PRECISE</stp>
        <stp>FS=MRC</stp>
        <stp>CURRENCY=USD</stp>
        <stp>XLFILL=b</stp>
        <tr r="L142" s="2"/>
      </tp>
      <tp t="s">
        <v/>
        <stp/>
        <stp>##V3_BQLV12</stp>
        <stp>[MODL_CRM_US1.xlsx]Single Period!R125C56</stp>
        <stp>CRM US Equity</stp>
        <stp>BS_TOT_ASSET/1M</stp>
        <stp>FPR=2022Y</stp>
        <stp>FPT=A</stp>
        <stp>FA_ACT_EST_DATA=E, EST_SOURCE=DIR</stp>
        <stp>ACT_EST_MAPPING=PRECISE</stp>
        <stp>FS=MRC</stp>
        <stp>CURRENCY=USD</stp>
        <stp>XLFILL=b</stp>
        <tr r="BD125" s="2"/>
      </tp>
      <tp t="s">
        <v/>
        <stp/>
        <stp>##V3_BQLV12</stp>
        <stp>[MODL_CRM_US1.xlsx]Single Period!R173C43</stp>
        <stp>CRM US Equity</stp>
        <stp>CB_CF_NET_CASH_INVESTING_ACT/1M</stp>
        <stp>FPR=2022Y</stp>
        <stp>FPT=A</stp>
        <stp>FA_ACT_EST_DATA=E, EST_SOURCE=DWI</stp>
        <stp>ACT_EST_MAPPING=PRECISE</stp>
        <stp>FS=MRC</stp>
        <stp>CURRENCY=USD</stp>
        <stp>XLFILL=b</stp>
        <tr r="AQ173" s="2"/>
      </tp>
      <tp t="s">
        <v/>
        <stp/>
        <stp>##V3_BQLV12</stp>
        <stp>[MODL_CRM_US1.xlsx]Single Period!R104C32</stp>
        <stp>CRM US Equity</stp>
        <stp>IS_AMORT_OF_TOT_INTANG_PRETX/1M</stp>
        <stp>FPR=2022Y</stp>
        <stp>FPT=A</stp>
        <stp>FA_ACT_EST_DATA=E, EST_SOURCE=UBS</stp>
        <stp>ACT_EST_MAPPING=PRECISE</stp>
        <stp>FS=MRC</stp>
        <stp>CURRENCY=USD</stp>
        <stp>XLFILL=b</stp>
        <tr r="AF104" s="2"/>
      </tp>
      <tp t="s">
        <v/>
        <stp/>
        <stp>##V3_BQLV12</stp>
        <stp>[MODL_CRM_US1.xlsx]Single Period!R45C33</stp>
        <stp>SEG0000269240 Segment</stp>
        <stp>REVENUE_GROWTH_CC_1_YR</stp>
        <stp>FPR=2022Y</stp>
        <stp>FPT=A</stp>
        <stp>FA_ACT_EST_DATA=E, EST_SOURCE=RHR</stp>
        <stp>ACT_EST_MAPPING=PRECISE</stp>
        <stp>FS=MRC</stp>
        <stp>CURRENCY=USD</stp>
        <stp>XLFILL=b</stp>
        <tr r="AG45" s="2"/>
      </tp>
      <tp>
        <v>5548.806199247887</v>
        <stp/>
        <stp>##V3_BQLV12</stp>
        <stp>[MODL_CRM_US1.xlsx]Single Period!R182C26</stp>
        <stp>CRM US Equity</stp>
        <stp>CB_CF_NET_CASH_OPERATING_ACT/1M</stp>
        <stp>FPR=2022Y</stp>
        <stp>FPT=A</stp>
        <stp>FA_ACT_EST_DATA=E, EST_SOURCE=KEY</stp>
        <stp>ACT_EST_MAPPING=PRECISE</stp>
        <stp>FS=MRC</stp>
        <stp>CURRENCY=USD</stp>
        <stp>XLFILL=b</stp>
        <tr r="Z182" s="2"/>
      </tp>
      <tp t="s">
        <v/>
        <stp/>
        <stp>##V3_BQLV12</stp>
        <stp>[MODL_CRM_US1.xlsx]Single Period!R142C56</stp>
        <stp>CRM US Equity</stp>
        <stp>BS_TOT_ASSET/1M</stp>
        <stp>FPR=2022Y</stp>
        <stp>FPT=A</stp>
        <stp>FA_ACT_EST_DATA=E, EST_SOURCE=DIR</stp>
        <stp>ACT_EST_MAPPING=PRECISE</stp>
        <stp>FS=MRC</stp>
        <stp>CURRENCY=USD</stp>
        <stp>XLFILL=b</stp>
        <tr r="BD142" s="2"/>
      </tp>
      <tp>
        <v>5548.806199247887</v>
        <stp/>
        <stp>##V3_BQLV12</stp>
        <stp>[MODL_CRM_US1.xlsx]Single Period!R167C26</stp>
        <stp>CRM US Equity</stp>
        <stp>CB_CF_NET_CASH_OPERATING_ACT/1M</stp>
        <stp>FPR=2022Y</stp>
        <stp>FPT=A</stp>
        <stp>FA_ACT_EST_DATA=E, EST_SOURCE=KEY</stp>
        <stp>ACT_EST_MAPPING=PRECISE</stp>
        <stp>FS=MRC</stp>
        <stp>CURRENCY=USD</stp>
        <stp>XLFILL=b</stp>
        <tr r="Z167" s="2"/>
      </tp>
      <tp t="s">
        <v/>
        <stp/>
        <stp>##V3_BQLV12</stp>
        <stp>[MODL_CRM_US1.xlsx]Single Period!R142C29</stp>
        <stp>CRM US Equity</stp>
        <stp>BS_TOT_ASSET/1M</stp>
        <stp>FPR=2022Y</stp>
        <stp>FPT=A</stp>
        <stp>FA_ACT_EST_DATA=E, EST_SOURCE=BNS</stp>
        <stp>ACT_EST_MAPPING=PRECISE</stp>
        <stp>FS=MRC</stp>
        <stp>CURRENCY=USD</stp>
        <stp>XLFILL=b</stp>
        <tr r="AC142" s="2"/>
      </tp>
      <tp t="s">
        <v/>
        <stp/>
        <stp>##V3_BQLV12</stp>
        <stp>[MODL_CRM_US1.xlsx]Single Period!R179C32</stp>
        <stp>CRM US Equity</stp>
        <stp>CB_CF_NET_CASH_FINANCING_ACT/1M</stp>
        <stp>FPR=2022Y</stp>
        <stp>FPT=A</stp>
        <stp>FA_ACT_EST_DATA=E, EST_SOURCE=UBS</stp>
        <stp>ACT_EST_MAPPING=PRECISE</stp>
        <stp>FS=MRC</stp>
        <stp>CURRENCY=USD</stp>
        <stp>XLFILL=b</stp>
        <tr r="AF179" s="2"/>
      </tp>
      <tp t="s">
        <v/>
        <stp/>
        <stp>##V3_BQLV12</stp>
        <stp>[MODL_CRM_US1.xlsx]Single Period!R87C12</stp>
        <stp>CRM US Equity</stp>
        <stp>IS_EBIT_AS_REPORTED/1M</stp>
        <stp>FPR=2022Y</stp>
        <stp>FPT=A</stp>
        <stp>FA_ACT_EST_DATA=E, EST_SOURCE=BMO</stp>
        <stp>ACT_EST_MAPPING=PRECISE</stp>
        <stp>FS=MRC</stp>
        <stp>CURRENCY=USD</stp>
        <stp>XLFILL=b</stp>
        <tr r="L87" s="2"/>
      </tp>
      <tp t="s">
        <v/>
        <stp/>
        <stp>##V3_BQLV12</stp>
        <stp>[MODL_CRM_US1.xlsx]Single Period!R136C45</stp>
        <stp>CRM US Equity</stp>
        <stp>BS_TOTAL_LIABILITIES/1M</stp>
        <stp>FPR=2022Y</stp>
        <stp>FPT=A</stp>
        <stp>FA_ACT_EST_DATA=E, EST_SOURCE=ARG</stp>
        <stp>ACT_EST_MAPPING=PRECISE</stp>
        <stp>FS=MRC</stp>
        <stp>CURRENCY=USD</stp>
        <stp>XLFILL=b</stp>
        <tr r="AS136" s="2"/>
      </tp>
      <tp t="s">
        <v/>
        <stp/>
        <stp>##V3_BQLV12</stp>
        <stp>[MODL_CRM_US1.xlsx]Single Period!R125C29</stp>
        <stp>CRM US Equity</stp>
        <stp>BS_TOT_ASSET/1M</stp>
        <stp>FPR=2022Y</stp>
        <stp>FPT=A</stp>
        <stp>FA_ACT_EST_DATA=E, EST_SOURCE=BNS</stp>
        <stp>ACT_EST_MAPPING=PRECISE</stp>
        <stp>FS=MRC</stp>
        <stp>CURRENCY=USD</stp>
        <stp>XLFILL=b</stp>
        <tr r="AC125" s="2"/>
      </tp>
      <tp t="s">
        <v/>
        <stp/>
        <stp>##V3_BQLV12</stp>
        <stp>[MODL_CRM_US1.xlsx]Single Period!R173C44</stp>
        <stp>CRM US Equity</stp>
        <stp>CB_CF_NET_CASH_INVESTING_ACT/1M</stp>
        <stp>FPR=2022Y</stp>
        <stp>FPT=A</stp>
        <stp>FA_ACT_EST_DATA=E, EST_SOURCE=RWB</stp>
        <stp>ACT_EST_MAPPING=PRECISE</stp>
        <stp>FS=MRC</stp>
        <stp>CURRENCY=USD</stp>
        <stp>XLFILL=b</stp>
        <tr r="AR173" s="2"/>
      </tp>
      <tp t="s">
        <v>Alex Zukin</v>
        <stp/>
        <stp>##V3_BQLV12</stp>
        <stp>[MODL_CRM_US1.xlsx]Single Period!R4C47</stp>
        <stp>CRM US Equity</stp>
        <stp>LAST(IS_COMP_SALES(FA_ACT_EST_DATA=E, EST_SOURCE=WFT).analyst_name)</stp>
        <stp>FPR=2022Y</stp>
        <stp>FPT=A</stp>
        <stp>ACT_EST_MAPPING=PRECISE</stp>
        <stp>FS=MRC</stp>
        <stp>CURRENCY=USD</stp>
        <stp>XLFILL=b</stp>
        <tr r="AU4" s="2"/>
      </tp>
      <tp t="s">
        <v>Michael Turrin</v>
        <stp/>
        <stp>##V3_BQLV12</stp>
        <stp>[MODL_CRM_US1.xlsx]Single Period!R4C52</stp>
        <stp>CRM US Equity</stp>
        <stp>LAST(IS_COMP_SALES(FA_ACT_EST_DATA=E, EST_SOURCE=WFR).analyst_name)</stp>
        <stp>FPR=2022Y</stp>
        <stp>FPT=A</stp>
        <stp>ACT_EST_MAPPING=PRECISE</stp>
        <stp>FS=MRC</stp>
        <stp>CURRENCY=USD</stp>
        <stp>XLFILL=b</stp>
        <tr r="AZ4" s="2"/>
      </tp>
      <tp t="s">
        <v>Arjun Bhatia</v>
        <stp/>
        <stp>##V3_BQLV12</stp>
        <stp>[MODL_CRM_US1.xlsx]Single Period!R4C11</stp>
        <stp>CRM US Equity</stp>
        <stp>LAST(IS_COMP_SALES(FA_ACT_EST_DATA=E, EST_SOURCE=WBL).analyst_name)</stp>
        <stp>FPR=2022Y</stp>
        <stp>FPT=A</stp>
        <stp>ACT_EST_MAPPING=PRECISE</stp>
        <stp>FS=MRC</stp>
        <stp>CURRENCY=USD</stp>
        <stp>XLFILL=b</stp>
        <tr r="K4" s="2"/>
      </tp>
      <tp t="s">
        <v/>
        <stp/>
        <stp>##V3_BQLV12</stp>
        <stp>[MODL_CRM_US1.xlsx]Single Period!R67C53</stp>
        <stp>CRM US Equity</stp>
        <stp>IS_NON_OPERATING_INC_LOSS_GAAP/1M</stp>
        <stp>FPR=2022Y</stp>
        <stp>FPT=A</stp>
        <stp>FA_ACT_EST_DATA=E, EST_SOURCE=NIK</stp>
        <stp>ACT_EST_MAPPING=PRECISE</stp>
        <stp>FS=MRC</stp>
        <stp>CURRENCY=USD</stp>
        <stp>XLFILL=b</stp>
        <tr r="BA67" s="2"/>
      </tp>
      <tp t="s">
        <v>Daniel Ives "Dan"</v>
        <stp/>
        <stp>##V3_BQLV12</stp>
        <stp>[MODL_CRM_US1.xlsx]Single Period!R4C25</stp>
        <stp>CRM US Equity</stp>
        <stp>LAST(IS_COMP_SALES(FA_ACT_EST_DATA=E, EST_SOURCE=WMS).analyst_name)</stp>
        <stp>FPR=2022Y</stp>
        <stp>FPT=A</stp>
        <stp>ACT_EST_MAPPING=PRECISE</stp>
        <stp>FS=MRC</stp>
        <stp>CURRENCY=USD</stp>
        <stp>XLFILL=b</stp>
        <tr r="Y4" s="2"/>
      </tp>
      <tp t="s">
        <v/>
        <stp/>
        <stp>##V3_BQLV12</stp>
        <stp>[MODL_CRM_US1.xlsx]Single Period!R90C12</stp>
        <stp>CRM US Equity</stp>
        <stp>IS_INC_TAX_EXP/1M</stp>
        <stp>FPR=2022Y</stp>
        <stp>FPT=A</stp>
        <stp>FA_ACT_EST_DATA=E, EST_SOURCE=BMO</stp>
        <stp>ACT_EST_MAPPING=PRECISE</stp>
        <stp>FS=MRC</stp>
        <stp>CURRENCY=USD</stp>
        <stp>XLFILL=b</stp>
        <tr r="L90" s="2"/>
      </tp>
      <tp t="s">
        <v/>
        <stp/>
        <stp>##V3_BQLV12</stp>
        <stp>[MODL_CRM_US1.xlsx]Single Period!R67C56</stp>
        <stp>CRM US Equity</stp>
        <stp>IS_NON_OPERATING_INC_LOSS_GAAP/1M</stp>
        <stp>FPR=2022Y</stp>
        <stp>FPT=A</stp>
        <stp>FA_ACT_EST_DATA=E, EST_SOURCE=DIR</stp>
        <stp>ACT_EST_MAPPING=PRECISE</stp>
        <stp>FS=MRC</stp>
        <stp>CURRENCY=USD</stp>
        <stp>XLFILL=b</stp>
        <tr r="BD67" s="2"/>
      </tp>
      <tp>
        <v>200.94399999999999</v>
        <stp/>
        <stp>##V3_BQLV12</stp>
        <stp>[MODL_CRM_US1.xlsx]Single Period!R90C20</stp>
        <stp>CRM US Equity</stp>
        <stp>IS_INC_TAX_EXP/1M</stp>
        <stp>FPR=2022Y</stp>
        <stp>FPT=A</stp>
        <stp>FA_ACT_EST_DATA=E, EST_SOURCE=JMP</stp>
        <stp>ACT_EST_MAPPING=PRECISE</stp>
        <stp>FS=MRC</stp>
        <stp>CURRENCY=USD</stp>
        <stp>XLFILL=b</stp>
        <tr r="T90" s="2"/>
      </tp>
      <tp>
        <v>135</v>
        <stp/>
        <stp>##V3_BQLV12</stp>
        <stp>[MODL_CRM_US1.xlsx]Single Period!R90C25</stp>
        <stp>CRM US Equity</stp>
        <stp>IS_INC_TAX_EXP/1M</stp>
        <stp>FPR=2022Y</stp>
        <stp>FPT=A</stp>
        <stp>FA_ACT_EST_DATA=E, EST_SOURCE=WMS</stp>
        <stp>ACT_EST_MAPPING=PRECISE</stp>
        <stp>FS=MRC</stp>
        <stp>CURRENCY=USD</stp>
        <stp>XLFILL=b</stp>
        <tr r="Y90" s="2"/>
      </tp>
      <tp>
        <v>24597.759895865878</v>
        <stp/>
        <stp>##V3_BQLV12</stp>
        <stp>[MODL_CRM_US1.xlsx]Single Period!R10C5</stp>
        <stp>SEG0000269238 Segment</stp>
        <stp>SALES_REV_TURN/1M</stp>
        <stp>FPR=2022Y</stp>
        <stp>FPT=A</stp>
        <stp>FA_ACT_EST_DATA=E</stp>
        <stp>ACT_EST_MAPPING=PRECISE</stp>
        <stp>FS=MRC</stp>
        <stp>CURRENCY=USD</stp>
        <stp>XLFILL=b</stp>
        <tr r="E10" s="2"/>
      </tp>
      <tp>
        <v>25.333333333333339</v>
        <stp/>
        <stp>##V3_BQLV12</stp>
        <stp>[MODL_CRM_US1.xlsx]Single Period!R45C9</stp>
        <stp>SEG0000269240 Segment</stp>
        <stp>CONTRIBUTOR_STATS(REVENUE_GROWTH_CC_1_YR, MEDIAN)</stp>
        <stp>FPR=2022Y</stp>
        <stp>FPT=A</stp>
        <stp>FA_ACT_EST_DATA=E</stp>
        <stp>ACT_EST_MAPPING=PRECISE</stp>
        <stp>FS=MRC</stp>
        <stp>CURRENCY=USD</stp>
        <stp>XLFILL=b</stp>
        <tr r="I45" s="2"/>
      </tp>
      <tp>
        <v>6.6147218728035306E-2</v>
        <stp/>
        <stp>##V3_BQLV12</stp>
        <stp>[MODL_CRM_US1.xlsx]Single Period!R6C8</stp>
        <stp>CRM US Equity</stp>
        <stp>CONTRIBUTOR_STATS(IS_COMP_EPS_EXCL_STOCK_COMP, STD)</stp>
        <stp>FPR=2022Y</stp>
        <stp>FPT=A</stp>
        <stp>FA_ACT_EST_DATA=E</stp>
        <stp>ACT_EST_MAPPING=PRECISE</stp>
        <stp>FS=MRC</stp>
        <stp>CURRENCY=USD</stp>
        <stp>XLFILL=b</stp>
        <tr r="H6" s="2"/>
      </tp>
      <tp>
        <v>2805.9761435853857</v>
        <stp/>
        <stp>##V3_BQLV12</stp>
        <stp>[MODL_CRM_US1.xlsx]Single Period!R158C5</stp>
        <stp>CRM US Equity</stp>
        <stp>IS_SBC_NON_GAAP/1M</stp>
        <stp>FPR=2022Y</stp>
        <stp>FPT=A</stp>
        <stp>FA_ACT_EST_DATA=E</stp>
        <stp>ACT_EST_MAPPING=PRECISE</stp>
        <stp>FS=MRC</stp>
        <stp>CURRENCY=USD</stp>
        <stp>XLFILL=b</stp>
        <tr r="E158" s="2"/>
      </tp>
      <tp>
        <v>1612</v>
        <stp/>
        <stp>##V3_BQLV12</stp>
        <stp>[MODL_CRM_US1.xlsx]Single Period!R104C13</stp>
        <stp>CRM US Equity</stp>
        <stp>IS_AMORT_OF_TOT_INTANG_PRETX/1M</stp>
        <stp>FPR=2022Y</stp>
        <stp>FPT=A</stp>
        <stp>FA_ACT_EST_DATA=E, EST_SOURCE=BCA</stp>
        <stp>ACT_EST_MAPPING=PRECISE</stp>
        <stp>FS=MRC</stp>
        <stp>CURRENCY=USD</stp>
        <stp>XLFILL=b</stp>
        <tr r="M104" s="2"/>
      </tp>
      <tp>
        <v>17.21179693469897</v>
        <stp/>
        <stp>##V3_BQLV12</stp>
        <stp>[MODL_CRM_US1.xlsx]Single Period!R71C17</stp>
        <stp>CRM US Equity</stp>
        <stp>ADJ_PROFIT_MARGIN</stp>
        <stp>FPR=2022Y</stp>
        <stp>FPT=A</stp>
        <stp>FA_ACT_EST_DATA=E, EST_SOURCE=NDH</stp>
        <stp>ACT_EST_MAPPING=PRECISE</stp>
        <stp>FS=MRC</stp>
        <stp>CURRENCY=USD</stp>
        <stp>XLFILL=b</stp>
        <tr r="Q71" s="2"/>
      </tp>
      <tp>
        <v>-3</v>
        <stp/>
        <stp>##V3_BQLV12</stp>
        <stp>[MODL_CRM_US1.xlsx]Single Period!R178C6</stp>
        <stp>CRM US Equity</stp>
        <stp>CONTRIBUTOR_STATS(CB_CF_REPAYMENT_LT_DEBT, MIN)/1M</stp>
        <stp>FPR=2022Y</stp>
        <stp>FPT=A</stp>
        <stp>FA_ACT_EST_DATA=E</stp>
        <stp>ACT_EST_MAPPING=PRECISE</stp>
        <stp>FS=MRC</stp>
        <stp>CURRENCY=USD</stp>
        <stp>XLFILL=b</stp>
        <tr r="F178" s="2"/>
      </tp>
      <tp>
        <v>-3</v>
        <stp/>
        <stp>##V3_BQLV12</stp>
        <stp>[MODL_CRM_US1.xlsx]Single Period!R178C7</stp>
        <stp>CRM US Equity</stp>
        <stp>CONTRIBUTOR_STATS(CB_CF_REPAYMENT_LT_DEBT, MAX)/1M</stp>
        <stp>FPR=2022Y</stp>
        <stp>FPT=A</stp>
        <stp>FA_ACT_EST_DATA=E</stp>
        <stp>ACT_EST_MAPPING=PRECISE</stp>
        <stp>FS=MRC</stp>
        <stp>CURRENCY=USD</stp>
        <stp>XLFILL=b</stp>
        <tr r="G178" s="2"/>
      </tp>
      <tp t="s">
        <v/>
        <stp/>
        <stp>##V3_BQLV12</stp>
        <stp>[MODL_CRM_US1.xlsx]Single Period!R173C38</stp>
        <stp>CRM US Equity</stp>
        <stp>CB_CF_NET_CASH_INVESTING_ACT/1M</stp>
        <stp>FPR=2022Y</stp>
        <stp>FPT=A</stp>
        <stp>FA_ACT_EST_DATA=E, EST_SOURCE=MSR</stp>
        <stp>ACT_EST_MAPPING=PRECISE</stp>
        <stp>FS=MRC</stp>
        <stp>CURRENCY=USD</stp>
        <stp>XLFILL=b</stp>
        <tr r="AL173" s="2"/>
      </tp>
      <tp t="s">
        <v/>
        <stp/>
        <stp>##V3_BQLV12</stp>
        <stp>[MODL_CRM_US1.xlsx]Single Period!R78C16</stp>
        <stp>CRM US Equity</stp>
        <stp>COGS_TO_NET_SALES</stp>
        <stp>FPR=2022Y</stp>
        <stp>FPT=A</stp>
        <stp>FA_ACT_EST_DATA=E, EST_SOURCE=DBG</stp>
        <stp>ACT_EST_MAPPING=PRECISE</stp>
        <stp>FS=MRC</stp>
        <stp>CURRENCY=USD</stp>
        <stp>XLFILL=b</stp>
        <tr r="P78" s="2"/>
      </tp>
      <tp t="s">
        <v/>
        <stp/>
        <stp>##V3_BQLV12</stp>
        <stp>[MODL_CRM_US1.xlsx]Single Period!R40C40</stp>
        <stp>SEG0000269228 Segment</stp>
        <stp>REVENUE_GROWTH_CC_1_YR</stp>
        <stp>FPR=2022Y</stp>
        <stp>FPT=A</stp>
        <stp>FA_ACT_EST_DATA=E, EST_SOURCE=ACC</stp>
        <stp>ACT_EST_MAPPING=PRECISE</stp>
        <stp>FS=MRC</stp>
        <stp>CURRENCY=USD</stp>
        <stp>XLFILL=b</stp>
        <tr r="AN40" s="2"/>
      </tp>
      <tp t="s">
        <v/>
        <stp/>
        <stp>##V3_BQLV12</stp>
        <stp>[MODL_CRM_US1.xlsx]Single Period!R179C19</stp>
        <stp>CRM US Equity</stp>
        <stp>CB_CF_NET_CASH_FINANCING_ACT/1M</stp>
        <stp>FPR=2022Y</stp>
        <stp>FPT=A</stp>
        <stp>FA_ACT_EST_DATA=E, EST_SOURCE=SCB</stp>
        <stp>ACT_EST_MAPPING=PRECISE</stp>
        <stp>FS=MRC</stp>
        <stp>CURRENCY=USD</stp>
        <stp>XLFILL=b</stp>
        <tr r="S179" s="2"/>
      </tp>
      <tp t="s">
        <v/>
        <stp/>
        <stp>##V3_BQLV12</stp>
        <stp>[MODL_CRM_US1.xlsx]Single Period!R40C13</stp>
        <stp>SEG0000269228 Segment</stp>
        <stp>REVENUE_GROWTH_CC_1_YR</stp>
        <stp>FPR=2022Y</stp>
        <stp>FPT=A</stp>
        <stp>FA_ACT_EST_DATA=E, EST_SOURCE=BCA</stp>
        <stp>ACT_EST_MAPPING=PRECISE</stp>
        <stp>FS=MRC</stp>
        <stp>CURRENCY=USD</stp>
        <stp>XLFILL=b</stp>
        <tr r="M40" s="2"/>
      </tp>
      <tp t="s">
        <v/>
        <stp/>
        <stp>##V3_BQLV12</stp>
        <stp>[MODL_CRM_US1.xlsx]Single Period!R87C29</stp>
        <stp>CRM US Equity</stp>
        <stp>IS_EBIT_AS_REPORTED/1M</stp>
        <stp>FPR=2022Y</stp>
        <stp>FPT=A</stp>
        <stp>FA_ACT_EST_DATA=E, EST_SOURCE=BNS</stp>
        <stp>ACT_EST_MAPPING=PRECISE</stp>
        <stp>FS=MRC</stp>
        <stp>CURRENCY=USD</stp>
        <stp>XLFILL=b</stp>
        <tr r="AC87" s="2"/>
      </tp>
      <tp t="s">
        <v/>
        <stp/>
        <stp>##V3_BQLV12</stp>
        <stp>[MODL_CRM_US1.xlsx]Single Period!R179C30</stp>
        <stp>CRM US Equity</stp>
        <stp>CB_CF_NET_CASH_FINANCING_ACT/1M</stp>
        <stp>FPR=2022Y</stp>
        <stp>FPT=A</stp>
        <stp>FA_ACT_EST_DATA=E, EST_SOURCE=BAM</stp>
        <stp>ACT_EST_MAPPING=PRECISE</stp>
        <stp>FS=MRC</stp>
        <stp>CURRENCY=USD</stp>
        <stp>XLFILL=b</stp>
        <tr r="AD179" s="2"/>
      </tp>
      <tp t="s">
        <v/>
        <stp/>
        <stp>##V3_BQLV12</stp>
        <stp>[MODL_CRM_US1.xlsx]Single Period!R87C14</stp>
        <stp>CRM US Equity</stp>
        <stp>IS_EBIT_AS_REPORTED/1M</stp>
        <stp>FPR=2022Y</stp>
        <stp>FPT=A</stp>
        <stp>FA_ACT_EST_DATA=E, EST_SOURCE=SNR</stp>
        <stp>ACT_EST_MAPPING=PRECISE</stp>
        <stp>FS=MRC</stp>
        <stp>CURRENCY=USD</stp>
        <stp>XLFILL=b</stp>
        <tr r="N87" s="2"/>
      </tp>
      <tp t="s">
        <v/>
        <stp/>
        <stp>##V3_BQLV12</stp>
        <stp>[MODL_CRM_US1.xlsx]Single Period!R78C24</stp>
        <stp>CRM US Equity</stp>
        <stp>COGS_TO_NET_SALES</stp>
        <stp>FPR=2022Y</stp>
        <stp>FPT=A</stp>
        <stp>FA_ACT_EST_DATA=E, EST_SOURCE=FBC</stp>
        <stp>ACT_EST_MAPPING=PRECISE</stp>
        <stp>FS=MRC</stp>
        <stp>CURRENCY=USD</stp>
        <stp>XLFILL=b</stp>
        <tr r="X78" s="2"/>
      </tp>
      <tp t="s">
        <v/>
        <stp/>
        <stp>##V3_BQLV12</stp>
        <stp>[MODL_CRM_US1.xlsx]Single Period!R78C31</stp>
        <stp>CRM US Equity</stp>
        <stp>COGS_TO_NET_SALES</stp>
        <stp>FPR=2022Y</stp>
        <stp>FPT=A</stp>
        <stp>FA_ACT_EST_DATA=E, EST_SOURCE=RBC</stp>
        <stp>ACT_EST_MAPPING=PRECISE</stp>
        <stp>FS=MRC</stp>
        <stp>CURRENCY=USD</stp>
        <stp>XLFILL=b</stp>
        <tr r="AE78" s="2"/>
      </tp>
      <tp t="s">
        <v/>
        <stp/>
        <stp>##V3_BQLV12</stp>
        <stp>[MODL_CRM_US1.xlsx]Single Period!R167C39</stp>
        <stp>CRM US Equity</stp>
        <stp>CB_CF_NET_CASH_OPERATING_ACT/1M</stp>
        <stp>FPR=2022Y</stp>
        <stp>FPT=A</stp>
        <stp>FA_ACT_EST_DATA=E, EST_SOURCE=KGI</stp>
        <stp>ACT_EST_MAPPING=PRECISE</stp>
        <stp>FS=MRC</stp>
        <stp>CURRENCY=USD</stp>
        <stp>XLFILL=b</stp>
        <tr r="AM167" s="2"/>
      </tp>
      <tp t="s">
        <v/>
        <stp/>
        <stp>##V3_BQLV12</stp>
        <stp>[MODL_CRM_US1.xlsx]Single Period!R40C19</stp>
        <stp>SEG0000269228 Segment</stp>
        <stp>REVENUE_GROWTH_CC_1_YR</stp>
        <stp>FPR=2022Y</stp>
        <stp>FPT=A</stp>
        <stp>FA_ACT_EST_DATA=E, EST_SOURCE=SCB</stp>
        <stp>ACT_EST_MAPPING=PRECISE</stp>
        <stp>FS=MRC</stp>
        <stp>CURRENCY=USD</stp>
        <stp>XLFILL=b</stp>
        <tr r="S40" s="2"/>
      </tp>
      <tp t="s">
        <v/>
        <stp/>
        <stp>##V3_BQLV12</stp>
        <stp>[MODL_CRM_US1.xlsx]Single Period!R104C36</stp>
        <stp>CRM US Equity</stp>
        <stp>IS_AMORT_OF_TOT_INTANG_PRETX/1M</stp>
        <stp>FPR=2022Y</stp>
        <stp>FPT=A</stp>
        <stp>FA_ACT_EST_DATA=E, EST_SOURCE=MAC</stp>
        <stp>ACT_EST_MAPPING=PRECISE</stp>
        <stp>FS=MRC</stp>
        <stp>CURRENCY=USD</stp>
        <stp>XLFILL=b</stp>
        <tr r="AJ104" s="2"/>
      </tp>
      <tp t="s">
        <v/>
        <stp/>
        <stp>##V3_BQLV12</stp>
        <stp>[MODL_CRM_US1.xlsx]Single Period!R78C11</stp>
        <stp>CRM US Equity</stp>
        <stp>COGS_TO_NET_SALES</stp>
        <stp>FPR=2022Y</stp>
        <stp>FPT=A</stp>
        <stp>FA_ACT_EST_DATA=E, EST_SOURCE=WBL</stp>
        <stp>ACT_EST_MAPPING=PRECISE</stp>
        <stp>FS=MRC</stp>
        <stp>CURRENCY=USD</stp>
        <stp>XLFILL=b</stp>
        <tr r="K78" s="2"/>
      </tp>
      <tp t="s">
        <v/>
        <stp/>
        <stp>##V3_BQLV12</stp>
        <stp>[MODL_CRM_US1.xlsx]Single Period!R182C39</stp>
        <stp>CRM US Equity</stp>
        <stp>CB_CF_NET_CASH_OPERATING_ACT/1M</stp>
        <stp>FPR=2022Y</stp>
        <stp>FPT=A</stp>
        <stp>FA_ACT_EST_DATA=E, EST_SOURCE=KGI</stp>
        <stp>ACT_EST_MAPPING=PRECISE</stp>
        <stp>FS=MRC</stp>
        <stp>CURRENCY=USD</stp>
        <stp>XLFILL=b</stp>
        <tr r="AM182" s="2"/>
      </tp>
      <tp>
        <v>1242</v>
        <stp/>
        <stp>##V3_BQLV12</stp>
        <stp>[MODL_CRM_US1.xlsx]Single Period!R104C19</stp>
        <stp>CRM US Equity</stp>
        <stp>IS_AMORT_OF_TOT_INTANG_PRETX/1M</stp>
        <stp>FPR=2022Y</stp>
        <stp>FPT=A</stp>
        <stp>FA_ACT_EST_DATA=E, EST_SOURCE=SCB</stp>
        <stp>ACT_EST_MAPPING=PRECISE</stp>
        <stp>FS=MRC</stp>
        <stp>CURRENCY=USD</stp>
        <stp>XLFILL=b</stp>
        <tr r="S104" s="2"/>
      </tp>
      <tp>
        <v>7635</v>
        <stp/>
        <stp>##V3_BQLV12</stp>
        <stp>[MODL_CRM_US1.xlsx]Single Period!R179C13</stp>
        <stp>CRM US Equity</stp>
        <stp>CB_CF_NET_CASH_FINANCING_ACT/1M</stp>
        <stp>FPR=2022Y</stp>
        <stp>FPT=A</stp>
        <stp>FA_ACT_EST_DATA=E, EST_SOURCE=BCA</stp>
        <stp>ACT_EST_MAPPING=PRECISE</stp>
        <stp>FS=MRC</stp>
        <stp>CURRENCY=USD</stp>
        <stp>XLFILL=b</stp>
        <tr r="M179" s="2"/>
      </tp>
      <tp t="s">
        <v/>
        <stp/>
        <stp>##V3_BQLV12</stp>
        <stp>[MODL_CRM_US1.xlsx]Single Period!R136C37</stp>
        <stp>CRM US Equity</stp>
        <stp>BS_TOTAL_LIABILITIES/1M</stp>
        <stp>FPR=2022Y</stp>
        <stp>FPT=A</stp>
        <stp>FA_ACT_EST_DATA=E, EST_SOURCE=EVR</stp>
        <stp>ACT_EST_MAPPING=PRECISE</stp>
        <stp>FS=MRC</stp>
        <stp>CURRENCY=USD</stp>
        <stp>XLFILL=b</stp>
        <tr r="AK136" s="2"/>
      </tp>
      <tp t="s">
        <v/>
        <stp/>
        <stp>##V3_BQLV12</stp>
        <stp>[MODL_CRM_US1.xlsx]Single Period!R40C27</stp>
        <stp>SEG0000269228 Segment</stp>
        <stp>REVENUE_GROWTH_CC_1_YR</stp>
        <stp>FPR=2022Y</stp>
        <stp>FPT=A</stp>
        <stp>FA_ACT_EST_DATA=E, EST_SOURCE=LCM</stp>
        <stp>ACT_EST_MAPPING=PRECISE</stp>
        <stp>FS=MRC</stp>
        <stp>CURRENCY=USD</stp>
        <stp>XLFILL=b</stp>
        <tr r="AA40" s="2"/>
      </tp>
      <tp t="s">
        <v/>
        <stp/>
        <stp>##V3_BQLV12</stp>
        <stp>[MODL_CRM_US1.xlsx]Single Period!R179C36</stp>
        <stp>CRM US Equity</stp>
        <stp>CB_CF_NET_CASH_FINANCING_ACT/1M</stp>
        <stp>FPR=2022Y</stp>
        <stp>FPT=A</stp>
        <stp>FA_ACT_EST_DATA=E, EST_SOURCE=MAC</stp>
        <stp>ACT_EST_MAPPING=PRECISE</stp>
        <stp>FS=MRC</stp>
        <stp>CURRENCY=USD</stp>
        <stp>XLFILL=b</stp>
        <tr r="AJ179" s="2"/>
      </tp>
      <tp t="s">
        <v/>
        <stp/>
        <stp>##V3_BQLV12</stp>
        <stp>[MODL_CRM_US1.xlsx]Single Period!R104C30</stp>
        <stp>CRM US Equity</stp>
        <stp>IS_AMORT_OF_TOT_INTANG_PRETX/1M</stp>
        <stp>FPR=2022Y</stp>
        <stp>FPT=A</stp>
        <stp>FA_ACT_EST_DATA=E, EST_SOURCE=BAM</stp>
        <stp>ACT_EST_MAPPING=PRECISE</stp>
        <stp>FS=MRC</stp>
        <stp>CURRENCY=USD</stp>
        <stp>XLFILL=b</stp>
        <tr r="AD104" s="2"/>
      </tp>
      <tp t="s">
        <v/>
        <stp/>
        <stp>##V3_BQLV12</stp>
        <stp>[MODL_CRM_US1.xlsx]Single Period!R40C51</stp>
        <stp>SEG0000269228 Segment</stp>
        <stp>REVENUE_GROWTH_CC_1_YR</stp>
        <stp>FPR=2022Y</stp>
        <stp>FPT=A</stp>
        <stp>FA_ACT_EST_DATA=E, EST_SOURCE=RCP</stp>
        <stp>ACT_EST_MAPPING=PRECISE</stp>
        <stp>FS=MRC</stp>
        <stp>CURRENCY=USD</stp>
        <stp>XLFILL=b</stp>
        <tr r="AY40" s="2"/>
      </tp>
      <tp t="s">
        <v/>
        <stp/>
        <stp>##V3_BQLV12</stp>
        <stp>[MODL_CRM_US1.xlsx]Single Period!R106C50</stp>
        <stp>CRM US Equity</stp>
        <stp>IS_AMORT_ACQD_INTANG_S_AND_M/1M</stp>
        <stp>FPR=2022Y</stp>
        <stp>FPT=A</stp>
        <stp>FA_ACT_EST_DATA=E, EST_SOURCE=MZS</stp>
        <stp>ACT_EST_MAPPING=PRECISE</stp>
        <stp>FS=MRC</stp>
        <stp>CURRENCY=USD</stp>
        <stp>XLFILL=b</stp>
        <tr r="AX106" s="2"/>
      </tp>
      <tp t="s">
        <v/>
        <stp/>
        <stp>##V3_BQLV12</stp>
        <stp>[MODL_CRM_US1.xlsx]Single Period!R104C47</stp>
        <stp>CRM US Equity</stp>
        <stp>IS_AMORT_OF_TOT_INTANG_PRETX/1M</stp>
        <stp>FPR=2022Y</stp>
        <stp>FPT=A</stp>
        <stp>FA_ACT_EST_DATA=E, EST_SOURCE=WFT</stp>
        <stp>ACT_EST_MAPPING=PRECISE</stp>
        <stp>FS=MRC</stp>
        <stp>CURRENCY=USD</stp>
        <stp>XLFILL=b</stp>
        <tr r="AU104" s="2"/>
      </tp>
      <tp t="s">
        <v/>
        <stp/>
        <stp>##V3_BQLV12</stp>
        <stp>[MODL_CRM_US1.xlsx]Single Period!R125C25</stp>
        <stp>CRM US Equity</stp>
        <stp>BS_TOT_ASSET/1M</stp>
        <stp>FPR=2022Y</stp>
        <stp>FPT=A</stp>
        <stp>FA_ACT_EST_DATA=E, EST_SOURCE=WMS</stp>
        <stp>ACT_EST_MAPPING=PRECISE</stp>
        <stp>FS=MRC</stp>
        <stp>CURRENCY=USD</stp>
        <stp>XLFILL=b</stp>
        <tr r="Y125" s="2"/>
      </tp>
      <tp t="s">
        <v/>
        <stp/>
        <stp>##V3_BQLV12</stp>
        <stp>[MODL_CRM_US1.xlsx]Single Period!R125C14</stp>
        <stp>CRM US Equity</stp>
        <stp>BS_TOT_ASSET/1M</stp>
        <stp>FPR=2022Y</stp>
        <stp>FPT=A</stp>
        <stp>FA_ACT_EST_DATA=E, EST_SOURCE=SNR</stp>
        <stp>ACT_EST_MAPPING=PRECISE</stp>
        <stp>FS=MRC</stp>
        <stp>CURRENCY=USD</stp>
        <stp>XLFILL=b</stp>
        <tr r="N125" s="2"/>
      </tp>
      <tp t="s">
        <v/>
        <stp/>
        <stp>##V3_BQLV12</stp>
        <stp>[MODL_CRM_US1.xlsx]Single Period!R142C20</stp>
        <stp>CRM US Equity</stp>
        <stp>BS_TOT_ASSET/1M</stp>
        <stp>FPR=2022Y</stp>
        <stp>FPT=A</stp>
        <stp>FA_ACT_EST_DATA=E, EST_SOURCE=JMP</stp>
        <stp>ACT_EST_MAPPING=PRECISE</stp>
        <stp>FS=MRC</stp>
        <stp>CURRENCY=USD</stp>
        <stp>XLFILL=b</stp>
        <tr r="T142" s="2"/>
      </tp>
      <tp t="s">
        <v/>
        <stp/>
        <stp>##V3_BQLV12</stp>
        <stp>[MODL_CRM_US1.xlsx]Single Period!R135C48</stp>
        <stp>CRM US Equity</stp>
        <stp>CB_BS_OTHER_NONCURRENT_LIABS/1M</stp>
        <stp>FPR=2022Y</stp>
        <stp>FPT=A</stp>
        <stp>FA_ACT_EST_DATA=E, EST_SOURCE=PJE</stp>
        <stp>ACT_EST_MAPPING=PRECISE</stp>
        <stp>FS=MRC</stp>
        <stp>CURRENCY=USD</stp>
        <stp>XLFILL=b</stp>
        <tr r="AV135" s="2"/>
      </tp>
      <tp t="s">
        <v/>
        <stp/>
        <stp>##V3_BQLV12</stp>
        <stp>[MODL_CRM_US1.xlsx]Single Period!R125C20</stp>
        <stp>CRM US Equity</stp>
        <stp>BS_TOT_ASSET/1M</stp>
        <stp>FPR=2022Y</stp>
        <stp>FPT=A</stp>
        <stp>FA_ACT_EST_DATA=E, EST_SOURCE=JMP</stp>
        <stp>ACT_EST_MAPPING=PRECISE</stp>
        <stp>FS=MRC</stp>
        <stp>CURRENCY=USD</stp>
        <stp>XLFILL=b</stp>
        <tr r="T125" s="2"/>
      </tp>
      <tp t="s">
        <v/>
        <stp/>
        <stp>##V3_BQLV12</stp>
        <stp>[MODL_CRM_US1.xlsx]Single Period!R142C25</stp>
        <stp>CRM US Equity</stp>
        <stp>BS_TOT_ASSET/1M</stp>
        <stp>FPR=2022Y</stp>
        <stp>FPT=A</stp>
        <stp>FA_ACT_EST_DATA=E, EST_SOURCE=WMS</stp>
        <stp>ACT_EST_MAPPING=PRECISE</stp>
        <stp>FS=MRC</stp>
        <stp>CURRENCY=USD</stp>
        <stp>XLFILL=b</stp>
        <tr r="Y142" s="2"/>
      </tp>
      <tp t="s">
        <v/>
        <stp/>
        <stp>##V3_BQLV12</stp>
        <stp>[MODL_CRM_US1.xlsx]Single Period!R142C14</stp>
        <stp>CRM US Equity</stp>
        <stp>BS_TOT_ASSET/1M</stp>
        <stp>FPR=2022Y</stp>
        <stp>FPT=A</stp>
        <stp>FA_ACT_EST_DATA=E, EST_SOURCE=SNR</stp>
        <stp>ACT_EST_MAPPING=PRECISE</stp>
        <stp>FS=MRC</stp>
        <stp>CURRENCY=USD</stp>
        <stp>XLFILL=b</stp>
        <tr r="N142" s="2"/>
      </tp>
      <tp t="s">
        <v/>
        <stp/>
        <stp>##V3_BQLV12</stp>
        <stp>[MODL_CRM_US1.xlsx]Single Period!R78C32</stp>
        <stp>CRM US Equity</stp>
        <stp>COGS_TO_NET_SALES</stp>
        <stp>FPR=2022Y</stp>
        <stp>FPT=A</stp>
        <stp>FA_ACT_EST_DATA=E, EST_SOURCE=UBS</stp>
        <stp>ACT_EST_MAPPING=PRECISE</stp>
        <stp>FS=MRC</stp>
        <stp>CURRENCY=USD</stp>
        <stp>XLFILL=b</stp>
        <tr r="AF78" s="2"/>
      </tp>
      <tp t="s">
        <v/>
        <stp/>
        <stp>##V3_BQLV12</stp>
        <stp>[MODL_CRM_US1.xlsx]Single Period!R173C46</stp>
        <stp>CRM US Equity</stp>
        <stp>CB_CF_NET_CASH_INVESTING_ACT/1M</stp>
        <stp>FPR=2022Y</stp>
        <stp>FPT=A</stp>
        <stp>FA_ACT_EST_DATA=E, EST_SOURCE=CTI</stp>
        <stp>ACT_EST_MAPPING=PRECISE</stp>
        <stp>FS=MRC</stp>
        <stp>CURRENCY=USD</stp>
        <stp>XLFILL=b</stp>
        <tr r="AT173" s="2"/>
      </tp>
      <tp t="s">
        <v/>
        <stp/>
        <stp>##V3_BQLV12</stp>
        <stp>[MODL_CRM_US1.xlsx]Single Period!R136C28</stp>
        <stp>CRM US Equity</stp>
        <stp>BS_TOTAL_LIABILITIES/1M</stp>
        <stp>FPR=2022Y</stp>
        <stp>FPT=A</stp>
        <stp>FA_ACT_EST_DATA=E, EST_SOURCE=CWN</stp>
        <stp>ACT_EST_MAPPING=PRECISE</stp>
        <stp>FS=MRC</stp>
        <stp>CURRENCY=USD</stp>
        <stp>XLFILL=b</stp>
        <tr r="AB136" s="2"/>
      </tp>
      <tp t="s">
        <v/>
        <stp/>
        <stp>##V3_BQLV12</stp>
        <stp>[MODL_CRM_US1.xlsx]Single Period!R179C47</stp>
        <stp>CRM US Equity</stp>
        <stp>CB_CF_NET_CASH_FINANCING_ACT/1M</stp>
        <stp>FPR=2022Y</stp>
        <stp>FPT=A</stp>
        <stp>FA_ACT_EST_DATA=E, EST_SOURCE=WFT</stp>
        <stp>ACT_EST_MAPPING=PRECISE</stp>
        <stp>FS=MRC</stp>
        <stp>CURRENCY=USD</stp>
        <stp>XLFILL=b</stp>
        <tr r="AU179" s="2"/>
      </tp>
      <tp>
        <v>0</v>
        <stp/>
        <stp>##V3_BQLV12</stp>
        <stp>[MODL_CRM_US1.xlsx]Single Period!R178C8</stp>
        <stp>CRM US Equity</stp>
        <stp>CONTRIBUTOR_STATS(CB_CF_REPAYMENT_LT_DEBT, STD)/1M</stp>
        <stp>FPR=2022Y</stp>
        <stp>FPT=A</stp>
        <stp>FA_ACT_EST_DATA=E</stp>
        <stp>ACT_EST_MAPPING=PRECISE</stp>
        <stp>FS=MRC</stp>
        <stp>CURRENCY=USD</stp>
        <stp>XLFILL=b</stp>
        <tr r="H178" s="2"/>
      </tp>
      <tp t="s">
        <v/>
        <stp/>
        <stp>##V3_BQLV12</stp>
        <stp>[MODL_CRM_US1.xlsx]Single Period!R193C38</stp>
        <stp>CRM US Equity</stp>
        <stp>FCF_PER_DIL_SHR</stp>
        <stp>FPR=2022Y</stp>
        <stp>FPT=A</stp>
        <stp>FA_ACT_EST_DATA=E, EST_SOURCE=MSR</stp>
        <stp>ACT_EST_MAPPING=PRECISE</stp>
        <stp>FS=MRC</stp>
        <stp>CURRENCY=USD</stp>
        <stp>XLFILL=b</stp>
        <tr r="AL193" s="2"/>
      </tp>
      <tp t="s">
        <v/>
        <stp/>
        <stp>##V3_BQLV12</stp>
        <stp>[MODL_CRM_US1.xlsx]Single Period!R84C50</stp>
        <stp>CRM US Equity</stp>
        <stp>RD_EXPEND_TO_NET_SALES</stp>
        <stp>FPR=2022Y</stp>
        <stp>FPT=A</stp>
        <stp>FA_ACT_EST_DATA=E, EST_SOURCE=MZS</stp>
        <stp>ACT_EST_MAPPING=PRECISE</stp>
        <stp>FS=MRC</stp>
        <stp>CURRENCY=USD</stp>
        <stp>XLFILL=b</stp>
        <tr r="AX84" s="2"/>
      </tp>
      <tp t="s">
        <v/>
        <stp/>
        <stp>##V3_BQLV12</stp>
        <stp>[MODL_CRM_US1.xlsx]Single Period!R193C46</stp>
        <stp>CRM US Equity</stp>
        <stp>FCF_PER_DIL_SHR</stp>
        <stp>FPR=2022Y</stp>
        <stp>FPT=A</stp>
        <stp>FA_ACT_EST_DATA=E, EST_SOURCE=CTI</stp>
        <stp>ACT_EST_MAPPING=PRECISE</stp>
        <stp>FS=MRC</stp>
        <stp>CURRENCY=USD</stp>
        <stp>XLFILL=b</stp>
        <tr r="AT193" s="2"/>
      </tp>
      <tp t="s">
        <v/>
        <stp/>
        <stp>##V3_BQLV12</stp>
        <stp>[MODL_CRM_US1.xlsx]Single Period!R67C33</stp>
        <stp>CRM US Equity</stp>
        <stp>IS_NON_OPERATING_INC_LOSS_GAAP/1M</stp>
        <stp>FPR=2022Y</stp>
        <stp>FPT=A</stp>
        <stp>FA_ACT_EST_DATA=E, EST_SOURCE=RHR</stp>
        <stp>ACT_EST_MAPPING=PRECISE</stp>
        <stp>FS=MRC</stp>
        <stp>CURRENCY=USD</stp>
        <stp>XLFILL=b</stp>
        <tr r="AG67" s="2"/>
      </tp>
      <tp>
        <v>4638</v>
        <stp/>
        <stp>##V3_BQLV12</stp>
        <stp>[MODL_CRM_US1.xlsx]Single Period!R113C9</stp>
        <stp>CRM US Equity</stp>
        <stp>CONTRIBUTOR_STATS(BS_MKT_SEC_OTHER_ST_INVEST, MEDIAN)/1M</stp>
        <stp>FPR=2022Y</stp>
        <stp>FPT=A</stp>
        <stp>FA_ACT_EST_DATA=E</stp>
        <stp>ACT_EST_MAPPING=PRECISE</stp>
        <stp>FS=MRC</stp>
        <stp>CURRENCY=USD</stp>
        <stp>XLFILL=b</stp>
        <tr r="I113" s="2"/>
      </tp>
      <tp>
        <v>6.8450283856695715E-2</v>
        <stp/>
        <stp>##V3_BQLV12</stp>
        <stp>[MODL_CRM_US1.xlsx]Single Period!R192C8</stp>
        <stp>CRM US Equity</stp>
        <stp>CONTRIBUTOR_STATS(FREE_CASH_FLOW_MARGIN, STD)</stp>
        <stp>FPR=2022Y</stp>
        <stp>FPT=A</stp>
        <stp>FA_ACT_EST_DATA=E</stp>
        <stp>ACT_EST_MAPPING=PRECISE</stp>
        <stp>FS=MRC</stp>
        <stp>CURRENCY=USD</stp>
        <stp>XLFILL=b</stp>
        <tr r="H192" s="2"/>
      </tp>
      <tp>
        <v>26399</v>
        <stp/>
        <stp>##V3_BQLV12</stp>
        <stp>[MODL_CRM_US1.xlsx]Single Period!R7C27</stp>
        <stp>CRM US Equity</stp>
        <stp>IS_COMP_SALES/1M</stp>
        <stp>FPR=2022Y</stp>
        <stp>FPT=A</stp>
        <stp>FA_ACT_EST_DATA=E, EST_SOURCE=LCM</stp>
        <stp>ACT_EST_MAPPING=PRECISE</stp>
        <stp>FS=MRC</stp>
        <stp>CURRENCY=USD</stp>
        <stp>XLFILL=b</stp>
        <tr r="AA7" s="2"/>
      </tp>
      <tp>
        <v>26396</v>
        <stp/>
        <stp>##V3_BQLV12</stp>
        <stp>[MODL_CRM_US1.xlsx]Single Period!R7C16</stp>
        <stp>CRM US Equity</stp>
        <stp>IS_COMP_SALES/1M</stp>
        <stp>FPR=2022Y</stp>
        <stp>FPT=A</stp>
        <stp>FA_ACT_EST_DATA=E, EST_SOURCE=DBG</stp>
        <stp>ACT_EST_MAPPING=PRECISE</stp>
        <stp>FS=MRC</stp>
        <stp>CURRENCY=USD</stp>
        <stp>XLFILL=b</stp>
        <tr r="P7" s="2"/>
      </tp>
      <tp t="s">
        <v/>
        <stp/>
        <stp>##V3_BQLV12</stp>
        <stp>[MODL_CRM_US1.xlsx]Single Period!R7C52</stp>
        <stp>CRM US Equity</stp>
        <stp>IS_COMP_SALES/1M</stp>
        <stp>FPR=2022Y</stp>
        <stp>FPT=A</stp>
        <stp>FA_ACT_EST_DATA=E, EST_SOURCE=WFR</stp>
        <stp>ACT_EST_MAPPING=PRECISE</stp>
        <stp>FS=MRC</stp>
        <stp>CURRENCY=USD</stp>
        <stp>XLFILL=b</stp>
        <tr r="AZ7" s="2"/>
      </tp>
      <tp>
        <v>912.60697816502466</v>
        <stp/>
        <stp>##V3_BQLV12</stp>
        <stp>[MODL_CRM_US1.xlsx]Single Period!R101C9</stp>
        <stp>CRM US Equity</stp>
        <stp>CONTRIBUTOR_STATS(IS_SBC_ATTRIBUTABLE_TO_R_AND_D_PRETX, MEDIAN)/1M</stp>
        <stp>FPR=2022Y</stp>
        <stp>FPT=A</stp>
        <stp>FA_ACT_EST_DATA=E</stp>
        <stp>ACT_EST_MAPPING=PRECISE</stp>
        <stp>FS=MRC</stp>
        <stp>CURRENCY=USD</stp>
        <stp>XLFILL=b</stp>
        <tr r="I101" s="2"/>
      </tp>
      <tp t="s">
        <v/>
        <stp/>
        <stp>##V3_BQLV12</stp>
        <stp>[MODL_CRM_US1.xlsx]Single Period!R40C16</stp>
        <stp>SEG0000269228 Segment</stp>
        <stp>REVENUE_GROWTH_CC_1_YR</stp>
        <stp>FPR=2022Y</stp>
        <stp>FPT=A</stp>
        <stp>FA_ACT_EST_DATA=E, EST_SOURCE=DBG</stp>
        <stp>ACT_EST_MAPPING=PRECISE</stp>
        <stp>FS=MRC</stp>
        <stp>CURRENCY=USD</stp>
        <stp>XLFILL=b</stp>
        <tr r="P40" s="2"/>
      </tp>
      <tp>
        <v>1624</v>
        <stp/>
        <stp>##V3_BQLV12</stp>
        <stp>[MODL_CRM_US1.xlsx]Single Period!R104C16</stp>
        <stp>CRM US Equity</stp>
        <stp>IS_AMORT_OF_TOT_INTANG_PRETX/1M</stp>
        <stp>FPR=2022Y</stp>
        <stp>FPT=A</stp>
        <stp>FA_ACT_EST_DATA=E, EST_SOURCE=DBG</stp>
        <stp>ACT_EST_MAPPING=PRECISE</stp>
        <stp>FS=MRC</stp>
        <stp>CURRENCY=USD</stp>
        <stp>XLFILL=b</stp>
        <tr r="P104" s="2"/>
      </tp>
      <tp t="s">
        <v/>
        <stp/>
        <stp>##V3_BQLV12</stp>
        <stp>[MODL_CRM_US1.xlsx]Single Period!R40C31</stp>
        <stp>SEG0000269228 Segment</stp>
        <stp>REVENUE_GROWTH_CC_1_YR</stp>
        <stp>FPR=2022Y</stp>
        <stp>FPT=A</stp>
        <stp>FA_ACT_EST_DATA=E, EST_SOURCE=RBC</stp>
        <stp>ACT_EST_MAPPING=PRECISE</stp>
        <stp>FS=MRC</stp>
        <stp>CURRENCY=USD</stp>
        <stp>XLFILL=b</stp>
        <tr r="AE40" s="2"/>
      </tp>
      <tp t="s">
        <v/>
        <stp/>
        <stp>##V3_BQLV12</stp>
        <stp>[MODL_CRM_US1.xlsx]Single Period!R179C49</stp>
        <stp>CRM US Equity</stp>
        <stp>CB_CF_NET_CASH_FINANCING_ACT/1M</stp>
        <stp>FPR=2022Y</stp>
        <stp>FPT=A</stp>
        <stp>FA_ACT_EST_DATA=E, EST_SOURCE=SGE</stp>
        <stp>ACT_EST_MAPPING=PRECISE</stp>
        <stp>FS=MRC</stp>
        <stp>CURRENCY=USD</stp>
        <stp>XLFILL=b</stp>
        <tr r="AW179" s="2"/>
      </tp>
      <tp>
        <v>26.082811073217449</v>
        <stp/>
        <stp>##V3_BQLV12</stp>
        <stp>[MODL_CRM_US1.xlsx]Single Period!R78C13</stp>
        <stp>CRM US Equity</stp>
        <stp>COGS_TO_NET_SALES</stp>
        <stp>FPR=2022Y</stp>
        <stp>FPT=A</stp>
        <stp>FA_ACT_EST_DATA=E, EST_SOURCE=BCA</stp>
        <stp>ACT_EST_MAPPING=PRECISE</stp>
        <stp>FS=MRC</stp>
        <stp>CURRENCY=USD</stp>
        <stp>XLFILL=b</stp>
        <tr r="M78" s="2"/>
      </tp>
      <tp t="s">
        <v/>
        <stp/>
        <stp>##V3_BQLV12</stp>
        <stp>[MODL_CRM_US1.xlsx]Single Period!R40C24</stp>
        <stp>SEG0000269228 Segment</stp>
        <stp>REVENUE_GROWTH_CC_1_YR</stp>
        <stp>FPR=2022Y</stp>
        <stp>FPT=A</stp>
        <stp>FA_ACT_EST_DATA=E, EST_SOURCE=FBC</stp>
        <stp>ACT_EST_MAPPING=PRECISE</stp>
        <stp>FS=MRC</stp>
        <stp>CURRENCY=USD</stp>
        <stp>XLFILL=b</stp>
        <tr r="X40" s="2"/>
      </tp>
      <tp t="s">
        <v/>
        <stp/>
        <stp>##V3_BQLV12</stp>
        <stp>[MODL_CRM_US1.xlsx]Single Period!R179C11</stp>
        <stp>CRM US Equity</stp>
        <stp>CB_CF_NET_CASH_FINANCING_ACT/1M</stp>
        <stp>FPR=2022Y</stp>
        <stp>FPT=A</stp>
        <stp>FA_ACT_EST_DATA=E, EST_SOURCE=WBL</stp>
        <stp>ACT_EST_MAPPING=PRECISE</stp>
        <stp>FS=MRC</stp>
        <stp>CURRENCY=USD</stp>
        <stp>XLFILL=b</stp>
        <tr r="K179" s="2"/>
      </tp>
      <tp t="s">
        <v/>
        <stp/>
        <stp>##V3_BQLV12</stp>
        <stp>[MODL_CRM_US1.xlsx]Single Period!R45C48</stp>
        <stp>SEG0000269240 Segment</stp>
        <stp>REVENUE_GROWTH_CC_1_YR</stp>
        <stp>FPR=2022Y</stp>
        <stp>FPT=A</stp>
        <stp>FA_ACT_EST_DATA=E, EST_SOURCE=PJE</stp>
        <stp>ACT_EST_MAPPING=PRECISE</stp>
        <stp>FS=MRC</stp>
        <stp>CURRENCY=USD</stp>
        <stp>XLFILL=b</stp>
        <tr r="AV45" s="2"/>
      </tp>
      <tp t="s">
        <v/>
        <stp/>
        <stp>##V3_BQLV12</stp>
        <stp>[MODL_CRM_US1.xlsx]Single Period!R78C19</stp>
        <stp>CRM US Equity</stp>
        <stp>COGS_TO_NET_SALES</stp>
        <stp>FPR=2022Y</stp>
        <stp>FPT=A</stp>
        <stp>FA_ACT_EST_DATA=E, EST_SOURCE=SCB</stp>
        <stp>ACT_EST_MAPPING=PRECISE</stp>
        <stp>FS=MRC</stp>
        <stp>CURRENCY=USD</stp>
        <stp>XLFILL=b</stp>
        <tr r="S78" s="2"/>
      </tp>
      <tp>
        <v>7302.6291499999998</v>
        <stp/>
        <stp>##V3_BQLV12</stp>
        <stp>[MODL_CRM_US1.xlsx]Single Period!R182C17</stp>
        <stp>CRM US Equity</stp>
        <stp>CB_CF_NET_CASH_OPERATING_ACT/1M</stp>
        <stp>FPR=2022Y</stp>
        <stp>FPT=A</stp>
        <stp>FA_ACT_EST_DATA=E, EST_SOURCE=NDH</stp>
        <stp>ACT_EST_MAPPING=PRECISE</stp>
        <stp>FS=MRC</stp>
        <stp>CURRENCY=USD</stp>
        <stp>XLFILL=b</stp>
        <tr r="Q182" s="2"/>
      </tp>
      <tp t="s">
        <v/>
        <stp/>
        <stp>##V3_BQLV12</stp>
        <stp>[MODL_CRM_US1.xlsx]Single Period!R78C40</stp>
        <stp>CRM US Equity</stp>
        <stp>COGS_TO_NET_SALES</stp>
        <stp>FPR=2022Y</stp>
        <stp>FPT=A</stp>
        <stp>FA_ACT_EST_DATA=E, EST_SOURCE=ACC</stp>
        <stp>ACT_EST_MAPPING=PRECISE</stp>
        <stp>FS=MRC</stp>
        <stp>CURRENCY=USD</stp>
        <stp>XLFILL=b</stp>
        <tr r="AN78" s="2"/>
      </tp>
      <tp t="s">
        <v/>
        <stp/>
        <stp>##V3_BQLV12</stp>
        <stp>[MODL_CRM_US1.xlsx]Single Period!R45C21</stp>
        <stp>SEG0000269240 Segment</stp>
        <stp>REVENUE_GROWTH_CC_1_YR</stp>
        <stp>FPR=2022Y</stp>
        <stp>FPT=A</stp>
        <stp>FA_ACT_EST_DATA=E, EST_SOURCE=RJA</stp>
        <stp>ACT_EST_MAPPING=PRECISE</stp>
        <stp>FS=MRC</stp>
        <stp>CURRENCY=USD</stp>
        <stp>XLFILL=b</stp>
        <tr r="U45" s="2"/>
      </tp>
      <tp t="s">
        <v/>
        <stp/>
        <stp>##V3_BQLV12</stp>
        <stp>[MODL_CRM_US1.xlsx]Single Period!R121C33</stp>
        <stp>CRM US Equity</stp>
        <stp>CB_BS_INTANG_ASSETS_EX_GW_NT/1M</stp>
        <stp>FPR=2022Y</stp>
        <stp>FPT=A</stp>
        <stp>FA_ACT_EST_DATA=E, EST_SOURCE=RHR</stp>
        <stp>ACT_EST_MAPPING=PRECISE</stp>
        <stp>FS=MRC</stp>
        <stp>CURRENCY=USD</stp>
        <stp>XLFILL=b</stp>
        <tr r="AG121" s="2"/>
      </tp>
      <tp>
        <v>7302.6291499999998</v>
        <stp/>
        <stp>##V3_BQLV12</stp>
        <stp>[MODL_CRM_US1.xlsx]Single Period!R167C17</stp>
        <stp>CRM US Equity</stp>
        <stp>CB_CF_NET_CASH_OPERATING_ACT/1M</stp>
        <stp>FPR=2022Y</stp>
        <stp>FPT=A</stp>
        <stp>FA_ACT_EST_DATA=E, EST_SOURCE=NDH</stp>
        <stp>ACT_EST_MAPPING=PRECISE</stp>
        <stp>FS=MRC</stp>
        <stp>CURRENCY=USD</stp>
        <stp>XLFILL=b</stp>
        <tr r="Q167" s="2"/>
      </tp>
      <tp t="s">
        <v/>
        <stp/>
        <stp>##V3_BQLV12</stp>
        <stp>[MODL_CRM_US1.xlsx]Single Period!R78C27</stp>
        <stp>CRM US Equity</stp>
        <stp>COGS_TO_NET_SALES</stp>
        <stp>FPR=2022Y</stp>
        <stp>FPT=A</stp>
        <stp>FA_ACT_EST_DATA=E, EST_SOURCE=LCM</stp>
        <stp>ACT_EST_MAPPING=PRECISE</stp>
        <stp>FS=MRC</stp>
        <stp>CURRENCY=USD</stp>
        <stp>XLFILL=b</stp>
        <tr r="AA78" s="2"/>
      </tp>
      <tp t="s">
        <v/>
        <stp/>
        <stp>##V3_BQLV12</stp>
        <stp>[MODL_CRM_US1.xlsx]Single Period!R40C11</stp>
        <stp>SEG0000269228 Segment</stp>
        <stp>REVENUE_GROWTH_CC_1_YR</stp>
        <stp>FPR=2022Y</stp>
        <stp>FPT=A</stp>
        <stp>FA_ACT_EST_DATA=E, EST_SOURCE=WBL</stp>
        <stp>ACT_EST_MAPPING=PRECISE</stp>
        <stp>FS=MRC</stp>
        <stp>CURRENCY=USD</stp>
        <stp>XLFILL=b</stp>
        <tr r="K40" s="2"/>
      </tp>
      <tp>
        <v>8815</v>
        <stp/>
        <stp>##V3_BQLV12</stp>
        <stp>[MODL_CRM_US1.xlsx]Single Period!R179C16</stp>
        <stp>CRM US Equity</stp>
        <stp>CB_CF_NET_CASH_FINANCING_ACT/1M</stp>
        <stp>FPR=2022Y</stp>
        <stp>FPT=A</stp>
        <stp>FA_ACT_EST_DATA=E, EST_SOURCE=DBG</stp>
        <stp>ACT_EST_MAPPING=PRECISE</stp>
        <stp>FS=MRC</stp>
        <stp>CURRENCY=USD</stp>
        <stp>XLFILL=b</stp>
        <tr r="P179" s="2"/>
      </tp>
      <tp t="s">
        <v/>
        <stp/>
        <stp>##V3_BQLV12</stp>
        <stp>[MODL_CRM_US1.xlsx]Single Period!R125C48</stp>
        <stp>CRM US Equity</stp>
        <stp>BS_TOT_ASSET/1M</stp>
        <stp>FPR=2022Y</stp>
        <stp>FPT=A</stp>
        <stp>FA_ACT_EST_DATA=E, EST_SOURCE=PJE</stp>
        <stp>ACT_EST_MAPPING=PRECISE</stp>
        <stp>FS=MRC</stp>
        <stp>CURRENCY=USD</stp>
        <stp>XLFILL=b</stp>
        <tr r="AV125" s="2"/>
      </tp>
      <tp t="s">
        <v/>
        <stp/>
        <stp>##V3_BQLV12</stp>
        <stp>[MODL_CRM_US1.xlsx]Single Period!R135C14</stp>
        <stp>CRM US Equity</stp>
        <stp>CB_BS_OTHER_NONCURRENT_LIABS/1M</stp>
        <stp>FPR=2022Y</stp>
        <stp>FPT=A</stp>
        <stp>FA_ACT_EST_DATA=E, EST_SOURCE=SNR</stp>
        <stp>ACT_EST_MAPPING=PRECISE</stp>
        <stp>FS=MRC</stp>
        <stp>CURRENCY=USD</stp>
        <stp>XLFILL=b</stp>
        <tr r="N135" s="2"/>
      </tp>
      <tp t="s">
        <v/>
        <stp/>
        <stp>##V3_BQLV12</stp>
        <stp>[MODL_CRM_US1.xlsx]Single Period!R135C25</stp>
        <stp>CRM US Equity</stp>
        <stp>CB_BS_OTHER_NONCURRENT_LIABS/1M</stp>
        <stp>FPR=2022Y</stp>
        <stp>FPT=A</stp>
        <stp>FA_ACT_EST_DATA=E, EST_SOURCE=WMS</stp>
        <stp>ACT_EST_MAPPING=PRECISE</stp>
        <stp>FS=MRC</stp>
        <stp>CURRENCY=USD</stp>
        <stp>XLFILL=b</stp>
        <tr r="Y135" s="2"/>
      </tp>
      <tp t="s">
        <v/>
        <stp/>
        <stp>##V3_BQLV12</stp>
        <stp>[MODL_CRM_US1.xlsx]Single Period!R71C55</stp>
        <stp>CRM US Equity</stp>
        <stp>ADJ_PROFIT_MARGIN</stp>
        <stp>FPR=2022Y</stp>
        <stp>FPT=A</stp>
        <stp>FA_ACT_EST_DATA=E, EST_SOURCE=RED</stp>
        <stp>ACT_EST_MAPPING=PRECISE</stp>
        <stp>FS=MRC</stp>
        <stp>CURRENCY=USD</stp>
        <stp>XLFILL=b</stp>
        <tr r="BC71" s="2"/>
      </tp>
      <tp t="s">
        <v/>
        <stp/>
        <stp>##V3_BQLV12</stp>
        <stp>[MODL_CRM_US1.xlsx]Single Period!R104C49</stp>
        <stp>CRM US Equity</stp>
        <stp>IS_AMORT_OF_TOT_INTANG_PRETX/1M</stp>
        <stp>FPR=2022Y</stp>
        <stp>FPT=A</stp>
        <stp>FA_ACT_EST_DATA=E, EST_SOURCE=SGE</stp>
        <stp>ACT_EST_MAPPING=PRECISE</stp>
        <stp>FS=MRC</stp>
        <stp>CURRENCY=USD</stp>
        <stp>XLFILL=b</stp>
        <tr r="AW104" s="2"/>
      </tp>
      <tp t="s">
        <v/>
        <stp/>
        <stp>##V3_BQLV12</stp>
        <stp>[MODL_CRM_US1.xlsx]Single Period!R71C34</stp>
        <stp>CRM US Equity</stp>
        <stp>ADJ_PROFIT_MARGIN</stp>
        <stp>FPR=2022Y</stp>
        <stp>FPT=A</stp>
        <stp>FA_ACT_EST_DATA=E, EST_SOURCE=JEF</stp>
        <stp>ACT_EST_MAPPING=PRECISE</stp>
        <stp>FS=MRC</stp>
        <stp>CURRENCY=USD</stp>
        <stp>XLFILL=b</stp>
        <tr r="AH71" s="2"/>
      </tp>
      <tp t="s">
        <v/>
        <stp/>
        <stp>##V3_BQLV12</stp>
        <stp>[MODL_CRM_US1.xlsx]Single Period!R142C48</stp>
        <stp>CRM US Equity</stp>
        <stp>BS_TOT_ASSET/1M</stp>
        <stp>FPR=2022Y</stp>
        <stp>FPT=A</stp>
        <stp>FA_ACT_EST_DATA=E, EST_SOURCE=PJE</stp>
        <stp>ACT_EST_MAPPING=PRECISE</stp>
        <stp>FS=MRC</stp>
        <stp>CURRENCY=USD</stp>
        <stp>XLFILL=b</stp>
        <tr r="AV142" s="2"/>
      </tp>
      <tp t="s">
        <v/>
        <stp/>
        <stp>##V3_BQLV12</stp>
        <stp>[MODL_CRM_US1.xlsx]Single Period!R135C20</stp>
        <stp>CRM US Equity</stp>
        <stp>CB_BS_OTHER_NONCURRENT_LIABS/1M</stp>
        <stp>FPR=2022Y</stp>
        <stp>FPT=A</stp>
        <stp>FA_ACT_EST_DATA=E, EST_SOURCE=JMP</stp>
        <stp>ACT_EST_MAPPING=PRECISE</stp>
        <stp>FS=MRC</stp>
        <stp>CURRENCY=USD</stp>
        <stp>XLFILL=b</stp>
        <tr r="T135" s="2"/>
      </tp>
      <tp>
        <v>1630</v>
        <stp/>
        <stp>##V3_BQLV12</stp>
        <stp>[MODL_CRM_US1.xlsx]Single Period!R104C11</stp>
        <stp>CRM US Equity</stp>
        <stp>IS_AMORT_OF_TOT_INTANG_PRETX/1M</stp>
        <stp>FPR=2022Y</stp>
        <stp>FPT=A</stp>
        <stp>FA_ACT_EST_DATA=E, EST_SOURCE=WBL</stp>
        <stp>ACT_EST_MAPPING=PRECISE</stp>
        <stp>FS=MRC</stp>
        <stp>CURRENCY=USD</stp>
        <stp>XLFILL=b</stp>
        <tr r="K104" s="2"/>
      </tp>
      <tp t="s">
        <v/>
        <stp/>
        <stp>##V3_BQLV12</stp>
        <stp>[MODL_CRM_US1.xlsx]Single Period!R58C50</stp>
        <stp>CRM US Equity</stp>
        <stp>CB_IS_ADJUSTED_OPEX/1M</stp>
        <stp>FPR=2022Y</stp>
        <stp>FPT=A</stp>
        <stp>FA_ACT_EST_DATA=E, EST_SOURCE=MZS</stp>
        <stp>ACT_EST_MAPPING=PRECISE</stp>
        <stp>FS=MRC</stp>
        <stp>CURRENCY=USD</stp>
        <stp>XLFILL=b</stp>
        <tr r="AX58" s="2"/>
      </tp>
      <tp>
        <v>16.360158867482291</v>
        <stp/>
        <stp>##V3_BQLV12</stp>
        <stp>[MODL_CRM_US1.xlsx]Single Period!R71C26</stp>
        <stp>CRM US Equity</stp>
        <stp>ADJ_PROFIT_MARGIN</stp>
        <stp>FPR=2022Y</stp>
        <stp>FPT=A</stp>
        <stp>FA_ACT_EST_DATA=E, EST_SOURCE=KEY</stp>
        <stp>ACT_EST_MAPPING=PRECISE</stp>
        <stp>FS=MRC</stp>
        <stp>CURRENCY=USD</stp>
        <stp>XLFILL=b</stp>
        <tr r="Z71" s="2"/>
      </tp>
      <tp>
        <v>4.6736582285155386</v>
        <stp/>
        <stp>##V3_BQLV12</stp>
        <stp>[MODL_CRM_US1.xlsx]Single Period!R92C5</stp>
        <stp>CRM US Equity</stp>
        <stp>PROF_MARGIN</stp>
        <stp>FPR=2022Y</stp>
        <stp>FPT=A</stp>
        <stp>FA_ACT_EST_DATA=E</stp>
        <stp>ACT_EST_MAPPING=PRECISE</stp>
        <stp>FS=MRC</stp>
        <stp>CURRENCY=USD</stp>
        <stp>XLFILL=b</stp>
        <tr r="E92" s="2"/>
      </tp>
      <tp t="s">
        <v/>
        <stp/>
        <stp>##V3_BQLV12</stp>
        <stp>[MODL_CRM_US1.xlsx]Single Period!R104C52</stp>
        <stp>CRM US Equity</stp>
        <stp>IS_AMORT_OF_TOT_INTANG_PRETX/1M</stp>
        <stp>FPR=2022Y</stp>
        <stp>FPT=A</stp>
        <stp>FA_ACT_EST_DATA=E, EST_SOURCE=WFR</stp>
        <stp>ACT_EST_MAPPING=PRECISE</stp>
        <stp>FS=MRC</stp>
        <stp>CURRENCY=USD</stp>
        <stp>XLFILL=b</stp>
        <tr r="AZ104" s="2"/>
      </tp>
      <tp t="s">
        <v/>
        <stp/>
        <stp>##V3_BQLV12</stp>
        <stp>[MODL_CRM_US1.xlsx]Single Period!R78C51</stp>
        <stp>CRM US Equity</stp>
        <stp>COGS_TO_NET_SALES</stp>
        <stp>FPR=2022Y</stp>
        <stp>FPT=A</stp>
        <stp>FA_ACT_EST_DATA=E, EST_SOURCE=RCP</stp>
        <stp>ACT_EST_MAPPING=PRECISE</stp>
        <stp>FS=MRC</stp>
        <stp>CURRENCY=USD</stp>
        <stp>XLFILL=b</stp>
        <tr r="AY78" s="2"/>
      </tp>
      <tp t="s">
        <v/>
        <stp/>
        <stp>##V3_BQLV12</stp>
        <stp>[MODL_CRM_US1.xlsx]Single Period!R40C32</stp>
        <stp>SEG0000269228 Segment</stp>
        <stp>REVENUE_GROWTH_CC_1_YR</stp>
        <stp>FPR=2022Y</stp>
        <stp>FPT=A</stp>
        <stp>FA_ACT_EST_DATA=E, EST_SOURCE=UBS</stp>
        <stp>ACT_EST_MAPPING=PRECISE</stp>
        <stp>FS=MRC</stp>
        <stp>CURRENCY=USD</stp>
        <stp>XLFILL=b</stp>
        <tr r="AF40" s="2"/>
      </tp>
      <tp t="s">
        <v/>
        <stp/>
        <stp>##V3_BQLV12</stp>
        <stp>[MODL_CRM_US1.xlsx]Single Period!R179C52</stp>
        <stp>CRM US Equity</stp>
        <stp>CB_CF_NET_CASH_FINANCING_ACT/1M</stp>
        <stp>FPR=2022Y</stp>
        <stp>FPT=A</stp>
        <stp>FA_ACT_EST_DATA=E, EST_SOURCE=WFR</stp>
        <stp>ACT_EST_MAPPING=PRECISE</stp>
        <stp>FS=MRC</stp>
        <stp>CURRENCY=USD</stp>
        <stp>XLFILL=b</stp>
        <tr r="AZ179" s="2"/>
      </tp>
      <tp t="s">
        <v/>
        <stp/>
        <stp>##V3_BQLV12</stp>
        <stp>[MODL_CRM_US1.xlsx]Single Period!R67C49</stp>
        <stp>CRM US Equity</stp>
        <stp>IS_NON_OPERATING_INC_LOSS_GAAP/1M</stp>
        <stp>FPR=2022Y</stp>
        <stp>FPT=A</stp>
        <stp>FA_ACT_EST_DATA=E, EST_SOURCE=SGE</stp>
        <stp>ACT_EST_MAPPING=PRECISE</stp>
        <stp>FS=MRC</stp>
        <stp>CURRENCY=USD</stp>
        <stp>XLFILL=b</stp>
        <tr r="AW67" s="2"/>
      </tp>
      <tp>
        <v>138.40898470091687</v>
        <stp/>
        <stp>##V3_BQLV12</stp>
        <stp>[MODL_CRM_US1.xlsx]Single Period!R90C13</stp>
        <stp>CRM US Equity</stp>
        <stp>IS_INC_TAX_EXP/1M</stp>
        <stp>FPR=2022Y</stp>
        <stp>FPT=A</stp>
        <stp>FA_ACT_EST_DATA=E, EST_SOURCE=BCA</stp>
        <stp>ACT_EST_MAPPING=PRECISE</stp>
        <stp>FS=MRC</stp>
        <stp>CURRENCY=USD</stp>
        <stp>XLFILL=b</stp>
        <tr r="M90" s="2"/>
      </tp>
      <tp t="s">
        <v/>
        <stp/>
        <stp>##V3_BQLV12</stp>
        <stp>[MODL_CRM_US1.xlsx]Single Period!R90C19</stp>
        <stp>CRM US Equity</stp>
        <stp>IS_INC_TAX_EXP/1M</stp>
        <stp>FPR=2022Y</stp>
        <stp>FPT=A</stp>
        <stp>FA_ACT_EST_DATA=E, EST_SOURCE=SCB</stp>
        <stp>ACT_EST_MAPPING=PRECISE</stp>
        <stp>FS=MRC</stp>
        <stp>CURRENCY=USD</stp>
        <stp>XLFILL=b</stp>
        <tr r="S90" s="2"/>
      </tp>
      <tp t="s">
        <v/>
        <stp/>
        <stp>##V3_BQLV12</stp>
        <stp>[MODL_CRM_US1.xlsx]Single Period!R90C40</stp>
        <stp>CRM US Equity</stp>
        <stp>IS_INC_TAX_EXP/1M</stp>
        <stp>FPR=2022Y</stp>
        <stp>FPT=A</stp>
        <stp>FA_ACT_EST_DATA=E, EST_SOURCE=ACC</stp>
        <stp>ACT_EST_MAPPING=PRECISE</stp>
        <stp>FS=MRC</stp>
        <stp>CURRENCY=USD</stp>
        <stp>XLFILL=b</stp>
        <tr r="AN90" s="2"/>
      </tp>
      <tp t="s">
        <v/>
        <stp/>
        <stp>##V3_BQLV12</stp>
        <stp>[MODL_CRM_US1.xlsx]Single Period!R67C39</stp>
        <stp>CRM US Equity</stp>
        <stp>IS_NON_OPERATING_INC_LOSS_GAAP/1M</stp>
        <stp>FPR=2022Y</stp>
        <stp>FPT=A</stp>
        <stp>FA_ACT_EST_DATA=E, EST_SOURCE=KGI</stp>
        <stp>ACT_EST_MAPPING=PRECISE</stp>
        <stp>FS=MRC</stp>
        <stp>CURRENCY=USD</stp>
        <stp>XLFILL=b</stp>
        <tr r="AM67" s="2"/>
      </tp>
      <tp t="s">
        <v/>
        <stp/>
        <stp>##V3_BQLV12</stp>
        <stp>[MODL_CRM_US1.xlsx]Single Period!R90C27</stp>
        <stp>CRM US Equity</stp>
        <stp>IS_INC_TAX_EXP/1M</stp>
        <stp>FPR=2022Y</stp>
        <stp>FPT=A</stp>
        <stp>FA_ACT_EST_DATA=E, EST_SOURCE=LCM</stp>
        <stp>ACT_EST_MAPPING=PRECISE</stp>
        <stp>FS=MRC</stp>
        <stp>CURRENCY=USD</stp>
        <stp>XLFILL=b</stp>
        <tr r="AA90" s="2"/>
      </tp>
      <tp t="s">
        <v/>
        <stp/>
        <stp>##V3_BQLV12</stp>
        <stp>[MODL_CRM_US1.xlsx]Single Period!R193C50</stp>
        <stp>CRM US Equity</stp>
        <stp>FCF_PER_DIL_SHR</stp>
        <stp>FPR=2022Y</stp>
        <stp>FPT=A</stp>
        <stp>FA_ACT_EST_DATA=E, EST_SOURCE=MZS</stp>
        <stp>ACT_EST_MAPPING=PRECISE</stp>
        <stp>FS=MRC</stp>
        <stp>CURRENCY=USD</stp>
        <stp>XLFILL=b</stp>
        <tr r="AX193" s="2"/>
      </tp>
      <tp t="s">
        <v/>
        <stp/>
        <stp>##V3_BQLV12</stp>
        <stp>[MODL_CRM_US1.xlsx]Single Period!R82C10</stp>
        <stp>CRM US Equity</stp>
        <stp>OPERATING_EXPENSES_TO_NET_SALES</stp>
        <stp>FPR=2022Y</stp>
        <stp>FPT=A</stp>
        <stp>FA_ACT_EST_DATA=E, EST_SOURCE=CMPY</stp>
        <stp>ACT_EST_MAPPING=PRECISE</stp>
        <stp>FS=MRC</stp>
        <stp>CURRENCY=USD</stp>
        <stp>XLFILL=b</stp>
        <tr r="J82" s="2"/>
      </tp>
      <tp t="s">
        <v/>
        <stp/>
        <stp>##V3_BQLV12</stp>
        <stp>[MODL_CRM_US1.xlsx]Single Period!R90C51</stp>
        <stp>CRM US Equity</stp>
        <stp>IS_INC_TAX_EXP/1M</stp>
        <stp>FPR=2022Y</stp>
        <stp>FPT=A</stp>
        <stp>FA_ACT_EST_DATA=E, EST_SOURCE=RCP</stp>
        <stp>ACT_EST_MAPPING=PRECISE</stp>
        <stp>FS=MRC</stp>
        <stp>CURRENCY=USD</stp>
        <stp>XLFILL=b</stp>
        <tr r="AY90" s="2"/>
      </tp>
      <tp t="s">
        <v/>
        <stp/>
        <stp>##V3_BQLV12</stp>
        <stp>[MODL_CRM_US1.xlsx]Single Period!R44C10</stp>
        <stp>SEG0000269240 Segment</stp>
        <stp>IS_PERCENTAGE_OF_REVENUE</stp>
        <stp>FPR=2022Y</stp>
        <stp>FPT=A</stp>
        <stp>FA_ACT_EST_DATA=E, EST_SOURCE=CMPY</stp>
        <stp>ACT_EST_MAPPING=PRECISE</stp>
        <stp>FS=MRC</stp>
        <stp>CURRENCY=USD</stp>
        <stp>XLFILL=b</stp>
        <tr r="J44" s="2"/>
      </tp>
      <tp>
        <v>-937.38639200528155</v>
        <stp/>
        <stp>##V3_BQLV12</stp>
        <stp>[MODL_CRM_US1.xlsx]Single Period!R171C6</stp>
        <stp>CRM US Equity</stp>
        <stp>CONTRIBUTOR_STATS(CF_PURCHASE_OF_FIXED_PROD_ASSETS, MIN)/1M</stp>
        <stp>FPR=2022Y</stp>
        <stp>FPT=A</stp>
        <stp>FA_ACT_EST_DATA=E</stp>
        <stp>ACT_EST_MAPPING=PRECISE</stp>
        <stp>FS=MRC</stp>
        <stp>CURRENCY=USD</stp>
        <stp>XLFILL=b</stp>
        <tr r="F171" s="2"/>
      </tp>
      <tp>
        <v>-727.32658621805331</v>
        <stp/>
        <stp>##V3_BQLV12</stp>
        <stp>[MODL_CRM_US1.xlsx]Single Period!R171C7</stp>
        <stp>CRM US Equity</stp>
        <stp>CONTRIBUTOR_STATS(CF_PURCHASE_OF_FIXED_PROD_ASSETS, MAX)/1M</stp>
        <stp>FPR=2022Y</stp>
        <stp>FPT=A</stp>
        <stp>FA_ACT_EST_DATA=E</stp>
        <stp>ACT_EST_MAPPING=PRECISE</stp>
        <stp>FS=MRC</stp>
        <stp>CURRENCY=USD</stp>
        <stp>XLFILL=b</stp>
        <tr r="G171" s="2"/>
      </tp>
      <tp>
        <v>45.701112655461401</v>
        <stp/>
        <stp>##V3_BQLV12</stp>
        <stp>[MODL_CRM_US1.xlsx]Single Period!R171C8</stp>
        <stp>CRM US Equity</stp>
        <stp>CONTRIBUTOR_STATS(CF_PURCHASE_OF_FIXED_PROD_ASSETS, STD)/1M</stp>
        <stp>FPR=2022Y</stp>
        <stp>FPT=A</stp>
        <stp>FA_ACT_EST_DATA=E</stp>
        <stp>ACT_EST_MAPPING=PRECISE</stp>
        <stp>FS=MRC</stp>
        <stp>CURRENCY=USD</stp>
        <stp>XLFILL=b</stp>
        <tr r="H171" s="2"/>
      </tp>
      <tp>
        <v>26395</v>
        <stp/>
        <stp>##V3_BQLV12</stp>
        <stp>[MODL_CRM_US1.xlsx]Single Period!R7C21</stp>
        <stp>CRM US Equity</stp>
        <stp>IS_COMP_SALES/1M</stp>
        <stp>FPR=2022Y</stp>
        <stp>FPT=A</stp>
        <stp>FA_ACT_EST_DATA=E, EST_SOURCE=RJA</stp>
        <stp>ACT_EST_MAPPING=PRECISE</stp>
        <stp>FS=MRC</stp>
        <stp>CURRENCY=USD</stp>
        <stp>XLFILL=b</stp>
        <tr r="U7" s="2"/>
      </tp>
      <tp>
        <v>3.5507678997637142</v>
        <stp/>
        <stp>##V3_BQLV12</stp>
        <stp>[MODL_CRM_US1.xlsx]Single Period!R172C7</stp>
        <stp>CRM US Equity</stp>
        <stp>CONTRIBUTOR_STATS(CAP_EXPEND_TO_SALES, MAX)</stp>
        <stp>FPR=2022Y</stp>
        <stp>FPT=A</stp>
        <stp>FA_ACT_EST_DATA=E</stp>
        <stp>ACT_EST_MAPPING=PRECISE</stp>
        <stp>FS=MRC</stp>
        <stp>CURRENCY=USD</stp>
        <stp>XLFILL=b</stp>
        <tr r="G172" s="2"/>
      </tp>
      <tp>
        <v>26395</v>
        <stp/>
        <stp>##V3_BQLV12</stp>
        <stp>[MODL_CRM_US1.xlsx]Single Period!R7C33</stp>
        <stp>CRM US Equity</stp>
        <stp>IS_COMP_SALES/1M</stp>
        <stp>FPR=2022Y</stp>
        <stp>FPT=A</stp>
        <stp>FA_ACT_EST_DATA=E, EST_SOURCE=RHR</stp>
        <stp>ACT_EST_MAPPING=PRECISE</stp>
        <stp>FS=MRC</stp>
        <stp>CURRENCY=USD</stp>
        <stp>XLFILL=b</stp>
        <tr r="AG7" s="2"/>
      </tp>
      <tp>
        <v>2.8116977670950511</v>
        <stp/>
        <stp>##V3_BQLV12</stp>
        <stp>[MODL_CRM_US1.xlsx]Single Period!R172C6</stp>
        <stp>CRM US Equity</stp>
        <stp>CONTRIBUTOR_STATS(CAP_EXPEND_TO_SALES, MIN)</stp>
        <stp>FPR=2022Y</stp>
        <stp>FPT=A</stp>
        <stp>FA_ACT_EST_DATA=E</stp>
        <stp>ACT_EST_MAPPING=PRECISE</stp>
        <stp>FS=MRC</stp>
        <stp>CURRENCY=USD</stp>
        <stp>XLFILL=b</stp>
        <tr r="F172" s="2"/>
      </tp>
      <tp>
        <v>1390.5459314359641</v>
        <stp/>
        <stp>##V3_BQLV12</stp>
        <stp>[MODL_CRM_US1.xlsx]Single Period!R115C9</stp>
        <stp>CRM US Equity</stp>
        <stp>CONTRIBUTOR_STATS(CB_BS_OTHER_CURRENT_ASSETS, MEDIAN)/1M</stp>
        <stp>FPR=2022Y</stp>
        <stp>FPT=A</stp>
        <stp>FA_ACT_EST_DATA=E</stp>
        <stp>ACT_EST_MAPPING=PRECISE</stp>
        <stp>FS=MRC</stp>
        <stp>CURRENCY=USD</stp>
        <stp>XLFILL=b</stp>
        <tr r="I115" s="2"/>
      </tp>
      <tp t="s">
        <v/>
        <stp/>
        <stp>##V3_BQLV12</stp>
        <stp>[MODL_CRM_US1.xlsx]Single Period!R179C53</stp>
        <stp>CRM US Equity</stp>
        <stp>CB_CF_NET_CASH_FINANCING_ACT/1M</stp>
        <stp>FPR=2022Y</stp>
        <stp>FPT=A</stp>
        <stp>FA_ACT_EST_DATA=E, EST_SOURCE=NIK</stp>
        <stp>ACT_EST_MAPPING=PRECISE</stp>
        <stp>FS=MRC</stp>
        <stp>CURRENCY=USD</stp>
        <stp>XLFILL=b</stp>
        <tr r="BA179" s="2"/>
      </tp>
      <tp t="s">
        <v/>
        <stp/>
        <stp>##V3_BQLV12</stp>
        <stp>[MODL_CRM_US1.xlsx]Single Period!R142C31</stp>
        <stp>CRM US Equity</stp>
        <stp>BS_TOT_ASSET/1M</stp>
        <stp>FPR=2022Y</stp>
        <stp>FPT=A</stp>
        <stp>FA_ACT_EST_DATA=E, EST_SOURCE=RBC</stp>
        <stp>ACT_EST_MAPPING=PRECISE</stp>
        <stp>FS=MRC</stp>
        <stp>CURRENCY=USD</stp>
        <stp>XLFILL=b</stp>
        <tr r="AE142" s="2"/>
      </tp>
      <tp t="s">
        <v/>
        <stp/>
        <stp>##V3_BQLV12</stp>
        <stp>[MODL_CRM_US1.xlsx]Single Period!R45C34</stp>
        <stp>SEG0000269240 Segment</stp>
        <stp>REVENUE_GROWTH_CC_1_YR</stp>
        <stp>FPR=2022Y</stp>
        <stp>FPT=A</stp>
        <stp>FA_ACT_EST_DATA=E, EST_SOURCE=JEF</stp>
        <stp>ACT_EST_MAPPING=PRECISE</stp>
        <stp>FS=MRC</stp>
        <stp>CURRENCY=USD</stp>
        <stp>XLFILL=b</stp>
        <tr r="AH45" s="2"/>
      </tp>
      <tp t="s">
        <v/>
        <stp/>
        <stp>##V3_BQLV12</stp>
        <stp>[MODL_CRM_US1.xlsx]Single Period!R45C55</stp>
        <stp>SEG0000269240 Segment</stp>
        <stp>REVENUE_GROWTH_CC_1_YR</stp>
        <stp>FPR=2022Y</stp>
        <stp>FPT=A</stp>
        <stp>FA_ACT_EST_DATA=E, EST_SOURCE=RED</stp>
        <stp>ACT_EST_MAPPING=PRECISE</stp>
        <stp>FS=MRC</stp>
        <stp>CURRENCY=USD</stp>
        <stp>XLFILL=b</stp>
        <tr r="BC45" s="2"/>
      </tp>
      <tp t="s">
        <v/>
        <stp/>
        <stp>##V3_BQLV12</stp>
        <stp>[MODL_CRM_US1.xlsx]Single Period!R179C12</stp>
        <stp>CRM US Equity</stp>
        <stp>CB_CF_NET_CASH_FINANCING_ACT/1M</stp>
        <stp>FPR=2022Y</stp>
        <stp>FPT=A</stp>
        <stp>FA_ACT_EST_DATA=E, EST_SOURCE=BMO</stp>
        <stp>ACT_EST_MAPPING=PRECISE</stp>
        <stp>FS=MRC</stp>
        <stp>CURRENCY=USD</stp>
        <stp>XLFILL=b</stp>
        <tr r="L179" s="2"/>
      </tp>
      <tp t="s">
        <v/>
        <stp/>
        <stp>##V3_BQLV12</stp>
        <stp>[MODL_CRM_US1.xlsx]Single Period!R125C31</stp>
        <stp>CRM US Equity</stp>
        <stp>BS_TOT_ASSET/1M</stp>
        <stp>FPR=2022Y</stp>
        <stp>FPT=A</stp>
        <stp>FA_ACT_EST_DATA=E, EST_SOURCE=RBC</stp>
        <stp>ACT_EST_MAPPING=PRECISE</stp>
        <stp>FS=MRC</stp>
        <stp>CURRENCY=USD</stp>
        <stp>XLFILL=b</stp>
        <tr r="AE125" s="2"/>
      </tp>
      <tp>
        <v>17.25570312972232</v>
        <stp/>
        <stp>##V3_BQLV12</stp>
        <stp>[MODL_CRM_US1.xlsx]Single Period!R71C21</stp>
        <stp>CRM US Equity</stp>
        <stp>ADJ_PROFIT_MARGIN</stp>
        <stp>FPR=2022Y</stp>
        <stp>FPT=A</stp>
        <stp>FA_ACT_EST_DATA=E, EST_SOURCE=RJA</stp>
        <stp>ACT_EST_MAPPING=PRECISE</stp>
        <stp>FS=MRC</stp>
        <stp>CURRENCY=USD</stp>
        <stp>XLFILL=b</stp>
        <tr r="U71" s="2"/>
      </tp>
      <tp t="s">
        <v/>
        <stp/>
        <stp>##V3_BQLV12</stp>
        <stp>[MODL_CRM_US1.xlsx]Single Period!R142C27</stp>
        <stp>CRM US Equity</stp>
        <stp>BS_TOT_ASSET/1M</stp>
        <stp>FPR=2022Y</stp>
        <stp>FPT=A</stp>
        <stp>FA_ACT_EST_DATA=E, EST_SOURCE=LCM</stp>
        <stp>ACT_EST_MAPPING=PRECISE</stp>
        <stp>FS=MRC</stp>
        <stp>CURRENCY=USD</stp>
        <stp>XLFILL=b</stp>
        <tr r="AA142" s="2"/>
      </tp>
      <tp t="s">
        <v/>
        <stp/>
        <stp>##V3_BQLV12</stp>
        <stp>[MODL_CRM_US1.xlsx]Single Period!R40C12</stp>
        <stp>SEG0000269228 Segment</stp>
        <stp>REVENUE_GROWTH_CC_1_YR</stp>
        <stp>FPR=2022Y</stp>
        <stp>FPT=A</stp>
        <stp>FA_ACT_EST_DATA=E, EST_SOURCE=BMO</stp>
        <stp>ACT_EST_MAPPING=PRECISE</stp>
        <stp>FS=MRC</stp>
        <stp>CURRENCY=USD</stp>
        <stp>XLFILL=b</stp>
        <tr r="L40" s="2"/>
      </tp>
      <tp t="s">
        <v/>
        <stp/>
        <stp>##V3_BQLV12</stp>
        <stp>[MODL_CRM_US1.xlsx]Single Period!R104C53</stp>
        <stp>CRM US Equity</stp>
        <stp>IS_AMORT_OF_TOT_INTANG_PRETX/1M</stp>
        <stp>FPR=2022Y</stp>
        <stp>FPT=A</stp>
        <stp>FA_ACT_EST_DATA=E, EST_SOURCE=NIK</stp>
        <stp>ACT_EST_MAPPING=PRECISE</stp>
        <stp>FS=MRC</stp>
        <stp>CURRENCY=USD</stp>
        <stp>XLFILL=b</stp>
        <tr r="BA104" s="2"/>
      </tp>
      <tp t="s">
        <v/>
        <stp/>
        <stp>##V3_BQLV12</stp>
        <stp>[MODL_CRM_US1.xlsx]Single Period!R71C48</stp>
        <stp>CRM US Equity</stp>
        <stp>ADJ_PROFIT_MARGIN</stp>
        <stp>FPR=2022Y</stp>
        <stp>FPT=A</stp>
        <stp>FA_ACT_EST_DATA=E, EST_SOURCE=PJE</stp>
        <stp>ACT_EST_MAPPING=PRECISE</stp>
        <stp>FS=MRC</stp>
        <stp>CURRENCY=USD</stp>
        <stp>XLFILL=b</stp>
        <tr r="AV71" s="2"/>
      </tp>
      <tp t="s">
        <v/>
        <stp/>
        <stp>##V3_BQLV12</stp>
        <stp>[MODL_CRM_US1.xlsx]Single Period!R125C27</stp>
        <stp>CRM US Equity</stp>
        <stp>BS_TOT_ASSET/1M</stp>
        <stp>FPR=2022Y</stp>
        <stp>FPT=A</stp>
        <stp>FA_ACT_EST_DATA=E, EST_SOURCE=LCM</stp>
        <stp>ACT_EST_MAPPING=PRECISE</stp>
        <stp>FS=MRC</stp>
        <stp>CURRENCY=USD</stp>
        <stp>XLFILL=b</stp>
        <tr r="AA125" s="2"/>
      </tp>
      <tp>
        <v>1657.4255000000001</v>
        <stp/>
        <stp>##V3_BQLV12</stp>
        <stp>[MODL_CRM_US1.xlsx]Single Period!R104C12</stp>
        <stp>CRM US Equity</stp>
        <stp>IS_AMORT_OF_TOT_INTANG_PRETX/1M</stp>
        <stp>FPR=2022Y</stp>
        <stp>FPT=A</stp>
        <stp>FA_ACT_EST_DATA=E, EST_SOURCE=BMO</stp>
        <stp>ACT_EST_MAPPING=PRECISE</stp>
        <stp>FS=MRC</stp>
        <stp>CURRENCY=USD</stp>
        <stp>XLFILL=b</stp>
        <tr r="L104" s="2"/>
      </tp>
      <tp t="s">
        <v/>
        <stp/>
        <stp>##V3_BQLV12</stp>
        <stp>[MODL_CRM_US1.xlsx]Single Period!R124C45</stp>
        <stp>CRM US Equity</stp>
        <stp>CAPITALIZED_SOFTWARE/1M</stp>
        <stp>FPR=2022Y</stp>
        <stp>FPT=A</stp>
        <stp>FA_ACT_EST_DATA=E, EST_SOURCE=ARG</stp>
        <stp>ACT_EST_MAPPING=PRECISE</stp>
        <stp>FS=MRC</stp>
        <stp>CURRENCY=USD</stp>
        <stp>XLFILL=b</stp>
        <tr r="AS124" s="2"/>
      </tp>
      <tp t="s">
        <v/>
        <stp/>
        <stp>##V3_BQLV12</stp>
        <stp>[MODL_CRM_US1.xlsx]Single Period!R179C29</stp>
        <stp>CRM US Equity</stp>
        <stp>CB_CF_NET_CASH_FINANCING_ACT/1M</stp>
        <stp>FPR=2022Y</stp>
        <stp>FPT=A</stp>
        <stp>FA_ACT_EST_DATA=E, EST_SOURCE=BNS</stp>
        <stp>ACT_EST_MAPPING=PRECISE</stp>
        <stp>FS=MRC</stp>
        <stp>CURRENCY=USD</stp>
        <stp>XLFILL=b</stp>
        <tr r="AC179" s="2"/>
      </tp>
      <tp t="s">
        <v/>
        <stp/>
        <stp>##V3_BQLV12</stp>
        <stp>[MODL_CRM_US1.xlsx]Single Period!R142C32</stp>
        <stp>CRM US Equity</stp>
        <stp>BS_TOT_ASSET/1M</stp>
        <stp>FPR=2022Y</stp>
        <stp>FPT=A</stp>
        <stp>FA_ACT_EST_DATA=E, EST_SOURCE=UBS</stp>
        <stp>ACT_EST_MAPPING=PRECISE</stp>
        <stp>FS=MRC</stp>
        <stp>CURRENCY=USD</stp>
        <stp>XLFILL=b</stp>
        <tr r="AF142" s="2"/>
      </tp>
      <tp t="s">
        <v/>
        <stp/>
        <stp>##V3_BQLV12</stp>
        <stp>[MODL_CRM_US1.xlsx]Single Period!R40C25</stp>
        <stp>SEG0000269228 Segment</stp>
        <stp>REVENUE_GROWTH_CC_1_YR</stp>
        <stp>FPR=2022Y</stp>
        <stp>FPT=A</stp>
        <stp>FA_ACT_EST_DATA=E, EST_SOURCE=WMS</stp>
        <stp>ACT_EST_MAPPING=PRECISE</stp>
        <stp>FS=MRC</stp>
        <stp>CURRENCY=USD</stp>
        <stp>XLFILL=b</stp>
        <tr r="Y40" s="2"/>
      </tp>
      <tp t="s">
        <v/>
        <stp/>
        <stp>##V3_BQLV12</stp>
        <stp>[MODL_CRM_US1.xlsx]Single Period!R125C32</stp>
        <stp>CRM US Equity</stp>
        <stp>BS_TOT_ASSET/1M</stp>
        <stp>FPR=2022Y</stp>
        <stp>FPT=A</stp>
        <stp>FA_ACT_EST_DATA=E, EST_SOURCE=UBS</stp>
        <stp>ACT_EST_MAPPING=PRECISE</stp>
        <stp>FS=MRC</stp>
        <stp>CURRENCY=USD</stp>
        <stp>XLFILL=b</stp>
        <tr r="AF125" s="2"/>
      </tp>
      <tp t="s">
        <v/>
        <stp/>
        <stp>##V3_BQLV12</stp>
        <stp>[MODL_CRM_US1.xlsx]Single Period!R40C20</stp>
        <stp>SEG0000269228 Segment</stp>
        <stp>REVENUE_GROWTH_CC_1_YR</stp>
        <stp>FPR=2022Y</stp>
        <stp>FPT=A</stp>
        <stp>FA_ACT_EST_DATA=E, EST_SOURCE=JMP</stp>
        <stp>ACT_EST_MAPPING=PRECISE</stp>
        <stp>FS=MRC</stp>
        <stp>CURRENCY=USD</stp>
        <stp>XLFILL=b</stp>
        <tr r="T40" s="2"/>
      </tp>
      <tp t="s">
        <v/>
        <stp/>
        <stp>##V3_BQLV12</stp>
        <stp>[MODL_CRM_US1.xlsx]Single Period!R121C39</stp>
        <stp>CRM US Equity</stp>
        <stp>CB_BS_INTANG_ASSETS_EX_GW_NT/1M</stp>
        <stp>FPR=2022Y</stp>
        <stp>FPT=A</stp>
        <stp>FA_ACT_EST_DATA=E, EST_SOURCE=KGI</stp>
        <stp>ACT_EST_MAPPING=PRECISE</stp>
        <stp>FS=MRC</stp>
        <stp>CURRENCY=USD</stp>
        <stp>XLFILL=b</stp>
        <tr r="AM121" s="2"/>
      </tp>
      <tp t="s">
        <v/>
        <stp/>
        <stp>##V3_BQLV12</stp>
        <stp>[MODL_CRM_US1.xlsx]Single Period!R104C56</stp>
        <stp>CRM US Equity</stp>
        <stp>IS_AMORT_OF_TOT_INTANG_PRETX/1M</stp>
        <stp>FPR=2022Y</stp>
        <stp>FPT=A</stp>
        <stp>FA_ACT_EST_DATA=E, EST_SOURCE=DIR</stp>
        <stp>ACT_EST_MAPPING=PRECISE</stp>
        <stp>FS=MRC</stp>
        <stp>CURRENCY=USD</stp>
        <stp>XLFILL=b</stp>
        <tr r="BD104" s="2"/>
      </tp>
      <tp>
        <v>1429.7450677495078</v>
        <stp/>
        <stp>##V3_BQLV12</stp>
        <stp>[MODL_CRM_US1.xlsx]Single Period!R135C24</stp>
        <stp>CRM US Equity</stp>
        <stp>CB_BS_OTHER_NONCURRENT_LIABS/1M</stp>
        <stp>FPR=2022Y</stp>
        <stp>FPT=A</stp>
        <stp>FA_ACT_EST_DATA=E, EST_SOURCE=FBC</stp>
        <stp>ACT_EST_MAPPING=PRECISE</stp>
        <stp>FS=MRC</stp>
        <stp>CURRENCY=USD</stp>
        <stp>XLFILL=b</stp>
        <tr r="X135" s="2"/>
      </tp>
      <tp t="s">
        <v/>
        <stp/>
        <stp>##V3_BQLV12</stp>
        <stp>[MODL_CRM_US1.xlsx]Single Period!R104C29</stp>
        <stp>CRM US Equity</stp>
        <stp>IS_AMORT_OF_TOT_INTANG_PRETX/1M</stp>
        <stp>FPR=2022Y</stp>
        <stp>FPT=A</stp>
        <stp>FA_ACT_EST_DATA=E, EST_SOURCE=BNS</stp>
        <stp>ACT_EST_MAPPING=PRECISE</stp>
        <stp>FS=MRC</stp>
        <stp>CURRENCY=USD</stp>
        <stp>XLFILL=b</stp>
        <tr r="AC104" s="2"/>
      </tp>
      <tp t="s">
        <v/>
        <stp/>
        <stp>##V3_BQLV12</stp>
        <stp>[MODL_CRM_US1.xlsx]Single Period!R135C18</stp>
        <stp>CRM US Equity</stp>
        <stp>CB_BS_OTHER_NONCURRENT_LIABS/1M</stp>
        <stp>FPR=2022Y</stp>
        <stp>FPT=A</stp>
        <stp>FA_ACT_EST_DATA=E, EST_SOURCE=CAN</stp>
        <stp>ACT_EST_MAPPING=PRECISE</stp>
        <stp>FS=MRC</stp>
        <stp>CURRENCY=USD</stp>
        <stp>XLFILL=b</stp>
        <tr r="R135" s="2"/>
      </tp>
      <tp t="s">
        <v/>
        <stp/>
        <stp>##V3_BQLV12</stp>
        <stp>[MODL_CRM_US1.xlsx]Single Period!R179C56</stp>
        <stp>CRM US Equity</stp>
        <stp>CB_CF_NET_CASH_FINANCING_ACT/1M</stp>
        <stp>FPR=2022Y</stp>
        <stp>FPT=A</stp>
        <stp>FA_ACT_EST_DATA=E, EST_SOURCE=DIR</stp>
        <stp>ACT_EST_MAPPING=PRECISE</stp>
        <stp>FS=MRC</stp>
        <stp>CURRENCY=USD</stp>
        <stp>XLFILL=b</stp>
        <tr r="BD179" s="2"/>
      </tp>
      <tp t="s">
        <v/>
        <stp/>
        <stp>##V3_BQLV12</stp>
        <stp>[MODL_CRM_US1.xlsx]Single Period!R135C55</stp>
        <stp>CRM US Equity</stp>
        <stp>CB_BS_OTHER_NONCURRENT_LIABS/1M</stp>
        <stp>FPR=2022Y</stp>
        <stp>FPT=A</stp>
        <stp>FA_ACT_EST_DATA=E, EST_SOURCE=RED</stp>
        <stp>ACT_EST_MAPPING=PRECISE</stp>
        <stp>FS=MRC</stp>
        <stp>CURRENCY=USD</stp>
        <stp>XLFILL=b</stp>
        <tr r="BC135" s="2"/>
      </tp>
      <tp t="s">
        <v/>
        <stp/>
        <stp>##V3_BQLV12</stp>
        <stp>[MODL_CRM_US1.xlsx]Single Period!R45C26</stp>
        <stp>SEG0000269240 Segment</stp>
        <stp>REVENUE_GROWTH_CC_1_YR</stp>
        <stp>FPR=2022Y</stp>
        <stp>FPT=A</stp>
        <stp>FA_ACT_EST_DATA=E, EST_SOURCE=KEY</stp>
        <stp>ACT_EST_MAPPING=PRECISE</stp>
        <stp>FS=MRC</stp>
        <stp>CURRENCY=USD</stp>
        <stp>XLFILL=b</stp>
        <tr r="Z45" s="2"/>
      </tp>
      <tp>
        <v>149.92568638162851</v>
        <stp/>
        <stp>##V3_BQLV12</stp>
        <stp>[MODL_CRM_US1.xlsx]Single Period!R90C16</stp>
        <stp>CRM US Equity</stp>
        <stp>IS_INC_TAX_EXP/1M</stp>
        <stp>FPR=2022Y</stp>
        <stp>FPT=A</stp>
        <stp>FA_ACT_EST_DATA=E, EST_SOURCE=DBG</stp>
        <stp>ACT_EST_MAPPING=PRECISE</stp>
        <stp>FS=MRC</stp>
        <stp>CURRENCY=USD</stp>
        <stp>XLFILL=b</stp>
        <tr r="P90" s="2"/>
      </tp>
      <tp t="s">
        <v/>
        <stp/>
        <stp>##V3_BQLV12</stp>
        <stp>[MODL_CRM_US1.xlsx]Single Period!R90C31</stp>
        <stp>CRM US Equity</stp>
        <stp>IS_INC_TAX_EXP/1M</stp>
        <stp>FPR=2022Y</stp>
        <stp>FPT=A</stp>
        <stp>FA_ACT_EST_DATA=E, EST_SOURCE=RBC</stp>
        <stp>ACT_EST_MAPPING=PRECISE</stp>
        <stp>FS=MRC</stp>
        <stp>CURRENCY=USD</stp>
        <stp>XLFILL=b</stp>
        <tr r="AE90" s="2"/>
      </tp>
      <tp>
        <v>269.51269111191277</v>
        <stp/>
        <stp>##V3_BQLV12</stp>
        <stp>[MODL_CRM_US1.xlsx]Single Period!R90C24</stp>
        <stp>CRM US Equity</stp>
        <stp>IS_INC_TAX_EXP/1M</stp>
        <stp>FPR=2022Y</stp>
        <stp>FPT=A</stp>
        <stp>FA_ACT_EST_DATA=E, EST_SOURCE=FBC</stp>
        <stp>ACT_EST_MAPPING=PRECISE</stp>
        <stp>FS=MRC</stp>
        <stp>CURRENCY=USD</stp>
        <stp>XLFILL=b</stp>
        <tr r="X90" s="2"/>
      </tp>
      <tp t="s">
        <v/>
        <stp/>
        <stp>##V3_BQLV12</stp>
        <stp>[MODL_CRM_US1.xlsx]Single Period!R90C11</stp>
        <stp>CRM US Equity</stp>
        <stp>IS_INC_TAX_EXP/1M</stp>
        <stp>FPR=2022Y</stp>
        <stp>FPT=A</stp>
        <stp>FA_ACT_EST_DATA=E, EST_SOURCE=WBL</stp>
        <stp>ACT_EST_MAPPING=PRECISE</stp>
        <stp>FS=MRC</stp>
        <stp>CURRENCY=USD</stp>
        <stp>XLFILL=b</stp>
        <tr r="K90" s="2"/>
      </tp>
      <tp t="s">
        <v/>
        <stp/>
        <stp>##V3_BQLV12</stp>
        <stp>[MODL_CRM_US1.xlsx]Single Period!R84C46</stp>
        <stp>CRM US Equity</stp>
        <stp>RD_EXPEND_TO_NET_SALES</stp>
        <stp>FPR=2022Y</stp>
        <stp>FPT=A</stp>
        <stp>FA_ACT_EST_DATA=E, EST_SOURCE=CTI</stp>
        <stp>ACT_EST_MAPPING=PRECISE</stp>
        <stp>FS=MRC</stp>
        <stp>CURRENCY=USD</stp>
        <stp>XLFILL=b</stp>
        <tr r="AT84" s="2"/>
      </tp>
      <tp t="s">
        <v/>
        <stp/>
        <stp>##V3_BQLV12</stp>
        <stp>[MODL_CRM_US1.xlsx]Single Period!R67C52</stp>
        <stp>CRM US Equity</stp>
        <stp>IS_NON_OPERATING_INC_LOSS_GAAP/1M</stp>
        <stp>FPR=2022Y</stp>
        <stp>FPT=A</stp>
        <stp>FA_ACT_EST_DATA=E, EST_SOURCE=WFR</stp>
        <stp>ACT_EST_MAPPING=PRECISE</stp>
        <stp>FS=MRC</stp>
        <stp>CURRENCY=USD</stp>
        <stp>XLFILL=b</stp>
        <tr r="AZ67" s="2"/>
      </tp>
      <tp t="s">
        <v/>
        <stp/>
        <stp>##V3_BQLV12</stp>
        <stp>[MODL_CRM_US1.xlsx]Single Period!R84C35</stp>
        <stp>CRM US Equity</stp>
        <stp>RD_EXPEND_TO_NET_SALES</stp>
        <stp>FPR=2022Y</stp>
        <stp>FPT=A</stp>
        <stp>FA_ACT_EST_DATA=E, EST_SOURCE=ATL</stp>
        <stp>ACT_EST_MAPPING=PRECISE</stp>
        <stp>FS=MRC</stp>
        <stp>CURRENCY=USD</stp>
        <stp>XLFILL=b</stp>
        <tr r="AI84" s="2"/>
      </tp>
      <tp t="s">
        <v/>
        <stp/>
        <stp>##V3_BQLV12</stp>
        <stp>[MODL_CRM_US1.xlsx]Single Period!R67C47</stp>
        <stp>CRM US Equity</stp>
        <stp>IS_NON_OPERATING_INC_LOSS_GAAP/1M</stp>
        <stp>FPR=2022Y</stp>
        <stp>FPT=A</stp>
        <stp>FA_ACT_EST_DATA=E, EST_SOURCE=WFT</stp>
        <stp>ACT_EST_MAPPING=PRECISE</stp>
        <stp>FS=MRC</stp>
        <stp>CURRENCY=USD</stp>
        <stp>XLFILL=b</stp>
        <tr r="AU67" s="2"/>
      </tp>
      <tp t="s">
        <v/>
        <stp/>
        <stp>##V3_BQLV12</stp>
        <stp>[MODL_CRM_US1.xlsx]Single Period!R90C32</stp>
        <stp>CRM US Equity</stp>
        <stp>IS_INC_TAX_EXP/1M</stp>
        <stp>FPR=2022Y</stp>
        <stp>FPT=A</stp>
        <stp>FA_ACT_EST_DATA=E, EST_SOURCE=UBS</stp>
        <stp>ACT_EST_MAPPING=PRECISE</stp>
        <stp>FS=MRC</stp>
        <stp>CURRENCY=USD</stp>
        <stp>XLFILL=b</stp>
        <tr r="AF90" s="2"/>
      </tp>
      <tp t="s">
        <v/>
        <stp/>
        <stp>##V3_BQLV12</stp>
        <stp>[MODL_CRM_US1.xlsx]Single Period!R33C10</stp>
        <stp>SEG0000269227 Segment</stp>
        <stp>IS_PERCENTAGE_OF_REVENUE</stp>
        <stp>FPR=2022Y</stp>
        <stp>FPT=A</stp>
        <stp>FA_ACT_EST_DATA=E, EST_SOURCE=CMPY</stp>
        <stp>ACT_EST_MAPPING=PRECISE</stp>
        <stp>FS=MRC</stp>
        <stp>CURRENCY=USD</stp>
        <stp>XLFILL=b</stp>
        <tr r="J33" s="2"/>
      </tp>
      <tp t="s">
        <v/>
        <stp/>
        <stp>##V3_BQLV12</stp>
        <stp>[MODL_CRM_US1.xlsx]Single Period!R7C53</stp>
        <stp>CRM US Equity</stp>
        <stp>IS_COMP_SALES/1M</stp>
        <stp>FPR=2022Y</stp>
        <stp>FPT=A</stp>
        <stp>FA_ACT_EST_DATA=E, EST_SOURCE=NIK</stp>
        <stp>ACT_EST_MAPPING=PRECISE</stp>
        <stp>FS=MRC</stp>
        <stp>CURRENCY=USD</stp>
        <stp>XLFILL=b</stp>
        <tr r="BA7" s="2"/>
      </tp>
    </main>
    <main first="bloomberg.rtd">
      <tp>
        <v>26497</v>
        <stp/>
        <stp>##V3_BQLV12</stp>
        <stp>[MODL_CRM_US1.xlsx]Single Period!R7C19</stp>
        <stp>CRM US Equity</stp>
        <stp>IS_COMP_SALES/1M</stp>
        <stp>FPR=2022Y</stp>
        <stp>FPT=A</stp>
        <stp>FA_ACT_EST_DATA=E, EST_SOURCE=SCB</stp>
        <stp>ACT_EST_MAPPING=PRECISE</stp>
        <stp>FS=MRC</stp>
        <stp>CURRENCY=USD</stp>
        <stp>XLFILL=b</stp>
        <tr r="S7" s="2"/>
      </tp>
      <tp>
        <v>26400</v>
        <stp/>
        <stp>##V3_BQLV12</stp>
        <stp>[MODL_CRM_US1.xlsx]Single Period!R7C14</stp>
        <stp>CRM US Equity</stp>
        <stp>IS_COMP_SALES/1M</stp>
        <stp>FPR=2022Y</stp>
        <stp>FPT=A</stp>
        <stp>FA_ACT_EST_DATA=E, EST_SOURCE=SNR</stp>
        <stp>ACT_EST_MAPPING=PRECISE</stp>
        <stp>FS=MRC</stp>
        <stp>CURRENCY=USD</stp>
        <stp>XLFILL=b</stp>
        <tr r="N7" s="2"/>
      </tp>
      <tp t="s">
        <v/>
        <stp/>
        <stp>##V3_BQLV12</stp>
        <stp>[MODL_CRM_US1.xlsx]Single Period!R124C41</stp>
        <stp>CRM US Equity</stp>
        <stp>CAPITALIZED_SOFTWARE/1M</stp>
        <stp>FPR=2022Y</stp>
        <stp>FPT=A</stp>
        <stp>FA_ACT_EST_DATA=E, EST_SOURCE=GSR</stp>
        <stp>ACT_EST_MAPPING=PRECISE</stp>
        <stp>FS=MRC</stp>
        <stp>CURRENCY=USD</stp>
        <stp>XLFILL=b</stp>
        <tr r="AO124" s="2"/>
      </tp>
      <tp t="s">
        <v/>
        <stp/>
        <stp>##V3_BQLV12</stp>
        <stp>[MODL_CRM_US1.xlsx]Single Period!R125C18</stp>
        <stp>CRM US Equity</stp>
        <stp>BS_TOT_ASSET/1M</stp>
        <stp>FPR=2022Y</stp>
        <stp>FPT=A</stp>
        <stp>FA_ACT_EST_DATA=E, EST_SOURCE=CAN</stp>
        <stp>ACT_EST_MAPPING=PRECISE</stp>
        <stp>FS=MRC</stp>
        <stp>CURRENCY=USD</stp>
        <stp>XLFILL=b</stp>
        <tr r="R125" s="2"/>
      </tp>
      <tp>
        <v>94256.986543933104</v>
        <stp/>
        <stp>##V3_BQLV12</stp>
        <stp>[MODL_CRM_US1.xlsx]Single Period!R125C24</stp>
        <stp>CRM US Equity</stp>
        <stp>BS_TOT_ASSET/1M</stp>
        <stp>FPR=2022Y</stp>
        <stp>FPT=A</stp>
        <stp>FA_ACT_EST_DATA=E, EST_SOURCE=FBC</stp>
        <stp>ACT_EST_MAPPING=PRECISE</stp>
        <stp>FS=MRC</stp>
        <stp>CURRENCY=USD</stp>
        <stp>XLFILL=b</stp>
        <tr r="X125" s="2"/>
      </tp>
      <tp t="s">
        <v/>
        <stp/>
        <stp>##V3_BQLV12</stp>
        <stp>[MODL_CRM_US1.xlsx]Single Period!R142C55</stp>
        <stp>CRM US Equity</stp>
        <stp>BS_TOT_ASSET/1M</stp>
        <stp>FPR=2022Y</stp>
        <stp>FPT=A</stp>
        <stp>FA_ACT_EST_DATA=E, EST_SOURCE=RED</stp>
        <stp>ACT_EST_MAPPING=PRECISE</stp>
        <stp>FS=MRC</stp>
        <stp>CURRENCY=USD</stp>
        <stp>XLFILL=b</stp>
        <tr r="BC142" s="2"/>
      </tp>
      <tp t="s">
        <v/>
        <stp/>
        <stp>##V3_BQLV12</stp>
        <stp>[MODL_CRM_US1.xlsx]Single Period!R142C18</stp>
        <stp>CRM US Equity</stp>
        <stp>BS_TOT_ASSET/1M</stp>
        <stp>FPR=2022Y</stp>
        <stp>FPT=A</stp>
        <stp>FA_ACT_EST_DATA=E, EST_SOURCE=CAN</stp>
        <stp>ACT_EST_MAPPING=PRECISE</stp>
        <stp>FS=MRC</stp>
        <stp>CURRENCY=USD</stp>
        <stp>XLFILL=b</stp>
        <tr r="R142" s="2"/>
      </tp>
      <tp t="s">
        <v/>
        <stp/>
        <stp>##V3_BQLV12</stp>
        <stp>[MODL_CRM_US1.xlsx]Single Period!R125C55</stp>
        <stp>CRM US Equity</stp>
        <stp>BS_TOT_ASSET/1M</stp>
        <stp>FPR=2022Y</stp>
        <stp>FPT=A</stp>
        <stp>FA_ACT_EST_DATA=E, EST_SOURCE=RED</stp>
        <stp>ACT_EST_MAPPING=PRECISE</stp>
        <stp>FS=MRC</stp>
        <stp>CURRENCY=USD</stp>
        <stp>XLFILL=b</stp>
        <tr r="BC125" s="2"/>
      </tp>
      <tp>
        <v>94256.986543933104</v>
        <stp/>
        <stp>##V3_BQLV12</stp>
        <stp>[MODL_CRM_US1.xlsx]Single Period!R142C24</stp>
        <stp>CRM US Equity</stp>
        <stp>BS_TOT_ASSET/1M</stp>
        <stp>FPR=2022Y</stp>
        <stp>FPT=A</stp>
        <stp>FA_ACT_EST_DATA=E, EST_SOURCE=FBC</stp>
        <stp>ACT_EST_MAPPING=PRECISE</stp>
        <stp>FS=MRC</stp>
        <stp>CURRENCY=USD</stp>
        <stp>XLFILL=b</stp>
        <tr r="X142" s="2"/>
      </tp>
      <tp t="s">
        <v/>
        <stp/>
        <stp>##V3_BQLV12</stp>
        <stp>[MODL_CRM_US1.xlsx]Single Period!R78C12</stp>
        <stp>CRM US Equity</stp>
        <stp>COGS_TO_NET_SALES</stp>
        <stp>FPR=2022Y</stp>
        <stp>FPT=A</stp>
        <stp>FA_ACT_EST_DATA=E, EST_SOURCE=BMO</stp>
        <stp>ACT_EST_MAPPING=PRECISE</stp>
        <stp>FS=MRC</stp>
        <stp>CURRENCY=USD</stp>
        <stp>XLFILL=b</stp>
        <tr r="L78" s="2"/>
      </tp>
      <tp t="s">
        <v/>
        <stp/>
        <stp>##V3_BQLV12</stp>
        <stp>[MODL_CRM_US1.xlsx]Single Period!R173C50</stp>
        <stp>CRM US Equity</stp>
        <stp>CB_CF_NET_CASH_INVESTING_ACT/1M</stp>
        <stp>FPR=2022Y</stp>
        <stp>FPT=A</stp>
        <stp>FA_ACT_EST_DATA=E, EST_SOURCE=MZS</stp>
        <stp>ACT_EST_MAPPING=PRECISE</stp>
        <stp>FS=MRC</stp>
        <stp>CURRENCY=USD</stp>
        <stp>XLFILL=b</stp>
        <tr r="AX173" s="2"/>
      </tp>
      <tp t="s">
        <v/>
        <stp/>
        <stp>##V3_BQLV12</stp>
        <stp>[MODL_CRM_US1.xlsx]Single Period!R45C17</stp>
        <stp>SEG0000269240 Segment</stp>
        <stp>REVENUE_GROWTH_CC_1_YR</stp>
        <stp>FPR=2022Y</stp>
        <stp>FPT=A</stp>
        <stp>FA_ACT_EST_DATA=E, EST_SOURCE=NDH</stp>
        <stp>ACT_EST_MAPPING=PRECISE</stp>
        <stp>FS=MRC</stp>
        <stp>CURRENCY=USD</stp>
        <stp>XLFILL=b</stp>
        <tr r="Q45" s="2"/>
      </tp>
      <tp t="s">
        <v/>
        <stp/>
        <stp>##V3_BQLV12</stp>
        <stp>[MODL_CRM_US1.xlsx]Single Period!R106C46</stp>
        <stp>CRM US Equity</stp>
        <stp>IS_AMORT_ACQD_INTANG_S_AND_M/1M</stp>
        <stp>FPR=2022Y</stp>
        <stp>FPT=A</stp>
        <stp>FA_ACT_EST_DATA=E, EST_SOURCE=CTI</stp>
        <stp>ACT_EST_MAPPING=PRECISE</stp>
        <stp>FS=MRC</stp>
        <stp>CURRENCY=USD</stp>
        <stp>XLFILL=b</stp>
        <tr r="AT106" s="2"/>
      </tp>
      <tp t="s">
        <v/>
        <stp/>
        <stp>##V3_BQLV12</stp>
        <stp>[MODL_CRM_US1.xlsx]Single Period!R135C32</stp>
        <stp>CRM US Equity</stp>
        <stp>CB_BS_OTHER_NONCURRENT_LIABS/1M</stp>
        <stp>FPR=2022Y</stp>
        <stp>FPT=A</stp>
        <stp>FA_ACT_EST_DATA=E, EST_SOURCE=UBS</stp>
        <stp>ACT_EST_MAPPING=PRECISE</stp>
        <stp>FS=MRC</stp>
        <stp>CURRENCY=USD</stp>
        <stp>XLFILL=b</stp>
        <tr r="AF135" s="2"/>
      </tp>
      <tp>
        <v>4.6825795203953966</v>
        <stp/>
        <stp>##V3_BQLV12</stp>
        <stp>[MODL_CRM_US1.xlsx]Single Period!R92C9</stp>
        <stp>CRM US Equity</stp>
        <stp>CONTRIBUTOR_STATS(PROF_MARGIN, MEDIAN)</stp>
        <stp>FPR=2022Y</stp>
        <stp>FPT=A</stp>
        <stp>FA_ACT_EST_DATA=E</stp>
        <stp>ACT_EST_MAPPING=PRECISE</stp>
        <stp>FS=MRC</stp>
        <stp>CURRENCY=USD</stp>
        <stp>XLFILL=b</stp>
        <tr r="I92" s="2"/>
      </tp>
      <tp t="s">
        <v/>
        <stp/>
        <stp>##V3_BQLV12</stp>
        <stp>[MODL_CRM_US1.xlsx]Single Period!R124C54</stp>
        <stp>CRM US Equity</stp>
        <stp>CAPITALIZED_SOFTWARE/1M</stp>
        <stp>FPR=2022Y</stp>
        <stp>FPT=A</stp>
        <stp>FA_ACT_EST_DATA=E, EST_SOURCE=ARE</stp>
        <stp>ACT_EST_MAPPING=PRECISE</stp>
        <stp>FS=MRC</stp>
        <stp>CURRENCY=USD</stp>
        <stp>XLFILL=b</stp>
        <tr r="BB124" s="2"/>
      </tp>
      <tp t="s">
        <v/>
        <stp/>
        <stp>##V3_BQLV12</stp>
        <stp>[MODL_CRM_US1.xlsx]Single Period!R78C20</stp>
        <stp>CRM US Equity</stp>
        <stp>COGS_TO_NET_SALES</stp>
        <stp>FPR=2022Y</stp>
        <stp>FPT=A</stp>
        <stp>FA_ACT_EST_DATA=E, EST_SOURCE=JMP</stp>
        <stp>ACT_EST_MAPPING=PRECISE</stp>
        <stp>FS=MRC</stp>
        <stp>CURRENCY=USD</stp>
        <stp>XLFILL=b</stp>
        <tr r="T78" s="2"/>
      </tp>
      <tp t="s">
        <v/>
        <stp/>
        <stp>##V3_BQLV12</stp>
        <stp>[MODL_CRM_US1.xlsx]Single Period!R58C46</stp>
        <stp>CRM US Equity</stp>
        <stp>CB_IS_ADJUSTED_OPEX/1M</stp>
        <stp>FPR=2022Y</stp>
        <stp>FPT=A</stp>
        <stp>FA_ACT_EST_DATA=E, EST_SOURCE=CTI</stp>
        <stp>ACT_EST_MAPPING=PRECISE</stp>
        <stp>FS=MRC</stp>
        <stp>CURRENCY=USD</stp>
        <stp>XLFILL=b</stp>
        <tr r="AT58" s="2"/>
      </tp>
      <tp t="s">
        <v/>
        <stp/>
        <stp>##V3_BQLV12</stp>
        <stp>[MODL_CRM_US1.xlsx]Single Period!R87C36</stp>
        <stp>CRM US Equity</stp>
        <stp>IS_EBIT_AS_REPORTED/1M</stp>
        <stp>FPR=2022Y</stp>
        <stp>FPT=A</stp>
        <stp>FA_ACT_EST_DATA=E, EST_SOURCE=MAC</stp>
        <stp>ACT_EST_MAPPING=PRECISE</stp>
        <stp>FS=MRC</stp>
        <stp>CURRENCY=USD</stp>
        <stp>XLFILL=b</stp>
        <tr r="AJ87" s="2"/>
      </tp>
      <tp t="s">
        <v/>
        <stp/>
        <stp>##V3_BQLV12</stp>
        <stp>[MODL_CRM_US1.xlsx]Single Period!R135C27</stp>
        <stp>CRM US Equity</stp>
        <stp>CB_BS_OTHER_NONCURRENT_LIABS/1M</stp>
        <stp>FPR=2022Y</stp>
        <stp>FPT=A</stp>
        <stp>FA_ACT_EST_DATA=E, EST_SOURCE=LCM</stp>
        <stp>ACT_EST_MAPPING=PRECISE</stp>
        <stp>FS=MRC</stp>
        <stp>CURRENCY=USD</stp>
        <stp>XLFILL=b</stp>
        <tr r="AA135" s="2"/>
      </tp>
      <tp t="s">
        <v/>
        <stp/>
        <stp>##V3_BQLV12</stp>
        <stp>[MODL_CRM_US1.xlsx]Single Period!R167C33</stp>
        <stp>CRM US Equity</stp>
        <stp>CB_CF_NET_CASH_OPERATING_ACT/1M</stp>
        <stp>FPR=2022Y</stp>
        <stp>FPT=A</stp>
        <stp>FA_ACT_EST_DATA=E, EST_SOURCE=RHR</stp>
        <stp>ACT_EST_MAPPING=PRECISE</stp>
        <stp>FS=MRC</stp>
        <stp>CURRENCY=USD</stp>
        <stp>XLFILL=b</stp>
        <tr r="AG167" s="2"/>
      </tp>
      <tp t="s">
        <v/>
        <stp/>
        <stp>##V3_BQLV12</stp>
        <stp>[MODL_CRM_US1.xlsx]Single Period!R124C42</stp>
        <stp>CRM US Equity</stp>
        <stp>CAPITALIZED_SOFTWARE/1M</stp>
        <stp>FPR=2022Y</stp>
        <stp>FPT=A</stp>
        <stp>FA_ACT_EST_DATA=E, EST_SOURCE=PSG</stp>
        <stp>ACT_EST_MAPPING=PRECISE</stp>
        <stp>FS=MRC</stp>
        <stp>CURRENCY=USD</stp>
        <stp>XLFILL=b</stp>
        <tr r="AP124" s="2"/>
      </tp>
      <tp t="s">
        <v/>
        <stp/>
        <stp>##V3_BQLV12</stp>
        <stp>[MODL_CRM_US1.xlsx]Single Period!R58C35</stp>
        <stp>CRM US Equity</stp>
        <stp>CB_IS_ADJUSTED_OPEX/1M</stp>
        <stp>FPR=2022Y</stp>
        <stp>FPT=A</stp>
        <stp>FA_ACT_EST_DATA=E, EST_SOURCE=ATL</stp>
        <stp>ACT_EST_MAPPING=PRECISE</stp>
        <stp>FS=MRC</stp>
        <stp>CURRENCY=USD</stp>
        <stp>XLFILL=b</stp>
        <tr r="AI58" s="2"/>
      </tp>
      <tp t="s">
        <v/>
        <stp/>
        <stp>##V3_BQLV12</stp>
        <stp>[MODL_CRM_US1.xlsx]Single Period!R78C25</stp>
        <stp>CRM US Equity</stp>
        <stp>COGS_TO_NET_SALES</stp>
        <stp>FPR=2022Y</stp>
        <stp>FPT=A</stp>
        <stp>FA_ACT_EST_DATA=E, EST_SOURCE=WMS</stp>
        <stp>ACT_EST_MAPPING=PRECISE</stp>
        <stp>FS=MRC</stp>
        <stp>CURRENCY=USD</stp>
        <stp>XLFILL=b</stp>
        <tr r="Y78" s="2"/>
      </tp>
      <tp t="s">
        <v/>
        <stp/>
        <stp>##V3_BQLV12</stp>
        <stp>[MODL_CRM_US1.xlsx]Single Period!R182C33</stp>
        <stp>CRM US Equity</stp>
        <stp>CB_CF_NET_CASH_OPERATING_ACT/1M</stp>
        <stp>FPR=2022Y</stp>
        <stp>FPT=A</stp>
        <stp>FA_ACT_EST_DATA=E, EST_SOURCE=RHR</stp>
        <stp>ACT_EST_MAPPING=PRECISE</stp>
        <stp>FS=MRC</stp>
        <stp>CURRENCY=USD</stp>
        <stp>XLFILL=b</stp>
        <tr r="AG182" s="2"/>
      </tp>
      <tp t="s">
        <v/>
        <stp/>
        <stp>##V3_BQLV12</stp>
        <stp>[MODL_CRM_US1.xlsx]Single Period!R106C38</stp>
        <stp>CRM US Equity</stp>
        <stp>IS_AMORT_ACQD_INTANG_S_AND_M/1M</stp>
        <stp>FPR=2022Y</stp>
        <stp>FPT=A</stp>
        <stp>FA_ACT_EST_DATA=E, EST_SOURCE=MSR</stp>
        <stp>ACT_EST_MAPPING=PRECISE</stp>
        <stp>FS=MRC</stp>
        <stp>CURRENCY=USD</stp>
        <stp>XLFILL=b</stp>
        <tr r="AL106" s="2"/>
      </tp>
      <tp t="s">
        <v/>
        <stp/>
        <stp>##V3_BQLV12</stp>
        <stp>[MODL_CRM_US1.xlsx]Single Period!R121C17</stp>
        <stp>CRM US Equity</stp>
        <stp>CB_BS_INTANG_ASSETS_EX_GW_NT/1M</stp>
        <stp>FPR=2022Y</stp>
        <stp>FPT=A</stp>
        <stp>FA_ACT_EST_DATA=E, EST_SOURCE=NDH</stp>
        <stp>ACT_EST_MAPPING=PRECISE</stp>
        <stp>FS=MRC</stp>
        <stp>CURRENCY=USD</stp>
        <stp>XLFILL=b</stp>
        <tr r="Q121" s="2"/>
      </tp>
      <tp t="s">
        <v/>
        <stp/>
        <stp>##V3_BQLV12</stp>
        <stp>[MODL_CRM_US1.xlsx]Single Period!R87C18</stp>
        <stp>CRM US Equity</stp>
        <stp>IS_EBIT_AS_REPORTED/1M</stp>
        <stp>FPR=2022Y</stp>
        <stp>FPT=A</stp>
        <stp>FA_ACT_EST_DATA=E, EST_SOURCE=CAN</stp>
        <stp>ACT_EST_MAPPING=PRECISE</stp>
        <stp>FS=MRC</stp>
        <stp>CURRENCY=USD</stp>
        <stp>XLFILL=b</stp>
        <tr r="R87" s="2"/>
      </tp>
      <tp t="s">
        <v/>
        <stp/>
        <stp>##V3_BQLV12</stp>
        <stp>[MODL_CRM_US1.xlsx]Single Period!R124C35</stp>
        <stp>CRM US Equity</stp>
        <stp>CAPITALIZED_SOFTWARE/1M</stp>
        <stp>FPR=2022Y</stp>
        <stp>FPT=A</stp>
        <stp>FA_ACT_EST_DATA=E, EST_SOURCE=ATL</stp>
        <stp>ACT_EST_MAPPING=PRECISE</stp>
        <stp>FS=MRC</stp>
        <stp>CURRENCY=USD</stp>
        <stp>XLFILL=b</stp>
        <tr r="AI124" s="2"/>
      </tp>
      <tp t="s">
        <v/>
        <stp/>
        <stp>##V3_BQLV12</stp>
        <stp>[MODL_CRM_US1.xlsx]Single Period!R87C30</stp>
        <stp>CRM US Equity</stp>
        <stp>IS_EBIT_AS_REPORTED/1M</stp>
        <stp>FPR=2022Y</stp>
        <stp>FPT=A</stp>
        <stp>FA_ACT_EST_DATA=E, EST_SOURCE=BAM</stp>
        <stp>ACT_EST_MAPPING=PRECISE</stp>
        <stp>FS=MRC</stp>
        <stp>CURRENCY=USD</stp>
        <stp>XLFILL=b</stp>
        <tr r="AD87" s="2"/>
      </tp>
      <tp t="s">
        <v/>
        <stp/>
        <stp>##V3_BQLV12</stp>
        <stp>[MODL_CRM_US1.xlsx]Single Period!R135C31</stp>
        <stp>CRM US Equity</stp>
        <stp>CB_BS_OTHER_NONCURRENT_LIABS/1M</stp>
        <stp>FPR=2022Y</stp>
        <stp>FPT=A</stp>
        <stp>FA_ACT_EST_DATA=E, EST_SOURCE=RBC</stp>
        <stp>ACT_EST_MAPPING=PRECISE</stp>
        <stp>FS=MRC</stp>
        <stp>CURRENCY=USD</stp>
        <stp>XLFILL=b</stp>
        <tr r="AE135" s="2"/>
      </tp>
      <tp t="s">
        <v/>
        <stp/>
        <stp>##V3_BQLV12</stp>
        <stp>[MODL_CRM_US1.xlsx]Single Period!R67C55</stp>
        <stp>CRM US Equity</stp>
        <stp>IS_NON_OPERATING_INC_LOSS_GAAP/1M</stp>
        <stp>FPR=2022Y</stp>
        <stp>FPT=A</stp>
        <stp>FA_ACT_EST_DATA=E, EST_SOURCE=RED</stp>
        <stp>ACT_EST_MAPPING=PRECISE</stp>
        <stp>FS=MRC</stp>
        <stp>CURRENCY=USD</stp>
        <stp>XLFILL=b</stp>
        <tr r="BC67" s="2"/>
      </tp>
      <tp>
        <v>4859</v>
        <stp/>
        <stp>##V3_BQLV12</stp>
        <stp>[MODL_CRM_US1.xlsx]Single Period!R19C6</stp>
        <stp>CRM US Equity</stp>
        <stp>CONTRIBUTOR_STATS(IS_COMPARABLE_EBIT, MIN)/1M</stp>
        <stp>FPR=2022Y</stp>
        <stp>FPT=A</stp>
        <stp>FA_ACT_EST_DATA=E</stp>
        <stp>ACT_EST_MAPPING=PRECISE</stp>
        <stp>FS=MRC</stp>
        <stp>CURRENCY=USD</stp>
        <stp>XLFILL=b</stp>
        <tr r="F19" s="2"/>
      </tp>
      <tp>
        <v>5210</v>
        <stp/>
        <stp>##V3_BQLV12</stp>
        <stp>[MODL_CRM_US1.xlsx]Single Period!R19C7</stp>
        <stp>CRM US Equity</stp>
        <stp>CONTRIBUTOR_STATS(IS_COMPARABLE_EBIT, MAX)/1M</stp>
        <stp>FPR=2022Y</stp>
        <stp>FPT=A</stp>
        <stp>FA_ACT_EST_DATA=E</stp>
        <stp>ACT_EST_MAPPING=PRECISE</stp>
        <stp>FS=MRC</stp>
        <stp>CURRENCY=USD</stp>
        <stp>XLFILL=b</stp>
        <tr r="G19" s="2"/>
      </tp>
      <tp t="s">
        <v/>
        <stp/>
        <stp>##V3_BQLV12</stp>
        <stp>[MODL_CRM_US1.xlsx]Single Period!R67C34</stp>
        <stp>CRM US Equity</stp>
        <stp>IS_NON_OPERATING_INC_LOSS_GAAP/1M</stp>
        <stp>FPR=2022Y</stp>
        <stp>FPT=A</stp>
        <stp>FA_ACT_EST_DATA=E, EST_SOURCE=JEF</stp>
        <stp>ACT_EST_MAPPING=PRECISE</stp>
        <stp>FS=MRC</stp>
        <stp>CURRENCY=USD</stp>
        <stp>XLFILL=b</stp>
        <tr r="AH67" s="2"/>
      </tp>
      <tp t="s">
        <v/>
        <stp/>
        <stp>##V3_BQLV12</stp>
        <stp>[MODL_CRM_US1.xlsx]Single Period!R90C36</stp>
        <stp>CRM US Equity</stp>
        <stp>IS_INC_TAX_EXP/1M</stp>
        <stp>FPR=2022Y</stp>
        <stp>FPT=A</stp>
        <stp>FA_ACT_EST_DATA=E, EST_SOURCE=MAC</stp>
        <stp>ACT_EST_MAPPING=PRECISE</stp>
        <stp>FS=MRC</stp>
        <stp>CURRENCY=USD</stp>
        <stp>XLFILL=b</stp>
        <tr r="AJ90" s="2"/>
      </tp>
      <tp t="s">
        <v/>
        <stp/>
        <stp>##V3_BQLV12</stp>
        <stp>[MODL_CRM_US1.xlsx]Single Period!R90C30</stp>
        <stp>CRM US Equity</stp>
        <stp>IS_INC_TAX_EXP/1M</stp>
        <stp>FPR=2022Y</stp>
        <stp>FPT=A</stp>
        <stp>FA_ACT_EST_DATA=E, EST_SOURCE=BAM</stp>
        <stp>ACT_EST_MAPPING=PRECISE</stp>
        <stp>FS=MRC</stp>
        <stp>CURRENCY=USD</stp>
        <stp>XLFILL=b</stp>
        <tr r="AD90" s="2"/>
      </tp>
      <tp t="s">
        <v/>
        <stp/>
        <stp>##V3_BQLV12</stp>
        <stp>[MODL_CRM_US1.xlsx]Single Period!R90C18</stp>
        <stp>CRM US Equity</stp>
        <stp>IS_INC_TAX_EXP/1M</stp>
        <stp>FPR=2022Y</stp>
        <stp>FPT=A</stp>
        <stp>FA_ACT_EST_DATA=E, EST_SOURCE=CAN</stp>
        <stp>ACT_EST_MAPPING=PRECISE</stp>
        <stp>FS=MRC</stp>
        <stp>CURRENCY=USD</stp>
        <stp>XLFILL=b</stp>
        <tr r="R90" s="2"/>
      </tp>
      <tp t="s">
        <v/>
        <stp/>
        <stp>##V3_BQLV12</stp>
        <stp>[MODL_CRM_US1.xlsx]Single Period!R84C28</stp>
        <stp>CRM US Equity</stp>
        <stp>RD_EXPEND_TO_NET_SALES</stp>
        <stp>FPR=2022Y</stp>
        <stp>FPT=A</stp>
        <stp>FA_ACT_EST_DATA=E, EST_SOURCE=CWN</stp>
        <stp>ACT_EST_MAPPING=PRECISE</stp>
        <stp>FS=MRC</stp>
        <stp>CURRENCY=USD</stp>
        <stp>XLFILL=b</stp>
        <tr r="AB84" s="2"/>
      </tp>
      <tp t="s">
        <v/>
        <stp/>
        <stp>##V3_BQLV12</stp>
        <stp>[MODL_CRM_US1.xlsx]Single Period!R84C43</stp>
        <stp>CRM US Equity</stp>
        <stp>RD_EXPEND_TO_NET_SALES</stp>
        <stp>FPR=2022Y</stp>
        <stp>FPT=A</stp>
        <stp>FA_ACT_EST_DATA=E, EST_SOURCE=DWI</stp>
        <stp>ACT_EST_MAPPING=PRECISE</stp>
        <stp>FS=MRC</stp>
        <stp>CURRENCY=USD</stp>
        <stp>XLFILL=b</stp>
        <tr r="AQ84" s="2"/>
      </tp>
      <tp t="s">
        <v/>
        <stp/>
        <stp>##V3_BQLV12</stp>
        <stp>[MODL_CRM_US1.xlsx]Single Period!R67C26</stp>
        <stp>CRM US Equity</stp>
        <stp>IS_NON_OPERATING_INC_LOSS_GAAP/1M</stp>
        <stp>FPR=2022Y</stp>
        <stp>FPT=A</stp>
        <stp>FA_ACT_EST_DATA=E, EST_SOURCE=KEY</stp>
        <stp>ACT_EST_MAPPING=PRECISE</stp>
        <stp>FS=MRC</stp>
        <stp>CURRENCY=USD</stp>
        <stp>XLFILL=b</stp>
        <tr r="Z67" s="2"/>
      </tp>
      <tp>
        <v>62.671511469956414</v>
        <stp/>
        <stp>##V3_BQLV12</stp>
        <stp>[MODL_CRM_US1.xlsx]Single Period!R19C8</stp>
        <stp>CRM US Equity</stp>
        <stp>CONTRIBUTOR_STATS(IS_COMPARABLE_EBIT, STD)/1M</stp>
        <stp>FPR=2022Y</stp>
        <stp>FPT=A</stp>
        <stp>FA_ACT_EST_DATA=E</stp>
        <stp>ACT_EST_MAPPING=PRECISE</stp>
        <stp>FS=MRC</stp>
        <stp>CURRENCY=USD</stp>
        <stp>XLFILL=b</stp>
        <tr r="H19" s="2"/>
      </tp>
      <tp t="s">
        <v/>
        <stp/>
        <stp>##V3_BQLV12</stp>
        <stp>[MODL_CRM_US1.xlsx]Single Period!R84C44</stp>
        <stp>CRM US Equity</stp>
        <stp>RD_EXPEND_TO_NET_SALES</stp>
        <stp>FPR=2022Y</stp>
        <stp>FPT=A</stp>
        <stp>FA_ACT_EST_DATA=E, EST_SOURCE=RWB</stp>
        <stp>ACT_EST_MAPPING=PRECISE</stp>
        <stp>FS=MRC</stp>
        <stp>CURRENCY=USD</stp>
        <stp>XLFILL=b</stp>
        <tr r="AR84" s="2"/>
      </tp>
      <tp>
        <v>1228.8322499999999</v>
        <stp/>
        <stp>##V3_BQLV12</stp>
        <stp>[MODL_CRM_US1.xlsx]Single Period!R115C6</stp>
        <stp>CRM US Equity</stp>
        <stp>CONTRIBUTOR_STATS(CB_BS_OTHER_CURRENT_ASSETS, MIN)/1M</stp>
        <stp>FPR=2022Y</stp>
        <stp>FPT=A</stp>
        <stp>FA_ACT_EST_DATA=E</stp>
        <stp>ACT_EST_MAPPING=PRECISE</stp>
        <stp>FS=MRC</stp>
        <stp>CURRENCY=USD</stp>
        <stp>XLFILL=b</stp>
        <tr r="F115" s="2"/>
      </tp>
      <tp>
        <v>1836</v>
        <stp/>
        <stp>##V3_BQLV12</stp>
        <stp>[MODL_CRM_US1.xlsx]Single Period!R115C7</stp>
        <stp>CRM US Equity</stp>
        <stp>CONTRIBUTOR_STATS(CB_BS_OTHER_CURRENT_ASSETS, MAX)/1M</stp>
        <stp>FPR=2022Y</stp>
        <stp>FPT=A</stp>
        <stp>FA_ACT_EST_DATA=E</stp>
        <stp>ACT_EST_MAPPING=PRECISE</stp>
        <stp>FS=MRC</stp>
        <stp>CURRENCY=USD</stp>
        <stp>XLFILL=b</stp>
        <tr r="G115" s="2"/>
      </tp>
      <tp>
        <v>154.1238068221692</v>
        <stp/>
        <stp>##V3_BQLV12</stp>
        <stp>[MODL_CRM_US1.xlsx]Single Period!R115C8</stp>
        <stp>CRM US Equity</stp>
        <stp>CONTRIBUTOR_STATS(CB_BS_OTHER_CURRENT_ASSETS, STD)/1M</stp>
        <stp>FPR=2022Y</stp>
        <stp>FPT=A</stp>
        <stp>FA_ACT_EST_DATA=E</stp>
        <stp>ACT_EST_MAPPING=PRECISE</stp>
        <stp>FS=MRC</stp>
        <stp>CURRENCY=USD</stp>
        <stp>XLFILL=b</stp>
        <tr r="H115" s="2"/>
      </tp>
      <tp>
        <v>-781.12238521308257</v>
        <stp/>
        <stp>##V3_BQLV12</stp>
        <stp>[MODL_CRM_US1.xlsx]Single Period!R171C5</stp>
        <stp>CRM US Equity</stp>
        <stp>CF_PURCHASE_OF_FIXED_PROD_ASSETS/1M</stp>
        <stp>FPR=2022Y</stp>
        <stp>FPT=A</stp>
        <stp>FA_ACT_EST_DATA=E</stp>
        <stp>ACT_EST_MAPPING=PRECISE</stp>
        <stp>FS=MRC</stp>
        <stp>CURRENCY=USD</stp>
        <stp>XLFILL=b</stp>
        <tr r="E171" s="2"/>
      </tp>
      <tp>
        <v>26400</v>
        <stp/>
        <stp>##V3_BQLV12</stp>
        <stp>[MODL_CRM_US1.xlsx]Single Period!R7C18</stp>
        <stp>CRM US Equity</stp>
        <stp>IS_COMP_SALES/1M</stp>
        <stp>FPR=2022Y</stp>
        <stp>FPT=A</stp>
        <stp>FA_ACT_EST_DATA=E, EST_SOURCE=CAN</stp>
        <stp>ACT_EST_MAPPING=PRECISE</stp>
        <stp>FS=MRC</stp>
        <stp>CURRENCY=USD</stp>
        <stp>XLFILL=b</stp>
        <tr r="R7" s="2"/>
      </tp>
      <tp>
        <v>94101.39876649894</v>
        <stp/>
        <stp>##V3_BQLV12</stp>
        <stp>[MODL_CRM_US1.xlsx]Single Period!R142C16</stp>
        <stp>CRM US Equity</stp>
        <stp>BS_TOT_ASSET/1M</stp>
        <stp>FPR=2022Y</stp>
        <stp>FPT=A</stp>
        <stp>FA_ACT_EST_DATA=E, EST_SOURCE=DBG</stp>
        <stp>ACT_EST_MAPPING=PRECISE</stp>
        <stp>FS=MRC</stp>
        <stp>CURRENCY=USD</stp>
        <stp>XLFILL=b</stp>
        <tr r="P142" s="2"/>
      </tp>
      <tp t="s">
        <v/>
        <stp/>
        <stp>##V3_BQLV12</stp>
        <stp>[MODL_CRM_US1.xlsx]Single Period!R106C44</stp>
        <stp>CRM US Equity</stp>
        <stp>IS_AMORT_ACQD_INTANG_S_AND_M/1M</stp>
        <stp>FPR=2022Y</stp>
        <stp>FPT=A</stp>
        <stp>FA_ACT_EST_DATA=E, EST_SOURCE=RWB</stp>
        <stp>ACT_EST_MAPPING=PRECISE</stp>
        <stp>FS=MRC</stp>
        <stp>CURRENCY=USD</stp>
        <stp>XLFILL=b</stp>
        <tr r="AR106" s="2"/>
      </tp>
      <tp t="s">
        <v/>
        <stp/>
        <stp>##V3_BQLV12</stp>
        <stp>[MODL_CRM_US1.xlsx]Single Period!R87C32</stp>
        <stp>CRM US Equity</stp>
        <stp>IS_EBIT_AS_REPORTED/1M</stp>
        <stp>FPR=2022Y</stp>
        <stp>FPT=A</stp>
        <stp>FA_ACT_EST_DATA=E, EST_SOURCE=UBS</stp>
        <stp>ACT_EST_MAPPING=PRECISE</stp>
        <stp>FS=MRC</stp>
        <stp>CURRENCY=USD</stp>
        <stp>XLFILL=b</stp>
        <tr r="AF87" s="2"/>
      </tp>
      <tp t="s">
        <v/>
        <stp/>
        <stp>##V3_BQLV12</stp>
        <stp>[MODL_CRM_US1.xlsx]Single Period!R179C48</stp>
        <stp>CRM US Equity</stp>
        <stp>CB_CF_NET_CASH_FINANCING_ACT/1M</stp>
        <stp>FPR=2022Y</stp>
        <stp>FPT=A</stp>
        <stp>FA_ACT_EST_DATA=E, EST_SOURCE=PJE</stp>
        <stp>ACT_EST_MAPPING=PRECISE</stp>
        <stp>FS=MRC</stp>
        <stp>CURRENCY=USD</stp>
        <stp>XLFILL=b</stp>
        <tr r="AV179" s="2"/>
      </tp>
      <tp t="s">
        <v/>
        <stp/>
        <stp>##V3_BQLV12</stp>
        <stp>[MODL_CRM_US1.xlsx]Single Period!R45C49</stp>
        <stp>SEG0000269240 Segment</stp>
        <stp>REVENUE_GROWTH_CC_1_YR</stp>
        <stp>FPR=2022Y</stp>
        <stp>FPT=A</stp>
        <stp>FA_ACT_EST_DATA=E, EST_SOURCE=SGE</stp>
        <stp>ACT_EST_MAPPING=PRECISE</stp>
        <stp>FS=MRC</stp>
        <stp>CURRENCY=USD</stp>
        <stp>XLFILL=b</stp>
        <tr r="AW45" s="2"/>
      </tp>
      <tp>
        <v>94101.39876649894</v>
        <stp/>
        <stp>##V3_BQLV12</stp>
        <stp>[MODL_CRM_US1.xlsx]Single Period!R125C16</stp>
        <stp>CRM US Equity</stp>
        <stp>BS_TOT_ASSET/1M</stp>
        <stp>FPR=2022Y</stp>
        <stp>FPT=A</stp>
        <stp>FA_ACT_EST_DATA=E, EST_SOURCE=DBG</stp>
        <stp>ACT_EST_MAPPING=PRECISE</stp>
        <stp>FS=MRC</stp>
        <stp>CURRENCY=USD</stp>
        <stp>XLFILL=b</stp>
        <tr r="P125" s="2"/>
      </tp>
      <tp>
        <v>5680.4728187291703</v>
        <stp/>
        <stp>##V3_BQLV12</stp>
        <stp>[MODL_CRM_US1.xlsx]Single Period!R167C21</stp>
        <stp>CRM US Equity</stp>
        <stp>CB_CF_NET_CASH_OPERATING_ACT/1M</stp>
        <stp>FPR=2022Y</stp>
        <stp>FPT=A</stp>
        <stp>FA_ACT_EST_DATA=E, EST_SOURCE=RJA</stp>
        <stp>ACT_EST_MAPPING=PRECISE</stp>
        <stp>FS=MRC</stp>
        <stp>CURRENCY=USD</stp>
        <stp>XLFILL=b</stp>
        <tr r="U167" s="2"/>
      </tp>
      <tp t="s">
        <v/>
        <stp/>
        <stp>##V3_BQLV12</stp>
        <stp>[MODL_CRM_US1.xlsx]Single Period!R121C51</stp>
        <stp>CRM US Equity</stp>
        <stp>CB_BS_INTANG_ASSETS_EX_GW_NT/1M</stp>
        <stp>FPR=2022Y</stp>
        <stp>FPT=A</stp>
        <stp>FA_ACT_EST_DATA=E, EST_SOURCE=RCP</stp>
        <stp>ACT_EST_MAPPING=PRECISE</stp>
        <stp>FS=MRC</stp>
        <stp>CURRENCY=USD</stp>
        <stp>XLFILL=b</stp>
        <tr r="AY121" s="2"/>
      </tp>
      <tp t="s">
        <v/>
        <stp/>
        <stp>##V3_BQLV12</stp>
        <stp>[MODL_CRM_US1.xlsx]Single Period!R106C43</stp>
        <stp>CRM US Equity</stp>
        <stp>IS_AMORT_ACQD_INTANG_S_AND_M/1M</stp>
        <stp>FPR=2022Y</stp>
        <stp>FPT=A</stp>
        <stp>FA_ACT_EST_DATA=E, EST_SOURCE=DWI</stp>
        <stp>ACT_EST_MAPPING=PRECISE</stp>
        <stp>FS=MRC</stp>
        <stp>CURRENCY=USD</stp>
        <stp>XLFILL=b</stp>
        <tr r="AQ106" s="2"/>
      </tp>
      <tp t="s">
        <v/>
        <stp/>
        <stp>##V3_BQLV12</stp>
        <stp>[MODL_CRM_US1.xlsx]Single Period!R125C49</stp>
        <stp>CRM US Equity</stp>
        <stp>BS_TOT_ASSET/1M</stp>
        <stp>FPR=2022Y</stp>
        <stp>FPT=A</stp>
        <stp>FA_ACT_EST_DATA=E, EST_SOURCE=SGE</stp>
        <stp>ACT_EST_MAPPING=PRECISE</stp>
        <stp>FS=MRC</stp>
        <stp>CURRENCY=USD</stp>
        <stp>XLFILL=b</stp>
        <tr r="AW125" s="2"/>
      </tp>
      <tp>
        <v>5680.4728187291703</v>
        <stp/>
        <stp>##V3_BQLV12</stp>
        <stp>[MODL_CRM_US1.xlsx]Single Period!R182C21</stp>
        <stp>CRM US Equity</stp>
        <stp>CB_CF_NET_CASH_OPERATING_ACT/1M</stp>
        <stp>FPR=2022Y</stp>
        <stp>FPT=A</stp>
        <stp>FA_ACT_EST_DATA=E, EST_SOURCE=RJA</stp>
        <stp>ACT_EST_MAPPING=PRECISE</stp>
        <stp>FS=MRC</stp>
        <stp>CURRENCY=USD</stp>
        <stp>XLFILL=b</stp>
        <tr r="U182" s="2"/>
      </tp>
      <tp t="s">
        <v/>
        <stp/>
        <stp>##V3_BQLV12</stp>
        <stp>[MODL_CRM_US1.xlsx]Single Period!R125C11</stp>
        <stp>CRM US Equity</stp>
        <stp>BS_TOT_ASSET/1M</stp>
        <stp>FPR=2022Y</stp>
        <stp>FPT=A</stp>
        <stp>FA_ACT_EST_DATA=E, EST_SOURCE=WBL</stp>
        <stp>ACT_EST_MAPPING=PRECISE</stp>
        <stp>FS=MRC</stp>
        <stp>CURRENCY=USD</stp>
        <stp>XLFILL=b</stp>
        <tr r="K125" s="2"/>
      </tp>
      <tp t="s">
        <v/>
        <stp/>
        <stp>##V3_BQLV12</stp>
        <stp>[MODL_CRM_US1.xlsx]Single Period!R13C10</stp>
        <stp>CRM US Equity</stp>
        <stp>CURRENT_FUTURE_REV_UNDER_CONTRACT/1M</stp>
        <stp>FPR=2022Y</stp>
        <stp>FPT=A</stp>
        <stp>FA_ACT_EST_DATA=E, EST_SOURCE=CMPY</stp>
        <stp>ACT_EST_MAPPING=PRECISE</stp>
        <stp>FS=MRC</stp>
        <stp>CURRENCY=USD</stp>
        <stp>XLFILL=b</stp>
        <tr r="J13" s="2"/>
      </tp>
      <tp t="s">
        <v/>
        <stp/>
        <stp>##V3_BQLV12</stp>
        <stp>[MODL_CRM_US1.xlsx]Single Period!R135C47</stp>
        <stp>CRM US Equity</stp>
        <stp>CB_BS_OTHER_NONCURRENT_LIABS/1M</stp>
        <stp>FPR=2022Y</stp>
        <stp>FPT=A</stp>
        <stp>FA_ACT_EST_DATA=E, EST_SOURCE=WFT</stp>
        <stp>ACT_EST_MAPPING=PRECISE</stp>
        <stp>FS=MRC</stp>
        <stp>CURRENCY=USD</stp>
        <stp>XLFILL=b</stp>
        <tr r="AU135" s="2"/>
      </tp>
      <tp t="s">
        <v/>
        <stp/>
        <stp>##V3_BQLV12</stp>
        <stp>[MODL_CRM_US1.xlsx]Single Period!R45C39</stp>
        <stp>SEG0000269240 Segment</stp>
        <stp>REVENUE_GROWTH_CC_1_YR</stp>
        <stp>FPR=2022Y</stp>
        <stp>FPT=A</stp>
        <stp>FA_ACT_EST_DATA=E, EST_SOURCE=KGI</stp>
        <stp>ACT_EST_MAPPING=PRECISE</stp>
        <stp>FS=MRC</stp>
        <stp>CURRENCY=USD</stp>
        <stp>XLFILL=b</stp>
        <tr r="AM45" s="2"/>
      </tp>
      <tp t="s">
        <v/>
        <stp/>
        <stp>##V3_BQLV12</stp>
        <stp>[MODL_CRM_US1.xlsx]Single Period!R142C49</stp>
        <stp>CRM US Equity</stp>
        <stp>BS_TOT_ASSET/1M</stp>
        <stp>FPR=2022Y</stp>
        <stp>FPT=A</stp>
        <stp>FA_ACT_EST_DATA=E, EST_SOURCE=SGE</stp>
        <stp>ACT_EST_MAPPING=PRECISE</stp>
        <stp>FS=MRC</stp>
        <stp>CURRENCY=USD</stp>
        <stp>XLFILL=b</stp>
        <tr r="AW142" s="2"/>
      </tp>
      <tp t="s">
        <v/>
        <stp/>
        <stp>##V3_BQLV12</stp>
        <stp>[MODL_CRM_US1.xlsx]Single Period!R142C11</stp>
        <stp>CRM US Equity</stp>
        <stp>BS_TOT_ASSET/1M</stp>
        <stp>FPR=2022Y</stp>
        <stp>FPT=A</stp>
        <stp>FA_ACT_EST_DATA=E, EST_SOURCE=WBL</stp>
        <stp>ACT_EST_MAPPING=PRECISE</stp>
        <stp>FS=MRC</stp>
        <stp>CURRENCY=USD</stp>
        <stp>XLFILL=b</stp>
        <tr r="K142" s="2"/>
      </tp>
      <tp t="s">
        <v/>
        <stp/>
        <stp>##V3_BQLV12</stp>
        <stp>[MODL_CRM_US1.xlsx]Single Period!R104C48</stp>
        <stp>CRM US Equity</stp>
        <stp>IS_AMORT_OF_TOT_INTANG_PRETX/1M</stp>
        <stp>FPR=2022Y</stp>
        <stp>FPT=A</stp>
        <stp>FA_ACT_EST_DATA=E, EST_SOURCE=PJE</stp>
        <stp>ACT_EST_MAPPING=PRECISE</stp>
        <stp>FS=MRC</stp>
        <stp>CURRENCY=USD</stp>
        <stp>XLFILL=b</stp>
        <tr r="AV104" s="2"/>
      </tp>
      <tp t="s">
        <v/>
        <stp/>
        <stp>##V3_BQLV12</stp>
        <stp>[MODL_CRM_US1.xlsx]Single Period!R142C52</stp>
        <stp>CRM US Equity</stp>
        <stp>BS_TOT_ASSET/1M</stp>
        <stp>FPR=2022Y</stp>
        <stp>FPT=A</stp>
        <stp>FA_ACT_EST_DATA=E, EST_SOURCE=WFR</stp>
        <stp>ACT_EST_MAPPING=PRECISE</stp>
        <stp>FS=MRC</stp>
        <stp>CURRENCY=USD</stp>
        <stp>XLFILL=b</stp>
        <tr r="AZ142" s="2"/>
      </tp>
      <tp t="s">
        <v/>
        <stp/>
        <stp>##V3_BQLV12</stp>
        <stp>[MODL_CRM_US1.xlsx]Single Period!R135C30</stp>
        <stp>CRM US Equity</stp>
        <stp>CB_BS_OTHER_NONCURRENT_LIABS/1M</stp>
        <stp>FPR=2022Y</stp>
        <stp>FPT=A</stp>
        <stp>FA_ACT_EST_DATA=E, EST_SOURCE=BAM</stp>
        <stp>ACT_EST_MAPPING=PRECISE</stp>
        <stp>FS=MRC</stp>
        <stp>CURRENCY=USD</stp>
        <stp>XLFILL=b</stp>
        <tr r="AD135" s="2"/>
      </tp>
      <tp>
        <v>461.17691994259076</v>
        <stp/>
        <stp>##V3_BQLV12</stp>
        <stp>[MODL_CRM_US1.xlsx]Single Period!R87C16</stp>
        <stp>CRM US Equity</stp>
        <stp>IS_EBIT_AS_REPORTED/1M</stp>
        <stp>FPR=2022Y</stp>
        <stp>FPT=A</stp>
        <stp>FA_ACT_EST_DATA=E, EST_SOURCE=DBG</stp>
        <stp>ACT_EST_MAPPING=PRECISE</stp>
        <stp>FS=MRC</stp>
        <stp>CURRENCY=USD</stp>
        <stp>XLFILL=b</stp>
        <tr r="P87" s="2"/>
      </tp>
      <tp>
        <v>471.74819121819752</v>
        <stp/>
        <stp>##V3_BQLV12</stp>
        <stp>[MODL_CRM_US1.xlsx]Single Period!R87C24</stp>
        <stp>CRM US Equity</stp>
        <stp>IS_EBIT_AS_REPORTED/1M</stp>
        <stp>FPR=2022Y</stp>
        <stp>FPT=A</stp>
        <stp>FA_ACT_EST_DATA=E, EST_SOURCE=FBC</stp>
        <stp>ACT_EST_MAPPING=PRECISE</stp>
        <stp>FS=MRC</stp>
        <stp>CURRENCY=USD</stp>
        <stp>XLFILL=b</stp>
        <tr r="X87" s="2"/>
      </tp>
      <tp t="s">
        <v/>
        <stp/>
        <stp>##V3_BQLV12</stp>
        <stp>[MODL_CRM_US1.xlsx]Single Period!R121C34</stp>
        <stp>CRM US Equity</stp>
        <stp>CB_BS_INTANG_ASSETS_EX_GW_NT/1M</stp>
        <stp>FPR=2022Y</stp>
        <stp>FPT=A</stp>
        <stp>FA_ACT_EST_DATA=E, EST_SOURCE=JEF</stp>
        <stp>ACT_EST_MAPPING=PRECISE</stp>
        <stp>FS=MRC</stp>
        <stp>CURRENCY=USD</stp>
        <stp>XLFILL=b</stp>
        <tr r="AH121" s="2"/>
      </tp>
      <tp t="s">
        <v/>
        <stp/>
        <stp>##V3_BQLV12</stp>
        <stp>[MODL_CRM_US1.xlsx]Single Period!R125C52</stp>
        <stp>CRM US Equity</stp>
        <stp>BS_TOT_ASSET/1M</stp>
        <stp>FPR=2022Y</stp>
        <stp>FPT=A</stp>
        <stp>FA_ACT_EST_DATA=E, EST_SOURCE=WFR</stp>
        <stp>ACT_EST_MAPPING=PRECISE</stp>
        <stp>FS=MRC</stp>
        <stp>CURRENCY=USD</stp>
        <stp>XLFILL=b</stp>
        <tr r="AZ125" s="2"/>
      </tp>
      <tp t="s">
        <v/>
        <stp/>
        <stp>##V3_BQLV12</stp>
        <stp>[MODL_CRM_US1.xlsx]Single Period!R135C19</stp>
        <stp>CRM US Equity</stp>
        <stp>CB_BS_OTHER_NONCURRENT_LIABS/1M</stp>
        <stp>FPR=2022Y</stp>
        <stp>FPT=A</stp>
        <stp>FA_ACT_EST_DATA=E, EST_SOURCE=SCB</stp>
        <stp>ACT_EST_MAPPING=PRECISE</stp>
        <stp>FS=MRC</stp>
        <stp>CURRENCY=USD</stp>
        <stp>XLFILL=b</stp>
        <tr r="S135" s="2"/>
      </tp>
      <tp t="s">
        <v/>
        <stp/>
        <stp>##V3_BQLV12</stp>
        <stp>[MODL_CRM_US1.xlsx]Single Period!R58C43</stp>
        <stp>CRM US Equity</stp>
        <stp>CB_IS_ADJUSTED_OPEX/1M</stp>
        <stp>FPR=2022Y</stp>
        <stp>FPT=A</stp>
        <stp>FA_ACT_EST_DATA=E, EST_SOURCE=DWI</stp>
        <stp>ACT_EST_MAPPING=PRECISE</stp>
        <stp>FS=MRC</stp>
        <stp>CURRENCY=USD</stp>
        <stp>XLFILL=b</stp>
        <tr r="AQ58" s="2"/>
      </tp>
      <tp t="s">
        <v/>
        <stp/>
        <stp>##V3_BQLV12</stp>
        <stp>[MODL_CRM_US1.xlsx]Single Period!R87C31</stp>
        <stp>CRM US Equity</stp>
        <stp>IS_EBIT_AS_REPORTED/1M</stp>
        <stp>FPR=2022Y</stp>
        <stp>FPT=A</stp>
        <stp>FA_ACT_EST_DATA=E, EST_SOURCE=RBC</stp>
        <stp>ACT_EST_MAPPING=PRECISE</stp>
        <stp>FS=MRC</stp>
        <stp>CURRENCY=USD</stp>
        <stp>XLFILL=b</stp>
        <tr r="AE87" s="2"/>
      </tp>
      <tp t="s">
        <v/>
        <stp/>
        <stp>##V3_BQLV12</stp>
        <stp>[MODL_CRM_US1.xlsx]Single Period!R58C28</stp>
        <stp>CRM US Equity</stp>
        <stp>CB_IS_ADJUSTED_OPEX/1M</stp>
        <stp>FPR=2022Y</stp>
        <stp>FPT=A</stp>
        <stp>FA_ACT_EST_DATA=E, EST_SOURCE=CWN</stp>
        <stp>ACT_EST_MAPPING=PRECISE</stp>
        <stp>FS=MRC</stp>
        <stp>CURRENCY=USD</stp>
        <stp>XLFILL=b</stp>
        <tr r="AB58" s="2"/>
      </tp>
      <tp t="s">
        <v/>
        <stp/>
        <stp>##V3_BQLV12</stp>
        <stp>[MODL_CRM_US1.xlsx]Single Period!R78C14</stp>
        <stp>CRM US Equity</stp>
        <stp>COGS_TO_NET_SALES</stp>
        <stp>FPR=2022Y</stp>
        <stp>FPT=A</stp>
        <stp>FA_ACT_EST_DATA=E, EST_SOURCE=SNR</stp>
        <stp>ACT_EST_MAPPING=PRECISE</stp>
        <stp>FS=MRC</stp>
        <stp>CURRENCY=USD</stp>
        <stp>XLFILL=b</stp>
        <tr r="N78" s="2"/>
      </tp>
      <tp t="s">
        <v/>
        <stp/>
        <stp>##V3_BQLV12</stp>
        <stp>[MODL_CRM_US1.xlsx]Single Period!R78C29</stp>
        <stp>CRM US Equity</stp>
        <stp>COGS_TO_NET_SALES</stp>
        <stp>FPR=2022Y</stp>
        <stp>FPT=A</stp>
        <stp>FA_ACT_EST_DATA=E, EST_SOURCE=BNS</stp>
        <stp>ACT_EST_MAPPING=PRECISE</stp>
        <stp>FS=MRC</stp>
        <stp>CURRENCY=USD</stp>
        <stp>XLFILL=b</stp>
        <tr r="AC78" s="2"/>
      </tp>
      <tp t="s">
        <v/>
        <stp/>
        <stp>##V3_BQLV12</stp>
        <stp>[MODL_CRM_US1.xlsx]Single Period!R87C11</stp>
        <stp>CRM US Equity</stp>
        <stp>IS_EBIT_AS_REPORTED/1M</stp>
        <stp>FPR=2022Y</stp>
        <stp>FPT=A</stp>
        <stp>FA_ACT_EST_DATA=E, EST_SOURCE=WBL</stp>
        <stp>ACT_EST_MAPPING=PRECISE</stp>
        <stp>FS=MRC</stp>
        <stp>CURRENCY=USD</stp>
        <stp>XLFILL=b</stp>
        <tr r="K87" s="2"/>
      </tp>
      <tp t="s">
        <v/>
        <stp/>
        <stp>##V3_BQLV12</stp>
        <stp>[MODL_CRM_US1.xlsx]Single Period!R135C36</stp>
        <stp>CRM US Equity</stp>
        <stp>CB_BS_OTHER_NONCURRENT_LIABS/1M</stp>
        <stp>FPR=2022Y</stp>
        <stp>FPT=A</stp>
        <stp>FA_ACT_EST_DATA=E, EST_SOURCE=MAC</stp>
        <stp>ACT_EST_MAPPING=PRECISE</stp>
        <stp>FS=MRC</stp>
        <stp>CURRENCY=USD</stp>
        <stp>XLFILL=b</stp>
        <tr r="AJ135" s="2"/>
      </tp>
      <tp t="s">
        <v/>
        <stp/>
        <stp>##V3_BQLV12</stp>
        <stp>[MODL_CRM_US1.xlsx]Single Period!R71C33</stp>
        <stp>CRM US Equity</stp>
        <stp>ADJ_PROFIT_MARGIN</stp>
        <stp>FPR=2022Y</stp>
        <stp>FPT=A</stp>
        <stp>FA_ACT_EST_DATA=E, EST_SOURCE=RHR</stp>
        <stp>ACT_EST_MAPPING=PRECISE</stp>
        <stp>FS=MRC</stp>
        <stp>CURRENCY=USD</stp>
        <stp>XLFILL=b</stp>
        <tr r="AG71" s="2"/>
      </tp>
      <tp t="s">
        <v/>
        <stp/>
        <stp>##V3_BQLV12</stp>
        <stp>[MODL_CRM_US1.xlsx]Single Period!R135C13</stp>
        <stp>CRM US Equity</stp>
        <stp>CB_BS_OTHER_NONCURRENT_LIABS/1M</stp>
        <stp>FPR=2022Y</stp>
        <stp>FPT=A</stp>
        <stp>FA_ACT_EST_DATA=E, EST_SOURCE=BCA</stp>
        <stp>ACT_EST_MAPPING=PRECISE</stp>
        <stp>FS=MRC</stp>
        <stp>CURRENCY=USD</stp>
        <stp>XLFILL=b</stp>
        <tr r="M135" s="2"/>
      </tp>
      <tp t="s">
        <v/>
        <stp/>
        <stp>##V3_BQLV12</stp>
        <stp>[MODL_CRM_US1.xlsx]Single Period!R58C44</stp>
        <stp>CRM US Equity</stp>
        <stp>CB_IS_ADJUSTED_OPEX/1M</stp>
        <stp>FPR=2022Y</stp>
        <stp>FPT=A</stp>
        <stp>FA_ACT_EST_DATA=E, EST_SOURCE=RWB</stp>
        <stp>ACT_EST_MAPPING=PRECISE</stp>
        <stp>FS=MRC</stp>
        <stp>CURRENCY=USD</stp>
        <stp>XLFILL=b</stp>
        <tr r="AR58" s="2"/>
      </tp>
      <tp t="s">
        <v/>
        <stp/>
        <stp>##V3_BQLV12</stp>
        <stp>[MODL_CRM_US1.xlsx]Single Period!R133C10</stp>
        <stp>CRM US Equity</stp>
        <stp>BS_LONG_TERM_BORROWINGS/1M</stp>
        <stp>FPR=2022Y</stp>
        <stp>FPT=A</stp>
        <stp>FA_ACT_EST_DATA=E, EST_SOURCE=CMPY</stp>
        <stp>ACT_EST_MAPPING=PRECISE</stp>
        <stp>FS=MRC</stp>
        <stp>CURRENCY=USD</stp>
        <stp>XLFILL=b</stp>
        <tr r="J133" s="2"/>
      </tp>
      <tp>
        <v>-895</v>
        <stp/>
        <stp>##V3_BQLV12</stp>
        <stp>[MODL_CRM_US1.xlsx]Single Period!R67C17</stp>
        <stp>CRM US Equity</stp>
        <stp>IS_NON_OPERATING_INC_LOSS_GAAP/1M</stp>
        <stp>FPR=2022Y</stp>
        <stp>FPT=A</stp>
        <stp>FA_ACT_EST_DATA=E, EST_SOURCE=NDH</stp>
        <stp>ACT_EST_MAPPING=PRECISE</stp>
        <stp>FS=MRC</stp>
        <stp>CURRENCY=USD</stp>
        <stp>XLFILL=b</stp>
        <tr r="Q67" s="2"/>
      </tp>
      <tp t="s">
        <v/>
        <stp/>
        <stp>##V3_BQLV12</stp>
        <stp>[MODL_CRM_US1.xlsx]Single Period!R84C37</stp>
        <stp>CRM US Equity</stp>
        <stp>RD_EXPEND_TO_NET_SALES</stp>
        <stp>FPR=2022Y</stp>
        <stp>FPT=A</stp>
        <stp>FA_ACT_EST_DATA=E, EST_SOURCE=EVR</stp>
        <stp>ACT_EST_MAPPING=PRECISE</stp>
        <stp>FS=MRC</stp>
        <stp>CURRENCY=USD</stp>
        <stp>XLFILL=b</stp>
        <tr r="AK84" s="2"/>
      </tp>
      <tp t="s">
        <v/>
        <stp/>
        <stp>##V3_BQLV12</stp>
        <stp>[MODL_CRM_US1.xlsx]Single Period!R192C10</stp>
        <stp>CRM US Equity</stp>
        <stp>FREE_CASH_FLOW_MARGIN</stp>
        <stp>FPR=2022Y</stp>
        <stp>FPT=A</stp>
        <stp>FA_ACT_EST_DATA=E, EST_SOURCE=CMPY</stp>
        <stp>ACT_EST_MAPPING=PRECISE</stp>
        <stp>FS=MRC</stp>
        <stp>CURRENCY=USD</stp>
        <stp>XLFILL=b</stp>
        <tr r="J192" s="2"/>
      </tp>
      <tp>
        <v>26397</v>
        <stp/>
        <stp>##V3_BQLV12</stp>
        <stp>[MODL_CRM_US1.xlsx]Single Period!R7C25</stp>
        <stp>CRM US Equity</stp>
        <stp>IS_COMP_SALES/1M</stp>
        <stp>FPR=2022Y</stp>
        <stp>FPT=A</stp>
        <stp>FA_ACT_EST_DATA=E, EST_SOURCE=WMS</stp>
        <stp>ACT_EST_MAPPING=PRECISE</stp>
        <stp>FS=MRC</stp>
        <stp>CURRENCY=USD</stp>
        <stp>XLFILL=b</stp>
        <tr r="Y7" s="2"/>
      </tp>
      <tp t="s">
        <v/>
        <stp/>
        <stp>##V3_BQLV12</stp>
        <stp>[MODL_CRM_US1.xlsx]Single Period!R87C51</stp>
        <stp>CRM US Equity</stp>
        <stp>IS_EBIT_AS_REPORTED/1M</stp>
        <stp>FPR=2022Y</stp>
        <stp>FPT=A</stp>
        <stp>FA_ACT_EST_DATA=E, EST_SOURCE=RCP</stp>
        <stp>ACT_EST_MAPPING=PRECISE</stp>
        <stp>FS=MRC</stp>
        <stp>CURRENCY=USD</stp>
        <stp>XLFILL=b</stp>
        <tr r="AY87" s="2"/>
      </tp>
      <tp>
        <v>94760.387676176368</v>
        <stp/>
        <stp>##V3_BQLV12</stp>
        <stp>[MODL_CRM_US1.xlsx]Single Period!R142C13</stp>
        <stp>CRM US Equity</stp>
        <stp>BS_TOT_ASSET/1M</stp>
        <stp>FPR=2022Y</stp>
        <stp>FPT=A</stp>
        <stp>FA_ACT_EST_DATA=E, EST_SOURCE=BCA</stp>
        <stp>ACT_EST_MAPPING=PRECISE</stp>
        <stp>FS=MRC</stp>
        <stp>CURRENCY=USD</stp>
        <stp>XLFILL=b</stp>
        <tr r="M142" s="2"/>
      </tp>
      <tp t="s">
        <v/>
        <stp/>
        <stp>##V3_BQLV12</stp>
        <stp>[MODL_CRM_US1.xlsx]Single Period!R125C36</stp>
        <stp>CRM US Equity</stp>
        <stp>BS_TOT_ASSET/1M</stp>
        <stp>FPR=2022Y</stp>
        <stp>FPT=A</stp>
        <stp>FA_ACT_EST_DATA=E, EST_SOURCE=MAC</stp>
        <stp>ACT_EST_MAPPING=PRECISE</stp>
        <stp>FS=MRC</stp>
        <stp>CURRENCY=USD</stp>
        <stp>XLFILL=b</stp>
        <tr r="AJ125" s="2"/>
      </tp>
      <tp t="s">
        <v/>
        <stp/>
        <stp>##V3_BQLV12</stp>
        <stp>[MODL_CRM_US1.xlsx]Single Period!R71C53</stp>
        <stp>CRM US Equity</stp>
        <stp>ADJ_PROFIT_MARGIN</stp>
        <stp>FPR=2022Y</stp>
        <stp>FPT=A</stp>
        <stp>FA_ACT_EST_DATA=E, EST_SOURCE=NIK</stp>
        <stp>ACT_EST_MAPPING=PRECISE</stp>
        <stp>FS=MRC</stp>
        <stp>CURRENCY=USD</stp>
        <stp>XLFILL=b</stp>
        <tr r="BA71" s="2"/>
      </tp>
      <tp>
        <v>20745.753210452451</v>
        <stp/>
        <stp>##V3_BQLV12</stp>
        <stp>[MODL_CRM_US1.xlsx]Single Period!R16C9</stp>
        <stp>CRM US Equity</stp>
        <stp>CONTRIBUTOR_STATS(IS_ADJ_GROSS_PROFIT_AS_REPORTED, MEDIAN)/1M</stp>
        <stp>FPR=2022Y</stp>
        <stp>FPT=A</stp>
        <stp>FA_ACT_EST_DATA=E</stp>
        <stp>ACT_EST_MAPPING=PRECISE</stp>
        <stp>FS=MRC</stp>
        <stp>CURRENCY=USD</stp>
        <stp>XLFILL=b</stp>
        <tr r="I16" s="2"/>
      </tp>
      <tp t="s">
        <v/>
        <stp/>
        <stp>##V3_BQLV12</stp>
        <stp>[MODL_CRM_US1.xlsx]Single Period!R124C37</stp>
        <stp>CRM US Equity</stp>
        <stp>CAPITALIZED_SOFTWARE/1M</stp>
        <stp>FPR=2022Y</stp>
        <stp>FPT=A</stp>
        <stp>FA_ACT_EST_DATA=E, EST_SOURCE=EVR</stp>
        <stp>ACT_EST_MAPPING=PRECISE</stp>
        <stp>FS=MRC</stp>
        <stp>CURRENCY=USD</stp>
        <stp>XLFILL=b</stp>
        <tr r="AK124" s="2"/>
      </tp>
      <tp>
        <v>94760.387676176368</v>
        <stp/>
        <stp>##V3_BQLV12</stp>
        <stp>[MODL_CRM_US1.xlsx]Single Period!R125C13</stp>
        <stp>CRM US Equity</stp>
        <stp>BS_TOT_ASSET/1M</stp>
        <stp>FPR=2022Y</stp>
        <stp>FPT=A</stp>
        <stp>FA_ACT_EST_DATA=E, EST_SOURCE=BCA</stp>
        <stp>ACT_EST_MAPPING=PRECISE</stp>
        <stp>FS=MRC</stp>
        <stp>CURRENCY=USD</stp>
        <stp>XLFILL=b</stp>
        <tr r="M125" s="2"/>
      </tp>
      <tp t="s">
        <v/>
        <stp/>
        <stp>##V3_BQLV12</stp>
        <stp>[MODL_CRM_US1.xlsx]Single Period!R142C36</stp>
        <stp>CRM US Equity</stp>
        <stp>BS_TOT_ASSET/1M</stp>
        <stp>FPR=2022Y</stp>
        <stp>FPT=A</stp>
        <stp>FA_ACT_EST_DATA=E, EST_SOURCE=MAC</stp>
        <stp>ACT_EST_MAPPING=PRECISE</stp>
        <stp>FS=MRC</stp>
        <stp>CURRENCY=USD</stp>
        <stp>XLFILL=b</stp>
        <tr r="AJ142" s="2"/>
      </tp>
      <tp t="s">
        <v/>
        <stp/>
        <stp>##V3_BQLV12</stp>
        <stp>[MODL_CRM_US1.xlsx]Single Period!R58C37</stp>
        <stp>CRM US Equity</stp>
        <stp>CB_IS_ADJUSTED_OPEX/1M</stp>
        <stp>FPR=2022Y</stp>
        <stp>FPT=A</stp>
        <stp>FA_ACT_EST_DATA=E, EST_SOURCE=EVR</stp>
        <stp>ACT_EST_MAPPING=PRECISE</stp>
        <stp>FS=MRC</stp>
        <stp>CURRENCY=USD</stp>
        <stp>XLFILL=b</stp>
        <tr r="AK58" s="2"/>
      </tp>
      <tp>
        <v>9746</v>
        <stp/>
        <stp>##V3_BQLV12</stp>
        <stp>[MODL_CRM_US1.xlsx]Single Period!R121C26</stp>
        <stp>CRM US Equity</stp>
        <stp>CB_BS_INTANG_ASSETS_EX_GW_NT/1M</stp>
        <stp>FPR=2022Y</stp>
        <stp>FPT=A</stp>
        <stp>FA_ACT_EST_DATA=E, EST_SOURCE=KEY</stp>
        <stp>ACT_EST_MAPPING=PRECISE</stp>
        <stp>FS=MRC</stp>
        <stp>CURRENCY=USD</stp>
        <stp>XLFILL=b</stp>
        <tr r="Z121" s="2"/>
      </tp>
      <tp t="s">
        <v/>
        <stp/>
        <stp>##V3_BQLV12</stp>
        <stp>[MODL_CRM_US1.xlsx]Single Period!R125C30</stp>
        <stp>CRM US Equity</stp>
        <stp>BS_TOT_ASSET/1M</stp>
        <stp>FPR=2022Y</stp>
        <stp>FPT=A</stp>
        <stp>FA_ACT_EST_DATA=E, EST_SOURCE=BAM</stp>
        <stp>ACT_EST_MAPPING=PRECISE</stp>
        <stp>FS=MRC</stp>
        <stp>CURRENCY=USD</stp>
        <stp>XLFILL=b</stp>
        <tr r="AD125" s="2"/>
      </tp>
      <tp t="s">
        <v/>
        <stp/>
        <stp>##V3_BQLV12</stp>
        <stp>[MODL_CRM_US1.xlsx]Single Period!R142C19</stp>
        <stp>CRM US Equity</stp>
        <stp>BS_TOT_ASSET/1M</stp>
        <stp>FPR=2022Y</stp>
        <stp>FPT=A</stp>
        <stp>FA_ACT_EST_DATA=E, EST_SOURCE=SCB</stp>
        <stp>ACT_EST_MAPPING=PRECISE</stp>
        <stp>FS=MRC</stp>
        <stp>CURRENCY=USD</stp>
        <stp>XLFILL=b</stp>
        <tr r="S142" s="2"/>
      </tp>
      <tp t="s">
        <v/>
        <stp/>
        <stp>##V3_BQLV12</stp>
        <stp>[MODL_CRM_US1.xlsx]Single Period!R106C23</stp>
        <stp>CRM US Equity</stp>
        <stp>IS_AMORT_ACQD_INTANG_S_AND_M/1M</stp>
        <stp>FPR=2022Y</stp>
        <stp>FPT=A</stp>
        <stp>FA_ACT_EST_DATA=E, EST_SOURCE=JPM</stp>
        <stp>ACT_EST_MAPPING=PRECISE</stp>
        <stp>FS=MRC</stp>
        <stp>CURRENCY=USD</stp>
        <stp>XLFILL=b</stp>
        <tr r="W106" s="2"/>
      </tp>
      <tp>
        <v>-14816</v>
        <stp/>
        <stp>##V3_BQLV12</stp>
        <stp>[MODL_CRM_US1.xlsx]Single Period!R170C5</stp>
        <stp>CRM US Equity</stp>
        <stp>CF_CASH_FOR_ACQUIS_SUBSIDIARIES/1M</stp>
        <stp>FPR=2022Y</stp>
        <stp>FPT=A</stp>
        <stp>FA_ACT_EST_DATA=E</stp>
        <stp>ACT_EST_MAPPING=PRECISE</stp>
        <stp>FS=MRC</stp>
        <stp>CURRENCY=USD</stp>
        <stp>XLFILL=b</stp>
        <tr r="E170" s="2"/>
      </tp>
      <tp t="s">
        <v/>
        <stp/>
        <stp>##V3_BQLV12</stp>
        <stp>[MODL_CRM_US1.xlsx]Single Period!R125C19</stp>
        <stp>CRM US Equity</stp>
        <stp>BS_TOT_ASSET/1M</stp>
        <stp>FPR=2022Y</stp>
        <stp>FPT=A</stp>
        <stp>FA_ACT_EST_DATA=E, EST_SOURCE=SCB</stp>
        <stp>ACT_EST_MAPPING=PRECISE</stp>
        <stp>FS=MRC</stp>
        <stp>CURRENCY=USD</stp>
        <stp>XLFILL=b</stp>
        <tr r="S125" s="2"/>
      </tp>
      <tp t="s">
        <v/>
        <stp/>
        <stp>##V3_BQLV12</stp>
        <stp>[MODL_CRM_US1.xlsx]Single Period!R142C30</stp>
        <stp>CRM US Equity</stp>
        <stp>BS_TOT_ASSET/1M</stp>
        <stp>FPR=2022Y</stp>
        <stp>FPT=A</stp>
        <stp>FA_ACT_EST_DATA=E, EST_SOURCE=BAM</stp>
        <stp>ACT_EST_MAPPING=PRECISE</stp>
        <stp>FS=MRC</stp>
        <stp>CURRENCY=USD</stp>
        <stp>XLFILL=b</stp>
        <tr r="AD142" s="2"/>
      </tp>
      <tp t="s">
        <v/>
        <stp/>
        <stp>##V3_BQLV12</stp>
        <stp>[MODL_CRM_US1.xlsx]Single Period!R135C52</stp>
        <stp>CRM US Equity</stp>
        <stp>CB_BS_OTHER_NONCURRENT_LIABS/1M</stp>
        <stp>FPR=2022Y</stp>
        <stp>FPT=A</stp>
        <stp>FA_ACT_EST_DATA=E, EST_SOURCE=WFR</stp>
        <stp>ACT_EST_MAPPING=PRECISE</stp>
        <stp>FS=MRC</stp>
        <stp>CURRENCY=USD</stp>
        <stp>XLFILL=b</stp>
        <tr r="AZ135" s="2"/>
      </tp>
      <tp>
        <v>721</v>
        <stp/>
        <stp>##V3_BQLV12</stp>
        <stp>[MODL_CRM_US1.xlsx]Single Period!R106C15</stp>
        <stp>CRM US Equity</stp>
        <stp>IS_AMORT_ACQD_INTANG_S_AND_M/1M</stp>
        <stp>FPR=2022Y</stp>
        <stp>FPT=A</stp>
        <stp>FA_ACT_EST_DATA=E, EST_SOURCE=MSV</stp>
        <stp>ACT_EST_MAPPING=PRECISE</stp>
        <stp>FS=MRC</stp>
        <stp>CURRENCY=USD</stp>
        <stp>XLFILL=b</stp>
        <tr r="O106" s="2"/>
      </tp>
      <tp t="s">
        <v/>
        <stp/>
        <stp>##V3_BQLV12</stp>
        <stp>[MODL_CRM_US1.xlsx]Single Period!R142C47</stp>
        <stp>CRM US Equity</stp>
        <stp>BS_TOT_ASSET/1M</stp>
        <stp>FPR=2022Y</stp>
        <stp>FPT=A</stp>
        <stp>FA_ACT_EST_DATA=E, EST_SOURCE=WFT</stp>
        <stp>ACT_EST_MAPPING=PRECISE</stp>
        <stp>FS=MRC</stp>
        <stp>CURRENCY=USD</stp>
        <stp>XLFILL=b</stp>
        <tr r="AU142" s="2"/>
      </tp>
      <tp t="s">
        <v/>
        <stp/>
        <stp>##V3_BQLV12</stp>
        <stp>[MODL_CRM_US1.xlsx]Single Period!R87C40</stp>
        <stp>CRM US Equity</stp>
        <stp>IS_EBIT_AS_REPORTED/1M</stp>
        <stp>FPR=2022Y</stp>
        <stp>FPT=A</stp>
        <stp>FA_ACT_EST_DATA=E, EST_SOURCE=ACC</stp>
        <stp>ACT_EST_MAPPING=PRECISE</stp>
        <stp>FS=MRC</stp>
        <stp>CURRENCY=USD</stp>
        <stp>XLFILL=b</stp>
        <tr r="AN87" s="2"/>
      </tp>
      <tp t="s">
        <v/>
        <stp/>
        <stp>##V3_BQLV12</stp>
        <stp>[MODL_CRM_US1.xlsx]Single Period!R135C11</stp>
        <stp>CRM US Equity</stp>
        <stp>CB_BS_OTHER_NONCURRENT_LIABS/1M</stp>
        <stp>FPR=2022Y</stp>
        <stp>FPT=A</stp>
        <stp>FA_ACT_EST_DATA=E, EST_SOURCE=WBL</stp>
        <stp>ACT_EST_MAPPING=PRECISE</stp>
        <stp>FS=MRC</stp>
        <stp>CURRENCY=USD</stp>
        <stp>XLFILL=b</stp>
        <tr r="K135" s="2"/>
      </tp>
      <tp>
        <v>1625</v>
        <stp/>
        <stp>##V3_BQLV12</stp>
        <stp>[MODL_CRM_US1.xlsx]Single Period!R104C20</stp>
        <stp>CRM US Equity</stp>
        <stp>IS_AMORT_OF_TOT_INTANG_PRETX/1M</stp>
        <stp>FPR=2022Y</stp>
        <stp>FPT=A</stp>
        <stp>FA_ACT_EST_DATA=E, EST_SOURCE=JMP</stp>
        <stp>ACT_EST_MAPPING=PRECISE</stp>
        <stp>FS=MRC</stp>
        <stp>CURRENCY=USD</stp>
        <stp>XLFILL=b</stp>
        <tr r="T104" s="2"/>
      </tp>
      <tp t="s">
        <v/>
        <stp/>
        <stp>##V3_BQLV12</stp>
        <stp>[MODL_CRM_US1.xlsx]Single Period!R45C52</stp>
        <stp>SEG0000269240 Segment</stp>
        <stp>REVENUE_GROWTH_CC_1_YR</stp>
        <stp>FPR=2022Y</stp>
        <stp>FPT=A</stp>
        <stp>FA_ACT_EST_DATA=E, EST_SOURCE=WFR</stp>
        <stp>ACT_EST_MAPPING=PRECISE</stp>
        <stp>FS=MRC</stp>
        <stp>CURRENCY=USD</stp>
        <stp>XLFILL=b</stp>
        <tr r="AZ45" s="2"/>
      </tp>
      <tp t="s">
        <v/>
        <stp/>
        <stp>##V3_BQLV12</stp>
        <stp>[MODL_CRM_US1.xlsx]Single Period!R135C49</stp>
        <stp>CRM US Equity</stp>
        <stp>CB_BS_OTHER_NONCURRENT_LIABS/1M</stp>
        <stp>FPR=2022Y</stp>
        <stp>FPT=A</stp>
        <stp>FA_ACT_EST_DATA=E, EST_SOURCE=SGE</stp>
        <stp>ACT_EST_MAPPING=PRECISE</stp>
        <stp>FS=MRC</stp>
        <stp>CURRENCY=USD</stp>
        <stp>XLFILL=b</stp>
        <tr r="AW135" s="2"/>
      </tp>
      <tp t="s">
        <v/>
        <stp/>
        <stp>##V3_BQLV12</stp>
        <stp>[MODL_CRM_US1.xlsx]Single Period!R45C47</stp>
        <stp>SEG0000269240 Segment</stp>
        <stp>REVENUE_GROWTH_CC_1_YR</stp>
        <stp>FPR=2022Y</stp>
        <stp>FPT=A</stp>
        <stp>FA_ACT_EST_DATA=E, EST_SOURCE=WFT</stp>
        <stp>ACT_EST_MAPPING=PRECISE</stp>
        <stp>FS=MRC</stp>
        <stp>CURRENCY=USD</stp>
        <stp>XLFILL=b</stp>
        <tr r="AU45" s="2"/>
      </tp>
      <tp>
        <v>1612</v>
        <stp/>
        <stp>##V3_BQLV12</stp>
        <stp>[MODL_CRM_US1.xlsx]Single Period!R104C14</stp>
        <stp>CRM US Equity</stp>
        <stp>IS_AMORT_OF_TOT_INTANG_PRETX/1M</stp>
        <stp>FPR=2022Y</stp>
        <stp>FPT=A</stp>
        <stp>FA_ACT_EST_DATA=E, EST_SOURCE=SNR</stp>
        <stp>ACT_EST_MAPPING=PRECISE</stp>
        <stp>FS=MRC</stp>
        <stp>CURRENCY=USD</stp>
        <stp>XLFILL=b</stp>
        <tr r="N104" s="2"/>
      </tp>
      <tp>
        <v>1563</v>
        <stp/>
        <stp>##V3_BQLV12</stp>
        <stp>[MODL_CRM_US1.xlsx]Single Period!R104C25</stp>
        <stp>CRM US Equity</stp>
        <stp>IS_AMORT_OF_TOT_INTANG_PRETX/1M</stp>
        <stp>FPR=2022Y</stp>
        <stp>FPT=A</stp>
        <stp>FA_ACT_EST_DATA=E, EST_SOURCE=WMS</stp>
        <stp>ACT_EST_MAPPING=PRECISE</stp>
        <stp>FS=MRC</stp>
        <stp>CURRENCY=USD</stp>
        <stp>XLFILL=b</stp>
        <tr r="Y104" s="2"/>
      </tp>
      <tp>
        <v>477.70289617916751</v>
        <stp/>
        <stp>##V3_BQLV12</stp>
        <stp>[MODL_CRM_US1.xlsx]Single Period!R87C13</stp>
        <stp>CRM US Equity</stp>
        <stp>IS_EBIT_AS_REPORTED/1M</stp>
        <stp>FPR=2022Y</stp>
        <stp>FPT=A</stp>
        <stp>FA_ACT_EST_DATA=E, EST_SOURCE=BCA</stp>
        <stp>ACT_EST_MAPPING=PRECISE</stp>
        <stp>FS=MRC</stp>
        <stp>CURRENCY=USD</stp>
        <stp>XLFILL=b</stp>
        <tr r="M87" s="2"/>
      </tp>
      <tp t="s">
        <v/>
        <stp/>
        <stp>##V3_BQLV12</stp>
        <stp>[MODL_CRM_US1.xlsx]Single Period!R121C40</stp>
        <stp>CRM US Equity</stp>
        <stp>CB_BS_INTANG_ASSETS_EX_GW_NT/1M</stp>
        <stp>FPR=2022Y</stp>
        <stp>FPT=A</stp>
        <stp>FA_ACT_EST_DATA=E, EST_SOURCE=ACC</stp>
        <stp>ACT_EST_MAPPING=PRECISE</stp>
        <stp>FS=MRC</stp>
        <stp>CURRENCY=USD</stp>
        <stp>XLFILL=b</stp>
        <tr r="AN121" s="2"/>
      </tp>
      <tp t="s">
        <v/>
        <stp/>
        <stp>##V3_BQLV12</stp>
        <stp>[MODL_CRM_US1.xlsx]Single Period!R124C28</stp>
        <stp>CRM US Equity</stp>
        <stp>CAPITALIZED_SOFTWARE/1M</stp>
        <stp>FPR=2022Y</stp>
        <stp>FPT=A</stp>
        <stp>FA_ACT_EST_DATA=E, EST_SOURCE=CWN</stp>
        <stp>ACT_EST_MAPPING=PRECISE</stp>
        <stp>FS=MRC</stp>
        <stp>CURRENCY=USD</stp>
        <stp>XLFILL=b</stp>
        <tr r="AB124" s="2"/>
      </tp>
      <tp t="s">
        <v/>
        <stp/>
        <stp>##V3_BQLV12</stp>
        <stp>[MODL_CRM_US1.xlsx]Single Period!R40C29</stp>
        <stp>SEG0000269228 Segment</stp>
        <stp>REVENUE_GROWTH_CC_1_YR</stp>
        <stp>FPR=2022Y</stp>
        <stp>FPT=A</stp>
        <stp>FA_ACT_EST_DATA=E, EST_SOURCE=BNS</stp>
        <stp>ACT_EST_MAPPING=PRECISE</stp>
        <stp>FS=MRC</stp>
        <stp>CURRENCY=USD</stp>
        <stp>XLFILL=b</stp>
        <tr r="AC40" s="2"/>
      </tp>
      <tp t="s">
        <v/>
        <stp/>
        <stp>##V3_BQLV12</stp>
        <stp>[MODL_CRM_US1.xlsx]Single Period!R87C19</stp>
        <stp>CRM US Equity</stp>
        <stp>IS_EBIT_AS_REPORTED/1M</stp>
        <stp>FPR=2022Y</stp>
        <stp>FPT=A</stp>
        <stp>FA_ACT_EST_DATA=E, EST_SOURCE=SCB</stp>
        <stp>ACT_EST_MAPPING=PRECISE</stp>
        <stp>FS=MRC</stp>
        <stp>CURRENCY=USD</stp>
        <stp>XLFILL=b</stp>
        <tr r="S87" s="2"/>
      </tp>
      <tp t="s">
        <v/>
        <stp/>
        <stp>##V3_BQLV12</stp>
        <stp>[MODL_CRM_US1.xlsx]Single Period!R40C14</stp>
        <stp>SEG0000269228 Segment</stp>
        <stp>REVENUE_GROWTH_CC_1_YR</stp>
        <stp>FPR=2022Y</stp>
        <stp>FPT=A</stp>
        <stp>FA_ACT_EST_DATA=E, EST_SOURCE=SNR</stp>
        <stp>ACT_EST_MAPPING=PRECISE</stp>
        <stp>FS=MRC</stp>
        <stp>CURRENCY=USD</stp>
        <stp>XLFILL=b</stp>
        <tr r="N40" s="2"/>
      </tp>
      <tp t="s">
        <v/>
        <stp/>
        <stp>##V3_BQLV12</stp>
        <stp>[MODL_CRM_US1.xlsx]Single Period!R125C47</stp>
        <stp>CRM US Equity</stp>
        <stp>BS_TOT_ASSET/1M</stp>
        <stp>FPR=2022Y</stp>
        <stp>FPT=A</stp>
        <stp>FA_ACT_EST_DATA=E, EST_SOURCE=WFT</stp>
        <stp>ACT_EST_MAPPING=PRECISE</stp>
        <stp>FS=MRC</stp>
        <stp>CURRENCY=USD</stp>
        <stp>XLFILL=b</stp>
        <tr r="AU125" s="2"/>
      </tp>
      <tp t="s">
        <v/>
        <stp/>
        <stp>##V3_BQLV12</stp>
        <stp>[MODL_CRM_US1.xlsx]Single Period!R179C20</stp>
        <stp>CRM US Equity</stp>
        <stp>CB_CF_NET_CASH_FINANCING_ACT/1M</stp>
        <stp>FPR=2022Y</stp>
        <stp>FPT=A</stp>
        <stp>FA_ACT_EST_DATA=E, EST_SOURCE=JMP</stp>
        <stp>ACT_EST_MAPPING=PRECISE</stp>
        <stp>FS=MRC</stp>
        <stp>CURRENCY=USD</stp>
        <stp>XLFILL=b</stp>
        <tr r="T179" s="2"/>
      </tp>
      <tp t="s">
        <v/>
        <stp/>
        <stp>##V3_BQLV12</stp>
        <stp>[MODL_CRM_US1.xlsx]Single Period!R106C22</stp>
        <stp>CRM US Equity</stp>
        <stp>IS_AMORT_ACQD_INTANG_S_AND_M/1M</stp>
        <stp>FPR=2022Y</stp>
        <stp>FPT=A</stp>
        <stp>FA_ACT_EST_DATA=E, EST_SOURCE=OPY</stp>
        <stp>ACT_EST_MAPPING=PRECISE</stp>
        <stp>FS=MRC</stp>
        <stp>CURRENCY=USD</stp>
        <stp>XLFILL=b</stp>
        <tr r="V106" s="2"/>
      </tp>
      <tp t="s">
        <v/>
        <stp/>
        <stp>##V3_BQLV12</stp>
        <stp>[MODL_CRM_US1.xlsx]Single Period!R87C27</stp>
        <stp>CRM US Equity</stp>
        <stp>IS_EBIT_AS_REPORTED/1M</stp>
        <stp>FPR=2022Y</stp>
        <stp>FPT=A</stp>
        <stp>FA_ACT_EST_DATA=E, EST_SOURCE=LCM</stp>
        <stp>ACT_EST_MAPPING=PRECISE</stp>
        <stp>FS=MRC</stp>
        <stp>CURRENCY=USD</stp>
        <stp>XLFILL=b</stp>
        <tr r="AA87" s="2"/>
      </tp>
      <tp t="s">
        <v/>
        <stp/>
        <stp>##V3_BQLV12</stp>
        <stp>[MODL_CRM_US1.xlsx]Single Period!R71C56</stp>
        <stp>CRM US Equity</stp>
        <stp>ADJ_PROFIT_MARGIN</stp>
        <stp>FPR=2022Y</stp>
        <stp>FPT=A</stp>
        <stp>FA_ACT_EST_DATA=E, EST_SOURCE=DIR</stp>
        <stp>ACT_EST_MAPPING=PRECISE</stp>
        <stp>FS=MRC</stp>
        <stp>CURRENCY=USD</stp>
        <stp>XLFILL=b</stp>
        <tr r="BD71" s="2"/>
      </tp>
      <tp t="s">
        <v/>
        <stp/>
        <stp>##V3_BQLV12</stp>
        <stp>[MODL_CRM_US1.xlsx]Single Period!R179C14</stp>
        <stp>CRM US Equity</stp>
        <stp>CB_CF_NET_CASH_FINANCING_ACT/1M</stp>
        <stp>FPR=2022Y</stp>
        <stp>FPT=A</stp>
        <stp>FA_ACT_EST_DATA=E, EST_SOURCE=SNR</stp>
        <stp>ACT_EST_MAPPING=PRECISE</stp>
        <stp>FS=MRC</stp>
        <stp>CURRENCY=USD</stp>
        <stp>XLFILL=b</stp>
        <tr r="N179" s="2"/>
      </tp>
      <tp>
        <v>1309.523768809077</v>
        <stp/>
        <stp>##V3_BQLV12</stp>
        <stp>[MODL_CRM_US1.xlsx]Single Period!R179C25</stp>
        <stp>CRM US Equity</stp>
        <stp>CB_CF_NET_CASH_FINANCING_ACT/1M</stp>
        <stp>FPR=2022Y</stp>
        <stp>FPT=A</stp>
        <stp>FA_ACT_EST_DATA=E, EST_SOURCE=WMS</stp>
        <stp>ACT_EST_MAPPING=PRECISE</stp>
        <stp>FS=MRC</stp>
        <stp>CURRENCY=USD</stp>
        <stp>XLFILL=b</stp>
        <tr r="Y179" s="2"/>
      </tp>
      <tp>
        <v>1444.6504729530971</v>
        <stp/>
        <stp>##V3_BQLV12</stp>
        <stp>[MODL_CRM_US1.xlsx]Single Period!R135C16</stp>
        <stp>CRM US Equity</stp>
        <stp>CB_BS_OTHER_NONCURRENT_LIABS/1M</stp>
        <stp>FPR=2022Y</stp>
        <stp>FPT=A</stp>
        <stp>FA_ACT_EST_DATA=E, EST_SOURCE=DBG</stp>
        <stp>ACT_EST_MAPPING=PRECISE</stp>
        <stp>FS=MRC</stp>
        <stp>CURRENCY=USD</stp>
        <stp>XLFILL=b</stp>
        <tr r="P135" s="2"/>
      </tp>
      <tp t="s">
        <v/>
        <stp/>
        <stp>##V3_BQLV12</stp>
        <stp>[MODL_CRM_US1.xlsx]Single Period!R67C13</stp>
        <stp>CRM US Equity</stp>
        <stp>IS_NON_OPERATING_INC_LOSS_GAAP/1M</stp>
        <stp>FPR=2022Y</stp>
        <stp>FPT=A</stp>
        <stp>FA_ACT_EST_DATA=E, EST_SOURCE=BCA</stp>
        <stp>ACT_EST_MAPPING=PRECISE</stp>
        <stp>FS=MRC</stp>
        <stp>CURRENCY=USD</stp>
        <stp>XLFILL=b</stp>
        <tr r="M67" s="2"/>
      </tp>
      <tp t="s">
        <v/>
        <stp/>
        <stp>##V3_BQLV12</stp>
        <stp>[MODL_CRM_US1.xlsx]Single Period!R90C49</stp>
        <stp>CRM US Equity</stp>
        <stp>IS_INC_TAX_EXP/1M</stp>
        <stp>FPR=2022Y</stp>
        <stp>FPT=A</stp>
        <stp>FA_ACT_EST_DATA=E, EST_SOURCE=SGE</stp>
        <stp>ACT_EST_MAPPING=PRECISE</stp>
        <stp>FS=MRC</stp>
        <stp>CURRENCY=USD</stp>
        <stp>XLFILL=b</stp>
        <tr r="AW90" s="2"/>
      </tp>
      <tp t="s">
        <v/>
        <stp/>
        <stp>##V3_BQLV12</stp>
        <stp>[MODL_CRM_US1.xlsx]Single Period!R67C40</stp>
        <stp>CRM US Equity</stp>
        <stp>IS_NON_OPERATING_INC_LOSS_GAAP/1M</stp>
        <stp>FPR=2022Y</stp>
        <stp>FPT=A</stp>
        <stp>FA_ACT_EST_DATA=E, EST_SOURCE=ACC</stp>
        <stp>ACT_EST_MAPPING=PRECISE</stp>
        <stp>FS=MRC</stp>
        <stp>CURRENCY=USD</stp>
        <stp>XLFILL=b</stp>
        <tr r="AN67" s="2"/>
      </tp>
      <tp t="s">
        <v/>
        <stp/>
        <stp>##V3_BQLV12</stp>
        <stp>[MODL_CRM_US1.xlsx]Single Period!R67C19</stp>
        <stp>CRM US Equity</stp>
        <stp>IS_NON_OPERATING_INC_LOSS_GAAP/1M</stp>
        <stp>FPR=2022Y</stp>
        <stp>FPT=A</stp>
        <stp>FA_ACT_EST_DATA=E, EST_SOURCE=SCB</stp>
        <stp>ACT_EST_MAPPING=PRECISE</stp>
        <stp>FS=MRC</stp>
        <stp>CURRENCY=USD</stp>
        <stp>XLFILL=b</stp>
        <tr r="S67" s="2"/>
      </tp>
      <tp t="s">
        <v/>
        <stp/>
        <stp>##V3_BQLV12</stp>
        <stp>[MODL_CRM_US1.xlsx]Single Period!R40C8</stp>
        <stp>SEG0000269228 Segment</stp>
        <stp>CONTRIBUTOR_STATS(REVENUE_GROWTH_CC_1_YR, STD)</stp>
        <stp>FPR=2022Y</stp>
        <stp>FPT=A</stp>
        <stp>FA_ACT_EST_DATA=E</stp>
        <stp>ACT_EST_MAPPING=PRECISE</stp>
        <stp>FS=MRC</stp>
        <stp>CURRENCY=USD</stp>
        <stp>XLFILL=b</stp>
        <tr r="H40" s="2"/>
      </tp>
      <tp t="s">
        <v/>
        <stp/>
        <stp>##V3_BQLV12</stp>
        <stp>[MODL_CRM_US1.xlsx]Single Period!R67C27</stp>
        <stp>CRM US Equity</stp>
        <stp>IS_NON_OPERATING_INC_LOSS_GAAP/1M</stp>
        <stp>FPR=2022Y</stp>
        <stp>FPT=A</stp>
        <stp>FA_ACT_EST_DATA=E, EST_SOURCE=LCM</stp>
        <stp>ACT_EST_MAPPING=PRECISE</stp>
        <stp>FS=MRC</stp>
        <stp>CURRENCY=USD</stp>
        <stp>XLFILL=b</stp>
        <tr r="AA67" s="2"/>
      </tp>
      <tp t="s">
        <v/>
        <stp/>
        <stp>##V3_BQLV12</stp>
        <stp>[MODL_CRM_US1.xlsx]Single Period!R90C39</stp>
        <stp>CRM US Equity</stp>
        <stp>IS_INC_TAX_EXP/1M</stp>
        <stp>FPR=2022Y</stp>
        <stp>FPT=A</stp>
        <stp>FA_ACT_EST_DATA=E, EST_SOURCE=KGI</stp>
        <stp>ACT_EST_MAPPING=PRECISE</stp>
        <stp>FS=MRC</stp>
        <stp>CURRENCY=USD</stp>
        <stp>XLFILL=b</stp>
        <tr r="AM90" s="2"/>
      </tp>
      <tp t="s">
        <v/>
        <stp/>
        <stp>##V3_BQLV12</stp>
        <stp>[MODL_CRM_US1.xlsx]Single Period!R67C51</stp>
        <stp>CRM US Equity</stp>
        <stp>IS_NON_OPERATING_INC_LOSS_GAAP/1M</stp>
        <stp>FPR=2022Y</stp>
        <stp>FPT=A</stp>
        <stp>FA_ACT_EST_DATA=E, EST_SOURCE=RCP</stp>
        <stp>ACT_EST_MAPPING=PRECISE</stp>
        <stp>FS=MRC</stp>
        <stp>CURRENCY=USD</stp>
        <stp>XLFILL=b</stp>
        <tr r="AY67" s="2"/>
      </tp>
      <tp>
        <v>18.607424962347121</v>
        <stp/>
        <stp>##V3_BQLV12</stp>
        <stp>[MODL_CRM_US1.xlsx]Single Period!R20C9</stp>
        <stp>CRM US Equity</stp>
        <stp>CONTRIBUTOR_STATS(ADJ_OPERATING_MARGIN, MEDIAN)</stp>
        <stp>FPR=2022Y</stp>
        <stp>FPT=A</stp>
        <stp>FA_ACT_EST_DATA=E</stp>
        <stp>ACT_EST_MAPPING=PRECISE</stp>
        <stp>FS=MRC</stp>
        <stp>CURRENCY=USD</stp>
        <stp>XLFILL=b</stp>
        <tr r="I20" s="2"/>
      </tp>
      <tp>
        <v>18.607424962347121</v>
        <stp/>
        <stp>##V3_BQLV12</stp>
        <stp>[MODL_CRM_US1.xlsx]Single Period!R61C9</stp>
        <stp>CRM US Equity</stp>
        <stp>CONTRIBUTOR_STATS(ADJ_OPERATING_MARGIN, MEDIAN)</stp>
        <stp>FPR=2022Y</stp>
        <stp>FPT=A</stp>
        <stp>FA_ACT_EST_DATA=E</stp>
        <stp>ACT_EST_MAPPING=PRECISE</stp>
        <stp>FS=MRC</stp>
        <stp>CURRENCY=USD</stp>
        <stp>XLFILL=b</stp>
        <tr r="I61" s="2"/>
      </tp>
      <tp>
        <v>26398</v>
        <stp/>
        <stp>##V3_BQLV12</stp>
        <stp>[MODL_CRM_US1.xlsx]Single Period!R7C12</stp>
        <stp>CRM US Equity</stp>
        <stp>IS_COMP_SALES/1M</stp>
        <stp>FPR=2022Y</stp>
        <stp>FPT=A</stp>
        <stp>FA_ACT_EST_DATA=E, EST_SOURCE=BMO</stp>
        <stp>ACT_EST_MAPPING=PRECISE</stp>
        <stp>FS=MRC</stp>
        <stp>CURRENCY=USD</stp>
        <stp>XLFILL=b</stp>
        <tr r="L7" s="2"/>
      </tp>
      <tp>
        <v>1237</v>
        <stp/>
        <stp>##V3_BQLV12</stp>
        <stp>[MODL_CRM_US1.xlsx]Single Period!R155C9</stp>
        <stp>CRM US Equity</stp>
        <stp>CONTRIBUTOR_STATS(IS_COMP_NET_INCOME_GAAP, MEDIAN)/1M</stp>
        <stp>FPR=2022Y</stp>
        <stp>FPT=A</stp>
        <stp>FA_ACT_EST_DATA=E</stp>
        <stp>ACT_EST_MAPPING=PRECISE</stp>
        <stp>FS=MRC</stp>
        <stp>CURRENCY=USD</stp>
        <stp>XLFILL=b</stp>
        <tr r="I155" s="2"/>
      </tp>
      <tp t="s">
        <v/>
        <stp/>
        <stp>##V3_BQLV12</stp>
        <stp>[MODL_CRM_US1.xlsx]Single Period!R7C56</stp>
        <stp>CRM US Equity</stp>
        <stp>IS_COMP_SALES/1M</stp>
        <stp>FPR=2022Y</stp>
        <stp>FPT=A</stp>
        <stp>FA_ACT_EST_DATA=E, EST_SOURCE=DIR</stp>
        <stp>ACT_EST_MAPPING=PRECISE</stp>
        <stp>FS=MRC</stp>
        <stp>CURRENCY=USD</stp>
        <stp>XLFILL=b</stp>
        <tr r="BD7" s="2"/>
      </tp>
      <tp>
        <v>1302.8606</v>
        <stp/>
        <stp>##V3_BQLV12</stp>
        <stp>[MODL_CRM_US1.xlsx]Single Period!R116C9</stp>
        <stp>CRM US Equity</stp>
        <stp>CONTRIBUTOR_STATS(PREPAID_EXPNSS_AND_OTHR, MEDIAN)/1M</stp>
        <stp>FPR=2022Y</stp>
        <stp>FPT=A</stp>
        <stp>FA_ACT_EST_DATA=E</stp>
        <stp>ACT_EST_MAPPING=PRECISE</stp>
        <stp>FS=MRC</stp>
        <stp>CURRENCY=USD</stp>
        <stp>XLFILL=b</stp>
        <tr r="I116" s="2"/>
      </tp>
      <tp t="s">
        <v/>
        <stp/>
        <stp>##V3_BQLV12</stp>
        <stp>[MODL_CRM_US1.xlsx]Single Period!R124C15</stp>
        <stp>CRM US Equity</stp>
        <stp>CAPITALIZED_SOFTWARE/1M</stp>
        <stp>FPR=2022Y</stp>
        <stp>FPT=A</stp>
        <stp>FA_ACT_EST_DATA=E, EST_SOURCE=MSV</stp>
        <stp>ACT_EST_MAPPING=PRECISE</stp>
        <stp>FS=MRC</stp>
        <stp>CURRENCY=USD</stp>
        <stp>XLFILL=b</stp>
        <tr r="O124" s="2"/>
      </tp>
      <tp>
        <v>1621.5</v>
        <stp/>
        <stp>##V3_BQLV12</stp>
        <stp>[MODL_CRM_US1.xlsx]Single Period!R104C21</stp>
        <stp>CRM US Equity</stp>
        <stp>IS_AMORT_OF_TOT_INTANG_PRETX/1M</stp>
        <stp>FPR=2022Y</stp>
        <stp>FPT=A</stp>
        <stp>FA_ACT_EST_DATA=E, EST_SOURCE=RJA</stp>
        <stp>ACT_EST_MAPPING=PRECISE</stp>
        <stp>FS=MRC</stp>
        <stp>CURRENCY=USD</stp>
        <stp>XLFILL=b</stp>
        <tr r="U104" s="2"/>
      </tp>
      <tp>
        <v>124.8356288824081</v>
        <stp/>
        <stp>##V3_BQLV12</stp>
        <stp>[MODL_CRM_US1.xlsx]Single Period!R116C8</stp>
        <stp>CRM US Equity</stp>
        <stp>CONTRIBUTOR_STATS(PREPAID_EXPNSS_AND_OTHR, STD)/1M</stp>
        <stp>FPR=2022Y</stp>
        <stp>FPT=A</stp>
        <stp>FA_ACT_EST_DATA=E</stp>
        <stp>ACT_EST_MAPPING=PRECISE</stp>
        <stp>FS=MRC</stp>
        <stp>CURRENCY=USD</stp>
        <stp>XLFILL=b</stp>
        <tr r="H116" s="2"/>
      </tp>
      <tp t="s">
        <v/>
        <stp/>
        <stp>##V3_BQLV12</stp>
        <stp>[MODL_CRM_US1.xlsx]Single Period!R45C36</stp>
        <stp>SEG0000269240 Segment</stp>
        <stp>REVENUE_GROWTH_CC_1_YR</stp>
        <stp>FPR=2022Y</stp>
        <stp>FPT=A</stp>
        <stp>FA_ACT_EST_DATA=E, EST_SOURCE=MAC</stp>
        <stp>ACT_EST_MAPPING=PRECISE</stp>
        <stp>FS=MRC</stp>
        <stp>CURRENCY=USD</stp>
        <stp>XLFILL=b</stp>
        <tr r="AJ45" s="2"/>
      </tp>
      <tp t="s">
        <v/>
        <stp/>
        <stp>##V3_BQLV12</stp>
        <stp>[MODL_CRM_US1.xlsx]Single Period!R182C48</stp>
        <stp>CRM US Equity</stp>
        <stp>CB_CF_NET_CASH_OPERATING_ACT/1M</stp>
        <stp>FPR=2022Y</stp>
        <stp>FPT=A</stp>
        <stp>FA_ACT_EST_DATA=E, EST_SOURCE=PJE</stp>
        <stp>ACT_EST_MAPPING=PRECISE</stp>
        <stp>FS=MRC</stp>
        <stp>CURRENCY=USD</stp>
        <stp>XLFILL=b</stp>
        <tr r="AV182" s="2"/>
      </tp>
      <tp t="s">
        <v/>
        <stp/>
        <stp>##V3_BQLV12</stp>
        <stp>[MODL_CRM_US1.xlsx]Single Period!R106C28</stp>
        <stp>CRM US Equity</stp>
        <stp>IS_AMORT_ACQD_INTANG_S_AND_M/1M</stp>
        <stp>FPR=2022Y</stp>
        <stp>FPT=A</stp>
        <stp>FA_ACT_EST_DATA=E, EST_SOURCE=CWN</stp>
        <stp>ACT_EST_MAPPING=PRECISE</stp>
        <stp>FS=MRC</stp>
        <stp>CURRENCY=USD</stp>
        <stp>XLFILL=b</stp>
        <tr r="AB106" s="2"/>
      </tp>
      <tp>
        <v>8591</v>
        <stp/>
        <stp>##V3_BQLV12</stp>
        <stp>[MODL_CRM_US1.xlsx]Single Period!R179C21</stp>
        <stp>CRM US Equity</stp>
        <stp>CB_CF_NET_CASH_FINANCING_ACT/1M</stp>
        <stp>FPR=2022Y</stp>
        <stp>FPT=A</stp>
        <stp>FA_ACT_EST_DATA=E, EST_SOURCE=RJA</stp>
        <stp>ACT_EST_MAPPING=PRECISE</stp>
        <stp>FS=MRC</stp>
        <stp>CURRENCY=USD</stp>
        <stp>XLFILL=b</stp>
        <tr r="U179" s="2"/>
      </tp>
      <tp t="s">
        <v/>
        <stp/>
        <stp>##V3_BQLV12</stp>
        <stp>[MODL_CRM_US1.xlsx]Single Period!R124C22</stp>
        <stp>CRM US Equity</stp>
        <stp>CAPITALIZED_SOFTWARE/1M</stp>
        <stp>FPR=2022Y</stp>
        <stp>FPT=A</stp>
        <stp>FA_ACT_EST_DATA=E, EST_SOURCE=OPY</stp>
        <stp>ACT_EST_MAPPING=PRECISE</stp>
        <stp>FS=MRC</stp>
        <stp>CURRENCY=USD</stp>
        <stp>XLFILL=b</stp>
        <tr r="V124" s="2"/>
      </tp>
      <tp t="s">
        <v/>
        <stp/>
        <stp>##V3_BQLV12</stp>
        <stp>[MODL_CRM_US1.xlsx]Single Period!R167C48</stp>
        <stp>CRM US Equity</stp>
        <stp>CB_CF_NET_CASH_OPERATING_ACT/1M</stp>
        <stp>FPR=2022Y</stp>
        <stp>FPT=A</stp>
        <stp>FA_ACT_EST_DATA=E, EST_SOURCE=PJE</stp>
        <stp>ACT_EST_MAPPING=PRECISE</stp>
        <stp>FS=MRC</stp>
        <stp>CURRENCY=USD</stp>
        <stp>XLFILL=b</stp>
        <tr r="AV167" s="2"/>
      </tp>
      <tp t="s">
        <v/>
        <stp/>
        <stp>##V3_BQLV12</stp>
        <stp>[MODL_CRM_US1.xlsx]Single Period!R45C30</stp>
        <stp>SEG0000269240 Segment</stp>
        <stp>REVENUE_GROWTH_CC_1_YR</stp>
        <stp>FPR=2022Y</stp>
        <stp>FPT=A</stp>
        <stp>FA_ACT_EST_DATA=E, EST_SOURCE=BAM</stp>
        <stp>ACT_EST_MAPPING=PRECISE</stp>
        <stp>FS=MRC</stp>
        <stp>CURRENCY=USD</stp>
        <stp>XLFILL=b</stp>
        <tr r="AD45" s="2"/>
      </tp>
      <tp t="s">
        <v/>
        <stp/>
        <stp>##V3_BQLV12</stp>
        <stp>[MODL_CRM_US1.xlsx]Single Period!R40C53</stp>
        <stp>SEG0000269228 Segment</stp>
        <stp>REVENUE_GROWTH_CC_1_YR</stp>
        <stp>FPR=2022Y</stp>
        <stp>FPT=A</stp>
        <stp>FA_ACT_EST_DATA=E, EST_SOURCE=NIK</stp>
        <stp>ACT_EST_MAPPING=PRECISE</stp>
        <stp>FS=MRC</stp>
        <stp>CURRENCY=USD</stp>
        <stp>XLFILL=b</stp>
        <tr r="BA40" s="2"/>
      </tp>
      <tp t="s">
        <v/>
        <stp/>
        <stp>##V3_BQLV12</stp>
        <stp>[MODL_CRM_US1.xlsx]Single Period!R45C18</stp>
        <stp>SEG0000269240 Segment</stp>
        <stp>REVENUE_GROWTH_CC_1_YR</stp>
        <stp>FPR=2022Y</stp>
        <stp>FPT=A</stp>
        <stp>FA_ACT_EST_DATA=E, EST_SOURCE=CAN</stp>
        <stp>ACT_EST_MAPPING=PRECISE</stp>
        <stp>FS=MRC</stp>
        <stp>CURRENCY=USD</stp>
        <stp>XLFILL=b</stp>
        <tr r="R45" s="2"/>
      </tp>
      <tp>
        <v>95568.807149999993</v>
        <stp/>
        <stp>##V3_BQLV12</stp>
        <stp>[MODL_CRM_US1.xlsx]Single Period!R125C17</stp>
        <stp>CRM US Equity</stp>
        <stp>BS_TOT_ASSET/1M</stp>
        <stp>FPR=2022Y</stp>
        <stp>FPT=A</stp>
        <stp>FA_ACT_EST_DATA=E, EST_SOURCE=NDH</stp>
        <stp>ACT_EST_MAPPING=PRECISE</stp>
        <stp>FS=MRC</stp>
        <stp>CURRENCY=USD</stp>
        <stp>XLFILL=b</stp>
        <tr r="Q125" s="2"/>
      </tp>
      <tp t="s">
        <v/>
        <stp/>
        <stp>##V3_BQLV12</stp>
        <stp>[MODL_CRM_US1.xlsx]Single Period!R136C50</stp>
        <stp>CRM US Equity</stp>
        <stp>BS_TOTAL_LIABILITIES/1M</stp>
        <stp>FPR=2022Y</stp>
        <stp>FPT=A</stp>
        <stp>FA_ACT_EST_DATA=E, EST_SOURCE=MZS</stp>
        <stp>ACT_EST_MAPPING=PRECISE</stp>
        <stp>FS=MRC</stp>
        <stp>CURRENCY=USD</stp>
        <stp>XLFILL=b</stp>
        <tr r="AX136" s="2"/>
      </tp>
      <tp>
        <v>95568.807149999993</v>
        <stp/>
        <stp>##V3_BQLV12</stp>
        <stp>[MODL_CRM_US1.xlsx]Single Period!R142C17</stp>
        <stp>CRM US Equity</stp>
        <stp>BS_TOT_ASSET/1M</stp>
        <stp>FPR=2022Y</stp>
        <stp>FPT=A</stp>
        <stp>FA_ACT_EST_DATA=E, EST_SOURCE=NDH</stp>
        <stp>ACT_EST_MAPPING=PRECISE</stp>
        <stp>FS=MRC</stp>
        <stp>CURRENCY=USD</stp>
        <stp>XLFILL=b</stp>
        <tr r="Q142" s="2"/>
      </tp>
      <tp t="s">
        <v/>
        <stp/>
        <stp>##V3_BQLV12</stp>
        <stp>[MODL_CRM_US1.xlsx]Single Period!R121C18</stp>
        <stp>CRM US Equity</stp>
        <stp>CB_BS_INTANG_ASSETS_EX_GW_NT/1M</stp>
        <stp>FPR=2022Y</stp>
        <stp>FPT=A</stp>
        <stp>FA_ACT_EST_DATA=E, EST_SOURCE=CAN</stp>
        <stp>ACT_EST_MAPPING=PRECISE</stp>
        <stp>FS=MRC</stp>
        <stp>CURRENCY=USD</stp>
        <stp>XLFILL=b</stp>
        <tr r="R121" s="2"/>
      </tp>
      <tp>
        <v>9746</v>
        <stp/>
        <stp>##V3_BQLV12</stp>
        <stp>[MODL_CRM_US1.xlsx]Single Period!R121C24</stp>
        <stp>CRM US Equity</stp>
        <stp>CB_BS_INTANG_ASSETS_EX_GW_NT/1M</stp>
        <stp>FPR=2022Y</stp>
        <stp>FPT=A</stp>
        <stp>FA_ACT_EST_DATA=E, EST_SOURCE=FBC</stp>
        <stp>ACT_EST_MAPPING=PRECISE</stp>
        <stp>FS=MRC</stp>
        <stp>CURRENCY=USD</stp>
        <stp>XLFILL=b</stp>
        <tr r="X121" s="2"/>
      </tp>
      <tp t="s">
        <v/>
        <stp/>
        <stp>##V3_BQLV12</stp>
        <stp>[MODL_CRM_US1.xlsx]Single Period!R40C56</stp>
        <stp>SEG0000269228 Segment</stp>
        <stp>REVENUE_GROWTH_CC_1_YR</stp>
        <stp>FPR=2022Y</stp>
        <stp>FPT=A</stp>
        <stp>FA_ACT_EST_DATA=E, EST_SOURCE=DIR</stp>
        <stp>ACT_EST_MAPPING=PRECISE</stp>
        <stp>FS=MRC</stp>
        <stp>CURRENCY=USD</stp>
        <stp>XLFILL=b</stp>
        <tr r="BD40" s="2"/>
      </tp>
      <tp t="s">
        <v/>
        <stp/>
        <stp>##V3_BQLV12</stp>
        <stp>[MODL_CRM_US1.xlsx]Single Period!R78C33</stp>
        <stp>CRM US Equity</stp>
        <stp>COGS_TO_NET_SALES</stp>
        <stp>FPR=2022Y</stp>
        <stp>FPT=A</stp>
        <stp>FA_ACT_EST_DATA=E, EST_SOURCE=RHR</stp>
        <stp>ACT_EST_MAPPING=PRECISE</stp>
        <stp>FS=MRC</stp>
        <stp>CURRENCY=USD</stp>
        <stp>XLFILL=b</stp>
        <tr r="AG78" s="2"/>
      </tp>
      <tp t="s">
        <v/>
        <stp/>
        <stp>##V3_BQLV12</stp>
        <stp>[MODL_CRM_US1.xlsx]Single Period!R121C55</stp>
        <stp>CRM US Equity</stp>
        <stp>CB_BS_INTANG_ASSETS_EX_GW_NT/1M</stp>
        <stp>FPR=2022Y</stp>
        <stp>FPT=A</stp>
        <stp>FA_ACT_EST_DATA=E, EST_SOURCE=RED</stp>
        <stp>ACT_EST_MAPPING=PRECISE</stp>
        <stp>FS=MRC</stp>
        <stp>CURRENCY=USD</stp>
        <stp>XLFILL=b</stp>
        <tr r="BC121" s="2"/>
      </tp>
      <tp t="s">
        <v/>
        <stp/>
        <stp>##V3_BQLV12</stp>
        <stp>[MODL_CRM_US1.xlsx]Single Period!R106C37</stp>
        <stp>CRM US Equity</stp>
        <stp>IS_AMORT_ACQD_INTANG_S_AND_M/1M</stp>
        <stp>FPR=2022Y</stp>
        <stp>FPT=A</stp>
        <stp>FA_ACT_EST_DATA=E, EST_SOURCE=EVR</stp>
        <stp>ACT_EST_MAPPING=PRECISE</stp>
        <stp>FS=MRC</stp>
        <stp>CURRENCY=USD</stp>
        <stp>XLFILL=b</stp>
        <tr r="AK106" s="2"/>
      </tp>
      <tp>
        <v>1374.46</v>
        <stp/>
        <stp>##V3_BQLV12</stp>
        <stp>[MODL_CRM_US1.xlsx]Single Period!R116C7</stp>
        <stp>CRM US Equity</stp>
        <stp>CONTRIBUTOR_STATS(PREPAID_EXPNSS_AND_OTHR, MAX)/1M</stp>
        <stp>FPR=2022Y</stp>
        <stp>FPT=A</stp>
        <stp>FA_ACT_EST_DATA=E</stp>
        <stp>ACT_EST_MAPPING=PRECISE</stp>
        <stp>FS=MRC</stp>
        <stp>CURRENCY=USD</stp>
        <stp>XLFILL=b</stp>
        <tr r="G116" s="2"/>
      </tp>
      <tp>
        <v>1012.123</v>
        <stp/>
        <stp>##V3_BQLV12</stp>
        <stp>[MODL_CRM_US1.xlsx]Single Period!R116C6</stp>
        <stp>CRM US Equity</stp>
        <stp>CONTRIBUTOR_STATS(PREPAID_EXPNSS_AND_OTHR, MIN)/1M</stp>
        <stp>FPR=2022Y</stp>
        <stp>FPT=A</stp>
        <stp>FA_ACT_EST_DATA=E</stp>
        <stp>ACT_EST_MAPPING=PRECISE</stp>
        <stp>FS=MRC</stp>
        <stp>CURRENCY=USD</stp>
        <stp>XLFILL=b</stp>
        <tr r="F116" s="2"/>
      </tp>
      <tp t="s">
        <v/>
        <stp/>
        <stp>##V3_BQLV12</stp>
        <stp>[MODL_CRM_US1.xlsx]Single Period!R71C29</stp>
        <stp>CRM US Equity</stp>
        <stp>ADJ_PROFIT_MARGIN</stp>
        <stp>FPR=2022Y</stp>
        <stp>FPT=A</stp>
        <stp>FA_ACT_EST_DATA=E, EST_SOURCE=BNS</stp>
        <stp>ACT_EST_MAPPING=PRECISE</stp>
        <stp>FS=MRC</stp>
        <stp>CURRENCY=USD</stp>
        <stp>XLFILL=b</stp>
        <tr r="AC71" s="2"/>
      </tp>
      <tp t="s">
        <v/>
        <stp/>
        <stp>##V3_BQLV12</stp>
        <stp>[MODL_CRM_US1.xlsx]Single Period!R71C14</stp>
        <stp>CRM US Equity</stp>
        <stp>ADJ_PROFIT_MARGIN</stp>
        <stp>FPR=2022Y</stp>
        <stp>FPT=A</stp>
        <stp>FA_ACT_EST_DATA=E, EST_SOURCE=SNR</stp>
        <stp>ACT_EST_MAPPING=PRECISE</stp>
        <stp>FS=MRC</stp>
        <stp>CURRENCY=USD</stp>
        <stp>XLFILL=b</stp>
        <tr r="N71" s="2"/>
      </tp>
      <tp>
        <v>490.75165000000044</v>
        <stp/>
        <stp>##V3_BQLV12</stp>
        <stp>[MODL_CRM_US1.xlsx]Single Period!R87C17</stp>
        <stp>CRM US Equity</stp>
        <stp>IS_EBIT_AS_REPORTED/1M</stp>
        <stp>FPR=2022Y</stp>
        <stp>FPT=A</stp>
        <stp>FA_ACT_EST_DATA=E, EST_SOURCE=NDH</stp>
        <stp>ACT_EST_MAPPING=PRECISE</stp>
        <stp>FS=MRC</stp>
        <stp>CURRENCY=USD</stp>
        <stp>XLFILL=b</stp>
        <tr r="Q87" s="2"/>
      </tp>
      <tp t="s">
        <v/>
        <stp/>
        <stp>##V3_BQLV12</stp>
        <stp>[MODL_CRM_US1.xlsx]Single Period!R124C23</stp>
        <stp>CRM US Equity</stp>
        <stp>CAPITALIZED_SOFTWARE/1M</stp>
        <stp>FPR=2022Y</stp>
        <stp>FPT=A</stp>
        <stp>FA_ACT_EST_DATA=E, EST_SOURCE=JPM</stp>
        <stp>ACT_EST_MAPPING=PRECISE</stp>
        <stp>FS=MRC</stp>
        <stp>CURRENCY=USD</stp>
        <stp>XLFILL=b</stp>
        <tr r="W124" s="2"/>
      </tp>
      <tp t="s">
        <v/>
        <stp/>
        <stp>##V3_BQLV12</stp>
        <stp>[MODL_CRM_US1.xlsx]Single Period!R135C39</stp>
        <stp>CRM US Equity</stp>
        <stp>CB_BS_OTHER_NONCURRENT_LIABS/1M</stp>
        <stp>FPR=2022Y</stp>
        <stp>FPT=A</stp>
        <stp>FA_ACT_EST_DATA=E, EST_SOURCE=KGI</stp>
        <stp>ACT_EST_MAPPING=PRECISE</stp>
        <stp>FS=MRC</stp>
        <stp>CURRENCY=USD</stp>
        <stp>XLFILL=b</stp>
        <tr r="AM135" s="2"/>
      </tp>
      <tp t="s">
        <v/>
        <stp/>
        <stp>##V3_BQLV12</stp>
        <stp>[MODL_CRM_US1.xlsx]Single Period!R67C31</stp>
        <stp>CRM US Equity</stp>
        <stp>IS_NON_OPERATING_INC_LOSS_GAAP/1M</stp>
        <stp>FPR=2022Y</stp>
        <stp>FPT=A</stp>
        <stp>FA_ACT_EST_DATA=E, EST_SOURCE=RBC</stp>
        <stp>ACT_EST_MAPPING=PRECISE</stp>
        <stp>FS=MRC</stp>
        <stp>CURRENCY=USD</stp>
        <stp>XLFILL=b</stp>
        <tr r="AE67" s="2"/>
      </tp>
      <tp t="s">
        <v/>
        <stp/>
        <stp>##V3_BQLV12</stp>
        <stp>[MODL_CRM_US1.xlsx]Single Period!R67C24</stp>
        <stp>CRM US Equity</stp>
        <stp>IS_NON_OPERATING_INC_LOSS_GAAP/1M</stp>
        <stp>FPR=2022Y</stp>
        <stp>FPT=A</stp>
        <stp>FA_ACT_EST_DATA=E, EST_SOURCE=FBC</stp>
        <stp>ACT_EST_MAPPING=PRECISE</stp>
        <stp>FS=MRC</stp>
        <stp>CURRENCY=USD</stp>
        <stp>XLFILL=b</stp>
        <tr r="X67" s="2"/>
      </tp>
      <tp t="s">
        <v/>
        <stp/>
        <stp>##V3_BQLV12</stp>
        <stp>[MODL_CRM_US1.xlsx]Single Period!R67C16</stp>
        <stp>CRM US Equity</stp>
        <stp>IS_NON_OPERATING_INC_LOSS_GAAP/1M</stp>
        <stp>FPR=2022Y</stp>
        <stp>FPT=A</stp>
        <stp>FA_ACT_EST_DATA=E, EST_SOURCE=DBG</stp>
        <stp>ACT_EST_MAPPING=PRECISE</stp>
        <stp>FS=MRC</stp>
        <stp>CURRENCY=USD</stp>
        <stp>XLFILL=b</stp>
        <tr r="P67" s="2"/>
      </tp>
      <tp t="s">
        <v/>
        <stp/>
        <stp>##V3_BQLV12</stp>
        <stp>[MODL_CRM_US1.xlsx]Single Period!R84C22</stp>
        <stp>CRM US Equity</stp>
        <stp>RD_EXPEND_TO_NET_SALES</stp>
        <stp>FPR=2022Y</stp>
        <stp>FPT=A</stp>
        <stp>FA_ACT_EST_DATA=E, EST_SOURCE=OPY</stp>
        <stp>ACT_EST_MAPPING=PRECISE</stp>
        <stp>FS=MRC</stp>
        <stp>CURRENCY=USD</stp>
        <stp>XLFILL=b</stp>
        <tr r="V84" s="2"/>
      </tp>
      <tp t="s">
        <v/>
        <stp/>
        <stp>##V3_BQLV12</stp>
        <stp>[MODL_CRM_US1.xlsx]Single Period!R67C11</stp>
        <stp>CRM US Equity</stp>
        <stp>IS_NON_OPERATING_INC_LOSS_GAAP/1M</stp>
        <stp>FPR=2022Y</stp>
        <stp>FPT=A</stp>
        <stp>FA_ACT_EST_DATA=E, EST_SOURCE=WBL</stp>
        <stp>ACT_EST_MAPPING=PRECISE</stp>
        <stp>FS=MRC</stp>
        <stp>CURRENCY=USD</stp>
        <stp>XLFILL=b</stp>
        <tr r="K67" s="2"/>
      </tp>
      <tp>
        <v>4859</v>
        <stp/>
        <stp>##V3_BQLV12</stp>
        <stp>[MODL_CRM_US1.xlsx]Single Period!R60C6</stp>
        <stp>CRM US Equity</stp>
        <stp>CONTRIBUTOR_STATS(IS_COMPARABLE_EBIT, MIN)/1M</stp>
        <stp>FPR=2022Y</stp>
        <stp>FPT=A</stp>
        <stp>FA_ACT_EST_DATA=E</stp>
        <stp>ACT_EST_MAPPING=PRECISE</stp>
        <stp>FS=MRC</stp>
        <stp>CURRENCY=USD</stp>
        <stp>XLFILL=b</stp>
        <tr r="F60" s="2"/>
      </tp>
      <tp>
        <v>5210</v>
        <stp/>
        <stp>##V3_BQLV12</stp>
        <stp>[MODL_CRM_US1.xlsx]Single Period!R60C7</stp>
        <stp>CRM US Equity</stp>
        <stp>CONTRIBUTOR_STATS(IS_COMPARABLE_EBIT, MAX)/1M</stp>
        <stp>FPR=2022Y</stp>
        <stp>FPT=A</stp>
        <stp>FA_ACT_EST_DATA=E</stp>
        <stp>ACT_EST_MAPPING=PRECISE</stp>
        <stp>FS=MRC</stp>
        <stp>CURRENCY=USD</stp>
        <stp>XLFILL=b</stp>
        <tr r="G60" s="2"/>
      </tp>
      <tp t="s">
        <v/>
        <stp/>
        <stp>##V3_BQLV12</stp>
        <stp>[MODL_CRM_US1.xlsx]Single Period!R90C47</stp>
        <stp>CRM US Equity</stp>
        <stp>IS_INC_TAX_EXP/1M</stp>
        <stp>FPR=2022Y</stp>
        <stp>FPT=A</stp>
        <stp>FA_ACT_EST_DATA=E, EST_SOURCE=WFT</stp>
        <stp>ACT_EST_MAPPING=PRECISE</stp>
        <stp>FS=MRC</stp>
        <stp>CURRENCY=USD</stp>
        <stp>XLFILL=b</stp>
        <tr r="AU90" s="2"/>
      </tp>
      <tp>
        <v>62.671511469956414</v>
        <stp/>
        <stp>##V3_BQLV12</stp>
        <stp>[MODL_CRM_US1.xlsx]Single Period!R60C8</stp>
        <stp>CRM US Equity</stp>
        <stp>CONTRIBUTOR_STATS(IS_COMPARABLE_EBIT, STD)/1M</stp>
        <stp>FPR=2022Y</stp>
        <stp>FPT=A</stp>
        <stp>FA_ACT_EST_DATA=E</stp>
        <stp>ACT_EST_MAPPING=PRECISE</stp>
        <stp>FS=MRC</stp>
        <stp>CURRENCY=USD</stp>
        <stp>XLFILL=b</stp>
        <tr r="H60" s="2"/>
      </tp>
      <tp t="s">
        <v/>
        <stp/>
        <stp>##V3_BQLV12</stp>
        <stp>[MODL_CRM_US1.xlsx]Single Period!R67C32</stp>
        <stp>CRM US Equity</stp>
        <stp>IS_NON_OPERATING_INC_LOSS_GAAP/1M</stp>
        <stp>FPR=2022Y</stp>
        <stp>FPT=A</stp>
        <stp>FA_ACT_EST_DATA=E, EST_SOURCE=UBS</stp>
        <stp>ACT_EST_MAPPING=PRECISE</stp>
        <stp>FS=MRC</stp>
        <stp>CURRENCY=USD</stp>
        <stp>XLFILL=b</stp>
        <tr r="AF67" s="2"/>
      </tp>
      <tp t="s">
        <v/>
        <stp/>
        <stp>##V3_BQLV12</stp>
        <stp>[MODL_CRM_US1.xlsx]Single Period!R84C23</stp>
        <stp>CRM US Equity</stp>
        <stp>RD_EXPEND_TO_NET_SALES</stp>
        <stp>FPR=2022Y</stp>
        <stp>FPT=A</stp>
        <stp>FA_ACT_EST_DATA=E, EST_SOURCE=JPM</stp>
        <stp>ACT_EST_MAPPING=PRECISE</stp>
        <stp>FS=MRC</stp>
        <stp>CURRENCY=USD</stp>
        <stp>XLFILL=b</stp>
        <tr r="W84" s="2"/>
      </tp>
      <tp t="s">
        <v/>
        <stp/>
        <stp>##V3_BQLV12</stp>
        <stp>[MODL_CRM_US1.xlsx]Single Period!R90C52</stp>
        <stp>CRM US Equity</stp>
        <stp>IS_INC_TAX_EXP/1M</stp>
        <stp>FPR=2022Y</stp>
        <stp>FPT=A</stp>
        <stp>FA_ACT_EST_DATA=E, EST_SOURCE=WFR</stp>
        <stp>ACT_EST_MAPPING=PRECISE</stp>
        <stp>FS=MRC</stp>
        <stp>CURRENCY=USD</stp>
        <stp>XLFILL=b</stp>
        <tr r="AZ90" s="2"/>
      </tp>
      <tp>
        <v>26358</v>
        <stp/>
        <stp>##V3_BQLV12</stp>
        <stp>[MODL_CRM_US1.xlsx]Single Period!R7C39</stp>
        <stp>CRM US Equity</stp>
        <stp>IS_COMP_SALES/1M</stp>
        <stp>FPR=2022Y</stp>
        <stp>FPT=A</stp>
        <stp>FA_ACT_EST_DATA=E, EST_SOURCE=KGI</stp>
        <stp>ACT_EST_MAPPING=PRECISE</stp>
        <stp>FS=MRC</stp>
        <stp>CURRENCY=USD</stp>
        <stp>XLFILL=b</stp>
        <tr r="AM7" s="2"/>
      </tp>
      <tp t="s">
        <v/>
        <stp/>
        <stp>##V3_BQLV12</stp>
        <stp>[MODL_CRM_US1.xlsx]Single Period!R7C49</stp>
        <stp>CRM US Equity</stp>
        <stp>IS_COMP_SALES/1M</stp>
        <stp>FPR=2022Y</stp>
        <stp>FPT=A</stp>
        <stp>FA_ACT_EST_DATA=E, EST_SOURCE=SGE</stp>
        <stp>ACT_EST_MAPPING=PRECISE</stp>
        <stp>FS=MRC</stp>
        <stp>CURRENCY=USD</stp>
        <stp>XLFILL=b</stp>
        <tr r="AW7" s="2"/>
      </tp>
      <tp t="s">
        <v/>
        <stp/>
        <stp>##V3_BQLV12</stp>
        <stp>[MODL_CRM_US1.xlsx]Single Period!R142C39</stp>
        <stp>CRM US Equity</stp>
        <stp>BS_TOT_ASSET/1M</stp>
        <stp>FPR=2022Y</stp>
        <stp>FPT=A</stp>
        <stp>FA_ACT_EST_DATA=E, EST_SOURCE=KGI</stp>
        <stp>ACT_EST_MAPPING=PRECISE</stp>
        <stp>FS=MRC</stp>
        <stp>CURRENCY=USD</stp>
        <stp>XLFILL=b</stp>
        <tr r="AM142" s="2"/>
      </tp>
      <tp t="s">
        <v/>
        <stp/>
        <stp>##V3_BQLV12</stp>
        <stp>[MODL_CRM_US1.xlsx]Single Period!R58C22</stp>
        <stp>CRM US Equity</stp>
        <stp>CB_IS_ADJUSTED_OPEX/1M</stp>
        <stp>FPR=2022Y</stp>
        <stp>FPT=A</stp>
        <stp>FA_ACT_EST_DATA=E, EST_SOURCE=OPY</stp>
        <stp>ACT_EST_MAPPING=PRECISE</stp>
        <stp>FS=MRC</stp>
        <stp>CURRENCY=USD</stp>
        <stp>XLFILL=b</stp>
        <tr r="V58" s="2"/>
      </tp>
      <tp t="s">
        <v/>
        <stp/>
        <stp>##V3_BQLV12</stp>
        <stp>[MODL_CRM_US1.xlsx]Single Period!R125C39</stp>
        <stp>CRM US Equity</stp>
        <stp>BS_TOT_ASSET/1M</stp>
        <stp>FPR=2022Y</stp>
        <stp>FPT=A</stp>
        <stp>FA_ACT_EST_DATA=E, EST_SOURCE=KGI</stp>
        <stp>ACT_EST_MAPPING=PRECISE</stp>
        <stp>FS=MRC</stp>
        <stp>CURRENCY=USD</stp>
        <stp>XLFILL=b</stp>
        <tr r="AM125" s="2"/>
      </tp>
      <tp t="s">
        <v/>
        <stp/>
        <stp>##V3_BQLV12</stp>
        <stp>[MODL_CRM_US1.xlsx]Single Period!R121C32</stp>
        <stp>CRM US Equity</stp>
        <stp>CB_BS_INTANG_ASSETS_EX_GW_NT/1M</stp>
        <stp>FPR=2022Y</stp>
        <stp>FPT=A</stp>
        <stp>FA_ACT_EST_DATA=E, EST_SOURCE=UBS</stp>
        <stp>ACT_EST_MAPPING=PRECISE</stp>
        <stp>FS=MRC</stp>
        <stp>CURRENCY=USD</stp>
        <stp>XLFILL=b</stp>
        <tr r="AF121" s="2"/>
      </tp>
      <tp>
        <v>26.170916723074701</v>
        <stp/>
        <stp>##V3_BQLV12</stp>
        <stp>[MODL_CRM_US1.xlsx]Single Period!R164C5</stp>
        <stp>CRM US Equity</stp>
        <stp>CHG_IN_ACCT_PYBL_AND_ACC_EXPNSS/1M</stp>
        <stp>FPR=2022Y</stp>
        <stp>FPT=A</stp>
        <stp>FA_ACT_EST_DATA=E</stp>
        <stp>ACT_EST_MAPPING=PRECISE</stp>
        <stp>FS=MRC</stp>
        <stp>CURRENCY=USD</stp>
        <stp>XLFILL=b</stp>
        <tr r="E164" s="2"/>
      </tp>
      <tp>
        <v>471.82552744007995</v>
        <stp/>
        <stp>##V3_BQLV12</stp>
        <stp>[MODL_CRM_US1.xlsx]Single Period!R87C26</stp>
        <stp>CRM US Equity</stp>
        <stp>IS_EBIT_AS_REPORTED/1M</stp>
        <stp>FPR=2022Y</stp>
        <stp>FPT=A</stp>
        <stp>FA_ACT_EST_DATA=E, EST_SOURCE=KEY</stp>
        <stp>ACT_EST_MAPPING=PRECISE</stp>
        <stp>FS=MRC</stp>
        <stp>CURRENCY=USD</stp>
        <stp>XLFILL=b</stp>
        <tr r="Z87" s="2"/>
      </tp>
      <tp t="s">
        <v/>
        <stp/>
        <stp>##V3_BQLV12</stp>
        <stp>[MODL_CRM_US1.xlsx]Single Period!R78C53</stp>
        <stp>CRM US Equity</stp>
        <stp>COGS_TO_NET_SALES</stp>
        <stp>FPR=2022Y</stp>
        <stp>FPT=A</stp>
        <stp>FA_ACT_EST_DATA=E, EST_SOURCE=NIK</stp>
        <stp>ACT_EST_MAPPING=PRECISE</stp>
        <stp>FS=MRC</stp>
        <stp>CURRENCY=USD</stp>
        <stp>XLFILL=b</stp>
        <tr r="BA78" s="2"/>
      </tp>
      <tp t="s">
        <v/>
        <stp/>
        <stp>##V3_BQLV12</stp>
        <stp>[MODL_CRM_US1.xlsx]Single Period!R87C34</stp>
        <stp>CRM US Equity</stp>
        <stp>IS_EBIT_AS_REPORTED/1M</stp>
        <stp>FPR=2022Y</stp>
        <stp>FPT=A</stp>
        <stp>FA_ACT_EST_DATA=E, EST_SOURCE=JEF</stp>
        <stp>ACT_EST_MAPPING=PRECISE</stp>
        <stp>FS=MRC</stp>
        <stp>CURRENCY=USD</stp>
        <stp>XLFILL=b</stp>
        <tr r="AH87" s="2"/>
      </tp>
      <tp t="s">
        <v/>
        <stp/>
        <stp>##V3_BQLV12</stp>
        <stp>[MODL_CRM_US1.xlsx]Single Period!R135C17</stp>
        <stp>CRM US Equity</stp>
        <stp>CB_BS_OTHER_NONCURRENT_LIABS/1M</stp>
        <stp>FPR=2022Y</stp>
        <stp>FPT=A</stp>
        <stp>FA_ACT_EST_DATA=E, EST_SOURCE=NDH</stp>
        <stp>ACT_EST_MAPPING=PRECISE</stp>
        <stp>FS=MRC</stp>
        <stp>CURRENCY=USD</stp>
        <stp>XLFILL=b</stp>
        <tr r="Q135" s="2"/>
      </tp>
      <tp t="s">
        <v/>
        <stp/>
        <stp>##V3_BQLV12</stp>
        <stp>[MODL_CRM_US1.xlsx]Single Period!R167C14</stp>
        <stp>CRM US Equity</stp>
        <stp>CB_CF_NET_CASH_OPERATING_ACT/1M</stp>
        <stp>FPR=2022Y</stp>
        <stp>FPT=A</stp>
        <stp>FA_ACT_EST_DATA=E, EST_SOURCE=SNR</stp>
        <stp>ACT_EST_MAPPING=PRECISE</stp>
        <stp>FS=MRC</stp>
        <stp>CURRENCY=USD</stp>
        <stp>XLFILL=b</stp>
        <tr r="N167" s="2"/>
      </tp>
      <tp>
        <v>6765.1169246127474</v>
        <stp/>
        <stp>##V3_BQLV12</stp>
        <stp>[MODL_CRM_US1.xlsx]Single Period!R167C25</stp>
        <stp>CRM US Equity</stp>
        <stp>CB_CF_NET_CASH_OPERATING_ACT/1M</stp>
        <stp>FPR=2022Y</stp>
        <stp>FPT=A</stp>
        <stp>FA_ACT_EST_DATA=E, EST_SOURCE=WMS</stp>
        <stp>ACT_EST_MAPPING=PRECISE</stp>
        <stp>FS=MRC</stp>
        <stp>CURRENCY=USD</stp>
        <stp>XLFILL=b</stp>
        <tr r="Y167" s="2"/>
      </tp>
      <tp t="s">
        <v/>
        <stp/>
        <stp>##V3_BQLV12</stp>
        <stp>[MODL_CRM_US1.xlsx]Single Period!R87C55</stp>
        <stp>CRM US Equity</stp>
        <stp>IS_EBIT_AS_REPORTED/1M</stp>
        <stp>FPR=2022Y</stp>
        <stp>FPT=A</stp>
        <stp>FA_ACT_EST_DATA=E, EST_SOURCE=RED</stp>
        <stp>ACT_EST_MAPPING=PRECISE</stp>
        <stp>FS=MRC</stp>
        <stp>CURRENCY=USD</stp>
        <stp>XLFILL=b</stp>
        <tr r="BC87" s="2"/>
      </tp>
      <tp t="s">
        <v/>
        <stp/>
        <stp>##V3_BQLV12</stp>
        <stp>[MODL_CRM_US1.xlsx]Single Period!R121C31</stp>
        <stp>CRM US Equity</stp>
        <stp>CB_BS_INTANG_ASSETS_EX_GW_NT/1M</stp>
        <stp>FPR=2022Y</stp>
        <stp>FPT=A</stp>
        <stp>FA_ACT_EST_DATA=E, EST_SOURCE=RBC</stp>
        <stp>ACT_EST_MAPPING=PRECISE</stp>
        <stp>FS=MRC</stp>
        <stp>CURRENCY=USD</stp>
        <stp>XLFILL=b</stp>
        <tr r="AE121" s="2"/>
      </tp>
      <tp t="s">
        <v/>
        <stp/>
        <stp>##V3_BQLV12</stp>
        <stp>[MODL_CRM_US1.xlsx]Single Period!R40C33</stp>
        <stp>SEG0000269228 Segment</stp>
        <stp>REVENUE_GROWTH_CC_1_YR</stp>
        <stp>FPR=2022Y</stp>
        <stp>FPT=A</stp>
        <stp>FA_ACT_EST_DATA=E, EST_SOURCE=RHR</stp>
        <stp>ACT_EST_MAPPING=PRECISE</stp>
        <stp>FS=MRC</stp>
        <stp>CURRENCY=USD</stp>
        <stp>XLFILL=b</stp>
        <tr r="AG40" s="2"/>
      </tp>
      <tp t="s">
        <v/>
        <stp/>
        <stp>##V3_BQLV12</stp>
        <stp>[MODL_CRM_US1.xlsx]Single Period!R124C44</stp>
        <stp>CRM US Equity</stp>
        <stp>CAPITALIZED_SOFTWARE/1M</stp>
        <stp>FPR=2022Y</stp>
        <stp>FPT=A</stp>
        <stp>FA_ACT_EST_DATA=E, EST_SOURCE=RWB</stp>
        <stp>ACT_EST_MAPPING=PRECISE</stp>
        <stp>FS=MRC</stp>
        <stp>CURRENCY=USD</stp>
        <stp>XLFILL=b</stp>
        <tr r="AR124" s="2"/>
      </tp>
      <tp t="s">
        <v/>
        <stp/>
        <stp>##V3_BQLV12</stp>
        <stp>[MODL_CRM_US1.xlsx]Single Period!R78C56</stp>
        <stp>CRM US Equity</stp>
        <stp>COGS_TO_NET_SALES</stp>
        <stp>FPR=2022Y</stp>
        <stp>FPT=A</stp>
        <stp>FA_ACT_EST_DATA=E, EST_SOURCE=DIR</stp>
        <stp>ACT_EST_MAPPING=PRECISE</stp>
        <stp>FS=MRC</stp>
        <stp>CURRENCY=USD</stp>
        <stp>XLFILL=b</stp>
        <tr r="BD78" s="2"/>
      </tp>
      <tp t="s">
        <v/>
        <stp/>
        <stp>##V3_BQLV12</stp>
        <stp>[MODL_CRM_US1.xlsx]Single Period!R58C23</stp>
        <stp>CRM US Equity</stp>
        <stp>CB_IS_ADJUSTED_OPEX/1M</stp>
        <stp>FPR=2022Y</stp>
        <stp>FPT=A</stp>
        <stp>FA_ACT_EST_DATA=E, EST_SOURCE=JPM</stp>
        <stp>ACT_EST_MAPPING=PRECISE</stp>
        <stp>FS=MRC</stp>
        <stp>CURRENCY=USD</stp>
        <stp>XLFILL=b</stp>
        <tr r="W58" s="2"/>
      </tp>
      <tp>
        <v>5676.3850000000002</v>
        <stp/>
        <stp>##V3_BQLV12</stp>
        <stp>[MODL_CRM_US1.xlsx]Single Period!R167C20</stp>
        <stp>CRM US Equity</stp>
        <stp>CB_CF_NET_CASH_OPERATING_ACT/1M</stp>
        <stp>FPR=2022Y</stp>
        <stp>FPT=A</stp>
        <stp>FA_ACT_EST_DATA=E, EST_SOURCE=JMP</stp>
        <stp>ACT_EST_MAPPING=PRECISE</stp>
        <stp>FS=MRC</stp>
        <stp>CURRENCY=USD</stp>
        <stp>XLFILL=b</stp>
        <tr r="T167" s="2"/>
      </tp>
      <tp>
        <v>5676.3850000000002</v>
        <stp/>
        <stp>##V3_BQLV12</stp>
        <stp>[MODL_CRM_US1.xlsx]Single Period!R182C20</stp>
        <stp>CRM US Equity</stp>
        <stp>CB_CF_NET_CASH_OPERATING_ACT/1M</stp>
        <stp>FPR=2022Y</stp>
        <stp>FPT=A</stp>
        <stp>FA_ACT_EST_DATA=E, EST_SOURCE=JMP</stp>
        <stp>ACT_EST_MAPPING=PRECISE</stp>
        <stp>FS=MRC</stp>
        <stp>CURRENCY=USD</stp>
        <stp>XLFILL=b</stp>
        <tr r="T182" s="2"/>
      </tp>
      <tp t="s">
        <v/>
        <stp/>
        <stp>##V3_BQLV12</stp>
        <stp>[MODL_CRM_US1.xlsx]Single Period!R124C43</stp>
        <stp>CRM US Equity</stp>
        <stp>CAPITALIZED_SOFTWARE/1M</stp>
        <stp>FPR=2022Y</stp>
        <stp>FPT=A</stp>
        <stp>FA_ACT_EST_DATA=E, EST_SOURCE=DWI</stp>
        <stp>ACT_EST_MAPPING=PRECISE</stp>
        <stp>FS=MRC</stp>
        <stp>CURRENCY=USD</stp>
        <stp>XLFILL=b</stp>
        <tr r="AQ124" s="2"/>
      </tp>
      <tp t="s">
        <v/>
        <stp/>
        <stp>##V3_BQLV12</stp>
        <stp>[MODL_CRM_US1.xlsx]Single Period!R121C27</stp>
        <stp>CRM US Equity</stp>
        <stp>CB_BS_INTANG_ASSETS_EX_GW_NT/1M</stp>
        <stp>FPR=2022Y</stp>
        <stp>FPT=A</stp>
        <stp>FA_ACT_EST_DATA=E, EST_SOURCE=LCM</stp>
        <stp>ACT_EST_MAPPING=PRECISE</stp>
        <stp>FS=MRC</stp>
        <stp>CURRENCY=USD</stp>
        <stp>XLFILL=b</stp>
        <tr r="AA121" s="2"/>
      </tp>
      <tp>
        <v>1237</v>
        <stp/>
        <stp>##V3_BQLV12</stp>
        <stp>[MODL_CRM_US1.xlsx]Single Period!R91C9</stp>
        <stp>CRM US Equity</stp>
        <stp>CONTRIBUTOR_STATS(IS_COMP_NET_INCOME_GAAP, MEDIAN)/1M</stp>
        <stp>FPR=2022Y</stp>
        <stp>FPT=A</stp>
        <stp>FA_ACT_EST_DATA=E</stp>
        <stp>ACT_EST_MAPPING=PRECISE</stp>
        <stp>FS=MRC</stp>
        <stp>CURRENCY=USD</stp>
        <stp>XLFILL=b</stp>
        <tr r="I91" s="2"/>
      </tp>
      <tp t="s">
        <v/>
        <stp/>
        <stp>##V3_BQLV12</stp>
        <stp>[MODL_CRM_US1.xlsx]Single Period!R182C14</stp>
        <stp>CRM US Equity</stp>
        <stp>CB_CF_NET_CASH_OPERATING_ACT/1M</stp>
        <stp>FPR=2022Y</stp>
        <stp>FPT=A</stp>
        <stp>FA_ACT_EST_DATA=E, EST_SOURCE=SNR</stp>
        <stp>ACT_EST_MAPPING=PRECISE</stp>
        <stp>FS=MRC</stp>
        <stp>CURRENCY=USD</stp>
        <stp>XLFILL=b</stp>
        <tr r="N182" s="2"/>
      </tp>
      <tp>
        <v>6765.1169246127474</v>
        <stp/>
        <stp>##V3_BQLV12</stp>
        <stp>[MODL_CRM_US1.xlsx]Single Period!R182C25</stp>
        <stp>CRM US Equity</stp>
        <stp>CB_CF_NET_CASH_OPERATING_ACT/1M</stp>
        <stp>FPR=2022Y</stp>
        <stp>FPT=A</stp>
        <stp>FA_ACT_EST_DATA=E, EST_SOURCE=WMS</stp>
        <stp>ACT_EST_MAPPING=PRECISE</stp>
        <stp>FS=MRC</stp>
        <stp>CURRENCY=USD</stp>
        <stp>XLFILL=b</stp>
        <tr r="Y182" s="2"/>
      </tp>
      <tp t="s">
        <v/>
        <stp/>
        <stp>##V3_BQLV12</stp>
        <stp>[MODL_CRM_US1.xlsx]Single Period!R90C55</stp>
        <stp>CRM US Equity</stp>
        <stp>IS_INC_TAX_EXP/1M</stp>
        <stp>FPR=2022Y</stp>
        <stp>FPT=A</stp>
        <stp>FA_ACT_EST_DATA=E, EST_SOURCE=RED</stp>
        <stp>ACT_EST_MAPPING=PRECISE</stp>
        <stp>FS=MRC</stp>
        <stp>CURRENCY=USD</stp>
        <stp>XLFILL=b</stp>
        <tr r="BC90" s="2"/>
      </tp>
      <tp t="s">
        <v/>
        <stp/>
        <stp>##V3_BQLV12</stp>
        <stp>[MODL_CRM_US1.xlsx]Single Period!R67C36</stp>
        <stp>CRM US Equity</stp>
        <stp>IS_NON_OPERATING_INC_LOSS_GAAP/1M</stp>
        <stp>FPR=2022Y</stp>
        <stp>FPT=A</stp>
        <stp>FA_ACT_EST_DATA=E, EST_SOURCE=MAC</stp>
        <stp>ACT_EST_MAPPING=PRECISE</stp>
        <stp>FS=MRC</stp>
        <stp>CURRENCY=USD</stp>
        <stp>XLFILL=b</stp>
        <tr r="AJ67" s="2"/>
      </tp>
      <tp t="s">
        <v/>
        <stp/>
        <stp>##V3_BQLV12</stp>
        <stp>[MODL_CRM_US1.xlsx]Single Period!R90C34</stp>
        <stp>CRM US Equity</stp>
        <stp>IS_INC_TAX_EXP/1M</stp>
        <stp>FPR=2022Y</stp>
        <stp>FPT=A</stp>
        <stp>FA_ACT_EST_DATA=E, EST_SOURCE=JEF</stp>
        <stp>ACT_EST_MAPPING=PRECISE</stp>
        <stp>FS=MRC</stp>
        <stp>CURRENCY=USD</stp>
        <stp>XLFILL=b</stp>
        <tr r="AH90" s="2"/>
      </tp>
      <tp t="s">
        <v/>
        <stp/>
        <stp>##V3_BQLV12</stp>
        <stp>[MODL_CRM_US1.xlsx]Single Period!R84C41</stp>
        <stp>CRM US Equity</stp>
        <stp>RD_EXPEND_TO_NET_SALES</stp>
        <stp>FPR=2022Y</stp>
        <stp>FPT=A</stp>
        <stp>FA_ACT_EST_DATA=E, EST_SOURCE=GSR</stp>
        <stp>ACT_EST_MAPPING=PRECISE</stp>
        <stp>FS=MRC</stp>
        <stp>CURRENCY=USD</stp>
        <stp>XLFILL=b</stp>
        <tr r="AO84" s="2"/>
      </tp>
      <tp>
        <v>17.366813541510201</v>
        <stp/>
        <stp>##V3_BQLV12</stp>
        <stp>[MODL_CRM_US1.xlsx]Single Period!R84C15</stp>
        <stp>CRM US Equity</stp>
        <stp>RD_EXPEND_TO_NET_SALES</stp>
        <stp>FPR=2022Y</stp>
        <stp>FPT=A</stp>
        <stp>FA_ACT_EST_DATA=E, EST_SOURCE=MSV</stp>
        <stp>ACT_EST_MAPPING=PRECISE</stp>
        <stp>FS=MRC</stp>
        <stp>CURRENCY=USD</stp>
        <stp>XLFILL=b</stp>
        <tr r="O84" s="2"/>
      </tp>
      <tp t="s">
        <v/>
        <stp/>
        <stp>##V3_BQLV12</stp>
        <stp>[MODL_CRM_US1.xlsx]Single Period!R67C30</stp>
        <stp>CRM US Equity</stp>
        <stp>IS_NON_OPERATING_INC_LOSS_GAAP/1M</stp>
        <stp>FPR=2022Y</stp>
        <stp>FPT=A</stp>
        <stp>FA_ACT_EST_DATA=E, EST_SOURCE=BAM</stp>
        <stp>ACT_EST_MAPPING=PRECISE</stp>
        <stp>FS=MRC</stp>
        <stp>CURRENCY=USD</stp>
        <stp>XLFILL=b</stp>
        <tr r="AD67" s="2"/>
      </tp>
      <tp t="s">
        <v/>
        <stp/>
        <stp>##V3_BQLV12</stp>
        <stp>[MODL_CRM_US1.xlsx]Single Period!R84C38</stp>
        <stp>CRM US Equity</stp>
        <stp>RD_EXPEND_TO_NET_SALES</stp>
        <stp>FPR=2022Y</stp>
        <stp>FPT=A</stp>
        <stp>FA_ACT_EST_DATA=E, EST_SOURCE=MSR</stp>
        <stp>ACT_EST_MAPPING=PRECISE</stp>
        <stp>FS=MRC</stp>
        <stp>CURRENCY=USD</stp>
        <stp>XLFILL=b</stp>
        <tr r="AL84" s="2"/>
      </tp>
      <tp t="s">
        <v/>
        <stp/>
        <stp>##V3_BQLV12</stp>
        <stp>[MODL_CRM_US1.xlsx]Single Period!R67C18</stp>
        <stp>CRM US Equity</stp>
        <stp>IS_NON_OPERATING_INC_LOSS_GAAP/1M</stp>
        <stp>FPR=2022Y</stp>
        <stp>FPT=A</stp>
        <stp>FA_ACT_EST_DATA=E, EST_SOURCE=CAN</stp>
        <stp>ACT_EST_MAPPING=PRECISE</stp>
        <stp>FS=MRC</stp>
        <stp>CURRENCY=USD</stp>
        <stp>XLFILL=b</stp>
        <tr r="R67" s="2"/>
      </tp>
      <tp>
        <v>170.65978794148961</v>
        <stp/>
        <stp>##V3_BQLV12</stp>
        <stp>[MODL_CRM_US1.xlsx]Single Period!R90C26</stp>
        <stp>CRM US Equity</stp>
        <stp>IS_INC_TAX_EXP/1M</stp>
        <stp>FPR=2022Y</stp>
        <stp>FPT=A</stp>
        <stp>FA_ACT_EST_DATA=E, EST_SOURCE=KEY</stp>
        <stp>ACT_EST_MAPPING=PRECISE</stp>
        <stp>FS=MRC</stp>
        <stp>CURRENCY=USD</stp>
        <stp>XLFILL=b</stp>
        <tr r="Z90" s="2"/>
      </tp>
      <tp t="s">
        <v/>
        <stp/>
        <stp>##V3_BQLV12</stp>
        <stp>[MODL_CRM_US1.xlsx]Single Period!R84C42</stp>
        <stp>CRM US Equity</stp>
        <stp>RD_EXPEND_TO_NET_SALES</stp>
        <stp>FPR=2022Y</stp>
        <stp>FPT=A</stp>
        <stp>FA_ACT_EST_DATA=E, EST_SOURCE=PSG</stp>
        <stp>ACT_EST_MAPPING=PRECISE</stp>
        <stp>FS=MRC</stp>
        <stp>CURRENCY=USD</stp>
        <stp>XLFILL=b</stp>
        <tr r="AP84" s="2"/>
      </tp>
      <tp t="s">
        <v/>
        <stp/>
        <stp>##V3_BQLV12</stp>
        <stp>[MODL_CRM_US1.xlsx]Single Period!R25C10</stp>
        <stp>SEG0000269238 Segment</stp>
        <stp>IS_PERCENTAGE_OF_REVENUE</stp>
        <stp>FPR=2022Y</stp>
        <stp>FPT=A</stp>
        <stp>FA_ACT_EST_DATA=E, EST_SOURCE=CMPY</stp>
        <stp>ACT_EST_MAPPING=PRECISE</stp>
        <stp>FS=MRC</stp>
        <stp>CURRENCY=USD</stp>
        <stp>XLFILL=b</stp>
        <tr r="J25" s="2"/>
      </tp>
      <tp>
        <v>21080.000000000051</v>
        <stp/>
        <stp>##V3_BQLV12</stp>
        <stp>[MODL_CRM_US1.xlsx]Single Period!R151C7</stp>
        <stp>CRM US Equity</stp>
        <stp>CONTRIBUTOR_STATS(NON_CURRENT_FUTURE_REV_UNDER_CONTRACT, MAX)/1M</stp>
        <stp>FPR=2022Y</stp>
        <stp>FPT=A</stp>
        <stp>FA_ACT_EST_DATA=E</stp>
        <stp>ACT_EST_MAPPING=PRECISE</stp>
        <stp>FS=MRC</stp>
        <stp>CURRENCY=USD</stp>
        <stp>XLFILL=b</stp>
        <tr r="G151" s="2"/>
      </tp>
      <tp>
        <v>6.3230065069166477</v>
        <stp/>
        <stp>##V3_BQLV12</stp>
        <stp>[MODL_CRM_US1.xlsx]Single Period!R183C5</stp>
        <stp>CRM US Equity</stp>
        <stp>CASH_FLOW_PER_SH</stp>
        <stp>FPR=2022Y</stp>
        <stp>FPT=A</stp>
        <stp>FA_ACT_EST_DATA=E</stp>
        <stp>ACT_EST_MAPPING=PRECISE</stp>
        <stp>FS=MRC</stp>
        <stp>CURRENCY=USD</stp>
        <stp>XLFILL=b</stp>
        <tr r="E183" s="2"/>
      </tp>
      <tp t="s">
        <v/>
        <stp/>
        <stp>##V3_BQLV12</stp>
        <stp>[MODL_CRM_US1.xlsx]Single Period!R53C10</stp>
        <stp>CRM US Equity</stp>
        <stp>REVENUE_GROWTH_CC_1_YR</stp>
        <stp>FPR=2022Y</stp>
        <stp>FPT=A</stp>
        <stp>FA_ACT_EST_DATA=E, EST_SOURCE=CMPY</stp>
        <stp>ACT_EST_MAPPING=PRECISE</stp>
        <stp>FS=MRC</stp>
        <stp>CURRENCY=USD</stp>
        <stp>XLFILL=b</stp>
        <tr r="J53" s="2"/>
      </tp>
      <tp>
        <v>-122</v>
        <stp/>
        <stp>##V3_BQLV12</stp>
        <stp>[MODL_CRM_US1.xlsx]Single Period!R140C7</stp>
        <stp>CRM US Equity</stp>
        <stp>CONTRIBUTOR_STATS(BS_ACCUMULATED_OTHER_COMP_INC, MAX)/1M</stp>
        <stp>FPR=2022Y</stp>
        <stp>FPT=A</stp>
        <stp>FA_ACT_EST_DATA=E</stp>
        <stp>ACT_EST_MAPPING=PRECISE</stp>
        <stp>FS=MRC</stp>
        <stp>CURRENCY=USD</stp>
        <stp>XLFILL=b</stp>
        <tr r="G140" s="2"/>
      </tp>
      <tp>
        <v>26396</v>
        <stp/>
        <stp>##V3_BQLV12</stp>
        <stp>[MODL_CRM_US1.xlsx]Single Period!R7C20</stp>
        <stp>CRM US Equity</stp>
        <stp>IS_COMP_SALES/1M</stp>
        <stp>FPR=2022Y</stp>
        <stp>FPT=A</stp>
        <stp>FA_ACT_EST_DATA=E, EST_SOURCE=JMP</stp>
        <stp>ACT_EST_MAPPING=PRECISE</stp>
        <stp>FS=MRC</stp>
        <stp>CURRENCY=USD</stp>
        <stp>XLFILL=b</stp>
        <tr r="T7" s="2"/>
      </tp>
      <tp t="s">
        <v/>
        <stp/>
        <stp>##V3_BQLV12</stp>
        <stp>[MODL_CRM_US1.xlsx]Single Period!R78C48</stp>
        <stp>CRM US Equity</stp>
        <stp>COGS_TO_NET_SALES</stp>
        <stp>FPR=2022Y</stp>
        <stp>FPT=A</stp>
        <stp>FA_ACT_EST_DATA=E, EST_SOURCE=PJE</stp>
        <stp>ACT_EST_MAPPING=PRECISE</stp>
        <stp>FS=MRC</stp>
        <stp>CURRENCY=USD</stp>
        <stp>XLFILL=b</stp>
        <tr r="AV78" s="2"/>
      </tp>
      <tp t="s">
        <v/>
        <stp/>
        <stp>##V3_BQLV12</stp>
        <stp>[MODL_CRM_US1.xlsx]Single Period!R182C53</stp>
        <stp>CRM US Equity</stp>
        <stp>CB_CF_NET_CASH_OPERATING_ACT/1M</stp>
        <stp>FPR=2022Y</stp>
        <stp>FPT=A</stp>
        <stp>FA_ACT_EST_DATA=E, EST_SOURCE=NIK</stp>
        <stp>ACT_EST_MAPPING=PRECISE</stp>
        <stp>FS=MRC</stp>
        <stp>CURRENCY=USD</stp>
        <stp>XLFILL=b</stp>
        <tr r="BA182" s="2"/>
      </tp>
      <tp t="s">
        <v/>
        <stp/>
        <stp>##V3_BQLV12</stp>
        <stp>[MODL_CRM_US1.xlsx]Single Period!R142C40</stp>
        <stp>CRM US Equity</stp>
        <stp>BS_TOT_ASSET/1M</stp>
        <stp>FPR=2022Y</stp>
        <stp>FPT=A</stp>
        <stp>FA_ACT_EST_DATA=E, EST_SOURCE=ACC</stp>
        <stp>ACT_EST_MAPPING=PRECISE</stp>
        <stp>FS=MRC</stp>
        <stp>CURRENCY=USD</stp>
        <stp>XLFILL=b</stp>
        <tr r="AN142" s="2"/>
      </tp>
      <tp t="s">
        <v/>
        <stp/>
        <stp>##V3_BQLV12</stp>
        <stp>[MODL_CRM_US1.xlsx]Single Period!R87C52</stp>
        <stp>CRM US Equity</stp>
        <stp>IS_EBIT_AS_REPORTED/1M</stp>
        <stp>FPR=2022Y</stp>
        <stp>FPT=A</stp>
        <stp>FA_ACT_EST_DATA=E, EST_SOURCE=WFR</stp>
        <stp>ACT_EST_MAPPING=PRECISE</stp>
        <stp>FS=MRC</stp>
        <stp>CURRENCY=USD</stp>
        <stp>XLFILL=b</stp>
        <tr r="AZ87" s="2"/>
      </tp>
      <tp t="s">
        <v/>
        <stp/>
        <stp>##V3_BQLV12</stp>
        <stp>[MODL_CRM_US1.xlsx]Single Period!R45C40</stp>
        <stp>SEG0000269240 Segment</stp>
        <stp>REVENUE_GROWTH_CC_1_YR</stp>
        <stp>FPR=2022Y</stp>
        <stp>FPT=A</stp>
        <stp>FA_ACT_EST_DATA=E, EST_SOURCE=ACC</stp>
        <stp>ACT_EST_MAPPING=PRECISE</stp>
        <stp>FS=MRC</stp>
        <stp>CURRENCY=USD</stp>
        <stp>XLFILL=b</stp>
        <tr r="AN45" s="2"/>
      </tp>
      <tp t="s">
        <v/>
        <stp/>
        <stp>##V3_BQLV12</stp>
        <stp>[MODL_CRM_US1.xlsx]Single Period!R106C54</stp>
        <stp>CRM US Equity</stp>
        <stp>IS_AMORT_ACQD_INTANG_S_AND_M/1M</stp>
        <stp>FPR=2022Y</stp>
        <stp>FPT=A</stp>
        <stp>FA_ACT_EST_DATA=E, EST_SOURCE=ARE</stp>
        <stp>ACT_EST_MAPPING=PRECISE</stp>
        <stp>FS=MRC</stp>
        <stp>CURRENCY=USD</stp>
        <stp>XLFILL=b</stp>
        <tr r="BB106" s="2"/>
      </tp>
      <tp t="s">
        <v/>
        <stp/>
        <stp>##V3_BQLV12</stp>
        <stp>[MODL_CRM_US1.xlsx]Single Period!R182C12</stp>
        <stp>CRM US Equity</stp>
        <stp>CB_CF_NET_CASH_OPERATING_ACT/1M</stp>
        <stp>FPR=2022Y</stp>
        <stp>FPT=A</stp>
        <stp>FA_ACT_EST_DATA=E, EST_SOURCE=BMO</stp>
        <stp>ACT_EST_MAPPING=PRECISE</stp>
        <stp>FS=MRC</stp>
        <stp>CURRENCY=USD</stp>
        <stp>XLFILL=b</stp>
        <tr r="L182" s="2"/>
      </tp>
      <tp t="s">
        <v/>
        <stp/>
        <stp>##V3_BQLV12</stp>
        <stp>[MODL_CRM_US1.xlsx]Single Period!R45C13</stp>
        <stp>SEG0000269240 Segment</stp>
        <stp>REVENUE_GROWTH_CC_1_YR</stp>
        <stp>FPR=2022Y</stp>
        <stp>FPT=A</stp>
        <stp>FA_ACT_EST_DATA=E, EST_SOURCE=BCA</stp>
        <stp>ACT_EST_MAPPING=PRECISE</stp>
        <stp>FS=MRC</stp>
        <stp>CURRENCY=USD</stp>
        <stp>XLFILL=b</stp>
        <tr r="M45" s="2"/>
      </tp>
      <tp t="s">
        <v/>
        <stp/>
        <stp>##V3_BQLV12</stp>
        <stp>[MODL_CRM_US1.xlsx]Single Period!R78C21</stp>
        <stp>CRM US Equity</stp>
        <stp>COGS_TO_NET_SALES</stp>
        <stp>FPR=2022Y</stp>
        <stp>FPT=A</stp>
        <stp>FA_ACT_EST_DATA=E, EST_SOURCE=RJA</stp>
        <stp>ACT_EST_MAPPING=PRECISE</stp>
        <stp>FS=MRC</stp>
        <stp>CURRENCY=USD</stp>
        <stp>XLFILL=b</stp>
        <tr r="U78" s="2"/>
      </tp>
      <tp t="s">
        <v/>
        <stp/>
        <stp>##V3_BQLV12</stp>
        <stp>[MODL_CRM_US1.xlsx]Single Period!R87C47</stp>
        <stp>CRM US Equity</stp>
        <stp>IS_EBIT_AS_REPORTED/1M</stp>
        <stp>FPR=2022Y</stp>
        <stp>FPT=A</stp>
        <stp>FA_ACT_EST_DATA=E, EST_SOURCE=WFT</stp>
        <stp>ACT_EST_MAPPING=PRECISE</stp>
        <stp>FS=MRC</stp>
        <stp>CURRENCY=USD</stp>
        <stp>XLFILL=b</stp>
        <tr r="AU87" s="2"/>
      </tp>
      <tp t="s">
        <v/>
        <stp/>
        <stp>##V3_BQLV12</stp>
        <stp>[MODL_CRM_US1.xlsx]Single Period!R121C47</stp>
        <stp>CRM US Equity</stp>
        <stp>CB_BS_INTANG_ASSETS_EX_GW_NT/1M</stp>
        <stp>FPR=2022Y</stp>
        <stp>FPT=A</stp>
        <stp>FA_ACT_EST_DATA=E, EST_SOURCE=WFT</stp>
        <stp>ACT_EST_MAPPING=PRECISE</stp>
        <stp>FS=MRC</stp>
        <stp>CURRENCY=USD</stp>
        <stp>XLFILL=b</stp>
        <tr r="AU121" s="2"/>
      </tp>
      <tp t="s">
        <v/>
        <stp/>
        <stp>##V3_BQLV12</stp>
        <stp>[MODL_CRM_US1.xlsx]Single Period!R45C19</stp>
        <stp>SEG0000269240 Segment</stp>
        <stp>REVENUE_GROWTH_CC_1_YR</stp>
        <stp>FPR=2022Y</stp>
        <stp>FPT=A</stp>
        <stp>FA_ACT_EST_DATA=E, EST_SOURCE=SCB</stp>
        <stp>ACT_EST_MAPPING=PRECISE</stp>
        <stp>FS=MRC</stp>
        <stp>CURRENCY=USD</stp>
        <stp>XLFILL=b</stp>
        <tr r="S45" s="2"/>
      </tp>
      <tp t="s">
        <v/>
        <stp/>
        <stp>##V3_BQLV12</stp>
        <stp>[MODL_CRM_US1.xlsx]Single Period!R106C42</stp>
        <stp>CRM US Equity</stp>
        <stp>IS_AMORT_ACQD_INTANG_S_AND_M/1M</stp>
        <stp>FPR=2022Y</stp>
        <stp>FPT=A</stp>
        <stp>FA_ACT_EST_DATA=E, EST_SOURCE=PSG</stp>
        <stp>ACT_EST_MAPPING=PRECISE</stp>
        <stp>FS=MRC</stp>
        <stp>CURRENCY=USD</stp>
        <stp>XLFILL=b</stp>
        <tr r="AP106" s="2"/>
      </tp>
      <tp t="s">
        <v/>
        <stp/>
        <stp>##V3_BQLV12</stp>
        <stp>[MODL_CRM_US1.xlsx]Single Period!R125C40</stp>
        <stp>CRM US Equity</stp>
        <stp>BS_TOT_ASSET/1M</stp>
        <stp>FPR=2022Y</stp>
        <stp>FPT=A</stp>
        <stp>FA_ACT_EST_DATA=E, EST_SOURCE=ACC</stp>
        <stp>ACT_EST_MAPPING=PRECISE</stp>
        <stp>FS=MRC</stp>
        <stp>CURRENCY=USD</stp>
        <stp>XLFILL=b</stp>
        <tr r="AN125" s="2"/>
      </tp>
      <tp t="s">
        <v/>
        <stp/>
        <stp>##V3_BQLV12</stp>
        <stp>[MODL_CRM_US1.xlsx]Single Period!R58C38</stp>
        <stp>CRM US Equity</stp>
        <stp>CB_IS_ADJUSTED_OPEX/1M</stp>
        <stp>FPR=2022Y</stp>
        <stp>FPT=A</stp>
        <stp>FA_ACT_EST_DATA=E, EST_SOURCE=MSR</stp>
        <stp>ACT_EST_MAPPING=PRECISE</stp>
        <stp>FS=MRC</stp>
        <stp>CURRENCY=USD</stp>
        <stp>XLFILL=b</stp>
        <tr r="AL58" s="2"/>
      </tp>
      <tp t="s">
        <v/>
        <stp/>
        <stp>##V3_BQLV12</stp>
        <stp>[MODL_CRM_US1.xlsx]Single Period!R124C38</stp>
        <stp>CRM US Equity</stp>
        <stp>CAPITALIZED_SOFTWARE/1M</stp>
        <stp>FPR=2022Y</stp>
        <stp>FPT=A</stp>
        <stp>FA_ACT_EST_DATA=E, EST_SOURCE=MSR</stp>
        <stp>ACT_EST_MAPPING=PRECISE</stp>
        <stp>FS=MRC</stp>
        <stp>CURRENCY=USD</stp>
        <stp>XLFILL=b</stp>
        <tr r="AL124" s="2"/>
      </tp>
      <tp>
        <v>4115.9592644566674</v>
        <stp/>
        <stp>##V3_BQLV12</stp>
        <stp>[MODL_CRM_US1.xlsx]Single Period!R133C8</stp>
        <stp>CRM US Equity</stp>
        <stp>CONTRIBUTOR_STATS(BS_LONG_TERM_BORROWINGS, STD)/1M</stp>
        <stp>FPR=2022Y</stp>
        <stp>FPT=A</stp>
        <stp>FA_ACT_EST_DATA=E</stp>
        <stp>ACT_EST_MAPPING=PRECISE</stp>
        <stp>FS=MRC</stp>
        <stp>CURRENCY=USD</stp>
        <stp>XLFILL=b</stp>
        <tr r="H133" s="2"/>
      </tp>
      <tp t="s">
        <v/>
        <stp/>
        <stp>##V3_BQLV12</stp>
        <stp>[MODL_CRM_US1.xlsx]Single Period!R167C12</stp>
        <stp>CRM US Equity</stp>
        <stp>CB_CF_NET_CASH_OPERATING_ACT/1M</stp>
        <stp>FPR=2022Y</stp>
        <stp>FPT=A</stp>
        <stp>FA_ACT_EST_DATA=E, EST_SOURCE=BMO</stp>
        <stp>ACT_EST_MAPPING=PRECISE</stp>
        <stp>FS=MRC</stp>
        <stp>CURRENCY=USD</stp>
        <stp>XLFILL=b</stp>
        <tr r="L167" s="2"/>
      </tp>
      <tp t="s">
        <v/>
        <stp/>
        <stp>##V3_BQLV12</stp>
        <stp>[MODL_CRM_US1.xlsx]Single Period!R45C27</stp>
        <stp>SEG0000269240 Segment</stp>
        <stp>REVENUE_GROWTH_CC_1_YR</stp>
        <stp>FPR=2022Y</stp>
        <stp>FPT=A</stp>
        <stp>FA_ACT_EST_DATA=E, EST_SOURCE=LCM</stp>
        <stp>ACT_EST_MAPPING=PRECISE</stp>
        <stp>FS=MRC</stp>
        <stp>CURRENCY=USD</stp>
        <stp>XLFILL=b</stp>
        <tr r="AA45" s="2"/>
      </tp>
      <tp t="s">
        <v/>
        <stp/>
        <stp>##V3_BQLV12</stp>
        <stp>[MODL_CRM_US1.xlsx]Single Period!R106C35</stp>
        <stp>CRM US Equity</stp>
        <stp>IS_AMORT_ACQD_INTANG_S_AND_M/1M</stp>
        <stp>FPR=2022Y</stp>
        <stp>FPT=A</stp>
        <stp>FA_ACT_EST_DATA=E, EST_SOURCE=ATL</stp>
        <stp>ACT_EST_MAPPING=PRECISE</stp>
        <stp>FS=MRC</stp>
        <stp>CURRENCY=USD</stp>
        <stp>XLFILL=b</stp>
        <tr r="AI106" s="2"/>
      </tp>
      <tp t="s">
        <v/>
        <stp/>
        <stp>##V3_BQLV12</stp>
        <stp>[MODL_CRM_US1.xlsx]Single Period!R135C51</stp>
        <stp>CRM US Equity</stp>
        <stp>CB_BS_OTHER_NONCURRENT_LIABS/1M</stp>
        <stp>FPR=2022Y</stp>
        <stp>FPT=A</stp>
        <stp>FA_ACT_EST_DATA=E, EST_SOURCE=RCP</stp>
        <stp>ACT_EST_MAPPING=PRECISE</stp>
        <stp>FS=MRC</stp>
        <stp>CURRENCY=USD</stp>
        <stp>XLFILL=b</stp>
        <tr r="AY135" s="2"/>
      </tp>
      <tp>
        <v>15981.616582000001</v>
        <stp/>
        <stp>##V3_BQLV12</stp>
        <stp>[MODL_CRM_US1.xlsx]Single Period!R58C15</stp>
        <stp>CRM US Equity</stp>
        <stp>CB_IS_ADJUSTED_OPEX/1M</stp>
        <stp>FPR=2022Y</stp>
        <stp>FPT=A</stp>
        <stp>FA_ACT_EST_DATA=E, EST_SOURCE=MSV</stp>
        <stp>ACT_EST_MAPPING=PRECISE</stp>
        <stp>FS=MRC</stp>
        <stp>CURRENCY=USD</stp>
        <stp>XLFILL=b</stp>
        <tr r="O58" s="2"/>
      </tp>
      <tp t="s">
        <v/>
        <stp/>
        <stp>##V3_BQLV12</stp>
        <stp>[MODL_CRM_US1.xlsx]Single Period!R167C53</stp>
        <stp>CRM US Equity</stp>
        <stp>CB_CF_NET_CASH_OPERATING_ACT/1M</stp>
        <stp>FPR=2022Y</stp>
        <stp>FPT=A</stp>
        <stp>FA_ACT_EST_DATA=E, EST_SOURCE=NIK</stp>
        <stp>ACT_EST_MAPPING=PRECISE</stp>
        <stp>FS=MRC</stp>
        <stp>CURRENCY=USD</stp>
        <stp>XLFILL=b</stp>
        <tr r="BA167" s="2"/>
      </tp>
      <tp t="s">
        <v/>
        <stp/>
        <stp>##V3_BQLV12</stp>
        <stp>[MODL_CRM_US1.xlsx]Single Period!R58C41</stp>
        <stp>CRM US Equity</stp>
        <stp>CB_IS_ADJUSTED_OPEX/1M</stp>
        <stp>FPR=2022Y</stp>
        <stp>FPT=A</stp>
        <stp>FA_ACT_EST_DATA=E, EST_SOURCE=GSR</stp>
        <stp>ACT_EST_MAPPING=PRECISE</stp>
        <stp>FS=MRC</stp>
        <stp>CURRENCY=USD</stp>
        <stp>XLFILL=b</stp>
        <tr r="AO58" s="2"/>
      </tp>
      <tp t="s">
        <v/>
        <stp/>
        <stp>##V3_BQLV12</stp>
        <stp>[MODL_CRM_US1.xlsx]Single Period!R45C51</stp>
        <stp>SEG0000269240 Segment</stp>
        <stp>REVENUE_GROWTH_CC_1_YR</stp>
        <stp>FPR=2022Y</stp>
        <stp>FPT=A</stp>
        <stp>FA_ACT_EST_DATA=E, EST_SOURCE=RCP</stp>
        <stp>ACT_EST_MAPPING=PRECISE</stp>
        <stp>FS=MRC</stp>
        <stp>CURRENCY=USD</stp>
        <stp>XLFILL=b</stp>
        <tr r="AY45" s="2"/>
      </tp>
      <tp t="s">
        <v/>
        <stp/>
        <stp>##V3_BQLV12</stp>
        <stp>[MODL_CRM_US1.xlsx]Single Period!R106C41</stp>
        <stp>CRM US Equity</stp>
        <stp>IS_AMORT_ACQD_INTANG_S_AND_M/1M</stp>
        <stp>FPR=2022Y</stp>
        <stp>FPT=A</stp>
        <stp>FA_ACT_EST_DATA=E, EST_SOURCE=GSR</stp>
        <stp>ACT_EST_MAPPING=PRECISE</stp>
        <stp>FS=MRC</stp>
        <stp>CURRENCY=USD</stp>
        <stp>XLFILL=b</stp>
        <tr r="AO106" s="2"/>
      </tp>
      <tp t="s">
        <v/>
        <stp/>
        <stp>##V3_BQLV12</stp>
        <stp>[MODL_CRM_US1.xlsx]Single Period!R167C56</stp>
        <stp>CRM US Equity</stp>
        <stp>CB_CF_NET_CASH_OPERATING_ACT/1M</stp>
        <stp>FPR=2022Y</stp>
        <stp>FPT=A</stp>
        <stp>FA_ACT_EST_DATA=E, EST_SOURCE=DIR</stp>
        <stp>ACT_EST_MAPPING=PRECISE</stp>
        <stp>FS=MRC</stp>
        <stp>CURRENCY=USD</stp>
        <stp>XLFILL=b</stp>
        <tr r="BD167" s="2"/>
      </tp>
      <tp t="s">
        <v/>
        <stp/>
        <stp>##V3_BQLV12</stp>
        <stp>[MODL_CRM_US1.xlsx]Single Period!R182C29</stp>
        <stp>CRM US Equity</stp>
        <stp>CB_CF_NET_CASH_OPERATING_ACT/1M</stp>
        <stp>FPR=2022Y</stp>
        <stp>FPT=A</stp>
        <stp>FA_ACT_EST_DATA=E, EST_SOURCE=BNS</stp>
        <stp>ACT_EST_MAPPING=PRECISE</stp>
        <stp>FS=MRC</stp>
        <stp>CURRENCY=USD</stp>
        <stp>XLFILL=b</stp>
        <tr r="AC182" s="2"/>
      </tp>
      <tp t="s">
        <v/>
        <stp/>
        <stp>##V3_BQLV12</stp>
        <stp>[MODL_CRM_US1.xlsx]Single Period!R121C36</stp>
        <stp>CRM US Equity</stp>
        <stp>CB_BS_INTANG_ASSETS_EX_GW_NT/1M</stp>
        <stp>FPR=2022Y</stp>
        <stp>FPT=A</stp>
        <stp>FA_ACT_EST_DATA=E, EST_SOURCE=MAC</stp>
        <stp>ACT_EST_MAPPING=PRECISE</stp>
        <stp>FS=MRC</stp>
        <stp>CURRENCY=USD</stp>
        <stp>XLFILL=b</stp>
        <tr r="AJ121" s="2"/>
      </tp>
      <tp>
        <v>20673</v>
        <stp/>
        <stp>##V3_BQLV12</stp>
        <stp>[MODL_CRM_US1.xlsx]Single Period!R133C7</stp>
        <stp>CRM US Equity</stp>
        <stp>CONTRIBUTOR_STATS(BS_LONG_TERM_BORROWINGS, MAX)/1M</stp>
        <stp>FPR=2022Y</stp>
        <stp>FPT=A</stp>
        <stp>FA_ACT_EST_DATA=E</stp>
        <stp>ACT_EST_MAPPING=PRECISE</stp>
        <stp>FS=MRC</stp>
        <stp>CURRENCY=USD</stp>
        <stp>XLFILL=b</stp>
        <tr r="G133" s="2"/>
      </tp>
      <tp>
        <v>10591</v>
        <stp/>
        <stp>##V3_BQLV12</stp>
        <stp>[MODL_CRM_US1.xlsx]Single Period!R133C6</stp>
        <stp>CRM US Equity</stp>
        <stp>CONTRIBUTOR_STATS(BS_LONG_TERM_BORROWINGS, MIN)/1M</stp>
        <stp>FPR=2022Y</stp>
        <stp>FPT=A</stp>
        <stp>FA_ACT_EST_DATA=E</stp>
        <stp>ACT_EST_MAPPING=PRECISE</stp>
        <stp>FS=MRC</stp>
        <stp>CURRENCY=USD</stp>
        <stp>XLFILL=b</stp>
        <tr r="F133" s="2"/>
      </tp>
      <tp t="s">
        <v/>
        <stp/>
        <stp>##V3_BQLV12</stp>
        <stp>[MODL_CRM_US1.xlsx]Single Period!R121C13</stp>
        <stp>CRM US Equity</stp>
        <stp>CB_BS_INTANG_ASSETS_EX_GW_NT/1M</stp>
        <stp>FPR=2022Y</stp>
        <stp>FPT=A</stp>
        <stp>FA_ACT_EST_DATA=E, EST_SOURCE=BCA</stp>
        <stp>ACT_EST_MAPPING=PRECISE</stp>
        <stp>FS=MRC</stp>
        <stp>CURRENCY=USD</stp>
        <stp>XLFILL=b</stp>
        <tr r="M121" s="2"/>
      </tp>
      <tp t="s">
        <v/>
        <stp/>
        <stp>##V3_BQLV12</stp>
        <stp>[MODL_CRM_US1.xlsx]Single Period!R58C42</stp>
        <stp>CRM US Equity</stp>
        <stp>CB_IS_ADJUSTED_OPEX/1M</stp>
        <stp>FPR=2022Y</stp>
        <stp>FPT=A</stp>
        <stp>FA_ACT_EST_DATA=E, EST_SOURCE=PSG</stp>
        <stp>ACT_EST_MAPPING=PRECISE</stp>
        <stp>FS=MRC</stp>
        <stp>CURRENCY=USD</stp>
        <stp>XLFILL=b</stp>
        <tr r="AP58" s="2"/>
      </tp>
      <tp t="s">
        <v/>
        <stp/>
        <stp>##V3_BQLV12</stp>
        <stp>[MODL_CRM_US1.xlsx]Single Period!R121C30</stp>
        <stp>CRM US Equity</stp>
        <stp>CB_BS_INTANG_ASSETS_EX_GW_NT/1M</stp>
        <stp>FPR=2022Y</stp>
        <stp>FPT=A</stp>
        <stp>FA_ACT_EST_DATA=E, EST_SOURCE=BAM</stp>
        <stp>ACT_EST_MAPPING=PRECISE</stp>
        <stp>FS=MRC</stp>
        <stp>CURRENCY=USD</stp>
        <stp>XLFILL=b</stp>
        <tr r="AD121" s="2"/>
      </tp>
      <tp>
        <v>98269.030339895718</v>
        <stp/>
        <stp>##V3_BQLV12</stp>
        <stp>[MODL_CRM_US1.xlsx]Single Period!R125C26</stp>
        <stp>CRM US Equity</stp>
        <stp>BS_TOT_ASSET/1M</stp>
        <stp>FPR=2022Y</stp>
        <stp>FPT=A</stp>
        <stp>FA_ACT_EST_DATA=E, EST_SOURCE=KEY</stp>
        <stp>ACT_EST_MAPPING=PRECISE</stp>
        <stp>FS=MRC</stp>
        <stp>CURRENCY=USD</stp>
        <stp>XLFILL=b</stp>
        <tr r="Z125" s="2"/>
      </tp>
      <tp t="s">
        <v/>
        <stp/>
        <stp>##V3_BQLV12</stp>
        <stp>[MODL_CRM_US1.xlsx]Single Period!R124C46</stp>
        <stp>CRM US Equity</stp>
        <stp>CAPITALIZED_SOFTWARE/1M</stp>
        <stp>FPR=2022Y</stp>
        <stp>FPT=A</stp>
        <stp>FA_ACT_EST_DATA=E, EST_SOURCE=CTI</stp>
        <stp>ACT_EST_MAPPING=PRECISE</stp>
        <stp>FS=MRC</stp>
        <stp>CURRENCY=USD</stp>
        <stp>XLFILL=b</stp>
        <tr r="AT124" s="2"/>
      </tp>
      <tp t="s">
        <v/>
        <stp/>
        <stp>##V3_BQLV12</stp>
        <stp>[MODL_CRM_US1.xlsx]Single Period!R167C29</stp>
        <stp>CRM US Equity</stp>
        <stp>CB_CF_NET_CASH_OPERATING_ACT/1M</stp>
        <stp>FPR=2022Y</stp>
        <stp>FPT=A</stp>
        <stp>FA_ACT_EST_DATA=E, EST_SOURCE=BNS</stp>
        <stp>ACT_EST_MAPPING=PRECISE</stp>
        <stp>FS=MRC</stp>
        <stp>CURRENCY=USD</stp>
        <stp>XLFILL=b</stp>
        <tr r="AC167" s="2"/>
      </tp>
      <tp t="s">
        <v/>
        <stp/>
        <stp>##V3_BQLV12</stp>
        <stp>[MODL_CRM_US1.xlsx]Single Period!R182C56</stp>
        <stp>CRM US Equity</stp>
        <stp>CB_CF_NET_CASH_OPERATING_ACT/1M</stp>
        <stp>FPR=2022Y</stp>
        <stp>FPT=A</stp>
        <stp>FA_ACT_EST_DATA=E, EST_SOURCE=DIR</stp>
        <stp>ACT_EST_MAPPING=PRECISE</stp>
        <stp>FS=MRC</stp>
        <stp>CURRENCY=USD</stp>
        <stp>XLFILL=b</stp>
        <tr r="BD182" s="2"/>
      </tp>
      <tp t="s">
        <v/>
        <stp/>
        <stp>##V3_BQLV12</stp>
        <stp>[MODL_CRM_US1.xlsx]Single Period!R121C19</stp>
        <stp>CRM US Equity</stp>
        <stp>CB_BS_INTANG_ASSETS_EX_GW_NT/1M</stp>
        <stp>FPR=2022Y</stp>
        <stp>FPT=A</stp>
        <stp>FA_ACT_EST_DATA=E, EST_SOURCE=SCB</stp>
        <stp>ACT_EST_MAPPING=PRECISE</stp>
        <stp>FS=MRC</stp>
        <stp>CURRENCY=USD</stp>
        <stp>XLFILL=b</stp>
        <tr r="S121" s="2"/>
      </tp>
      <tp>
        <v>98269.030339895718</v>
        <stp/>
        <stp>##V3_BQLV12</stp>
        <stp>[MODL_CRM_US1.xlsx]Single Period!R142C26</stp>
        <stp>CRM US Equity</stp>
        <stp>BS_TOT_ASSET/1M</stp>
        <stp>FPR=2022Y</stp>
        <stp>FPT=A</stp>
        <stp>FA_ACT_EST_DATA=E, EST_SOURCE=KEY</stp>
        <stp>ACT_EST_MAPPING=PRECISE</stp>
        <stp>FS=MRC</stp>
        <stp>CURRENCY=USD</stp>
        <stp>XLFILL=b</stp>
        <tr r="Z142" s="2"/>
      </tp>
      <tp t="s">
        <v/>
        <stp/>
        <stp>##V3_BQLV12</stp>
        <stp>[MODL_CRM_US1.xlsx]Single Period!R135C34</stp>
        <stp>CRM US Equity</stp>
        <stp>CB_BS_OTHER_NONCURRENT_LIABS/1M</stp>
        <stp>FPR=2022Y</stp>
        <stp>FPT=A</stp>
        <stp>FA_ACT_EST_DATA=E, EST_SOURCE=JEF</stp>
        <stp>ACT_EST_MAPPING=PRECISE</stp>
        <stp>FS=MRC</stp>
        <stp>CURRENCY=USD</stp>
        <stp>XLFILL=b</stp>
        <tr r="AH135" s="2"/>
      </tp>
      <tp>
        <v>157</v>
        <stp/>
        <stp>##V3_BQLV12</stp>
        <stp>[MODL_CRM_US1.xlsx]Single Period!R90C17</stp>
        <stp>CRM US Equity</stp>
        <stp>IS_INC_TAX_EXP/1M</stp>
        <stp>FPR=2022Y</stp>
        <stp>FPT=A</stp>
        <stp>FA_ACT_EST_DATA=E, EST_SOURCE=NDH</stp>
        <stp>ACT_EST_MAPPING=PRECISE</stp>
        <stp>FS=MRC</stp>
        <stp>CURRENCY=USD</stp>
        <stp>XLFILL=b</stp>
        <tr r="Q90" s="2"/>
      </tp>
      <tp t="s">
        <v/>
        <stp/>
        <stp>##V3_BQLV12</stp>
        <stp>[MODL_CRM_US1.xlsx]Single Period!R84C54</stp>
        <stp>CRM US Equity</stp>
        <stp>RD_EXPEND_TO_NET_SALES</stp>
        <stp>FPR=2022Y</stp>
        <stp>FPT=A</stp>
        <stp>FA_ACT_EST_DATA=E, EST_SOURCE=ARE</stp>
        <stp>ACT_EST_MAPPING=PRECISE</stp>
        <stp>FS=MRC</stp>
        <stp>CURRENCY=USD</stp>
        <stp>XLFILL=b</stp>
        <tr r="BB84" s="2"/>
      </tp>
      <tp t="s">
        <v/>
        <stp/>
        <stp>##V3_BQLV12</stp>
        <stp>[MODL_CRM_US1.xlsx]Single Period!R84C45</stp>
        <stp>CRM US Equity</stp>
        <stp>RD_EXPEND_TO_NET_SALES</stp>
        <stp>FPR=2022Y</stp>
        <stp>FPT=A</stp>
        <stp>FA_ACT_EST_DATA=E, EST_SOURCE=ARG</stp>
        <stp>ACT_EST_MAPPING=PRECISE</stp>
        <stp>FS=MRC</stp>
        <stp>CURRENCY=USD</stp>
        <stp>XLFILL=b</stp>
        <tr r="AS84" s="2"/>
      </tp>
      <tp>
        <v>21000</v>
        <stp/>
        <stp>##V3_BQLV12</stp>
        <stp>[MODL_CRM_US1.xlsx]Single Period!R151C6</stp>
        <stp>CRM US Equity</stp>
        <stp>CONTRIBUTOR_STATS(NON_CURRENT_FUTURE_REV_UNDER_CONTRACT, MIN)/1M</stp>
        <stp>FPR=2022Y</stp>
        <stp>FPT=A</stp>
        <stp>FA_ACT_EST_DATA=E</stp>
        <stp>ACT_EST_MAPPING=PRECISE</stp>
        <stp>FS=MRC</stp>
        <stp>CURRENCY=USD</stp>
        <stp>XLFILL=b</stp>
        <tr r="F151" s="2"/>
      </tp>
      <tp>
        <v>-122</v>
        <stp/>
        <stp>##V3_BQLV12</stp>
        <stp>[MODL_CRM_US1.xlsx]Single Period!R140C6</stp>
        <stp>CRM US Equity</stp>
        <stp>CONTRIBUTOR_STATS(BS_ACCUMULATED_OTHER_COMP_INC, MIN)/1M</stp>
        <stp>FPR=2022Y</stp>
        <stp>FPT=A</stp>
        <stp>FA_ACT_EST_DATA=E</stp>
        <stp>ACT_EST_MAPPING=PRECISE</stp>
        <stp>FS=MRC</stp>
        <stp>CURRENCY=USD</stp>
        <stp>XLFILL=b</stp>
        <tr r="F140" s="2"/>
      </tp>
      <tp>
        <v>42416.6</v>
        <stp/>
        <stp>##V3_BQLV12</stp>
        <stp>[MODL_CRM_US1.xlsx]Single Period!R149C9</stp>
        <stp>CRM US Equity</stp>
        <stp>CONTRIBUTOR_STATS(TOT_FUTURE_REV_UNDER_CONTRACT, MEDIAN)/1M</stp>
        <stp>FPR=2022Y</stp>
        <stp>FPT=A</stp>
        <stp>FA_ACT_EST_DATA=E</stp>
        <stp>ACT_EST_MAPPING=PRECISE</stp>
        <stp>FS=MRC</stp>
        <stp>CURRENCY=USD</stp>
        <stp>XLFILL=b</stp>
        <tr r="I149" s="2"/>
      </tp>
      <tp>
        <v>20745.753210452451</v>
        <stp/>
        <stp>##V3_BQLV12</stp>
        <stp>[MODL_CRM_US1.xlsx]Single Period!R55C9</stp>
        <stp>CRM US Equity</stp>
        <stp>CONTRIBUTOR_STATS(IS_ADJ_GROSS_PROFIT_AS_REPORTED, MEDIAN)/1M</stp>
        <stp>FPR=2022Y</stp>
        <stp>FPT=A</stp>
        <stp>FA_ACT_EST_DATA=E</stp>
        <stp>ACT_EST_MAPPING=PRECISE</stp>
        <stp>FS=MRC</stp>
        <stp>CURRENCY=USD</stp>
        <stp>XLFILL=b</stp>
        <tr r="I55" s="2"/>
      </tp>
      <tp t="s">
        <v/>
        <stp/>
        <stp>##V3_BQLV12</stp>
        <stp>[MODL_CRM_US1.xlsx]Single Period!R106C45</stp>
        <stp>CRM US Equity</stp>
        <stp>IS_AMORT_ACQD_INTANG_S_AND_M/1M</stp>
        <stp>FPR=2022Y</stp>
        <stp>FPT=A</stp>
        <stp>FA_ACT_EST_DATA=E, EST_SOURCE=ARG</stp>
        <stp>ACT_EST_MAPPING=PRECISE</stp>
        <stp>FS=MRC</stp>
        <stp>CURRENCY=USD</stp>
        <stp>XLFILL=b</stp>
        <tr r="AS106" s="2"/>
      </tp>
      <tp t="s">
        <v/>
        <stp/>
        <stp>##V3_BQLV12</stp>
        <stp>[MODL_CRM_US1.xlsx]Single Period!R142C34</stp>
        <stp>CRM US Equity</stp>
        <stp>BS_TOT_ASSET/1M</stp>
        <stp>FPR=2022Y</stp>
        <stp>FPT=A</stp>
        <stp>FA_ACT_EST_DATA=E, EST_SOURCE=JEF</stp>
        <stp>ACT_EST_MAPPING=PRECISE</stp>
        <stp>FS=MRC</stp>
        <stp>CURRENCY=USD</stp>
        <stp>XLFILL=b</stp>
        <tr r="AH142" s="2"/>
      </tp>
      <tp>
        <v>2028.0556085011958</v>
        <stp/>
        <stp>##V3_BQLV12</stp>
        <stp>[MODL_CRM_US1.xlsx]Single Period!R135C26</stp>
        <stp>CRM US Equity</stp>
        <stp>CB_BS_OTHER_NONCURRENT_LIABS/1M</stp>
        <stp>FPR=2022Y</stp>
        <stp>FPT=A</stp>
        <stp>FA_ACT_EST_DATA=E, EST_SOURCE=KEY</stp>
        <stp>ACT_EST_MAPPING=PRECISE</stp>
        <stp>FS=MRC</stp>
        <stp>CURRENCY=USD</stp>
        <stp>XLFILL=b</stp>
        <tr r="Z135" s="2"/>
      </tp>
      <tp t="s">
        <v/>
        <stp/>
        <stp>##V3_BQLV12</stp>
        <stp>[MODL_CRM_US1.xlsx]Single Period!R45C16</stp>
        <stp>SEG0000269240 Segment</stp>
        <stp>REVENUE_GROWTH_CC_1_YR</stp>
        <stp>FPR=2022Y</stp>
        <stp>FPT=A</stp>
        <stp>FA_ACT_EST_DATA=E, EST_SOURCE=DBG</stp>
        <stp>ACT_EST_MAPPING=PRECISE</stp>
        <stp>FS=MRC</stp>
        <stp>CURRENCY=USD</stp>
        <stp>XLFILL=b</stp>
        <tr r="P45" s="2"/>
      </tp>
      <tp t="s">
        <v/>
        <stp/>
        <stp>##V3_BQLV12</stp>
        <stp>[MODL_CRM_US1.xlsx]Single Period!R45C31</stp>
        <stp>SEG0000269240 Segment</stp>
        <stp>REVENUE_GROWTH_CC_1_YR</stp>
        <stp>FPR=2022Y</stp>
        <stp>FPT=A</stp>
        <stp>FA_ACT_EST_DATA=E, EST_SOURCE=RBC</stp>
        <stp>ACT_EST_MAPPING=PRECISE</stp>
        <stp>FS=MRC</stp>
        <stp>CURRENCY=USD</stp>
        <stp>XLFILL=b</stp>
        <tr r="AE45" s="2"/>
      </tp>
      <tp t="s">
        <v/>
        <stp/>
        <stp>##V3_BQLV12</stp>
        <stp>[MODL_CRM_US1.xlsx]Single Period!R45C24</stp>
        <stp>SEG0000269240 Segment</stp>
        <stp>REVENUE_GROWTH_CC_1_YR</stp>
        <stp>FPR=2022Y</stp>
        <stp>FPT=A</stp>
        <stp>FA_ACT_EST_DATA=E, EST_SOURCE=FBC</stp>
        <stp>ACT_EST_MAPPING=PRECISE</stp>
        <stp>FS=MRC</stp>
        <stp>CURRENCY=USD</stp>
        <stp>XLFILL=b</stp>
        <tr r="X45" s="2"/>
      </tp>
      <tp t="s">
        <v/>
        <stp/>
        <stp>##V3_BQLV12</stp>
        <stp>[MODL_CRM_US1.xlsx]Single Period!R40C48</stp>
        <stp>SEG0000269228 Segment</stp>
        <stp>REVENUE_GROWTH_CC_1_YR</stp>
        <stp>FPR=2022Y</stp>
        <stp>FPT=A</stp>
        <stp>FA_ACT_EST_DATA=E, EST_SOURCE=PJE</stp>
        <stp>ACT_EST_MAPPING=PRECISE</stp>
        <stp>FS=MRC</stp>
        <stp>CURRENCY=USD</stp>
        <stp>XLFILL=b</stp>
        <tr r="AV40" s="2"/>
      </tp>
      <tp t="s">
        <v/>
        <stp/>
        <stp>##V3_BQLV12</stp>
        <stp>[MODL_CRM_US1.xlsx]Single Period!R71C12</stp>
        <stp>CRM US Equity</stp>
        <stp>ADJ_PROFIT_MARGIN</stp>
        <stp>FPR=2022Y</stp>
        <stp>FPT=A</stp>
        <stp>FA_ACT_EST_DATA=E, EST_SOURCE=BMO</stp>
        <stp>ACT_EST_MAPPING=PRECISE</stp>
        <stp>FS=MRC</stp>
        <stp>CURRENCY=USD</stp>
        <stp>XLFILL=b</stp>
        <tr r="L71" s="2"/>
      </tp>
      <tp t="s">
        <v/>
        <stp/>
        <stp>##V3_BQLV12</stp>
        <stp>[MODL_CRM_US1.xlsx]Single Period!R121C52</stp>
        <stp>CRM US Equity</stp>
        <stp>CB_BS_INTANG_ASSETS_EX_GW_NT/1M</stp>
        <stp>FPR=2022Y</stp>
        <stp>FPT=A</stp>
        <stp>FA_ACT_EST_DATA=E, EST_SOURCE=WFR</stp>
        <stp>ACT_EST_MAPPING=PRECISE</stp>
        <stp>FS=MRC</stp>
        <stp>CURRENCY=USD</stp>
        <stp>XLFILL=b</stp>
        <tr r="AZ121" s="2"/>
      </tp>
      <tp t="s">
        <v/>
        <stp/>
        <stp>##V3_BQLV12</stp>
        <stp>[MODL_CRM_US1.xlsx]Single Period!R125C34</stp>
        <stp>CRM US Equity</stp>
        <stp>BS_TOT_ASSET/1M</stp>
        <stp>FPR=2022Y</stp>
        <stp>FPT=A</stp>
        <stp>FA_ACT_EST_DATA=E, EST_SOURCE=JEF</stp>
        <stp>ACT_EST_MAPPING=PRECISE</stp>
        <stp>FS=MRC</stp>
        <stp>CURRENCY=USD</stp>
        <stp>XLFILL=b</stp>
        <tr r="AH125" s="2"/>
      </tp>
      <tp t="s">
        <v/>
        <stp/>
        <stp>##V3_BQLV12</stp>
        <stp>[MODL_CRM_US1.xlsx]Single Period!R40C21</stp>
        <stp>SEG0000269228 Segment</stp>
        <stp>REVENUE_GROWTH_CC_1_YR</stp>
        <stp>FPR=2022Y</stp>
        <stp>FPT=A</stp>
        <stp>FA_ACT_EST_DATA=E, EST_SOURCE=RJA</stp>
        <stp>ACT_EST_MAPPING=PRECISE</stp>
        <stp>FS=MRC</stp>
        <stp>CURRENCY=USD</stp>
        <stp>XLFILL=b</stp>
        <tr r="U40" s="2"/>
      </tp>
      <tp t="s">
        <v/>
        <stp/>
        <stp>##V3_BQLV12</stp>
        <stp>[MODL_CRM_US1.xlsx]Single Period!R45C11</stp>
        <stp>SEG0000269240 Segment</stp>
        <stp>REVENUE_GROWTH_CC_1_YR</stp>
        <stp>FPR=2022Y</stp>
        <stp>FPT=A</stp>
        <stp>FA_ACT_EST_DATA=E, EST_SOURCE=WBL</stp>
        <stp>ACT_EST_MAPPING=PRECISE</stp>
        <stp>FS=MRC</stp>
        <stp>CURRENCY=USD</stp>
        <stp>XLFILL=b</stp>
        <tr r="K45" s="2"/>
      </tp>
      <tp t="s">
        <v/>
        <stp/>
        <stp>##V3_BQLV12</stp>
        <stp>[MODL_CRM_US1.xlsx]Single Period!R142C51</stp>
        <stp>CRM US Equity</stp>
        <stp>BS_TOT_ASSET/1M</stp>
        <stp>FPR=2022Y</stp>
        <stp>FPT=A</stp>
        <stp>FA_ACT_EST_DATA=E, EST_SOURCE=RCP</stp>
        <stp>ACT_EST_MAPPING=PRECISE</stp>
        <stp>FS=MRC</stp>
        <stp>CURRENCY=USD</stp>
        <stp>XLFILL=b</stp>
        <tr r="AY142" s="2"/>
      </tp>
      <tp>
        <v>1485</v>
        <stp/>
        <stp>##V3_BQLV12</stp>
        <stp>[MODL_CRM_US1.xlsx]Single Period!R104C33</stp>
        <stp>CRM US Equity</stp>
        <stp>IS_AMORT_OF_TOT_INTANG_PRETX/1M</stp>
        <stp>FPR=2022Y</stp>
        <stp>FPT=A</stp>
        <stp>FA_ACT_EST_DATA=E, EST_SOURCE=RHR</stp>
        <stp>ACT_EST_MAPPING=PRECISE</stp>
        <stp>FS=MRC</stp>
        <stp>CURRENCY=USD</stp>
        <stp>XLFILL=b</stp>
        <tr r="AG104" s="2"/>
      </tp>
      <tp t="s">
        <v/>
        <stp/>
        <stp>##V3_BQLV12</stp>
        <stp>[MODL_CRM_US1.xlsx]Single Period!R45C32</stp>
        <stp>SEG0000269240 Segment</stp>
        <stp>REVENUE_GROWTH_CC_1_YR</stp>
        <stp>FPR=2022Y</stp>
        <stp>FPT=A</stp>
        <stp>FA_ACT_EST_DATA=E, EST_SOURCE=UBS</stp>
        <stp>ACT_EST_MAPPING=PRECISE</stp>
        <stp>FS=MRC</stp>
        <stp>CURRENCY=USD</stp>
        <stp>XLFILL=b</stp>
        <tr r="AF45" s="2"/>
      </tp>
      <tp t="s">
        <v/>
        <stp/>
        <stp>##V3_BQLV12</stp>
        <stp>[MODL_CRM_US1.xlsx]Single Period!R87C49</stp>
        <stp>CRM US Equity</stp>
        <stp>IS_EBIT_AS_REPORTED/1M</stp>
        <stp>FPR=2022Y</stp>
        <stp>FPT=A</stp>
        <stp>FA_ACT_EST_DATA=E, EST_SOURCE=SGE</stp>
        <stp>ACT_EST_MAPPING=PRECISE</stp>
        <stp>FS=MRC</stp>
        <stp>CURRENCY=USD</stp>
        <stp>XLFILL=b</stp>
        <tr r="AW87" s="2"/>
      </tp>
      <tp t="s">
        <v/>
        <stp/>
        <stp>##V3_BQLV12</stp>
        <stp>[MODL_CRM_US1.xlsx]Single Period!R125C51</stp>
        <stp>CRM US Equity</stp>
        <stp>BS_TOT_ASSET/1M</stp>
        <stp>FPR=2022Y</stp>
        <stp>FPT=A</stp>
        <stp>FA_ACT_EST_DATA=E, EST_SOURCE=RCP</stp>
        <stp>ACT_EST_MAPPING=PRECISE</stp>
        <stp>FS=MRC</stp>
        <stp>CURRENCY=USD</stp>
        <stp>XLFILL=b</stp>
        <tr r="AY125" s="2"/>
      </tp>
      <tp>
        <v>9472</v>
        <stp/>
        <stp>##V3_BQLV12</stp>
        <stp>[MODL_CRM_US1.xlsx]Single Period!R121C16</stp>
        <stp>CRM US Equity</stp>
        <stp>CB_BS_INTANG_ASSETS_EX_GW_NT/1M</stp>
        <stp>FPR=2022Y</stp>
        <stp>FPT=A</stp>
        <stp>FA_ACT_EST_DATA=E, EST_SOURCE=DBG</stp>
        <stp>ACT_EST_MAPPING=PRECISE</stp>
        <stp>FS=MRC</stp>
        <stp>CURRENCY=USD</stp>
        <stp>XLFILL=b</stp>
        <tr r="P121" s="2"/>
      </tp>
      <tp t="s">
        <v/>
        <stp/>
        <stp>##V3_BQLV12</stp>
        <stp>[MODL_CRM_US1.xlsx]Single Period!R71C20</stp>
        <stp>CRM US Equity</stp>
        <stp>ADJ_PROFIT_MARGIN</stp>
        <stp>FPR=2022Y</stp>
        <stp>FPT=A</stp>
        <stp>FA_ACT_EST_DATA=E, EST_SOURCE=JMP</stp>
        <stp>ACT_EST_MAPPING=PRECISE</stp>
        <stp>FS=MRC</stp>
        <stp>CURRENCY=USD</stp>
        <stp>XLFILL=b</stp>
        <tr r="T71" s="2"/>
      </tp>
      <tp t="s">
        <v/>
        <stp/>
        <stp>##V3_BQLV12</stp>
        <stp>[MODL_CRM_US1.xlsx]Single Period!R179C33</stp>
        <stp>CRM US Equity</stp>
        <stp>CB_CF_NET_CASH_FINANCING_ACT/1M</stp>
        <stp>FPR=2022Y</stp>
        <stp>FPT=A</stp>
        <stp>FA_ACT_EST_DATA=E, EST_SOURCE=RHR</stp>
        <stp>ACT_EST_MAPPING=PRECISE</stp>
        <stp>FS=MRC</stp>
        <stp>CURRENCY=USD</stp>
        <stp>XLFILL=b</stp>
        <tr r="AG179" s="2"/>
      </tp>
      <tp t="s">
        <v/>
        <stp/>
        <stp>##V3_BQLV12</stp>
        <stp>[MODL_CRM_US1.xlsx]Single Period!R58C54</stp>
        <stp>CRM US Equity</stp>
        <stp>CB_IS_ADJUSTED_OPEX/1M</stp>
        <stp>FPR=2022Y</stp>
        <stp>FPT=A</stp>
        <stp>FA_ACT_EST_DATA=E, EST_SOURCE=ARE</stp>
        <stp>ACT_EST_MAPPING=PRECISE</stp>
        <stp>FS=MRC</stp>
        <stp>CURRENCY=USD</stp>
        <stp>XLFILL=b</stp>
        <tr r="BB58" s="2"/>
      </tp>
      <tp>
        <v>13.991396336600371</v>
        <stp/>
        <stp>##V3_BQLV12</stp>
        <stp>[MODL_CRM_US1.xlsx]Single Period!R71C25</stp>
        <stp>CRM US Equity</stp>
        <stp>ADJ_PROFIT_MARGIN</stp>
        <stp>FPR=2022Y</stp>
        <stp>FPT=A</stp>
        <stp>FA_ACT_EST_DATA=E, EST_SOURCE=WMS</stp>
        <stp>ACT_EST_MAPPING=PRECISE</stp>
        <stp>FS=MRC</stp>
        <stp>CURRENCY=USD</stp>
        <stp>XLFILL=b</stp>
        <tr r="Y71" s="2"/>
      </tp>
      <tp t="s">
        <v/>
        <stp/>
        <stp>##V3_BQLV12</stp>
        <stp>[MODL_CRM_US1.xlsx]Single Period!R121C49</stp>
        <stp>CRM US Equity</stp>
        <stp>CB_BS_INTANG_ASSETS_EX_GW_NT/1M</stp>
        <stp>FPR=2022Y</stp>
        <stp>FPT=A</stp>
        <stp>FA_ACT_EST_DATA=E, EST_SOURCE=SGE</stp>
        <stp>ACT_EST_MAPPING=PRECISE</stp>
        <stp>FS=MRC</stp>
        <stp>CURRENCY=USD</stp>
        <stp>XLFILL=b</stp>
        <tr r="AW121" s="2"/>
      </tp>
      <tp t="s">
        <v/>
        <stp/>
        <stp>##V3_BQLV12</stp>
        <stp>[MODL_CRM_US1.xlsx]Single Period!R58C45</stp>
        <stp>CRM US Equity</stp>
        <stp>CB_IS_ADJUSTED_OPEX/1M</stp>
        <stp>FPR=2022Y</stp>
        <stp>FPT=A</stp>
        <stp>FA_ACT_EST_DATA=E, EST_SOURCE=ARG</stp>
        <stp>ACT_EST_MAPPING=PRECISE</stp>
        <stp>FS=MRC</stp>
        <stp>CURRENCY=USD</stp>
        <stp>XLFILL=b</stp>
        <tr r="AS58" s="2"/>
      </tp>
      <tp t="s">
        <v/>
        <stp/>
        <stp>##V3_BQLV12</stp>
        <stp>[MODL_CRM_US1.xlsx]Single Period!R121C11</stp>
        <stp>CRM US Equity</stp>
        <stp>CB_BS_INTANG_ASSETS_EX_GW_NT/1M</stp>
        <stp>FPR=2022Y</stp>
        <stp>FPT=A</stp>
        <stp>FA_ACT_EST_DATA=E, EST_SOURCE=WBL</stp>
        <stp>ACT_EST_MAPPING=PRECISE</stp>
        <stp>FS=MRC</stp>
        <stp>CURRENCY=USD</stp>
        <stp>XLFILL=b</stp>
        <tr r="K121" s="2"/>
      </tp>
      <tp t="s">
        <v/>
        <stp/>
        <stp>##V3_BQLV12</stp>
        <stp>[MODL_CRM_US1.xlsx]Single Period!R135C40</stp>
        <stp>CRM US Equity</stp>
        <stp>CB_BS_OTHER_NONCURRENT_LIABS/1M</stp>
        <stp>FPR=2022Y</stp>
        <stp>FPT=A</stp>
        <stp>FA_ACT_EST_DATA=E, EST_SOURCE=ACC</stp>
        <stp>ACT_EST_MAPPING=PRECISE</stp>
        <stp>FS=MRC</stp>
        <stp>CURRENCY=USD</stp>
        <stp>XLFILL=b</stp>
        <tr r="AN135" s="2"/>
      </tp>
      <tp t="s">
        <v/>
        <stp/>
        <stp>##V3_BQLV12</stp>
        <stp>[MODL_CRM_US1.xlsx]Single Period!R87C39</stp>
        <stp>CRM US Equity</stp>
        <stp>IS_EBIT_AS_REPORTED/1M</stp>
        <stp>FPR=2022Y</stp>
        <stp>FPT=A</stp>
        <stp>FA_ACT_EST_DATA=E, EST_SOURCE=KGI</stp>
        <stp>ACT_EST_MAPPING=PRECISE</stp>
        <stp>FS=MRC</stp>
        <stp>CURRENCY=USD</stp>
        <stp>XLFILL=b</stp>
        <tr r="AM87" s="2"/>
      </tp>
      <tp t="s">
        <v>Needham</v>
        <stp/>
        <stp>##V3_BQLV12</stp>
        <stp>[MODL_CRM_US1.xlsx]Single Period!R3C17</stp>
        <stp>CRM US Equity</stp>
        <stp>LAST(IS_COMP_SALES(FA_ACT_EST_DATA=E, EST_SOURCE=NDH).firm_name)</stp>
        <stp>FPR=2022Y</stp>
        <stp>FPT=A</stp>
        <stp>ACT_EST_MAPPING=PRECISE</stp>
        <stp>FS=MRC</stp>
        <stp>CURRENCY=USD</stp>
        <stp>XLFILL=b</stp>
        <tr r="Q3" s="2"/>
      </tp>
      <tp t="s">
        <v/>
        <stp/>
        <stp>##V3_BQLV12</stp>
        <stp>[MODL_CRM_US1.xlsx]Single Period!R81C10</stp>
        <stp>CRM US Equity</stp>
        <stp>IS_TOT_OPER_EXP/1M</stp>
        <stp>FPR=2022Y</stp>
        <stp>FPT=A</stp>
        <stp>FA_ACT_EST_DATA=E, EST_SOURCE=CMPY</stp>
        <stp>ACT_EST_MAPPING=PRECISE</stp>
        <stp>FS=MRC</stp>
        <stp>CURRENCY=USD</stp>
        <stp>XLFILL=b</stp>
        <tr r="J81" s="2"/>
      </tp>
      <tp>
        <v>0.63</v>
        <stp/>
        <stp>##V3_BQLV12</stp>
        <stp>[MODL_CRM_US1.xlsx]Single Period!R95C33</stp>
        <stp>CRM US Equity</stp>
        <stp>IS_COMP_EPS_GAAP</stp>
        <stp>FPR=2022Y</stp>
        <stp>FPT=A</stp>
        <stp>FA_ACT_EST_DATA=E, EST_SOURCE=RHR</stp>
        <stp>ACT_EST_MAPPING=PRECISE</stp>
        <stp>FS=MRC</stp>
        <stp>CURRENCY=USD</stp>
        <stp>XLFILL=b</stp>
        <tr r="AG95" s="2"/>
      </tp>
      <tp t="s">
        <v/>
        <stp/>
        <stp>##V3_BQLV12</stp>
        <stp>[MODL_CRM_US1.xlsx]Single Period!R188C48</stp>
        <stp>CRM US Equity</stp>
        <stp>BS_CASH_NEAR_CASH_ITEM/1M</stp>
        <stp>FPR=2022Y</stp>
        <stp>FPT=A</stp>
        <stp>FA_ACT_EST_DATA=E, EST_SOURCE=PJE</stp>
        <stp>ACT_EST_MAPPING=PRECISE</stp>
        <stp>FS=MRC</stp>
        <stp>CURRENCY=USD</stp>
        <stp>XLFILL=b</stp>
        <tr r="AV188" s="2"/>
      </tp>
      <tp>
        <v>1.29</v>
        <stp/>
        <stp>##V3_BQLV12</stp>
        <stp>[MODL_CRM_US1.xlsx]Single Period!R95C21</stp>
        <stp>CRM US Equity</stp>
        <stp>IS_COMP_EPS_GAAP</stp>
        <stp>FPR=2022Y</stp>
        <stp>FPT=A</stp>
        <stp>FA_ACT_EST_DATA=E, EST_SOURCE=RJA</stp>
        <stp>ACT_EST_MAPPING=PRECISE</stp>
        <stp>FS=MRC</stp>
        <stp>CURRENCY=USD</stp>
        <stp>XLFILL=b</stp>
        <tr r="U95" s="2"/>
      </tp>
      <tp t="s">
        <v/>
        <stp/>
        <stp>##V3_BQLV12</stp>
        <stp>[MODL_CRM_US1.xlsx]Single Period!R188C21</stp>
        <stp>CRM US Equity</stp>
        <stp>BS_CASH_NEAR_CASH_ITEM/1M</stp>
        <stp>FPR=2022Y</stp>
        <stp>FPT=A</stp>
        <stp>FA_ACT_EST_DATA=E, EST_SOURCE=RJA</stp>
        <stp>ACT_EST_MAPPING=PRECISE</stp>
        <stp>FS=MRC</stp>
        <stp>CURRENCY=USD</stp>
        <stp>XLFILL=b</stp>
        <tr r="U188" s="2"/>
      </tp>
      <tp t="s">
        <v/>
        <stp/>
        <stp>##V3_BQLV12</stp>
        <stp>[MODL_CRM_US1.xlsx]Single Period!R85C29</stp>
        <stp>CRM US Equity</stp>
        <stp>CB_IS_S_AND_M_EXPENSE/1M</stp>
        <stp>FPR=2022Y</stp>
        <stp>FPT=A</stp>
        <stp>FA_ACT_EST_DATA=E, EST_SOURCE=BNS</stp>
        <stp>ACT_EST_MAPPING=PRECISE</stp>
        <stp>FS=MRC</stp>
        <stp>CURRENCY=USD</stp>
        <stp>XLFILL=b</stp>
        <tr r="AC85" s="2"/>
      </tp>
      <tp t="s">
        <v/>
        <stp/>
        <stp>##V3_BQLV12</stp>
        <stp>[MODL_CRM_US1.xlsx]Single Period!R137C36</stp>
        <stp>CRM US Equity</stp>
        <stp>BS_EQTY_BEFORE_MINORITY_INT/1M</stp>
        <stp>FPR=2022Y</stp>
        <stp>FPT=A</stp>
        <stp>FA_ACT_EST_DATA=E, EST_SOURCE=MAC</stp>
        <stp>ACT_EST_MAPPING=PRECISE</stp>
        <stp>FS=MRC</stp>
        <stp>CURRENCY=USD</stp>
        <stp>XLFILL=b</stp>
        <tr r="AJ137" s="2"/>
      </tp>
      <tp t="s">
        <v/>
        <stp/>
        <stp>##V3_BQLV12</stp>
        <stp>[MODL_CRM_US1.xlsx]Single Period!R94C36</stp>
        <stp>CRM US Equity</stp>
        <stp>IS_SH_FOR_DILUTED_EPS/1M</stp>
        <stp>FPR=2022Y</stp>
        <stp>FPT=A</stp>
        <stp>FA_ACT_EST_DATA=E, EST_SOURCE=MAC</stp>
        <stp>ACT_EST_MAPPING=PRECISE</stp>
        <stp>FS=MRC</stp>
        <stp>CURRENCY=USD</stp>
        <stp>XLFILL=b</stp>
        <tr r="AJ94" s="2"/>
      </tp>
      <tp t="s">
        <v/>
        <stp/>
        <stp>##V3_BQLV12</stp>
        <stp>[MODL_CRM_US1.xlsx]Single Period!R162C35</stp>
        <stp>CRM US Equity</stp>
        <stp>CF_CHANGE_IN_PREPAID_EXPNSS/1M</stp>
        <stp>FPR=2022Y</stp>
        <stp>FPT=A</stp>
        <stp>FA_ACT_EST_DATA=E, EST_SOURCE=ATL</stp>
        <stp>ACT_EST_MAPPING=PRECISE</stp>
        <stp>FS=MRC</stp>
        <stp>CURRENCY=USD</stp>
        <stp>XLFILL=b</stp>
        <tr r="AI162" s="2"/>
      </tp>
      <tp>
        <v>1.091233258005478</v>
        <stp/>
        <stp>##V3_BQLV12</stp>
        <stp>[MODL_CRM_US1.xlsx]Single Period!R146C17</stp>
        <stp>CRM US Equity</stp>
        <stp>CUR_RATIO</stp>
        <stp>FPR=2022Y</stp>
        <stp>FPT=A</stp>
        <stp>FA_ACT_EST_DATA=E, EST_SOURCE=NDH</stp>
        <stp>ACT_EST_MAPPING=PRECISE</stp>
        <stp>FS=MRC</stp>
        <stp>CURRENCY=USD</stp>
        <stp>XLFILL=b</stp>
        <tr r="Q146" s="2"/>
      </tp>
      <tp>
        <v>66.595912860913728</v>
        <stp/>
        <stp>##V3_BQLV12</stp>
        <stp>[MODL_CRM_US1.xlsx]Single Period!R55C8</stp>
        <stp>CRM US Equity</stp>
        <stp>CONTRIBUTOR_STATS(IS_ADJ_GROSS_PROFIT_AS_REPORTED, STD)/1M</stp>
        <stp>FPR=2022Y</stp>
        <stp>FPT=A</stp>
        <stp>FA_ACT_EST_DATA=E</stp>
        <stp>ACT_EST_MAPPING=PRECISE</stp>
        <stp>FS=MRC</stp>
        <stp>CURRENCY=USD</stp>
        <stp>XLFILL=b</stp>
        <tr r="H55" s="2"/>
      </tp>
      <tp t="s">
        <v/>
        <stp/>
        <stp>##V3_BQLV12</stp>
        <stp>[MODL_CRM_US1.xlsx]Single Period!R12C44</stp>
        <stp>CRM US Equity</stp>
        <stp>TOT_FUTURE_REV_UNDER_CONTRACT/1M</stp>
        <stp>FPR=2022Y</stp>
        <stp>FPT=A</stp>
        <stp>FA_ACT_EST_DATA=E, EST_SOURCE=RWB</stp>
        <stp>ACT_EST_MAPPING=PRECISE</stp>
        <stp>FS=MRC</stp>
        <stp>CURRENCY=USD</stp>
        <stp>XLFILL=b</stp>
        <tr r="AR12" s="2"/>
      </tp>
      <tp t="s">
        <v/>
        <stp/>
        <stp>##V3_BQLV12</stp>
        <stp>[MODL_CRM_US1.xlsx]Single Period!R162C46</stp>
        <stp>CRM US Equity</stp>
        <stp>CF_CHANGE_IN_PREPAID_EXPNSS/1M</stp>
        <stp>FPR=2022Y</stp>
        <stp>FPT=A</stp>
        <stp>FA_ACT_EST_DATA=E, EST_SOURCE=CTI</stp>
        <stp>ACT_EST_MAPPING=PRECISE</stp>
        <stp>FS=MRC</stp>
        <stp>CURRENCY=USD</stp>
        <stp>XLFILL=b</stp>
        <tr r="AT162" s="2"/>
      </tp>
      <tp t="s">
        <v/>
        <stp/>
        <stp>##V3_BQLV12</stp>
        <stp>[MODL_CRM_US1.xlsx]Single Period!R63C44</stp>
        <stp>CRM US Equity</stp>
        <stp>CF_DEPR_AMORT/1M</stp>
        <stp>FPR=2022Y</stp>
        <stp>FPT=A</stp>
        <stp>FA_ACT_EST_DATA=E, EST_SOURCE=RWB</stp>
        <stp>ACT_EST_MAPPING=PRECISE</stp>
        <stp>FS=MRC</stp>
        <stp>CURRENCY=USD</stp>
        <stp>XLFILL=b</stp>
        <tr r="AR63" s="2"/>
      </tp>
      <tp t="s">
        <v/>
        <stp/>
        <stp>##V3_BQLV12</stp>
        <stp>[MODL_CRM_US1.xlsx]Single Period!R132C54</stp>
        <stp>CRM US Equity</stp>
        <stp>BS_ADJ_TOTAL_LT_LIABILITIES/1M</stp>
        <stp>FPR=2022Y</stp>
        <stp>FPT=A</stp>
        <stp>FA_ACT_EST_DATA=E, EST_SOURCE=ARE</stp>
        <stp>ACT_EST_MAPPING=PRECISE</stp>
        <stp>FS=MRC</stp>
        <stp>CURRENCY=USD</stp>
        <stp>XLFILL=b</stp>
        <tr r="BB132" s="2"/>
      </tp>
      <tp t="s">
        <v/>
        <stp/>
        <stp>##V3_BQLV12</stp>
        <stp>[MODL_CRM_US1.xlsx]Single Period!R132C45</stp>
        <stp>CRM US Equity</stp>
        <stp>BS_ADJ_TOTAL_LT_LIABILITIES/1M</stp>
        <stp>FPR=2022Y</stp>
        <stp>FPT=A</stp>
        <stp>FA_ACT_EST_DATA=E, EST_SOURCE=ARG</stp>
        <stp>ACT_EST_MAPPING=PRECISE</stp>
        <stp>FS=MRC</stp>
        <stp>CURRENCY=USD</stp>
        <stp>XLFILL=b</stp>
        <tr r="AS132" s="2"/>
      </tp>
      <tp t="s">
        <v/>
        <stp/>
        <stp>##V3_BQLV12</stp>
        <stp>[MODL_CRM_US1.xlsx]Single Period!R117C37</stp>
        <stp>CRM US Equity</stp>
        <stp>BS_TOTAL_NON_CURRENT_ASSETS/1M</stp>
        <stp>FPR=2022Y</stp>
        <stp>FPT=A</stp>
        <stp>FA_ACT_EST_DATA=E, EST_SOURCE=EVR</stp>
        <stp>ACT_EST_MAPPING=PRECISE</stp>
        <stp>FS=MRC</stp>
        <stp>CURRENCY=USD</stp>
        <stp>XLFILL=b</stp>
        <tr r="AK117" s="2"/>
      </tp>
      <tp t="s">
        <v/>
        <stp/>
        <stp>##V3_BQLV12</stp>
        <stp>[MODL_CRM_US1.xlsx]Single Period!R130C35</stp>
        <stp>CRM US Equity</stp>
        <stp>BS_ST_OPERATING_LEASE_LIABS/1M</stp>
        <stp>FPR=2022Y</stp>
        <stp>FPT=A</stp>
        <stp>FA_ACT_EST_DATA=E, EST_SOURCE=ATL</stp>
        <stp>ACT_EST_MAPPING=PRECISE</stp>
        <stp>FS=MRC</stp>
        <stp>CURRENCY=USD</stp>
        <stp>XLFILL=b</stp>
        <tr r="AI130" s="2"/>
      </tp>
      <tp t="s">
        <v/>
        <stp/>
        <stp>##V3_BQLV12</stp>
        <stp>[MODL_CRM_US1.xlsx]Single Period!R63C23</stp>
        <stp>CRM US Equity</stp>
        <stp>CF_DEPR_AMORT/1M</stp>
        <stp>FPR=2022Y</stp>
        <stp>FPT=A</stp>
        <stp>FA_ACT_EST_DATA=E, EST_SOURCE=JPM</stp>
        <stp>ACT_EST_MAPPING=PRECISE</stp>
        <stp>FS=MRC</stp>
        <stp>CURRENCY=USD</stp>
        <stp>XLFILL=b</stp>
        <tr r="W63" s="2"/>
      </tp>
      <tp t="s">
        <v/>
        <stp/>
        <stp>##V3_BQLV12</stp>
        <stp>[MODL_CRM_US1.xlsx]Single Period!R130C46</stp>
        <stp>CRM US Equity</stp>
        <stp>BS_ST_OPERATING_LEASE_LIABS/1M</stp>
        <stp>FPR=2022Y</stp>
        <stp>FPT=A</stp>
        <stp>FA_ACT_EST_DATA=E, EST_SOURCE=CTI</stp>
        <stp>ACT_EST_MAPPING=PRECISE</stp>
        <stp>FS=MRC</stp>
        <stp>CURRENCY=USD</stp>
        <stp>XLFILL=b</stp>
        <tr r="AT130" s="2"/>
      </tp>
      <tp t="s">
        <v/>
        <stp/>
        <stp>##V3_BQLV12</stp>
        <stp>[MODL_CRM_US1.xlsx]Single Period!R110C33</stp>
        <stp>CRM US Equity</stp>
        <stp>BS_CUR_ASSET_REPORT/1M</stp>
        <stp>FPR=2022Y</stp>
        <stp>FPT=A</stp>
        <stp>FA_ACT_EST_DATA=E, EST_SOURCE=RHR</stp>
        <stp>ACT_EST_MAPPING=PRECISE</stp>
        <stp>FS=MRC</stp>
        <stp>CURRENCY=USD</stp>
        <stp>XLFILL=b</stp>
        <tr r="AG110" s="2"/>
      </tp>
      <tp t="s">
        <v/>
        <stp/>
        <stp>##V3_BQLV12</stp>
        <stp>[MODL_CRM_US1.xlsx]Single Period!R73C18</stp>
        <stp>CRM US Equity</stp>
        <stp>IS_SH_FOR_DILUTED_EPS/1M</stp>
        <stp>FPR=2022Y</stp>
        <stp>FPT=A</stp>
        <stp>FA_ACT_EST_DATA=E, EST_SOURCE=CAN</stp>
        <stp>ACT_EST_MAPPING=PRECISE</stp>
        <stp>FS=MRC</stp>
        <stp>CURRENCY=USD</stp>
        <stp>XLFILL=b</stp>
        <tr r="R73" s="2"/>
      </tp>
      <tp t="s">
        <v/>
        <stp/>
        <stp>##V3_BQLV12</stp>
        <stp>[MODL_CRM_US1.xlsx]Single Period!R12C23</stp>
        <stp>CRM US Equity</stp>
        <stp>TOT_FUTURE_REV_UNDER_CONTRACT/1M</stp>
        <stp>FPR=2022Y</stp>
        <stp>FPT=A</stp>
        <stp>FA_ACT_EST_DATA=E, EST_SOURCE=JPM</stp>
        <stp>ACT_EST_MAPPING=PRECISE</stp>
        <stp>FS=MRC</stp>
        <stp>CURRENCY=USD</stp>
        <stp>XLFILL=b</stp>
        <tr r="W12" s="2"/>
      </tp>
      <tp t="s">
        <v/>
        <stp/>
        <stp>##V3_BQLV12</stp>
        <stp>[MODL_CRM_US1.xlsx]Single Period!R14C56</stp>
        <stp>CRM US Equity</stp>
        <stp>NON_CURRENT_FUTURE_REV_UNDER_CONTRACT/1M</stp>
        <stp>FPR=2022Y</stp>
        <stp>FPT=A</stp>
        <stp>FA_ACT_EST_DATA=E, EST_SOURCE=DIR</stp>
        <stp>ACT_EST_MAPPING=PRECISE</stp>
        <stp>FS=MRC</stp>
        <stp>CURRENCY=USD</stp>
        <stp>XLFILL=b</stp>
        <tr r="BD14" s="2"/>
      </tp>
      <tp t="s">
        <v/>
        <stp/>
        <stp>##V3_BQLV12</stp>
        <stp>[MODL_CRM_US1.xlsx]Single Period!R137C30</stp>
        <stp>CRM US Equity</stp>
        <stp>BS_EQTY_BEFORE_MINORITY_INT/1M</stp>
        <stp>FPR=2022Y</stp>
        <stp>FPT=A</stp>
        <stp>FA_ACT_EST_DATA=E, EST_SOURCE=BAM</stp>
        <stp>ACT_EST_MAPPING=PRECISE</stp>
        <stp>FS=MRC</stp>
        <stp>CURRENCY=USD</stp>
        <stp>XLFILL=b</stp>
        <tr r="AD137" s="2"/>
      </tp>
      <tp t="s">
        <v/>
        <stp/>
        <stp>##V3_BQLV12</stp>
        <stp>[MODL_CRM_US1.xlsx]Single Period!R137C18</stp>
        <stp>CRM US Equity</stp>
        <stp>BS_EQTY_BEFORE_MINORITY_INT/1M</stp>
        <stp>FPR=2022Y</stp>
        <stp>FPT=A</stp>
        <stp>FA_ACT_EST_DATA=E, EST_SOURCE=CAN</stp>
        <stp>ACT_EST_MAPPING=PRECISE</stp>
        <stp>FS=MRC</stp>
        <stp>CURRENCY=USD</stp>
        <stp>XLFILL=b</stp>
        <tr r="R137" s="2"/>
      </tp>
      <tp>
        <v>5800</v>
        <stp/>
        <stp>##V3_BQLV12</stp>
        <stp>[MODL_CRM_US1.xlsx]Single Period!R68C18</stp>
        <stp>CRM US Equity</stp>
        <stp>IS_COMP_PTP_EX_STK_BASED_COMP/1M</stp>
        <stp>FPR=2022Y</stp>
        <stp>FPT=A</stp>
        <stp>FA_ACT_EST_DATA=E, EST_SOURCE=CAN</stp>
        <stp>ACT_EST_MAPPING=PRECISE</stp>
        <stp>FS=MRC</stp>
        <stp>CURRENCY=USD</stp>
        <stp>XLFILL=b</stp>
        <tr r="R68" s="2"/>
      </tp>
      <tp t="s">
        <v/>
        <stp/>
        <stp>##V3_BQLV12</stp>
        <stp>[MODL_CRM_US1.xlsx]Single Period!R85C36</stp>
        <stp>CRM US Equity</stp>
        <stp>CB_IS_S_AND_M_EXPENSE/1M</stp>
        <stp>FPR=2022Y</stp>
        <stp>FPT=A</stp>
        <stp>FA_ACT_EST_DATA=E, EST_SOURCE=MAC</stp>
        <stp>ACT_EST_MAPPING=PRECISE</stp>
        <stp>FS=MRC</stp>
        <stp>CURRENCY=USD</stp>
        <stp>XLFILL=b</stp>
        <tr r="AJ85" s="2"/>
      </tp>
      <tp t="s">
        <v/>
        <stp/>
        <stp>##V3_BQLV12</stp>
        <stp>[MODL_CRM_US1.xlsx]Single Period!R94C29</stp>
        <stp>CRM US Equity</stp>
        <stp>IS_SH_FOR_DILUTED_EPS/1M</stp>
        <stp>FPR=2022Y</stp>
        <stp>FPT=A</stp>
        <stp>FA_ACT_EST_DATA=E, EST_SOURCE=BNS</stp>
        <stp>ACT_EST_MAPPING=PRECISE</stp>
        <stp>FS=MRC</stp>
        <stp>CURRENCY=USD</stp>
        <stp>XLFILL=b</stp>
        <tr r="AC94" s="2"/>
      </tp>
      <tp t="s">
        <v/>
        <stp/>
        <stp>##V3_BQLV12</stp>
        <stp>[MODL_CRM_US1.xlsx]Single Period!R14C12</stp>
        <stp>CRM US Equity</stp>
        <stp>NON_CURRENT_FUTURE_REV_UNDER_CONTRACT/1M</stp>
        <stp>FPR=2022Y</stp>
        <stp>FPT=A</stp>
        <stp>FA_ACT_EST_DATA=E, EST_SOURCE=BMO</stp>
        <stp>ACT_EST_MAPPING=PRECISE</stp>
        <stp>FS=MRC</stp>
        <stp>CURRENCY=USD</stp>
        <stp>XLFILL=b</stp>
        <tr r="L14" s="2"/>
      </tp>
      <tp t="s">
        <v/>
        <stp/>
        <stp>##V3_BQLV12</stp>
        <stp>[MODL_CRM_US1.xlsx]Single Period!R134C46</stp>
        <stp>CRM US Equity</stp>
        <stp>BS_LT_OPERATING_LEASE_LIABS/1M</stp>
        <stp>FPR=2022Y</stp>
        <stp>FPT=A</stp>
        <stp>FA_ACT_EST_DATA=E, EST_SOURCE=CTI</stp>
        <stp>ACT_EST_MAPPING=PRECISE</stp>
        <stp>FS=MRC</stp>
        <stp>CURRENCY=USD</stp>
        <stp>XLFILL=b</stp>
        <tr r="AT134" s="2"/>
      </tp>
      <tp t="s">
        <v/>
        <stp/>
        <stp>##V3_BQLV12</stp>
        <stp>[MODL_CRM_US1.xlsx]Single Period!R134C35</stp>
        <stp>CRM US Equity</stp>
        <stp>BS_LT_OPERATING_LEASE_LIABS/1M</stp>
        <stp>FPR=2022Y</stp>
        <stp>FPT=A</stp>
        <stp>FA_ACT_EST_DATA=E, EST_SOURCE=ATL</stp>
        <stp>ACT_EST_MAPPING=PRECISE</stp>
        <stp>FS=MRC</stp>
        <stp>CURRENCY=USD</stp>
        <stp>XLFILL=b</stp>
        <tr r="AI134" s="2"/>
      </tp>
      <tp t="s">
        <v/>
        <stp/>
        <stp>##V3_BQLV12</stp>
        <stp>[MODL_CRM_US1.xlsx]Single Period!R114C35</stp>
        <stp>CRM US Equity</stp>
        <stp>BS_ACCTS_REC_EXCL_NOTES_REC/1M</stp>
        <stp>FPR=2022Y</stp>
        <stp>FPT=A</stp>
        <stp>FA_ACT_EST_DATA=E, EST_SOURCE=ATL</stp>
        <stp>ACT_EST_MAPPING=PRECISE</stp>
        <stp>FS=MRC</stp>
        <stp>CURRENCY=USD</stp>
        <stp>XLFILL=b</stp>
        <tr r="AI114" s="2"/>
      </tp>
      <tp t="s">
        <v/>
        <stp/>
        <stp>##V3_BQLV12</stp>
        <stp>[MODL_CRM_US1.xlsx]Single Period!R114C46</stp>
        <stp>CRM US Equity</stp>
        <stp>BS_ACCTS_REC_EXCL_NOTES_REC/1M</stp>
        <stp>FPR=2022Y</stp>
        <stp>FPT=A</stp>
        <stp>FA_ACT_EST_DATA=E, EST_SOURCE=CTI</stp>
        <stp>ACT_EST_MAPPING=PRECISE</stp>
        <stp>FS=MRC</stp>
        <stp>CURRENCY=USD</stp>
        <stp>XLFILL=b</stp>
        <tr r="AT114" s="2"/>
      </tp>
      <tp>
        <v>20882.010759000001</v>
        <stp/>
        <stp>##V3_BQLV12</stp>
        <stp>[MODL_CRM_US1.xlsx]Single Period!R55C7</stp>
        <stp>CRM US Equity</stp>
        <stp>CONTRIBUTOR_STATS(IS_ADJ_GROSS_PROFIT_AS_REPORTED, MAX)/1M</stp>
        <stp>FPR=2022Y</stp>
        <stp>FPT=A</stp>
        <stp>FA_ACT_EST_DATA=E</stp>
        <stp>ACT_EST_MAPPING=PRECISE</stp>
        <stp>FS=MRC</stp>
        <stp>CURRENCY=USD</stp>
        <stp>XLFILL=b</stp>
        <tr r="G55" s="2"/>
      </tp>
      <tp>
        <v>20628.699000000001</v>
        <stp/>
        <stp>##V3_BQLV12</stp>
        <stp>[MODL_CRM_US1.xlsx]Single Period!R55C6</stp>
        <stp>CRM US Equity</stp>
        <stp>CONTRIBUTOR_STATS(IS_ADJ_GROSS_PROFIT_AS_REPORTED, MIN)/1M</stp>
        <stp>FPR=2022Y</stp>
        <stp>FPT=A</stp>
        <stp>FA_ACT_EST_DATA=E</stp>
        <stp>ACT_EST_MAPPING=PRECISE</stp>
        <stp>FS=MRC</stp>
        <stp>CURRENCY=USD</stp>
        <stp>XLFILL=b</stp>
        <tr r="F55" s="2"/>
      </tp>
      <tp>
        <v>-904.65000000000009</v>
        <stp/>
        <stp>##V3_BQLV12</stp>
        <stp>[MODL_CRM_US1.xlsx]Single Period!R98C24</stp>
        <stp>CRM US Equity</stp>
        <stp>IS_INC_TAX_EFFECT_NONGAAP_REC/1M</stp>
        <stp>FPR=2022Y</stp>
        <stp>FPT=A</stp>
        <stp>FA_ACT_EST_DATA=E, EST_SOURCE=FBC</stp>
        <stp>ACT_EST_MAPPING=PRECISE</stp>
        <stp>FS=MRC</stp>
        <stp>CURRENCY=USD</stp>
        <stp>XLFILL=b</stp>
        <tr r="X98" s="2"/>
      </tp>
      <tp t="s">
        <v/>
        <stp/>
        <stp>##V3_BQLV12</stp>
        <stp>[MODL_CRM_US1.xlsx]Single Period!R151C18</stp>
        <stp>CRM US Equity</stp>
        <stp>NON_CURRENT_FUTURE_REV_UNDER_CONTRACT/1M</stp>
        <stp>FPR=2022Y</stp>
        <stp>FPT=A</stp>
        <stp>FA_ACT_EST_DATA=E, EST_SOURCE=CAN</stp>
        <stp>ACT_EST_MAPPING=PRECISE</stp>
        <stp>FS=MRC</stp>
        <stp>CURRENCY=USD</stp>
        <stp>XLFILL=b</stp>
        <tr r="R151" s="2"/>
      </tp>
      <tp t="s">
        <v/>
        <stp/>
        <stp>##V3_BQLV12</stp>
        <stp>[MODL_CRM_US1.xlsx]Single Period!R48C37</stp>
        <stp>SEG0000269229 Segment</stp>
        <stp>SALES_REV_TURN/1M</stp>
        <stp>FPR=2022Y</stp>
        <stp>FPT=A</stp>
        <stp>FA_ACT_EST_DATA=E, EST_SOURCE=EVR</stp>
        <stp>ACT_EST_MAPPING=PRECISE</stp>
        <stp>FS=MRC</stp>
        <stp>CURRENCY=USD</stp>
        <stp>XLFILL=b</stp>
        <tr r="AK48" s="2"/>
      </tp>
      <tp t="s">
        <v/>
        <stp/>
        <stp>##V3_BQLV12</stp>
        <stp>[MODL_CRM_US1.xlsx]Single Period!R28C22</stp>
        <stp>SEG0000269242 Segment</stp>
        <stp>SALES_REV_TURN/1M</stp>
        <stp>FPR=2022Y</stp>
        <stp>FPT=A</stp>
        <stp>FA_ACT_EST_DATA=E, EST_SOURCE=OPY</stp>
        <stp>ACT_EST_MAPPING=PRECISE</stp>
        <stp>FS=MRC</stp>
        <stp>CURRENCY=USD</stp>
        <stp>XLFILL=b</stp>
        <tr r="V28" s="2"/>
      </tp>
      <tp t="s">
        <v/>
        <stp/>
        <stp>##V3_BQLV12</stp>
        <stp>[MODL_CRM_US1.xlsx]Single Period!R38C37</stp>
        <stp>SEG0000269228 Segment</stp>
        <stp>SALES_REV_TURN/1M</stp>
        <stp>FPR=2022Y</stp>
        <stp>FPT=A</stp>
        <stp>FA_ACT_EST_DATA=E, EST_SOURCE=EVR</stp>
        <stp>ACT_EST_MAPPING=PRECISE</stp>
        <stp>FS=MRC</stp>
        <stp>CURRENCY=USD</stp>
        <stp>XLFILL=b</stp>
        <tr r="AK38" s="2"/>
      </tp>
      <tp t="s">
        <v/>
        <stp/>
        <stp>##V3_BQLV12</stp>
        <stp>[MODL_CRM_US1.xlsx]Single Period!R65C34</stp>
        <stp>CRM US Equity</stp>
        <stp>IS_AMORT_OF_TOT_INTANG_PRETX/1M</stp>
        <stp>FPR=2022Y</stp>
        <stp>FPT=A</stp>
        <stp>FA_ACT_EST_DATA=E, EST_SOURCE=JEF</stp>
        <stp>ACT_EST_MAPPING=PRECISE</stp>
        <stp>FS=MRC</stp>
        <stp>CURRENCY=USD</stp>
        <stp>XLFILL=b</stp>
        <tr r="AH65" s="2"/>
      </tp>
      <tp t="s">
        <v/>
        <stp/>
        <stp>##V3_BQLV12</stp>
        <stp>[MODL_CRM_US1.xlsx]Single Period!R156C41</stp>
        <stp>CRM US Equity</stp>
        <stp>CF_DEPR_AMORT/1M</stp>
        <stp>FPR=2022Y</stp>
        <stp>FPT=A</stp>
        <stp>FA_ACT_EST_DATA=E, EST_SOURCE=GSR</stp>
        <stp>ACT_EST_MAPPING=PRECISE</stp>
        <stp>FS=MRC</stp>
        <stp>CURRENCY=USD</stp>
        <stp>XLFILL=b</stp>
        <tr r="AO156" s="2"/>
      </tp>
      <tp t="s">
        <v/>
        <stp/>
        <stp>##V3_BQLV12</stp>
        <stp>[MODL_CRM_US1.xlsx]Single Period!R140C18</stp>
        <stp>CRM US Equity</stp>
        <stp>BS_ACCUMULATED_OTHER_COMP_INC/1M</stp>
        <stp>FPR=2022Y</stp>
        <stp>FPT=A</stp>
        <stp>FA_ACT_EST_DATA=E, EST_SOURCE=CAN</stp>
        <stp>ACT_EST_MAPPING=PRECISE</stp>
        <stp>FS=MRC</stp>
        <stp>CURRENCY=USD</stp>
        <stp>XLFILL=b</stp>
        <tr r="R140" s="2"/>
      </tp>
      <tp t="s">
        <v/>
        <stp/>
        <stp>##V3_BQLV12</stp>
        <stp>[MODL_CRM_US1.xlsx]Single Period!R29C37</stp>
        <stp>SEG0000269233 Segment</stp>
        <stp>SALES_REV_TURN/1M</stp>
        <stp>FPR=2022Y</stp>
        <stp>FPT=A</stp>
        <stp>FA_ACT_EST_DATA=E, EST_SOURCE=EVR</stp>
        <stp>ACT_EST_MAPPING=PRECISE</stp>
        <stp>FS=MRC</stp>
        <stp>CURRENCY=USD</stp>
        <stp>XLFILL=b</stp>
        <tr r="AK29" s="2"/>
      </tp>
      <tp t="s">
        <v/>
        <stp/>
        <stp>##V3_BQLV12</stp>
        <stp>[MODL_CRM_US1.xlsx]Single Period!R83C52</stp>
        <stp>CRM US Equity</stp>
        <stp>IS_OPEX_R_AND_D_GAAP/1M</stp>
        <stp>FPR=2022Y</stp>
        <stp>FPT=A</stp>
        <stp>FA_ACT_EST_DATA=E, EST_SOURCE=WFR</stp>
        <stp>ACT_EST_MAPPING=PRECISE</stp>
        <stp>FS=MRC</stp>
        <stp>CURRENCY=USD</stp>
        <stp>XLFILL=b</stp>
        <tr r="AZ83" s="2"/>
      </tp>
      <tp t="s">
        <v/>
        <stp/>
        <stp>##V3_BQLV12</stp>
        <stp>[MODL_CRM_US1.xlsx]Single Period!R123C47</stp>
        <stp>CRM US Equity</stp>
        <stp>TOT_OPER_LEA_RT_OF_USE_ASSETS/1M</stp>
        <stp>FPR=2022Y</stp>
        <stp>FPT=A</stp>
        <stp>FA_ACT_EST_DATA=E, EST_SOURCE=WFT</stp>
        <stp>ACT_EST_MAPPING=PRECISE</stp>
        <stp>FS=MRC</stp>
        <stp>CURRENCY=USD</stp>
        <stp>XLFILL=b</stp>
        <tr r="AU123" s="2"/>
      </tp>
      <tp t="s">
        <v/>
        <stp/>
        <stp>##V3_BQLV12</stp>
        <stp>[MODL_CRM_US1.xlsx]Single Period!R156C22</stp>
        <stp>CRM US Equity</stp>
        <stp>CF_DEPR_AMORT/1M</stp>
        <stp>FPR=2022Y</stp>
        <stp>FPT=A</stp>
        <stp>FA_ACT_EST_DATA=E, EST_SOURCE=OPY</stp>
        <stp>ACT_EST_MAPPING=PRECISE</stp>
        <stp>FS=MRC</stp>
        <stp>CURRENCY=USD</stp>
        <stp>XLFILL=b</stp>
        <tr r="V156" s="2"/>
      </tp>
      <tp t="s">
        <v/>
        <stp/>
        <stp>##V3_BQLV12</stp>
        <stp>[MODL_CRM_US1.xlsx]Single Period!R101C33</stp>
        <stp>CRM US Equity</stp>
        <stp>IS_SBC_ATTRIBUTABLE_TO_R_AND_D_PRETX/1M</stp>
        <stp>FPR=2022Y</stp>
        <stp>FPT=A</stp>
        <stp>FA_ACT_EST_DATA=E, EST_SOURCE=RHR</stp>
        <stp>ACT_EST_MAPPING=PRECISE</stp>
        <stp>FS=MRC</stp>
        <stp>CURRENCY=USD</stp>
        <stp>XLFILL=b</stp>
        <tr r="AG101" s="2"/>
      </tp>
      <tp t="s">
        <v/>
        <stp/>
        <stp>##V3_BQLV12</stp>
        <stp>[MODL_CRM_US1.xlsx]Single Period!R119C25</stp>
        <stp>CRM US Equity</stp>
        <stp>CB_BS_OTHER_NONCURRENT_ASSETS/1M</stp>
        <stp>FPR=2022Y</stp>
        <stp>FPT=A</stp>
        <stp>FA_ACT_EST_DATA=E, EST_SOURCE=WMS</stp>
        <stp>ACT_EST_MAPPING=PRECISE</stp>
        <stp>FS=MRC</stp>
        <stp>CURRENCY=USD</stp>
        <stp>XLFILL=b</stp>
        <tr r="Y119" s="2"/>
      </tp>
      <tp t="s">
        <v/>
        <stp/>
        <stp>##V3_BQLV12</stp>
        <stp>[MODL_CRM_US1.xlsx]Single Period!R123C30</stp>
        <stp>CRM US Equity</stp>
        <stp>TOT_OPER_LEA_RT_OF_USE_ASSETS/1M</stp>
        <stp>FPR=2022Y</stp>
        <stp>FPT=A</stp>
        <stp>FA_ACT_EST_DATA=E, EST_SOURCE=BAM</stp>
        <stp>ACT_EST_MAPPING=PRECISE</stp>
        <stp>FS=MRC</stp>
        <stp>CURRENCY=USD</stp>
        <stp>XLFILL=b</stp>
        <tr r="AD123" s="2"/>
      </tp>
      <tp t="s">
        <v/>
        <stp/>
        <stp>##V3_BQLV12</stp>
        <stp>[MODL_CRM_US1.xlsx]Single Period!R149C43</stp>
        <stp>CRM US Equity</stp>
        <stp>TOT_FUTURE_REV_UNDER_CONTRACT/1M</stp>
        <stp>FPR=2022Y</stp>
        <stp>FPT=A</stp>
        <stp>FA_ACT_EST_DATA=E, EST_SOURCE=DWI</stp>
        <stp>ACT_EST_MAPPING=PRECISE</stp>
        <stp>FS=MRC</stp>
        <stp>CURRENCY=USD</stp>
        <stp>XLFILL=b</stp>
        <tr r="AQ149" s="2"/>
      </tp>
      <tp t="s">
        <v/>
        <stp/>
        <stp>##V3_BQLV12</stp>
        <stp>[MODL_CRM_US1.xlsx]Single Period!R83C49</stp>
        <stp>CRM US Equity</stp>
        <stp>IS_OPEX_R_AND_D_GAAP/1M</stp>
        <stp>FPR=2022Y</stp>
        <stp>FPT=A</stp>
        <stp>FA_ACT_EST_DATA=E, EST_SOURCE=SGE</stp>
        <stp>ACT_EST_MAPPING=PRECISE</stp>
        <stp>FS=MRC</stp>
        <stp>CURRENCY=USD</stp>
        <stp>XLFILL=b</stp>
        <tr r="AW83" s="2"/>
      </tp>
      <tp t="s">
        <v/>
        <stp/>
        <stp>##V3_BQLV12</stp>
        <stp>[MODL_CRM_US1.xlsx]Single Period!R28C23</stp>
        <stp>SEG0000269242 Segment</stp>
        <stp>SALES_REV_TURN/1M</stp>
        <stp>FPR=2022Y</stp>
        <stp>FPT=A</stp>
        <stp>FA_ACT_EST_DATA=E, EST_SOURCE=JPM</stp>
        <stp>ACT_EST_MAPPING=PRECISE</stp>
        <stp>FS=MRC</stp>
        <stp>CURRENCY=USD</stp>
        <stp>XLFILL=b</stp>
        <tr r="W28" s="2"/>
      </tp>
      <tp t="s">
        <v/>
        <stp/>
        <stp>##V3_BQLV12</stp>
        <stp>[MODL_CRM_US1.xlsx]Single Period!R83C11</stp>
        <stp>CRM US Equity</stp>
        <stp>IS_OPEX_R_AND_D_GAAP/1M</stp>
        <stp>FPR=2022Y</stp>
        <stp>FPT=A</stp>
        <stp>FA_ACT_EST_DATA=E, EST_SOURCE=WBL</stp>
        <stp>ACT_EST_MAPPING=PRECISE</stp>
        <stp>FS=MRC</stp>
        <stp>CURRENCY=USD</stp>
        <stp>XLFILL=b</stp>
        <tr r="K83" s="2"/>
      </tp>
      <tp t="s">
        <v/>
        <stp/>
        <stp>##V3_BQLV12</stp>
        <stp>[MODL_CRM_US1.xlsx]Single Period!R65C51</stp>
        <stp>CRM US Equity</stp>
        <stp>IS_AMORT_OF_TOT_INTANG_PRETX/1M</stp>
        <stp>FPR=2022Y</stp>
        <stp>FPT=A</stp>
        <stp>FA_ACT_EST_DATA=E, EST_SOURCE=RCP</stp>
        <stp>ACT_EST_MAPPING=PRECISE</stp>
        <stp>FS=MRC</stp>
        <stp>CURRENCY=USD</stp>
        <stp>XLFILL=b</stp>
        <tr r="AY65" s="2"/>
      </tp>
      <tp t="s">
        <v/>
        <stp/>
        <stp>##V3_BQLV12</stp>
        <stp>[MODL_CRM_US1.xlsx]Single Period!R64C50</stp>
        <stp>CRM US Equity</stp>
        <stp>IS_COMPARABLE_EBITDA/1M</stp>
        <stp>FPR=2022Y</stp>
        <stp>FPT=A</stp>
        <stp>FA_ACT_EST_DATA=E, EST_SOURCE=MZS</stp>
        <stp>ACT_EST_MAPPING=PRECISE</stp>
        <stp>FS=MRC</stp>
        <stp>CURRENCY=USD</stp>
        <stp>XLFILL=b</stp>
        <tr r="AX64" s="2"/>
      </tp>
      <tp>
        <v>4462.2381917730045</v>
        <stp/>
        <stp>##V3_BQLV12</stp>
        <stp>[MODL_CRM_US1.xlsx]Single Period!R83C16</stp>
        <stp>CRM US Equity</stp>
        <stp>IS_OPEX_R_AND_D_GAAP/1M</stp>
        <stp>FPR=2022Y</stp>
        <stp>FPT=A</stp>
        <stp>FA_ACT_EST_DATA=E, EST_SOURCE=DBG</stp>
        <stp>ACT_EST_MAPPING=PRECISE</stp>
        <stp>FS=MRC</stp>
        <stp>CURRENCY=USD</stp>
        <stp>XLFILL=b</stp>
        <tr r="P83" s="2"/>
      </tp>
      <tp t="s">
        <v/>
        <stp/>
        <stp>##V3_BQLV12</stp>
        <stp>[MODL_CRM_US1.xlsx]Single Period!R156C46</stp>
        <stp>CRM US Equity</stp>
        <stp>CF_DEPR_AMORT/1M</stp>
        <stp>FPR=2022Y</stp>
        <stp>FPT=A</stp>
        <stp>FA_ACT_EST_DATA=E, EST_SOURCE=CTI</stp>
        <stp>ACT_EST_MAPPING=PRECISE</stp>
        <stp>FS=MRC</stp>
        <stp>CURRENCY=USD</stp>
        <stp>XLFILL=b</stp>
        <tr r="AT156" s="2"/>
      </tp>
      <tp t="s">
        <v/>
        <stp/>
        <stp>##V3_BQLV12</stp>
        <stp>[MODL_CRM_US1.xlsx]Single Period!R123C34</stp>
        <stp>CRM US Equity</stp>
        <stp>TOT_OPER_LEA_RT_OF_USE_ASSETS/1M</stp>
        <stp>FPR=2022Y</stp>
        <stp>FPT=A</stp>
        <stp>FA_ACT_EST_DATA=E, EST_SOURCE=JEF</stp>
        <stp>ACT_EST_MAPPING=PRECISE</stp>
        <stp>FS=MRC</stp>
        <stp>CURRENCY=USD</stp>
        <stp>XLFILL=b</stp>
        <tr r="AH123" s="2"/>
      </tp>
      <tp>
        <v>1.071409296787402</v>
        <stp/>
        <stp>##V3_BQLV12</stp>
        <stp>[MODL_CRM_US1.xlsx]Single Period!R146C9</stp>
        <stp>CRM US Equity</stp>
        <stp>CONTRIBUTOR_STATS(CUR_RATIO, MEDIAN)</stp>
        <stp>FPR=2022Y</stp>
        <stp>FPT=A</stp>
        <stp>FA_ACT_EST_DATA=E</stp>
        <stp>ACT_EST_MAPPING=PRECISE</stp>
        <stp>FS=MRC</stp>
        <stp>CURRENCY=USD</stp>
        <stp>XLFILL=b</stp>
        <tr r="I146" s="2"/>
      </tp>
      <tp t="s">
        <v/>
        <stp/>
        <stp>##V3_BQLV12</stp>
        <stp>[MODL_CRM_US1.xlsx]Single Period!R183C43</stp>
        <stp>CRM US Equity</stp>
        <stp>CASH_FLOW_PER_SH</stp>
        <stp>FPR=2022Y</stp>
        <stp>FPT=A</stp>
        <stp>FA_ACT_EST_DATA=E, EST_SOURCE=DWI</stp>
        <stp>ACT_EST_MAPPING=PRECISE</stp>
        <stp>FS=MRC</stp>
        <stp>CURRENCY=USD</stp>
        <stp>XLFILL=b</stp>
        <tr r="AQ183" s="2"/>
      </tp>
      <tp t="s">
        <v>Redburn</v>
        <stp/>
        <stp>##V3_BQLV12</stp>
        <stp>[MODL_CRM_US1.xlsx]Single Period!R3C55</stp>
        <stp>CRM US Equity</stp>
        <stp>LAST(IS_COMP_SALES(FA_ACT_EST_DATA=E, EST_SOURCE=RED).firm_name)</stp>
        <stp>FPR=2022Y</stp>
        <stp>FPT=A</stp>
        <stp>ACT_EST_MAPPING=PRECISE</stp>
        <stp>FS=MRC</stp>
        <stp>CURRENCY=USD</stp>
        <stp>XLFILL=b</stp>
        <tr r="BC3" s="2"/>
      </tp>
      <tp t="s">
        <v>Jefferies</v>
        <stp/>
        <stp>##V3_BQLV12</stp>
        <stp>[MODL_CRM_US1.xlsx]Single Period!R3C34</stp>
        <stp>CRM US Equity</stp>
        <stp>LAST(IS_COMP_SALES(FA_ACT_EST_DATA=E, EST_SOURCE=JEF).firm_name)</stp>
        <stp>FPR=2022Y</stp>
        <stp>FPT=A</stp>
        <stp>ACT_EST_MAPPING=PRECISE</stp>
        <stp>FS=MRC</stp>
        <stp>CURRENCY=USD</stp>
        <stp>XLFILL=b</stp>
        <tr r="AH3" s="2"/>
      </tp>
      <tp t="s">
        <v>KeyBanc Capital Markets</v>
        <stp/>
        <stp>##V3_BQLV12</stp>
        <stp>[MODL_CRM_US1.xlsx]Single Period!R3C26</stp>
        <stp>CRM US Equity</stp>
        <stp>LAST(IS_COMP_SALES(FA_ACT_EST_DATA=E, EST_SOURCE=KEY).firm_name)</stp>
        <stp>FPR=2022Y</stp>
        <stp>FPT=A</stp>
        <stp>ACT_EST_MAPPING=PRECISE</stp>
        <stp>FS=MRC</stp>
        <stp>CURRENCY=USD</stp>
        <stp>XLFILL=b</stp>
        <tr r="Z3" s="2"/>
      </tp>
      <tp>
        <v>1.3</v>
        <stp/>
        <stp>##V3_BQLV12</stp>
        <stp>[MODL_CRM_US1.xlsx]Single Period!R95C14</stp>
        <stp>CRM US Equity</stp>
        <stp>IS_COMP_EPS_GAAP</stp>
        <stp>FPR=2022Y</stp>
        <stp>FPT=A</stp>
        <stp>FA_ACT_EST_DATA=E, EST_SOURCE=SNR</stp>
        <stp>ACT_EST_MAPPING=PRECISE</stp>
        <stp>FS=MRC</stp>
        <stp>CURRENCY=USD</stp>
        <stp>XLFILL=b</stp>
        <tr r="N95" s="2"/>
      </tp>
      <tp t="s">
        <v/>
        <stp/>
        <stp>##V3_BQLV12</stp>
        <stp>[MODL_CRM_US1.xlsx]Single Period!R166C23</stp>
        <stp>CRM US Equity</stp>
        <stp>CF_CHANGE_IN_OPER_LEASE_LIBLTS/1M</stp>
        <stp>FPR=2022Y</stp>
        <stp>FPT=A</stp>
        <stp>FA_ACT_EST_DATA=E, EST_SOURCE=JPM</stp>
        <stp>ACT_EST_MAPPING=PRECISE</stp>
        <stp>FS=MRC</stp>
        <stp>CURRENCY=USD</stp>
        <stp>XLFILL=b</stp>
        <tr r="W166" s="2"/>
      </tp>
      <tp t="s">
        <v/>
        <stp/>
        <stp>##V3_BQLV12</stp>
        <stp>[MODL_CRM_US1.xlsx]Single Period!R112C18</stp>
        <stp>CRM US Equity</stp>
        <stp>BS_CASH_NEAR_CASH_ITEM/1M</stp>
        <stp>FPR=2022Y</stp>
        <stp>FPT=A</stp>
        <stp>FA_ACT_EST_DATA=E, EST_SOURCE=CAN</stp>
        <stp>ACT_EST_MAPPING=PRECISE</stp>
        <stp>FS=MRC</stp>
        <stp>CURRENCY=USD</stp>
        <stp>XLFILL=b</stp>
        <tr r="R112" s="2"/>
      </tp>
      <tp>
        <v>88.215451645904452</v>
        <stp/>
        <stp>##V3_BQLV12</stp>
        <stp>[MODL_CRM_US1.xlsx]Single Period!R68C8</stp>
        <stp>CRM US Equity</stp>
        <stp>CONTRIBUTOR_STATS(IS_COMP_PTP_EX_STK_BASED_COMP, STD)/1M</stp>
        <stp>FPR=2022Y</stp>
        <stp>FPT=A</stp>
        <stp>FA_ACT_EST_DATA=E</stp>
        <stp>ACT_EST_MAPPING=PRECISE</stp>
        <stp>FS=MRC</stp>
        <stp>CURRENCY=USD</stp>
        <stp>XLFILL=b</stp>
        <tr r="H68" s="2"/>
      </tp>
      <tp t="s">
        <v/>
        <stp/>
        <stp>##V3_BQLV12</stp>
        <stp>[MODL_CRM_US1.xlsx]Single Period!R95C53</stp>
        <stp>CRM US Equity</stp>
        <stp>IS_COMP_EPS_GAAP</stp>
        <stp>FPR=2022Y</stp>
        <stp>FPT=A</stp>
        <stp>FA_ACT_EST_DATA=E, EST_SOURCE=NIK</stp>
        <stp>ACT_EST_MAPPING=PRECISE</stp>
        <stp>FS=MRC</stp>
        <stp>CURRENCY=USD</stp>
        <stp>XLFILL=b</stp>
        <tr r="BA95" s="2"/>
      </tp>
      <tp t="s">
        <v/>
        <stp/>
        <stp>##V3_BQLV12</stp>
        <stp>[MODL_CRM_US1.xlsx]Single Period!R112C30</stp>
        <stp>CRM US Equity</stp>
        <stp>BS_CASH_NEAR_CASH_ITEM/1M</stp>
        <stp>FPR=2022Y</stp>
        <stp>FPT=A</stp>
        <stp>FA_ACT_EST_DATA=E, EST_SOURCE=BAM</stp>
        <stp>ACT_EST_MAPPING=PRECISE</stp>
        <stp>FS=MRC</stp>
        <stp>CURRENCY=USD</stp>
        <stp>XLFILL=b</stp>
        <tr r="AD112" s="2"/>
      </tp>
      <tp>
        <v>1.71</v>
        <stp/>
        <stp>##V3_BQLV12</stp>
        <stp>[MODL_CRM_US1.xlsx]Single Period!R95C19</stp>
        <stp>CRM US Equity</stp>
        <stp>IS_COMP_EPS_GAAP</stp>
        <stp>FPR=2022Y</stp>
        <stp>FPT=A</stp>
        <stp>FA_ACT_EST_DATA=E, EST_SOURCE=SCB</stp>
        <stp>ACT_EST_MAPPING=PRECISE</stp>
        <stp>FS=MRC</stp>
        <stp>CURRENCY=USD</stp>
        <stp>XLFILL=b</stp>
        <tr r="S95" s="2"/>
      </tp>
      <tp t="s">
        <v/>
        <stp/>
        <stp>##V3_BQLV12</stp>
        <stp>[MODL_CRM_US1.xlsx]Single Period!R166C22</stp>
        <stp>CRM US Equity</stp>
        <stp>CF_CHANGE_IN_OPER_LEASE_LIBLTS/1M</stp>
        <stp>FPR=2022Y</stp>
        <stp>FPT=A</stp>
        <stp>FA_ACT_EST_DATA=E, EST_SOURCE=OPY</stp>
        <stp>ACT_EST_MAPPING=PRECISE</stp>
        <stp>FS=MRC</stp>
        <stp>CURRENCY=USD</stp>
        <stp>XLFILL=b</stp>
        <tr r="V166" s="2"/>
      </tp>
      <tp t="s">
        <v/>
        <stp/>
        <stp>##V3_BQLV12</stp>
        <stp>[MODL_CRM_US1.xlsx]Single Period!R112C36</stp>
        <stp>CRM US Equity</stp>
        <stp>BS_CASH_NEAR_CASH_ITEM/1M</stp>
        <stp>FPR=2022Y</stp>
        <stp>FPT=A</stp>
        <stp>FA_ACT_EST_DATA=E, EST_SOURCE=MAC</stp>
        <stp>ACT_EST_MAPPING=PRECISE</stp>
        <stp>FS=MRC</stp>
        <stp>CURRENCY=USD</stp>
        <stp>XLFILL=b</stp>
        <tr r="AJ112" s="2"/>
      </tp>
      <tp>
        <v>132.78810602025351</v>
        <stp/>
        <stp>##V3_BQLV12</stp>
        <stp>[MODL_CRM_US1.xlsx]Single Period!R81C8</stp>
        <stp>CRM US Equity</stp>
        <stp>CONTRIBUTOR_STATS(IS_TOT_OPER_EXP, STD)/1M</stp>
        <stp>FPR=2022Y</stp>
        <stp>FPT=A</stp>
        <stp>FA_ACT_EST_DATA=E</stp>
        <stp>ACT_EST_MAPPING=PRECISE</stp>
        <stp>FS=MRC</stp>
        <stp>CURRENCY=USD</stp>
        <stp>XLFILL=b</stp>
        <tr r="H81" s="2"/>
      </tp>
      <tp>
        <v>977.75</v>
        <stp/>
        <stp>##V3_BQLV12</stp>
        <stp>[MODL_CRM_US1.xlsx]Single Period!R94C24</stp>
        <stp>CRM US Equity</stp>
        <stp>IS_SH_FOR_DILUTED_EPS/1M</stp>
        <stp>FPR=2022Y</stp>
        <stp>FPT=A</stp>
        <stp>FA_ACT_EST_DATA=E, EST_SOURCE=FBC</stp>
        <stp>ACT_EST_MAPPING=PRECISE</stp>
        <stp>FS=MRC</stp>
        <stp>CURRENCY=USD</stp>
        <stp>XLFILL=b</stp>
        <tr r="X94" s="2"/>
      </tp>
      <tp>
        <v>26396</v>
        <stp/>
        <stp>##V3_BQLV12</stp>
        <stp>[MODL_CRM_US1.xlsx]Single Period!R52C16</stp>
        <stp>CRM US Equity</stp>
        <stp>IS_COMP_SALES/1M</stp>
        <stp>FPR=2022Y</stp>
        <stp>FPT=A</stp>
        <stp>FA_ACT_EST_DATA=E, EST_SOURCE=DBG</stp>
        <stp>ACT_EST_MAPPING=PRECISE</stp>
        <stp>FS=MRC</stp>
        <stp>CURRENCY=USD</stp>
        <stp>XLFILL=b</stp>
        <tr r="P52" s="2"/>
      </tp>
      <tp t="s">
        <v/>
        <stp/>
        <stp>##V3_BQLV12</stp>
        <stp>[MODL_CRM_US1.xlsx]Single Period!R132C42</stp>
        <stp>CRM US Equity</stp>
        <stp>BS_ADJ_TOTAL_LT_LIABILITIES/1M</stp>
        <stp>FPR=2022Y</stp>
        <stp>FPT=A</stp>
        <stp>FA_ACT_EST_DATA=E, EST_SOURCE=PSG</stp>
        <stp>ACT_EST_MAPPING=PRECISE</stp>
        <stp>FS=MRC</stp>
        <stp>CURRENCY=USD</stp>
        <stp>XLFILL=b</stp>
        <tr r="AP132" s="2"/>
      </tp>
      <tp t="s">
        <v/>
        <stp/>
        <stp>##V3_BQLV12</stp>
        <stp>[MODL_CRM_US1.xlsx]Single Period!R12C46</stp>
        <stp>CRM US Equity</stp>
        <stp>TOT_FUTURE_REV_UNDER_CONTRACT/1M</stp>
        <stp>FPR=2022Y</stp>
        <stp>FPT=A</stp>
        <stp>FA_ACT_EST_DATA=E, EST_SOURCE=CTI</stp>
        <stp>ACT_EST_MAPPING=PRECISE</stp>
        <stp>FS=MRC</stp>
        <stp>CURRENCY=USD</stp>
        <stp>XLFILL=b</stp>
        <tr r="AT12" s="2"/>
      </tp>
      <tp t="s">
        <v/>
        <stp/>
        <stp>##V3_BQLV12</stp>
        <stp>[MODL_CRM_US1.xlsx]Single Period!R131C22</stp>
        <stp>CRM US Equity</stp>
        <stp>ST_DEFERRED_REVENUE/1M</stp>
        <stp>FPR=2022Y</stp>
        <stp>FPT=A</stp>
        <stp>FA_ACT_EST_DATA=E, EST_SOURCE=OPY</stp>
        <stp>ACT_EST_MAPPING=PRECISE</stp>
        <stp>FS=MRC</stp>
        <stp>CURRENCY=USD</stp>
        <stp>XLFILL=b</stp>
        <tr r="V131" s="2"/>
      </tp>
      <tp t="s">
        <v/>
        <stp/>
        <stp>##V3_BQLV12</stp>
        <stp>[MODL_CRM_US1.xlsx]Single Period!R110C56</stp>
        <stp>CRM US Equity</stp>
        <stp>BS_CUR_ASSET_REPORT/1M</stp>
        <stp>FPR=2022Y</stp>
        <stp>FPT=A</stp>
        <stp>FA_ACT_EST_DATA=E, EST_SOURCE=DIR</stp>
        <stp>ACT_EST_MAPPING=PRECISE</stp>
        <stp>FS=MRC</stp>
        <stp>CURRENCY=USD</stp>
        <stp>XLFILL=b</stp>
        <tr r="BD110" s="2"/>
      </tp>
      <tp>
        <v>5922</v>
        <stp/>
        <stp>##V3_BQLV12</stp>
        <stp>[MODL_CRM_US1.xlsx]Single Period!R68C25</stp>
        <stp>CRM US Equity</stp>
        <stp>IS_COMP_PTP_EX_STK_BASED_COMP/1M</stp>
        <stp>FPR=2022Y</stp>
        <stp>FPT=A</stp>
        <stp>FA_ACT_EST_DATA=E, EST_SOURCE=WMS</stp>
        <stp>ACT_EST_MAPPING=PRECISE</stp>
        <stp>FS=MRC</stp>
        <stp>CURRENCY=USD</stp>
        <stp>XLFILL=b</stp>
        <tr r="Y68" s="2"/>
      </tp>
      <tp t="s">
        <v/>
        <stp/>
        <stp>##V3_BQLV12</stp>
        <stp>[MODL_CRM_US1.xlsx]Single Period!R98C29</stp>
        <stp>CRM US Equity</stp>
        <stp>IS_INC_TAX_EFFECT_NONGAAP_REC/1M</stp>
        <stp>FPR=2022Y</stp>
        <stp>FPT=A</stp>
        <stp>FA_ACT_EST_DATA=E, EST_SOURCE=BNS</stp>
        <stp>ACT_EST_MAPPING=PRECISE</stp>
        <stp>FS=MRC</stp>
        <stp>CURRENCY=USD</stp>
        <stp>XLFILL=b</stp>
        <tr r="AC98" s="2"/>
      </tp>
      <tp t="s">
        <v/>
        <stp/>
        <stp>##V3_BQLV12</stp>
        <stp>[MODL_CRM_US1.xlsx]Single Period!R146C55</stp>
        <stp>CRM US Equity</stp>
        <stp>CUR_RATIO</stp>
        <stp>FPR=2022Y</stp>
        <stp>FPT=A</stp>
        <stp>FA_ACT_EST_DATA=E, EST_SOURCE=RED</stp>
        <stp>ACT_EST_MAPPING=PRECISE</stp>
        <stp>FS=MRC</stp>
        <stp>CURRENCY=USD</stp>
        <stp>XLFILL=b</stp>
        <tr r="BC146" s="2"/>
      </tp>
      <tp t="s">
        <v/>
        <stp/>
        <stp>##V3_BQLV12</stp>
        <stp>[MODL_CRM_US1.xlsx]Single Period!R191C10</stp>
        <stp>CRM US Equity</stp>
        <stp>CF_FREE_CASH_FLOW/1M</stp>
        <stp>FPR=2022Y</stp>
        <stp>FPT=A</stp>
        <stp>FA_ACT_EST_DATA=E, EST_SOURCE=CMPY</stp>
        <stp>ACT_EST_MAPPING=PRECISE</stp>
        <stp>FS=MRC</stp>
        <stp>CURRENCY=USD</stp>
        <stp>XLFILL=b</stp>
        <tr r="J191" s="2"/>
      </tp>
      <tp t="s">
        <v/>
        <stp/>
        <stp>##V3_BQLV12</stp>
        <stp>[MODL_CRM_US1.xlsx]Single Period!R63C46</stp>
        <stp>CRM US Equity</stp>
        <stp>CF_DEPR_AMORT/1M</stp>
        <stp>FPR=2022Y</stp>
        <stp>FPT=A</stp>
        <stp>FA_ACT_EST_DATA=E, EST_SOURCE=CTI</stp>
        <stp>ACT_EST_MAPPING=PRECISE</stp>
        <stp>FS=MRC</stp>
        <stp>CURRENCY=USD</stp>
        <stp>XLFILL=b</stp>
        <tr r="AT63" s="2"/>
      </tp>
      <tp>
        <v>20739.943312719151</v>
        <stp/>
        <stp>##V3_BQLV12</stp>
        <stp>[MODL_CRM_US1.xlsx]Single Period!R55C5</stp>
        <stp>CRM US Equity</stp>
        <stp>IS_ADJ_GROSS_PROFIT_AS_REPORTED/1M</stp>
        <stp>FPR=2022Y</stp>
        <stp>FPT=A</stp>
        <stp>FA_ACT_EST_DATA=E</stp>
        <stp>ACT_EST_MAPPING=PRECISE</stp>
        <stp>FS=MRC</stp>
        <stp>CURRENCY=USD</stp>
        <stp>XLFILL=b</stp>
        <tr r="E55" s="2"/>
      </tp>
      <tp>
        <v>26399</v>
        <stp/>
        <stp>##V3_BQLV12</stp>
        <stp>[MODL_CRM_US1.xlsx]Single Period!R52C27</stp>
        <stp>CRM US Equity</stp>
        <stp>IS_COMP_SALES/1M</stp>
        <stp>FPR=2022Y</stp>
        <stp>FPT=A</stp>
        <stp>FA_ACT_EST_DATA=E, EST_SOURCE=LCM</stp>
        <stp>ACT_EST_MAPPING=PRECISE</stp>
        <stp>FS=MRC</stp>
        <stp>CURRENCY=USD</stp>
        <stp>XLFILL=b</stp>
        <tr r="AA52" s="2"/>
      </tp>
      <tp t="s">
        <v/>
        <stp/>
        <stp>##V3_BQLV12</stp>
        <stp>[MODL_CRM_US1.xlsx]Single Period!R146C34</stp>
        <stp>CRM US Equity</stp>
        <stp>CUR_RATIO</stp>
        <stp>FPR=2022Y</stp>
        <stp>FPT=A</stp>
        <stp>FA_ACT_EST_DATA=E, EST_SOURCE=JEF</stp>
        <stp>ACT_EST_MAPPING=PRECISE</stp>
        <stp>FS=MRC</stp>
        <stp>CURRENCY=USD</stp>
        <stp>XLFILL=b</stp>
        <tr r="AH146" s="2"/>
      </tp>
      <tp t="s">
        <v/>
        <stp/>
        <stp>##V3_BQLV12</stp>
        <stp>[MODL_CRM_US1.xlsx]Single Period!R52C52</stp>
        <stp>CRM US Equity</stp>
        <stp>IS_COMP_SALES/1M</stp>
        <stp>FPR=2022Y</stp>
        <stp>FPT=A</stp>
        <stp>FA_ACT_EST_DATA=E, EST_SOURCE=WFR</stp>
        <stp>ACT_EST_MAPPING=PRECISE</stp>
        <stp>FS=MRC</stp>
        <stp>CURRENCY=USD</stp>
        <stp>XLFILL=b</stp>
        <tr r="AZ52" s="2"/>
      </tp>
      <tp>
        <v>11853.43403283915</v>
        <stp/>
        <stp>##V3_BQLV12</stp>
        <stp>[MODL_CRM_US1.xlsx]Single Period!R85C24</stp>
        <stp>CRM US Equity</stp>
        <stp>CB_IS_S_AND_M_EXPENSE/1M</stp>
        <stp>FPR=2022Y</stp>
        <stp>FPT=A</stp>
        <stp>FA_ACT_EST_DATA=E, EST_SOURCE=FBC</stp>
        <stp>ACT_EST_MAPPING=PRECISE</stp>
        <stp>FS=MRC</stp>
        <stp>CURRENCY=USD</stp>
        <stp>XLFILL=b</stp>
        <tr r="X85" s="2"/>
      </tp>
      <tp>
        <v>1.016914493485773</v>
        <stp/>
        <stp>##V3_BQLV12</stp>
        <stp>[MODL_CRM_US1.xlsx]Single Period!R146C26</stp>
        <stp>CRM US Equity</stp>
        <stp>CUR_RATIO</stp>
        <stp>FPR=2022Y</stp>
        <stp>FPT=A</stp>
        <stp>FA_ACT_EST_DATA=E, EST_SOURCE=KEY</stp>
        <stp>ACT_EST_MAPPING=PRECISE</stp>
        <stp>FS=MRC</stp>
        <stp>CURRENCY=USD</stp>
        <stp>XLFILL=b</stp>
        <tr r="Z146" s="2"/>
      </tp>
      <tp t="s">
        <v/>
        <stp/>
        <stp>##V3_BQLV12</stp>
        <stp>[MODL_CRM_US1.xlsx]Single Period!R117C44</stp>
        <stp>CRM US Equity</stp>
        <stp>BS_TOTAL_NON_CURRENT_ASSETS/1M</stp>
        <stp>FPR=2022Y</stp>
        <stp>FPT=A</stp>
        <stp>FA_ACT_EST_DATA=E, EST_SOURCE=RWB</stp>
        <stp>ACT_EST_MAPPING=PRECISE</stp>
        <stp>FS=MRC</stp>
        <stp>CURRENCY=USD</stp>
        <stp>XLFILL=b</stp>
        <tr r="AR117" s="2"/>
      </tp>
      <tp t="s">
        <v/>
        <stp/>
        <stp>##V3_BQLV12</stp>
        <stp>[MODL_CRM_US1.xlsx]Single Period!R132C15</stp>
        <stp>CRM US Equity</stp>
        <stp>BS_ADJ_TOTAL_LT_LIABILITIES/1M</stp>
        <stp>FPR=2022Y</stp>
        <stp>FPT=A</stp>
        <stp>FA_ACT_EST_DATA=E, EST_SOURCE=MSV</stp>
        <stp>ACT_EST_MAPPING=PRECISE</stp>
        <stp>FS=MRC</stp>
        <stp>CURRENCY=USD</stp>
        <stp>XLFILL=b</stp>
        <tr r="O132" s="2"/>
      </tp>
      <tp t="s">
        <v/>
        <stp/>
        <stp>##V3_BQLV12</stp>
        <stp>[MODL_CRM_US1.xlsx]Single Period!R12C41</stp>
        <stp>CRM US Equity</stp>
        <stp>TOT_FUTURE_REV_UNDER_CONTRACT/1M</stp>
        <stp>FPR=2022Y</stp>
        <stp>FPT=A</stp>
        <stp>FA_ACT_EST_DATA=E, EST_SOURCE=GSR</stp>
        <stp>ACT_EST_MAPPING=PRECISE</stp>
        <stp>FS=MRC</stp>
        <stp>CURRENCY=USD</stp>
        <stp>XLFILL=b</stp>
        <tr r="AO12" s="2"/>
      </tp>
      <tp t="s">
        <v/>
        <stp/>
        <stp>##V3_BQLV12</stp>
        <stp>[MODL_CRM_US1.xlsx]Single Period!R132C41</stp>
        <stp>CRM US Equity</stp>
        <stp>BS_ADJ_TOTAL_LT_LIABILITIES/1M</stp>
        <stp>FPR=2022Y</stp>
        <stp>FPT=A</stp>
        <stp>FA_ACT_EST_DATA=E, EST_SOURCE=GSR</stp>
        <stp>ACT_EST_MAPPING=PRECISE</stp>
        <stp>FS=MRC</stp>
        <stp>CURRENCY=USD</stp>
        <stp>XLFILL=b</stp>
        <tr r="AO132" s="2"/>
      </tp>
      <tp t="s">
        <v/>
        <stp/>
        <stp>##V3_BQLV12</stp>
        <stp>[MODL_CRM_US1.xlsx]Single Period!R132C38</stp>
        <stp>CRM US Equity</stp>
        <stp>BS_ADJ_TOTAL_LT_LIABILITIES/1M</stp>
        <stp>FPR=2022Y</stp>
        <stp>FPT=A</stp>
        <stp>FA_ACT_EST_DATA=E, EST_SOURCE=MSR</stp>
        <stp>ACT_EST_MAPPING=PRECISE</stp>
        <stp>FS=MRC</stp>
        <stp>CURRENCY=USD</stp>
        <stp>XLFILL=b</stp>
        <tr r="AL132" s="2"/>
      </tp>
      <tp t="s">
        <v/>
        <stp/>
        <stp>##V3_BQLV12</stp>
        <stp>[MODL_CRM_US1.xlsx]Single Period!R122C48</stp>
        <stp>CRM US Equity</stp>
        <stp>BS_GOODWILL/1M</stp>
        <stp>FPR=2022Y</stp>
        <stp>FPT=A</stp>
        <stp>FA_ACT_EST_DATA=E, EST_SOURCE=PJE</stp>
        <stp>ACT_EST_MAPPING=PRECISE</stp>
        <stp>FS=MRC</stp>
        <stp>CURRENCY=USD</stp>
        <stp>XLFILL=b</stp>
        <tr r="AV122" s="2"/>
      </tp>
      <tp t="s">
        <v/>
        <stp/>
        <stp>##V3_BQLV12</stp>
        <stp>[MODL_CRM_US1.xlsx]Single Period!R14C39</stp>
        <stp>CRM US Equity</stp>
        <stp>NON_CURRENT_FUTURE_REV_UNDER_CONTRACT/1M</stp>
        <stp>FPR=2022Y</stp>
        <stp>FPT=A</stp>
        <stp>FA_ACT_EST_DATA=E, EST_SOURCE=KGI</stp>
        <stp>ACT_EST_MAPPING=PRECISE</stp>
        <stp>FS=MRC</stp>
        <stp>CURRENCY=USD</stp>
        <stp>XLFILL=b</stp>
        <tr r="AM14" s="2"/>
      </tp>
      <tp>
        <v>956.43706293706293</v>
        <stp/>
        <stp>##V3_BQLV12</stp>
        <stp>[MODL_CRM_US1.xlsx]Single Period!R93C20</stp>
        <stp>CRM US Equity</stp>
        <stp>IS_AVG_NUM_SH_FOR_EPS/1M</stp>
        <stp>FPR=2022Y</stp>
        <stp>FPT=A</stp>
        <stp>FA_ACT_EST_DATA=E, EST_SOURCE=JMP</stp>
        <stp>ACT_EST_MAPPING=PRECISE</stp>
        <stp>FS=MRC</stp>
        <stp>CURRENCY=USD</stp>
        <stp>XLFILL=b</stp>
        <tr r="T93" s="2"/>
      </tp>
      <tp t="s">
        <v/>
        <stp/>
        <stp>##V3_BQLV12</stp>
        <stp>[MODL_CRM_US1.xlsx]Single Period!R63C41</stp>
        <stp>CRM US Equity</stp>
        <stp>CF_DEPR_AMORT/1M</stp>
        <stp>FPR=2022Y</stp>
        <stp>FPT=A</stp>
        <stp>FA_ACT_EST_DATA=E, EST_SOURCE=GSR</stp>
        <stp>ACT_EST_MAPPING=PRECISE</stp>
        <stp>FS=MRC</stp>
        <stp>CURRENCY=USD</stp>
        <stp>XLFILL=b</stp>
        <tr r="AO63" s="2"/>
      </tp>
      <tp t="s">
        <v/>
        <stp/>
        <stp>##V3_BQLV12</stp>
        <stp>[MODL_CRM_US1.xlsx]Single Period!R110C53</stp>
        <stp>CRM US Equity</stp>
        <stp>BS_CUR_ASSET_REPORT/1M</stp>
        <stp>FPR=2022Y</stp>
        <stp>FPT=A</stp>
        <stp>FA_ACT_EST_DATA=E, EST_SOURCE=NIK</stp>
        <stp>ACT_EST_MAPPING=PRECISE</stp>
        <stp>FS=MRC</stp>
        <stp>CURRENCY=USD</stp>
        <stp>XLFILL=b</stp>
        <tr r="BA110" s="2"/>
      </tp>
      <tp>
        <v>955</v>
        <stp/>
        <stp>##V3_BQLV12</stp>
        <stp>[MODL_CRM_US1.xlsx]Single Period!R73C25</stp>
        <stp>CRM US Equity</stp>
        <stp>IS_SH_FOR_DILUTED_EPS/1M</stp>
        <stp>FPR=2022Y</stp>
        <stp>FPT=A</stp>
        <stp>FA_ACT_EST_DATA=E, EST_SOURCE=WMS</stp>
        <stp>ACT_EST_MAPPING=PRECISE</stp>
        <stp>FS=MRC</stp>
        <stp>CURRENCY=USD</stp>
        <stp>XLFILL=b</stp>
        <tr r="Y73" s="2"/>
      </tp>
      <tp>
        <v>42302.300000000025</v>
        <stp/>
        <stp>##V3_BQLV12</stp>
        <stp>[MODL_CRM_US1.xlsx]Single Period!R12C5</stp>
        <stp>CRM US Equity</stp>
        <stp>TOT_FUTURE_REV_UNDER_CONTRACT/1M</stp>
        <stp>FPR=2022Y</stp>
        <stp>FPT=A</stp>
        <stp>FA_ACT_EST_DATA=E</stp>
        <stp>ACT_EST_MAPPING=PRECISE</stp>
        <stp>FS=MRC</stp>
        <stp>CURRENCY=USD</stp>
        <stp>XLFILL=b</stp>
        <tr r="E12" s="2"/>
      </tp>
      <tp t="s">
        <v/>
        <stp/>
        <stp>##V3_BQLV12</stp>
        <stp>[MODL_CRM_US1.xlsx]Single Period!R122C21</stp>
        <stp>CRM US Equity</stp>
        <stp>BS_GOODWILL/1M</stp>
        <stp>FPR=2022Y</stp>
        <stp>FPT=A</stp>
        <stp>FA_ACT_EST_DATA=E, EST_SOURCE=RJA</stp>
        <stp>ACT_EST_MAPPING=PRECISE</stp>
        <stp>FS=MRC</stp>
        <stp>CURRENCY=USD</stp>
        <stp>XLFILL=b</stp>
        <tr r="U122" s="2"/>
      </tp>
      <tp t="s">
        <v/>
        <stp/>
        <stp>##V3_BQLV12</stp>
        <stp>[MODL_CRM_US1.xlsx]Single Period!R12C22</stp>
        <stp>CRM US Equity</stp>
        <stp>TOT_FUTURE_REV_UNDER_CONTRACT/1M</stp>
        <stp>FPR=2022Y</stp>
        <stp>FPT=A</stp>
        <stp>FA_ACT_EST_DATA=E, EST_SOURCE=OPY</stp>
        <stp>ACT_EST_MAPPING=PRECISE</stp>
        <stp>FS=MRC</stp>
        <stp>CURRENCY=USD</stp>
        <stp>XLFILL=b</stp>
        <tr r="V12" s="2"/>
      </tp>
      <tp t="s">
        <v/>
        <stp/>
        <stp>##V3_BQLV12</stp>
        <stp>[MODL_CRM_US1.xlsx]Single Period!R14C49</stp>
        <stp>CRM US Equity</stp>
        <stp>NON_CURRENT_FUTURE_REV_UNDER_CONTRACT/1M</stp>
        <stp>FPR=2022Y</stp>
        <stp>FPT=A</stp>
        <stp>FA_ACT_EST_DATA=E, EST_SOURCE=SGE</stp>
        <stp>ACT_EST_MAPPING=PRECISE</stp>
        <stp>FS=MRC</stp>
        <stp>CURRENCY=USD</stp>
        <stp>XLFILL=b</stp>
        <tr r="AW14" s="2"/>
      </tp>
      <tp t="s">
        <v/>
        <stp/>
        <stp>##V3_BQLV12</stp>
        <stp>[MODL_CRM_US1.xlsx]Single Period!R117C28</stp>
        <stp>CRM US Equity</stp>
        <stp>BS_TOTAL_NON_CURRENT_ASSETS/1M</stp>
        <stp>FPR=2022Y</stp>
        <stp>FPT=A</stp>
        <stp>FA_ACT_EST_DATA=E, EST_SOURCE=CWN</stp>
        <stp>ACT_EST_MAPPING=PRECISE</stp>
        <stp>FS=MRC</stp>
        <stp>CURRENCY=USD</stp>
        <stp>XLFILL=b</stp>
        <tr r="AB117" s="2"/>
      </tp>
      <tp t="s">
        <v/>
        <stp/>
        <stp>##V3_BQLV12</stp>
        <stp>[MODL_CRM_US1.xlsx]Single Period!R117C43</stp>
        <stp>CRM US Equity</stp>
        <stp>BS_TOTAL_NON_CURRENT_ASSETS/1M</stp>
        <stp>FPR=2022Y</stp>
        <stp>FPT=A</stp>
        <stp>FA_ACT_EST_DATA=E, EST_SOURCE=DWI</stp>
        <stp>ACT_EST_MAPPING=PRECISE</stp>
        <stp>FS=MRC</stp>
        <stp>CURRENCY=USD</stp>
        <stp>XLFILL=b</stp>
        <tr r="AQ117" s="2"/>
      </tp>
      <tp t="s">
        <v/>
        <stp/>
        <stp>##V3_BQLV12</stp>
        <stp>[MODL_CRM_US1.xlsx]Single Period!R98C36</stp>
        <stp>CRM US Equity</stp>
        <stp>IS_INC_TAX_EFFECT_NONGAAP_REC/1M</stp>
        <stp>FPR=2022Y</stp>
        <stp>FPT=A</stp>
        <stp>FA_ACT_EST_DATA=E, EST_SOURCE=MAC</stp>
        <stp>ACT_EST_MAPPING=PRECISE</stp>
        <stp>FS=MRC</stp>
        <stp>CURRENCY=USD</stp>
        <stp>XLFILL=b</stp>
        <tr r="AJ98" s="2"/>
      </tp>
      <tp t="s">
        <v/>
        <stp/>
        <stp>##V3_BQLV12</stp>
        <stp>[MODL_CRM_US1.xlsx]Single Period!R63C22</stp>
        <stp>CRM US Equity</stp>
        <stp>CF_DEPR_AMORT/1M</stp>
        <stp>FPR=2022Y</stp>
        <stp>FPT=A</stp>
        <stp>FA_ACT_EST_DATA=E, EST_SOURCE=OPY</stp>
        <stp>ACT_EST_MAPPING=PRECISE</stp>
        <stp>FS=MRC</stp>
        <stp>CURRENCY=USD</stp>
        <stp>XLFILL=b</stp>
        <tr r="V63" s="2"/>
      </tp>
      <tp t="s">
        <v/>
        <stp/>
        <stp>##V3_BQLV12</stp>
        <stp>[MODL_CRM_US1.xlsx]Single Period!R131C23</stp>
        <stp>CRM US Equity</stp>
        <stp>ST_DEFERRED_REVENUE/1M</stp>
        <stp>FPR=2022Y</stp>
        <stp>FPT=A</stp>
        <stp>FA_ACT_EST_DATA=E, EST_SOURCE=JPM</stp>
        <stp>ACT_EST_MAPPING=PRECISE</stp>
        <stp>FS=MRC</stp>
        <stp>CURRENCY=USD</stp>
        <stp>XLFILL=b</stp>
        <tr r="W131" s="2"/>
      </tp>
      <tp>
        <v>19123.616581999999</v>
        <stp/>
        <stp>##V3_BQLV12</stp>
        <stp>[MODL_CRM_US1.xlsx]Single Period!R81C7</stp>
        <stp>CRM US Equity</stp>
        <stp>CONTRIBUTOR_STATS(IS_TOT_OPER_EXP, MAX)/1M</stp>
        <stp>FPR=2022Y</stp>
        <stp>FPT=A</stp>
        <stp>FA_ACT_EST_DATA=E</stp>
        <stp>ACT_EST_MAPPING=PRECISE</stp>
        <stp>FS=MRC</stp>
        <stp>CURRENCY=USD</stp>
        <stp>XLFILL=b</stp>
        <tr r="G81" s="2"/>
      </tp>
      <tp>
        <v>18685.542619908458</v>
        <stp/>
        <stp>##V3_BQLV12</stp>
        <stp>[MODL_CRM_US1.xlsx]Single Period!R81C6</stp>
        <stp>CRM US Equity</stp>
        <stp>CONTRIBUTOR_STATS(IS_TOT_OPER_EXP, MIN)/1M</stp>
        <stp>FPR=2022Y</stp>
        <stp>FPT=A</stp>
        <stp>FA_ACT_EST_DATA=E</stp>
        <stp>ACT_EST_MAPPING=PRECISE</stp>
        <stp>FS=MRC</stp>
        <stp>CURRENCY=USD</stp>
        <stp>XLFILL=b</stp>
        <tr r="F81" s="2"/>
      </tp>
      <tp t="s">
        <v/>
        <stp/>
        <stp>##V3_BQLV12</stp>
        <stp>[MODL_CRM_US1.xlsx]Single Period!R24C50</stp>
        <stp>SEG0000269238 Segment</stp>
        <stp>SALES_REV_TURN/1M</stp>
        <stp>FPR=2022Y</stp>
        <stp>FPT=A</stp>
        <stp>FA_ACT_EST_DATA=E, EST_SOURCE=MZS</stp>
        <stp>ACT_EST_MAPPING=PRECISE</stp>
        <stp>FS=MRC</stp>
        <stp>CURRENCY=USD</stp>
        <stp>XLFILL=b</stp>
        <tr r="AX24" s="2"/>
      </tp>
      <tp>
        <v>6.6147218728035306E-2</v>
        <stp/>
        <stp>##V3_BQLV12</stp>
        <stp>[MODL_CRM_US1.xlsx]Single Period!R74C8</stp>
        <stp>CRM US Equity</stp>
        <stp>CONTRIBUTOR_STATS(IS_COMP_EPS_EXCL_STOCK_COMP, STD)</stp>
        <stp>FPR=2022Y</stp>
        <stp>FPT=A</stp>
        <stp>FA_ACT_EST_DATA=E</stp>
        <stp>ACT_EST_MAPPING=PRECISE</stp>
        <stp>FS=MRC</stp>
        <stp>CURRENCY=USD</stp>
        <stp>XLFILL=b</stp>
        <tr r="H74" s="2"/>
      </tp>
      <tp t="s">
        <v/>
        <stp/>
        <stp>##V3_BQLV12</stp>
        <stp>[MODL_CRM_US1.xlsx]Single Period!R65C40</stp>
        <stp>CRM US Equity</stp>
        <stp>IS_AMORT_OF_TOT_INTANG_PRETX/1M</stp>
        <stp>FPR=2022Y</stp>
        <stp>FPT=A</stp>
        <stp>FA_ACT_EST_DATA=E, EST_SOURCE=ACC</stp>
        <stp>ACT_EST_MAPPING=PRECISE</stp>
        <stp>FS=MRC</stp>
        <stp>CURRENCY=USD</stp>
        <stp>XLFILL=b</stp>
        <tr r="AN65" s="2"/>
      </tp>
      <tp t="s">
        <v/>
        <stp/>
        <stp>##V3_BQLV12</stp>
        <stp>[MODL_CRM_US1.xlsx]Single Period!R83C47</stp>
        <stp>CRM US Equity</stp>
        <stp>IS_OPEX_R_AND_D_GAAP/1M</stp>
        <stp>FPR=2022Y</stp>
        <stp>FPT=A</stp>
        <stp>FA_ACT_EST_DATA=E, EST_SOURCE=WFT</stp>
        <stp>ACT_EST_MAPPING=PRECISE</stp>
        <stp>FS=MRC</stp>
        <stp>CURRENCY=USD</stp>
        <stp>XLFILL=b</stp>
        <tr r="AU83" s="2"/>
      </tp>
      <tp t="s">
        <v/>
        <stp/>
        <stp>##V3_BQLV12</stp>
        <stp>[MODL_CRM_US1.xlsx]Single Period!R43C50</stp>
        <stp>SEG0000269240 Segment</stp>
        <stp>SALES_REV_TURN/1M</stp>
        <stp>FPR=2022Y</stp>
        <stp>FPT=A</stp>
        <stp>FA_ACT_EST_DATA=E, EST_SOURCE=MZS</stp>
        <stp>ACT_EST_MAPPING=PRECISE</stp>
        <stp>FS=MRC</stp>
        <stp>CURRENCY=USD</stp>
        <stp>XLFILL=b</stp>
        <tr r="AX43" s="2"/>
      </tp>
      <tp t="s">
        <v/>
        <stp/>
        <stp>##V3_BQLV12</stp>
        <stp>[MODL_CRM_US1.xlsx]Single Period!R123C32</stp>
        <stp>CRM US Equity</stp>
        <stp>TOT_OPER_LEA_RT_OF_USE_ASSETS/1M</stp>
        <stp>FPR=2022Y</stp>
        <stp>FPT=A</stp>
        <stp>FA_ACT_EST_DATA=E, EST_SOURCE=UBS</stp>
        <stp>ACT_EST_MAPPING=PRECISE</stp>
        <stp>FS=MRC</stp>
        <stp>CURRENCY=USD</stp>
        <stp>XLFILL=b</stp>
        <tr r="AF123" s="2"/>
      </tp>
      <tp t="s">
        <v/>
        <stp/>
        <stp>##V3_BQLV12</stp>
        <stp>[MODL_CRM_US1.xlsx]Single Period!R119C18</stp>
        <stp>CRM US Equity</stp>
        <stp>CB_BS_OTHER_NONCURRENT_ASSETS/1M</stp>
        <stp>FPR=2022Y</stp>
        <stp>FPT=A</stp>
        <stp>FA_ACT_EST_DATA=E, EST_SOURCE=CAN</stp>
        <stp>ACT_EST_MAPPING=PRECISE</stp>
        <stp>FS=MRC</stp>
        <stp>CURRENCY=USD</stp>
        <stp>XLFILL=b</stp>
        <tr r="R119" s="2"/>
      </tp>
      <tp t="s">
        <v/>
        <stp/>
        <stp>##V3_BQLV12</stp>
        <stp>[MODL_CRM_US1.xlsx]Single Period!R83C19</stp>
        <stp>CRM US Equity</stp>
        <stp>IS_OPEX_R_AND_D_GAAP/1M</stp>
        <stp>FPR=2022Y</stp>
        <stp>FPT=A</stp>
        <stp>FA_ACT_EST_DATA=E, EST_SOURCE=SCB</stp>
        <stp>ACT_EST_MAPPING=PRECISE</stp>
        <stp>FS=MRC</stp>
        <stp>CURRENCY=USD</stp>
        <stp>XLFILL=b</stp>
        <tr r="S83" s="2"/>
      </tp>
      <tp t="s">
        <v/>
        <stp/>
        <stp>##V3_BQLV12</stp>
        <stp>[MODL_CRM_US1.xlsx]Single Period!R48C44</stp>
        <stp>SEG0000269229 Segment</stp>
        <stp>SALES_REV_TURN/1M</stp>
        <stp>FPR=2022Y</stp>
        <stp>FPT=A</stp>
        <stp>FA_ACT_EST_DATA=E, EST_SOURCE=RWB</stp>
        <stp>ACT_EST_MAPPING=PRECISE</stp>
        <stp>FS=MRC</stp>
        <stp>CURRENCY=USD</stp>
        <stp>XLFILL=b</stp>
        <tr r="AR48" s="2"/>
      </tp>
      <tp t="s">
        <v/>
        <stp/>
        <stp>##V3_BQLV12</stp>
        <stp>[MODL_CRM_US1.xlsx]Single Period!R29C43</stp>
        <stp>SEG0000269233 Segment</stp>
        <stp>SALES_REV_TURN/1M</stp>
        <stp>FPR=2022Y</stp>
        <stp>FPT=A</stp>
        <stp>FA_ACT_EST_DATA=E, EST_SOURCE=DWI</stp>
        <stp>ACT_EST_MAPPING=PRECISE</stp>
        <stp>FS=MRC</stp>
        <stp>CURRENCY=USD</stp>
        <stp>XLFILL=b</stp>
        <tr r="AQ29" s="2"/>
      </tp>
      <tp t="s">
        <v/>
        <stp/>
        <stp>##V3_BQLV12</stp>
        <stp>[MODL_CRM_US1.xlsx]Single Period!R38C44</stp>
        <stp>SEG0000269228 Segment</stp>
        <stp>SALES_REV_TURN/1M</stp>
        <stp>FPR=2022Y</stp>
        <stp>FPT=A</stp>
        <stp>FA_ACT_EST_DATA=E, EST_SOURCE=RWB</stp>
        <stp>ACT_EST_MAPPING=PRECISE</stp>
        <stp>FS=MRC</stp>
        <stp>CURRENCY=USD</stp>
        <stp>XLFILL=b</stp>
        <tr r="AR38" s="2"/>
      </tp>
      <tp t="s">
        <v/>
        <stp/>
        <stp>##V3_BQLV12</stp>
        <stp>[MODL_CRM_US1.xlsx]Single Period!R29C28</stp>
        <stp>SEG0000269233 Segment</stp>
        <stp>SALES_REV_TURN/1M</stp>
        <stp>FPR=2022Y</stp>
        <stp>FPT=A</stp>
        <stp>FA_ACT_EST_DATA=E, EST_SOURCE=CWN</stp>
        <stp>ACT_EST_MAPPING=PRECISE</stp>
        <stp>FS=MRC</stp>
        <stp>CURRENCY=USD</stp>
        <stp>XLFILL=b</stp>
        <tr r="AB29" s="2"/>
      </tp>
      <tp>
        <v>-680.875</v>
        <stp/>
        <stp>##V3_BQLV12</stp>
        <stp>[MODL_CRM_US1.xlsx]Single Period!R166C5</stp>
        <stp>CRM US Equity</stp>
        <stp>CF_CHANGE_IN_OPER_LEASE_LIBLTS/1M</stp>
        <stp>FPR=2022Y</stp>
        <stp>FPT=A</stp>
        <stp>FA_ACT_EST_DATA=E</stp>
        <stp>ACT_EST_MAPPING=PRECISE</stp>
        <stp>FS=MRC</stp>
        <stp>CURRENCY=USD</stp>
        <stp>XLFILL=b</stp>
        <tr r="E166" s="2"/>
      </tp>
      <tp t="s">
        <v/>
        <stp/>
        <stp>##V3_BQLV12</stp>
        <stp>[MODL_CRM_US1.xlsx]Single Period!R156C44</stp>
        <stp>CRM US Equity</stp>
        <stp>CF_DEPR_AMORT/1M</stp>
        <stp>FPR=2022Y</stp>
        <stp>FPT=A</stp>
        <stp>FA_ACT_EST_DATA=E, EST_SOURCE=RWB</stp>
        <stp>ACT_EST_MAPPING=PRECISE</stp>
        <stp>FS=MRC</stp>
        <stp>CURRENCY=USD</stp>
        <stp>XLFILL=b</stp>
        <tr r="AR156" s="2"/>
      </tp>
      <tp t="s">
        <v/>
        <stp/>
        <stp>##V3_BQLV12</stp>
        <stp>[MODL_CRM_US1.xlsx]Single Period!R140C25</stp>
        <stp>CRM US Equity</stp>
        <stp>BS_ACCUMULATED_OTHER_COMP_INC/1M</stp>
        <stp>FPR=2022Y</stp>
        <stp>FPT=A</stp>
        <stp>FA_ACT_EST_DATA=E, EST_SOURCE=WMS</stp>
        <stp>ACT_EST_MAPPING=PRECISE</stp>
        <stp>FS=MRC</stp>
        <stp>CURRENCY=USD</stp>
        <stp>XLFILL=b</stp>
        <tr r="Y140" s="2"/>
      </tp>
      <tp t="s">
        <v/>
        <stp/>
        <stp>##V3_BQLV12</stp>
        <stp>[MODL_CRM_US1.xlsx]Single Period!R83C30</stp>
        <stp>CRM US Equity</stp>
        <stp>IS_OPEX_R_AND_D_GAAP/1M</stp>
        <stp>FPR=2022Y</stp>
        <stp>FPT=A</stp>
        <stp>FA_ACT_EST_DATA=E, EST_SOURCE=BAM</stp>
        <stp>ACT_EST_MAPPING=PRECISE</stp>
        <stp>FS=MRC</stp>
        <stp>CURRENCY=USD</stp>
        <stp>XLFILL=b</stp>
        <tr r="AD83" s="2"/>
      </tp>
      <tp>
        <v>4476.0092741799162</v>
        <stp/>
        <stp>##V3_BQLV12</stp>
        <stp>[MODL_CRM_US1.xlsx]Single Period!R83C13</stp>
        <stp>CRM US Equity</stp>
        <stp>IS_OPEX_R_AND_D_GAAP/1M</stp>
        <stp>FPR=2022Y</stp>
        <stp>FPT=A</stp>
        <stp>FA_ACT_EST_DATA=E, EST_SOURCE=BCA</stp>
        <stp>ACT_EST_MAPPING=PRECISE</stp>
        <stp>FS=MRC</stp>
        <stp>CURRENCY=USD</stp>
        <stp>XLFILL=b</stp>
        <tr r="M83" s="2"/>
      </tp>
      <tp t="s">
        <v/>
        <stp/>
        <stp>##V3_BQLV12</stp>
        <stp>[MODL_CRM_US1.xlsx]Single Period!R38C43</stp>
        <stp>SEG0000269228 Segment</stp>
        <stp>SALES_REV_TURN/1M</stp>
        <stp>FPR=2022Y</stp>
        <stp>FPT=A</stp>
        <stp>FA_ACT_EST_DATA=E, EST_SOURCE=DWI</stp>
        <stp>ACT_EST_MAPPING=PRECISE</stp>
        <stp>FS=MRC</stp>
        <stp>CURRENCY=USD</stp>
        <stp>XLFILL=b</stp>
        <tr r="AQ38" s="2"/>
      </tp>
      <tp t="s">
        <v/>
        <stp/>
        <stp>##V3_BQLV12</stp>
        <stp>[MODL_CRM_US1.xlsx]Single Period!R29C44</stp>
        <stp>SEG0000269233 Segment</stp>
        <stp>SALES_REV_TURN/1M</stp>
        <stp>FPR=2022Y</stp>
        <stp>FPT=A</stp>
        <stp>FA_ACT_EST_DATA=E, EST_SOURCE=RWB</stp>
        <stp>ACT_EST_MAPPING=PRECISE</stp>
        <stp>FS=MRC</stp>
        <stp>CURRENCY=USD</stp>
        <stp>XLFILL=b</stp>
        <tr r="AR29" s="2"/>
      </tp>
      <tp t="s">
        <v/>
        <stp/>
        <stp>##V3_BQLV12</stp>
        <stp>[MODL_CRM_US1.xlsx]Single Period!R123C13</stp>
        <stp>CRM US Equity</stp>
        <stp>TOT_OPER_LEA_RT_OF_USE_ASSETS/1M</stp>
        <stp>FPR=2022Y</stp>
        <stp>FPT=A</stp>
        <stp>FA_ACT_EST_DATA=E, EST_SOURCE=BCA</stp>
        <stp>ACT_EST_MAPPING=PRECISE</stp>
        <stp>FS=MRC</stp>
        <stp>CURRENCY=USD</stp>
        <stp>XLFILL=b</stp>
        <tr r="M123" s="2"/>
      </tp>
      <tp>
        <v>1606.6462815</v>
        <stp/>
        <stp>##V3_BQLV12</stp>
        <stp>[MODL_CRM_US1.xlsx]Single Period!R65C26</stp>
        <stp>CRM US Equity</stp>
        <stp>IS_AMORT_OF_TOT_INTANG_PRETX/1M</stp>
        <stp>FPR=2022Y</stp>
        <stp>FPT=A</stp>
        <stp>FA_ACT_EST_DATA=E, EST_SOURCE=KEY</stp>
        <stp>ACT_EST_MAPPING=PRECISE</stp>
        <stp>FS=MRC</stp>
        <stp>CURRENCY=USD</stp>
        <stp>XLFILL=b</stp>
        <tr r="Z65" s="2"/>
      </tp>
      <tp t="s">
        <v/>
        <stp/>
        <stp>##V3_BQLV12</stp>
        <stp>[MODL_CRM_US1.xlsx]Single Period!R48C43</stp>
        <stp>SEG0000269229 Segment</stp>
        <stp>SALES_REV_TURN/1M</stp>
        <stp>FPR=2022Y</stp>
        <stp>FPT=A</stp>
        <stp>FA_ACT_EST_DATA=E, EST_SOURCE=DWI</stp>
        <stp>ACT_EST_MAPPING=PRECISE</stp>
        <stp>FS=MRC</stp>
        <stp>CURRENCY=USD</stp>
        <stp>XLFILL=b</stp>
        <tr r="AQ48" s="2"/>
      </tp>
      <tp t="s">
        <v/>
        <stp/>
        <stp>##V3_BQLV12</stp>
        <stp>[MODL_CRM_US1.xlsx]Single Period!R156C23</stp>
        <stp>CRM US Equity</stp>
        <stp>CF_DEPR_AMORT/1M</stp>
        <stp>FPR=2022Y</stp>
        <stp>FPT=A</stp>
        <stp>FA_ACT_EST_DATA=E, EST_SOURCE=JPM</stp>
        <stp>ACT_EST_MAPPING=PRECISE</stp>
        <stp>FS=MRC</stp>
        <stp>CURRENCY=USD</stp>
        <stp>XLFILL=b</stp>
        <tr r="W156" s="2"/>
      </tp>
      <tp t="s">
        <v/>
        <stp/>
        <stp>##V3_BQLV12</stp>
        <stp>[MODL_CRM_US1.xlsx]Single Period!R123C55</stp>
        <stp>CRM US Equity</stp>
        <stp>TOT_OPER_LEA_RT_OF_USE_ASSETS/1M</stp>
        <stp>FPR=2022Y</stp>
        <stp>FPT=A</stp>
        <stp>FA_ACT_EST_DATA=E, EST_SOURCE=RED</stp>
        <stp>ACT_EST_MAPPING=PRECISE</stp>
        <stp>FS=MRC</stp>
        <stp>CURRENCY=USD</stp>
        <stp>XLFILL=b</stp>
        <tr r="BC123" s="2"/>
      </tp>
      <tp t="s">
        <v/>
        <stp/>
        <stp>##V3_BQLV12</stp>
        <stp>[MODL_CRM_US1.xlsx]Single Period!R48C28</stp>
        <stp>SEG0000269229 Segment</stp>
        <stp>SALES_REV_TURN/1M</stp>
        <stp>FPR=2022Y</stp>
        <stp>FPT=A</stp>
        <stp>FA_ACT_EST_DATA=E, EST_SOURCE=CWN</stp>
        <stp>ACT_EST_MAPPING=PRECISE</stp>
        <stp>FS=MRC</stp>
        <stp>CURRENCY=USD</stp>
        <stp>XLFILL=b</stp>
        <tr r="AB48" s="2"/>
      </tp>
      <tp t="s">
        <v/>
        <stp/>
        <stp>##V3_BQLV12</stp>
        <stp>[MODL_CRM_US1.xlsx]Single Period!R151C25</stp>
        <stp>CRM US Equity</stp>
        <stp>NON_CURRENT_FUTURE_REV_UNDER_CONTRACT/1M</stp>
        <stp>FPR=2022Y</stp>
        <stp>FPT=A</stp>
        <stp>FA_ACT_EST_DATA=E, EST_SOURCE=WMS</stp>
        <stp>ACT_EST_MAPPING=PRECISE</stp>
        <stp>FS=MRC</stp>
        <stp>CURRENCY=USD</stp>
        <stp>XLFILL=b</stp>
        <tr r="Y151" s="2"/>
      </tp>
      <tp t="s">
        <v/>
        <stp/>
        <stp>##V3_BQLV12</stp>
        <stp>[MODL_CRM_US1.xlsx]Single Period!R83C36</stp>
        <stp>CRM US Equity</stp>
        <stp>IS_OPEX_R_AND_D_GAAP/1M</stp>
        <stp>FPR=2022Y</stp>
        <stp>FPT=A</stp>
        <stp>FA_ACT_EST_DATA=E, EST_SOURCE=MAC</stp>
        <stp>ACT_EST_MAPPING=PRECISE</stp>
        <stp>FS=MRC</stp>
        <stp>CURRENCY=USD</stp>
        <stp>XLFILL=b</stp>
        <tr r="AJ83" s="2"/>
      </tp>
      <tp t="s">
        <v/>
        <stp/>
        <stp>##V3_BQLV12</stp>
        <stp>[MODL_CRM_US1.xlsx]Single Period!R38C28</stp>
        <stp>SEG0000269228 Segment</stp>
        <stp>SALES_REV_TURN/1M</stp>
        <stp>FPR=2022Y</stp>
        <stp>FPT=A</stp>
        <stp>FA_ACT_EST_DATA=E, EST_SOURCE=CWN</stp>
        <stp>ACT_EST_MAPPING=PRECISE</stp>
        <stp>FS=MRC</stp>
        <stp>CURRENCY=USD</stp>
        <stp>XLFILL=b</stp>
        <tr r="AB38" s="2"/>
      </tp>
      <tp t="s">
        <v/>
        <stp/>
        <stp>##V3_BQLV12</stp>
        <stp>[MODL_CRM_US1.xlsx]Single Period!R82C50</stp>
        <stp>CRM US Equity</stp>
        <stp>OPERATING_EXPENSES_TO_NET_SALES</stp>
        <stp>FPR=2022Y</stp>
        <stp>FPT=A</stp>
        <stp>FA_ACT_EST_DATA=E, EST_SOURCE=MZS</stp>
        <stp>ACT_EST_MAPPING=PRECISE</stp>
        <stp>FS=MRC</stp>
        <stp>CURRENCY=USD</stp>
        <stp>XLFILL=b</stp>
        <tr r="AX82" s="2"/>
      </tp>
      <tp t="s">
        <v/>
        <stp/>
        <stp>##V3_BQLV12</stp>
        <stp>[MODL_CRM_US1.xlsx]Single Period!R183C45</stp>
        <stp>CRM US Equity</stp>
        <stp>CASH_FLOW_PER_SH</stp>
        <stp>FPR=2022Y</stp>
        <stp>FPT=A</stp>
        <stp>FA_ACT_EST_DATA=E, EST_SOURCE=ARG</stp>
        <stp>ACT_EST_MAPPING=PRECISE</stp>
        <stp>FS=MRC</stp>
        <stp>CURRENCY=USD</stp>
        <stp>XLFILL=b</stp>
        <tr r="AS183" s="2"/>
      </tp>
      <tp t="s">
        <v>Wolfe Research</v>
        <stp/>
        <stp>##V3_BQLV12</stp>
        <stp>[MODL_CRM_US1.xlsx]Single Period!R3C47</stp>
        <stp>CRM US Equity</stp>
        <stp>LAST(IS_COMP_SALES(FA_ACT_EST_DATA=E, EST_SOURCE=WFT).firm_name)</stp>
        <stp>FPR=2022Y</stp>
        <stp>FPT=A</stp>
        <stp>ACT_EST_MAPPING=PRECISE</stp>
        <stp>FS=MRC</stp>
        <stp>CURRENCY=USD</stp>
        <stp>XLFILL=b</stp>
        <tr r="AU3" s="2"/>
      </tp>
      <tp t="s">
        <v>Wells Fargo</v>
        <stp/>
        <stp>##V3_BQLV12</stp>
        <stp>[MODL_CRM_US1.xlsx]Single Period!R3C52</stp>
        <stp>CRM US Equity</stp>
        <stp>LAST(IS_COMP_SALES(FA_ACT_EST_DATA=E, EST_SOURCE=WFR).firm_name)</stp>
        <stp>FPR=2022Y</stp>
        <stp>FPT=A</stp>
        <stp>ACT_EST_MAPPING=PRECISE</stp>
        <stp>FS=MRC</stp>
        <stp>CURRENCY=USD</stp>
        <stp>XLFILL=b</stp>
        <tr r="AZ3" s="2"/>
      </tp>
      <tp t="s">
        <v/>
        <stp/>
        <stp>##V3_BQLV12</stp>
        <stp>[MODL_CRM_US1.xlsx]Single Period!R166C42</stp>
        <stp>CRM US Equity</stp>
        <stp>CF_CHANGE_IN_OPER_LEASE_LIBLTS/1M</stp>
        <stp>FPR=2022Y</stp>
        <stp>FPT=A</stp>
        <stp>FA_ACT_EST_DATA=E, EST_SOURCE=PSG</stp>
        <stp>ACT_EST_MAPPING=PRECISE</stp>
        <stp>FS=MRC</stp>
        <stp>CURRENCY=USD</stp>
        <stp>XLFILL=b</stp>
        <tr r="AP166" s="2"/>
      </tp>
      <tp t="s">
        <v/>
        <stp/>
        <stp>##V3_BQLV12</stp>
        <stp>[MODL_CRM_US1.xlsx]Single Period!R188C33</stp>
        <stp>CRM US Equity</stp>
        <stp>BS_CASH_NEAR_CASH_ITEM/1M</stp>
        <stp>FPR=2022Y</stp>
        <stp>FPT=A</stp>
        <stp>FA_ACT_EST_DATA=E, EST_SOURCE=RHR</stp>
        <stp>ACT_EST_MAPPING=PRECISE</stp>
        <stp>FS=MRC</stp>
        <stp>CURRENCY=USD</stp>
        <stp>XLFILL=b</stp>
        <tr r="AG188" s="2"/>
      </tp>
      <tp t="s">
        <v/>
        <stp/>
        <stp>##V3_BQLV12</stp>
        <stp>[MODL_CRM_US1.xlsx]Single Period!R112C32</stp>
        <stp>CRM US Equity</stp>
        <stp>BS_CASH_NEAR_CASH_ITEM/1M</stp>
        <stp>FPR=2022Y</stp>
        <stp>FPT=A</stp>
        <stp>FA_ACT_EST_DATA=E, EST_SOURCE=UBS</stp>
        <stp>ACT_EST_MAPPING=PRECISE</stp>
        <stp>FS=MRC</stp>
        <stp>CURRENCY=USD</stp>
        <stp>XLFILL=b</stp>
        <tr r="AF112" s="2"/>
      </tp>
      <tp t="s">
        <v/>
        <stp/>
        <stp>##V3_BQLV12</stp>
        <stp>[MODL_CRM_US1.xlsx]Single Period!R166C38</stp>
        <stp>CRM US Equity</stp>
        <stp>CF_CHANGE_IN_OPER_LEASE_LIBLTS/1M</stp>
        <stp>FPR=2022Y</stp>
        <stp>FPT=A</stp>
        <stp>FA_ACT_EST_DATA=E, EST_SOURCE=MSR</stp>
        <stp>ACT_EST_MAPPING=PRECISE</stp>
        <stp>FS=MRC</stp>
        <stp>CURRENCY=USD</stp>
        <stp>XLFILL=b</stp>
        <tr r="AL166" s="2"/>
      </tp>
      <tp t="s">
        <v/>
        <stp/>
        <stp>##V3_BQLV12</stp>
        <stp>[MODL_CRM_US1.xlsx]Single Period!R166C41</stp>
        <stp>CRM US Equity</stp>
        <stp>CF_CHANGE_IN_OPER_LEASE_LIBLTS/1M</stp>
        <stp>FPR=2022Y</stp>
        <stp>FPT=A</stp>
        <stp>FA_ACT_EST_DATA=E, EST_SOURCE=GSR</stp>
        <stp>ACT_EST_MAPPING=PRECISE</stp>
        <stp>FS=MRC</stp>
        <stp>CURRENCY=USD</stp>
        <stp>XLFILL=b</stp>
        <tr r="AO166" s="2"/>
      </tp>
      <tp t="s">
        <v/>
        <stp/>
        <stp>##V3_BQLV12</stp>
        <stp>[MODL_CRM_US1.xlsx]Single Period!R112C11</stp>
        <stp>CRM US Equity</stp>
        <stp>BS_CASH_NEAR_CASH_ITEM/1M</stp>
        <stp>FPR=2022Y</stp>
        <stp>FPT=A</stp>
        <stp>FA_ACT_EST_DATA=E, EST_SOURCE=WBL</stp>
        <stp>ACT_EST_MAPPING=PRECISE</stp>
        <stp>FS=MRC</stp>
        <stp>CURRENCY=USD</stp>
        <stp>XLFILL=b</stp>
        <tr r="K112" s="2"/>
      </tp>
      <tp>
        <v>1.3</v>
        <stp/>
        <stp>##V3_BQLV12</stp>
        <stp>[MODL_CRM_US1.xlsx]Single Period!R95C18</stp>
        <stp>CRM US Equity</stp>
        <stp>IS_COMP_EPS_GAAP</stp>
        <stp>FPR=2022Y</stp>
        <stp>FPT=A</stp>
        <stp>FA_ACT_EST_DATA=E, EST_SOURCE=CAN</stp>
        <stp>ACT_EST_MAPPING=PRECISE</stp>
        <stp>FS=MRC</stp>
        <stp>CURRENCY=USD</stp>
        <stp>XLFILL=b</stp>
        <tr r="R95" s="2"/>
      </tp>
      <tp t="s">
        <v/>
        <stp/>
        <stp>##V3_BQLV12</stp>
        <stp>[MODL_CRM_US1.xlsx]Single Period!R166C15</stp>
        <stp>CRM US Equity</stp>
        <stp>CF_CHANGE_IN_OPER_LEASE_LIBLTS/1M</stp>
        <stp>FPR=2022Y</stp>
        <stp>FPT=A</stp>
        <stp>FA_ACT_EST_DATA=E, EST_SOURCE=MSV</stp>
        <stp>ACT_EST_MAPPING=PRECISE</stp>
        <stp>FS=MRC</stp>
        <stp>CURRENCY=USD</stp>
        <stp>XLFILL=b</stp>
        <tr r="O166" s="2"/>
      </tp>
      <tp>
        <v>6221.5710327355901</v>
        <stp/>
        <stp>##V3_BQLV12</stp>
        <stp>[MODL_CRM_US1.xlsx]Single Period!R112C16</stp>
        <stp>CRM US Equity</stp>
        <stp>BS_CASH_NEAR_CASH_ITEM/1M</stp>
        <stp>FPR=2022Y</stp>
        <stp>FPT=A</stp>
        <stp>FA_ACT_EST_DATA=E, EST_SOURCE=DBG</stp>
        <stp>ACT_EST_MAPPING=PRECISE</stp>
        <stp>FS=MRC</stp>
        <stp>CURRENCY=USD</stp>
        <stp>XLFILL=b</stp>
        <tr r="P112" s="2"/>
      </tp>
      <tp>
        <v>12028.51475716339</v>
        <stp/>
        <stp>##V3_BQLV12</stp>
        <stp>[MODL_CRM_US1.xlsx]Single Period!R112C24</stp>
        <stp>CRM US Equity</stp>
        <stp>BS_CASH_NEAR_CASH_ITEM/1M</stp>
        <stp>FPR=2022Y</stp>
        <stp>FPT=A</stp>
        <stp>FA_ACT_EST_DATA=E, EST_SOURCE=FBC</stp>
        <stp>ACT_EST_MAPPING=PRECISE</stp>
        <stp>FS=MRC</stp>
        <stp>CURRENCY=USD</stp>
        <stp>XLFILL=b</stp>
        <tr r="X112" s="2"/>
      </tp>
      <tp t="s">
        <v/>
        <stp/>
        <stp>##V3_BQLV12</stp>
        <stp>[MODL_CRM_US1.xlsx]Single Period!R112C31</stp>
        <stp>CRM US Equity</stp>
        <stp>BS_CASH_NEAR_CASH_ITEM/1M</stp>
        <stp>FPR=2022Y</stp>
        <stp>FPT=A</stp>
        <stp>FA_ACT_EST_DATA=E, EST_SOURCE=RBC</stp>
        <stp>ACT_EST_MAPPING=PRECISE</stp>
        <stp>FS=MRC</stp>
        <stp>CURRENCY=USD</stp>
        <stp>XLFILL=b</stp>
        <tr r="AE112" s="2"/>
      </tp>
      <tp t="s">
        <v/>
        <stp/>
        <stp>##V3_BQLV12</stp>
        <stp>[MODL_CRM_US1.xlsx]Single Period!R93C49</stp>
        <stp>CRM US Equity</stp>
        <stp>IS_AVG_NUM_SH_FOR_EPS/1M</stp>
        <stp>FPR=2022Y</stp>
        <stp>FPT=A</stp>
        <stp>FA_ACT_EST_DATA=E, EST_SOURCE=SGE</stp>
        <stp>ACT_EST_MAPPING=PRECISE</stp>
        <stp>FS=MRC</stp>
        <stp>CURRENCY=USD</stp>
        <stp>XLFILL=b</stp>
        <tr r="AW93" s="2"/>
      </tp>
      <tp t="s">
        <v/>
        <stp/>
        <stp>##V3_BQLV12</stp>
        <stp>[MODL_CRM_US1.xlsx]Single Period!R63C42</stp>
        <stp>CRM US Equity</stp>
        <stp>CF_DEPR_AMORT/1M</stp>
        <stp>FPR=2022Y</stp>
        <stp>FPT=A</stp>
        <stp>FA_ACT_EST_DATA=E, EST_SOURCE=PSG</stp>
        <stp>ACT_EST_MAPPING=PRECISE</stp>
        <stp>FS=MRC</stp>
        <stp>CURRENCY=USD</stp>
        <stp>XLFILL=b</stp>
        <tr r="AP63" s="2"/>
      </tp>
      <tp t="s">
        <v/>
        <stp/>
        <stp>##V3_BQLV12</stp>
        <stp>[MODL_CRM_US1.xlsx]Single Period!R131C38</stp>
        <stp>CRM US Equity</stp>
        <stp>ST_DEFERRED_REVENUE/1M</stp>
        <stp>FPR=2022Y</stp>
        <stp>FPT=A</stp>
        <stp>FA_ACT_EST_DATA=E, EST_SOURCE=MSR</stp>
        <stp>ACT_EST_MAPPING=PRECISE</stp>
        <stp>FS=MRC</stp>
        <stp>CURRENCY=USD</stp>
        <stp>XLFILL=b</stp>
        <tr r="AL131" s="2"/>
      </tp>
      <tp>
        <v>57638.793911478249</v>
        <stp/>
        <stp>##V3_BQLV12</stp>
        <stp>[MODL_CRM_US1.xlsx]Single Period!R137C13</stp>
        <stp>CRM US Equity</stp>
        <stp>BS_EQTY_BEFORE_MINORITY_INT/1M</stp>
        <stp>FPR=2022Y</stp>
        <stp>FPT=A</stp>
        <stp>FA_ACT_EST_DATA=E, EST_SOURCE=BCA</stp>
        <stp>ACT_EST_MAPPING=PRECISE</stp>
        <stp>FS=MRC</stp>
        <stp>CURRENCY=USD</stp>
        <stp>XLFILL=b</stp>
        <tr r="M137" s="2"/>
      </tp>
      <tp>
        <v>26396</v>
        <stp/>
        <stp>##V3_BQLV12</stp>
        <stp>[MODL_CRM_US1.xlsx]Single Period!R52C36</stp>
        <stp>CRM US Equity</stp>
        <stp>IS_COMP_SALES/1M</stp>
        <stp>FPR=2022Y</stp>
        <stp>FPT=A</stp>
        <stp>FA_ACT_EST_DATA=E, EST_SOURCE=MAC</stp>
        <stp>ACT_EST_MAPPING=PRECISE</stp>
        <stp>FS=MRC</stp>
        <stp>CURRENCY=USD</stp>
        <stp>XLFILL=b</stp>
        <tr r="AJ52" s="2"/>
      </tp>
      <tp t="s">
        <v/>
        <stp/>
        <stp>##V3_BQLV12</stp>
        <stp>[MODL_CRM_US1.xlsx]Single Period!R122C56</stp>
        <stp>CRM US Equity</stp>
        <stp>BS_GOODWILL/1M</stp>
        <stp>FPR=2022Y</stp>
        <stp>FPT=A</stp>
        <stp>FA_ACT_EST_DATA=E, EST_SOURCE=DIR</stp>
        <stp>ACT_EST_MAPPING=PRECISE</stp>
        <stp>FS=MRC</stp>
        <stp>CURRENCY=USD</stp>
        <stp>XLFILL=b</stp>
        <tr r="BD122" s="2"/>
      </tp>
      <tp t="s">
        <v/>
        <stp/>
        <stp>##V3_BQLV12</stp>
        <stp>[MODL_CRM_US1.xlsx]Single Period!R137C19</stp>
        <stp>CRM US Equity</stp>
        <stp>BS_EQTY_BEFORE_MINORITY_INT/1M</stp>
        <stp>FPR=2022Y</stp>
        <stp>FPT=A</stp>
        <stp>FA_ACT_EST_DATA=E, EST_SOURCE=SCB</stp>
        <stp>ACT_EST_MAPPING=PRECISE</stp>
        <stp>FS=MRC</stp>
        <stp>CURRENCY=USD</stp>
        <stp>XLFILL=b</stp>
        <tr r="S137" s="2"/>
      </tp>
      <tp>
        <v>976</v>
        <stp/>
        <stp>##V3_BQLV12</stp>
        <stp>[MODL_CRM_US1.xlsx]Single Period!R73C21</stp>
        <stp>CRM US Equity</stp>
        <stp>IS_SH_FOR_DILUTED_EPS/1M</stp>
        <stp>FPR=2022Y</stp>
        <stp>FPT=A</stp>
        <stp>FA_ACT_EST_DATA=E, EST_SOURCE=RJA</stp>
        <stp>ACT_EST_MAPPING=PRECISE</stp>
        <stp>FS=MRC</stp>
        <stp>CURRENCY=USD</stp>
        <stp>XLFILL=b</stp>
        <tr r="U73" s="2"/>
      </tp>
      <tp t="s">
        <v/>
        <stp/>
        <stp>##V3_BQLV12</stp>
        <stp>[MODL_CRM_US1.xlsx]Single Period!R12C42</stp>
        <stp>CRM US Equity</stp>
        <stp>TOT_FUTURE_REV_UNDER_CONTRACT/1M</stp>
        <stp>FPR=2022Y</stp>
        <stp>FPT=A</stp>
        <stp>FA_ACT_EST_DATA=E, EST_SOURCE=PSG</stp>
        <stp>ACT_EST_MAPPING=PRECISE</stp>
        <stp>FS=MRC</stp>
        <stp>CURRENCY=USD</stp>
        <stp>XLFILL=b</stp>
        <tr r="AP12" s="2"/>
      </tp>
      <tp>
        <v>15834.4722</v>
        <stp/>
        <stp>##V3_BQLV12</stp>
        <stp>[MODL_CRM_US1.xlsx]Single Period!R131C15</stp>
        <stp>CRM US Equity</stp>
        <stp>ST_DEFERRED_REVENUE/1M</stp>
        <stp>FPR=2022Y</stp>
        <stp>FPT=A</stp>
        <stp>FA_ACT_EST_DATA=E, EST_SOURCE=MSV</stp>
        <stp>ACT_EST_MAPPING=PRECISE</stp>
        <stp>FS=MRC</stp>
        <stp>CURRENCY=USD</stp>
        <stp>XLFILL=b</stp>
        <tr r="O131" s="2"/>
      </tp>
      <tp t="s">
        <v/>
        <stp/>
        <stp>##V3_BQLV12</stp>
        <stp>[MODL_CRM_US1.xlsx]Single Period!R114C37</stp>
        <stp>CRM US Equity</stp>
        <stp>BS_ACCTS_REC_EXCL_NOTES_REC/1M</stp>
        <stp>FPR=2022Y</stp>
        <stp>FPT=A</stp>
        <stp>FA_ACT_EST_DATA=E, EST_SOURCE=EVR</stp>
        <stp>ACT_EST_MAPPING=PRECISE</stp>
        <stp>FS=MRC</stp>
        <stp>CURRENCY=USD</stp>
        <stp>XLFILL=b</stp>
        <tr r="AK114" s="2"/>
      </tp>
      <tp t="s">
        <v/>
        <stp/>
        <stp>##V3_BQLV12</stp>
        <stp>[MODL_CRM_US1.xlsx]Single Period!R131C41</stp>
        <stp>CRM US Equity</stp>
        <stp>ST_DEFERRED_REVENUE/1M</stp>
        <stp>FPR=2022Y</stp>
        <stp>FPT=A</stp>
        <stp>FA_ACT_EST_DATA=E, EST_SOURCE=GSR</stp>
        <stp>ACT_EST_MAPPING=PRECISE</stp>
        <stp>FS=MRC</stp>
        <stp>CURRENCY=USD</stp>
        <stp>XLFILL=b</stp>
        <tr r="AO131" s="2"/>
      </tp>
      <tp t="s">
        <v/>
        <stp/>
        <stp>##V3_BQLV12</stp>
        <stp>[MODL_CRM_US1.xlsx]Single Period!R137C40</stp>
        <stp>CRM US Equity</stp>
        <stp>BS_EQTY_BEFORE_MINORITY_INT/1M</stp>
        <stp>FPR=2022Y</stp>
        <stp>FPT=A</stp>
        <stp>FA_ACT_EST_DATA=E, EST_SOURCE=ACC</stp>
        <stp>ACT_EST_MAPPING=PRECISE</stp>
        <stp>FS=MRC</stp>
        <stp>CURRENCY=USD</stp>
        <stp>XLFILL=b</stp>
        <tr r="AN137" s="2"/>
      </tp>
      <tp t="s">
        <v/>
        <stp/>
        <stp>##V3_BQLV12</stp>
        <stp>[MODL_CRM_US1.xlsx]Single Period!R134C37</stp>
        <stp>CRM US Equity</stp>
        <stp>BS_LT_OPERATING_LEASE_LIABS/1M</stp>
        <stp>FPR=2022Y</stp>
        <stp>FPT=A</stp>
        <stp>FA_ACT_EST_DATA=E, EST_SOURCE=EVR</stp>
        <stp>ACT_EST_MAPPING=PRECISE</stp>
        <stp>FS=MRC</stp>
        <stp>CURRENCY=USD</stp>
        <stp>XLFILL=b</stp>
        <tr r="AK134" s="2"/>
      </tp>
      <tp>
        <v>1.35</v>
        <stp/>
        <stp>##V3_BQLV12</stp>
        <stp>[MODL_CRM_US1.xlsx]Single Period!R95C7</stp>
        <stp>CRM US Equity</stp>
        <stp>CONTRIBUTOR_STATS(IS_COMP_EPS_GAAP, MAX)</stp>
        <stp>FPR=2022Y</stp>
        <stp>FPT=A</stp>
        <stp>FA_ACT_EST_DATA=E</stp>
        <stp>ACT_EST_MAPPING=PRECISE</stp>
        <stp>FS=MRC</stp>
        <stp>CURRENCY=USD</stp>
        <stp>XLFILL=b</stp>
        <tr r="G95" s="2"/>
      </tp>
      <tp t="s">
        <v/>
        <stp/>
        <stp>##V3_BQLV12</stp>
        <stp>[MODL_CRM_US1.xlsx]Single Period!R132C23</stp>
        <stp>CRM US Equity</stp>
        <stp>BS_ADJ_TOTAL_LT_LIABILITIES/1M</stp>
        <stp>FPR=2022Y</stp>
        <stp>FPT=A</stp>
        <stp>FA_ACT_EST_DATA=E, EST_SOURCE=JPM</stp>
        <stp>ACT_EST_MAPPING=PRECISE</stp>
        <stp>FS=MRC</stp>
        <stp>CURRENCY=USD</stp>
        <stp>XLFILL=b</stp>
        <tr r="W132" s="2"/>
      </tp>
      <tp t="s">
        <v/>
        <stp/>
        <stp>##V3_BQLV12</stp>
        <stp>[MODL_CRM_US1.xlsx]Single Period!R63C35</stp>
        <stp>CRM US Equity</stp>
        <stp>CF_DEPR_AMORT/1M</stp>
        <stp>FPR=2022Y</stp>
        <stp>FPT=A</stp>
        <stp>FA_ACT_EST_DATA=E, EST_SOURCE=ATL</stp>
        <stp>ACT_EST_MAPPING=PRECISE</stp>
        <stp>FS=MRC</stp>
        <stp>CURRENCY=USD</stp>
        <stp>XLFILL=b</stp>
        <tr r="AI63" s="2"/>
      </tp>
      <tp t="s">
        <v/>
        <stp/>
        <stp>##V3_BQLV12</stp>
        <stp>[MODL_CRM_US1.xlsx]Single Period!R14C20</stp>
        <stp>CRM US Equity</stp>
        <stp>NON_CURRENT_FUTURE_REV_UNDER_CONTRACT/1M</stp>
        <stp>FPR=2022Y</stp>
        <stp>FPT=A</stp>
        <stp>FA_ACT_EST_DATA=E, EST_SOURCE=JMP</stp>
        <stp>ACT_EST_MAPPING=PRECISE</stp>
        <stp>FS=MRC</stp>
        <stp>CURRENCY=USD</stp>
        <stp>XLFILL=b</stp>
        <tr r="T14" s="2"/>
      </tp>
      <tp>
        <v>5932</v>
        <stp/>
        <stp>##V3_BQLV12</stp>
        <stp>[MODL_CRM_US1.xlsx]Single Period!R68C33</stp>
        <stp>CRM US Equity</stp>
        <stp>IS_COMP_PTP_EX_STK_BASED_COMP/1M</stp>
        <stp>FPR=2022Y</stp>
        <stp>FPT=A</stp>
        <stp>FA_ACT_EST_DATA=E, EST_SOURCE=RHR</stp>
        <stp>ACT_EST_MAPPING=PRECISE</stp>
        <stp>FS=MRC</stp>
        <stp>CURRENCY=USD</stp>
        <stp>XLFILL=b</stp>
        <tr r="AG68" s="2"/>
      </tp>
      <tp t="s">
        <v/>
        <stp/>
        <stp>##V3_BQLV12</stp>
        <stp>[MODL_CRM_US1.xlsx]Single Period!R93C39</stp>
        <stp>CRM US Equity</stp>
        <stp>IS_AVG_NUM_SH_FOR_EPS/1M</stp>
        <stp>FPR=2022Y</stp>
        <stp>FPT=A</stp>
        <stp>FA_ACT_EST_DATA=E, EST_SOURCE=KGI</stp>
        <stp>ACT_EST_MAPPING=PRECISE</stp>
        <stp>FS=MRC</stp>
        <stp>CURRENCY=USD</stp>
        <stp>XLFILL=b</stp>
        <tr r="AM93" s="2"/>
      </tp>
      <tp t="s">
        <v/>
        <stp/>
        <stp>##V3_BQLV12</stp>
        <stp>[MODL_CRM_US1.xlsx]Single Period!R98C52</stp>
        <stp>CRM US Equity</stp>
        <stp>IS_INC_TAX_EFFECT_NONGAAP_REC/1M</stp>
        <stp>FPR=2022Y</stp>
        <stp>FPT=A</stp>
        <stp>FA_ACT_EST_DATA=E, EST_SOURCE=WFR</stp>
        <stp>ACT_EST_MAPPING=PRECISE</stp>
        <stp>FS=MRC</stp>
        <stp>CURRENCY=USD</stp>
        <stp>XLFILL=b</stp>
        <tr r="AZ98" s="2"/>
      </tp>
      <tp t="s">
        <v/>
        <stp/>
        <stp>##V3_BQLV12</stp>
        <stp>[MODL_CRM_US1.xlsx]Single Period!R12C35</stp>
        <stp>CRM US Equity</stp>
        <stp>TOT_FUTURE_REV_UNDER_CONTRACT/1M</stp>
        <stp>FPR=2022Y</stp>
        <stp>FPT=A</stp>
        <stp>FA_ACT_EST_DATA=E, EST_SOURCE=ATL</stp>
        <stp>ACT_EST_MAPPING=PRECISE</stp>
        <stp>FS=MRC</stp>
        <stp>CURRENCY=USD</stp>
        <stp>XLFILL=b</stp>
        <tr r="AI12" s="2"/>
      </tp>
      <tp>
        <v>20739.943312719151</v>
        <stp/>
        <stp>##V3_BQLV12</stp>
        <stp>[MODL_CRM_US1.xlsx]Single Period!R16C5</stp>
        <stp>CRM US Equity</stp>
        <stp>IS_ADJ_GROSS_PROFIT_AS_REPORTED/1M</stp>
        <stp>FPR=2022Y</stp>
        <stp>FPT=A</stp>
        <stp>FA_ACT_EST_DATA=E</stp>
        <stp>ACT_EST_MAPPING=PRECISE</stp>
        <stp>FS=MRC</stp>
        <stp>CURRENCY=USD</stp>
        <stp>XLFILL=b</stp>
        <tr r="E16" s="2"/>
      </tp>
      <tp t="s">
        <v/>
        <stp/>
        <stp>##V3_BQLV12</stp>
        <stp>[MODL_CRM_US1.xlsx]Single Period!R137C27</stp>
        <stp>CRM US Equity</stp>
        <stp>BS_EQTY_BEFORE_MINORITY_INT/1M</stp>
        <stp>FPR=2022Y</stp>
        <stp>FPT=A</stp>
        <stp>FA_ACT_EST_DATA=E, EST_SOURCE=LCM</stp>
        <stp>ACT_EST_MAPPING=PRECISE</stp>
        <stp>FS=MRC</stp>
        <stp>CURRENCY=USD</stp>
        <stp>XLFILL=b</stp>
        <tr r="AA137" s="2"/>
      </tp>
      <tp>
        <v>26394</v>
        <stp/>
        <stp>##V3_BQLV12</stp>
        <stp>[MODL_CRM_US1.xlsx]Single Period!R52C29</stp>
        <stp>CRM US Equity</stp>
        <stp>IS_COMP_SALES/1M</stp>
        <stp>FPR=2022Y</stp>
        <stp>FPT=A</stp>
        <stp>FA_ACT_EST_DATA=E, EST_SOURCE=BNS</stp>
        <stp>ACT_EST_MAPPING=PRECISE</stp>
        <stp>FS=MRC</stp>
        <stp>CURRENCY=USD</stp>
        <stp>XLFILL=b</stp>
        <tr r="AC52" s="2"/>
      </tp>
      <tp t="s">
        <v/>
        <stp/>
        <stp>##V3_BQLV12</stp>
        <stp>[MODL_CRM_US1.xlsx]Single Period!R131C42</stp>
        <stp>CRM US Equity</stp>
        <stp>ST_DEFERRED_REVENUE/1M</stp>
        <stp>FPR=2022Y</stp>
        <stp>FPT=A</stp>
        <stp>FA_ACT_EST_DATA=E, EST_SOURCE=PSG</stp>
        <stp>ACT_EST_MAPPING=PRECISE</stp>
        <stp>FS=MRC</stp>
        <stp>CURRENCY=USD</stp>
        <stp>XLFILL=b</stp>
        <tr r="AP131" s="2"/>
      </tp>
      <tp t="s">
        <v/>
        <stp/>
        <stp>##V3_BQLV12</stp>
        <stp>[MODL_CRM_US1.xlsx]Single Period!R98C27</stp>
        <stp>CRM US Equity</stp>
        <stp>IS_INC_TAX_EFFECT_NONGAAP_REC/1M</stp>
        <stp>FPR=2022Y</stp>
        <stp>FPT=A</stp>
        <stp>FA_ACT_EST_DATA=E, EST_SOURCE=LCM</stp>
        <stp>ACT_EST_MAPPING=PRECISE</stp>
        <stp>FS=MRC</stp>
        <stp>CURRENCY=USD</stp>
        <stp>XLFILL=b</stp>
        <tr r="AA98" s="2"/>
      </tp>
      <tp t="s">
        <v/>
        <stp/>
        <stp>##V3_BQLV12</stp>
        <stp>[MODL_CRM_US1.xlsx]Single Period!R12C37</stp>
        <stp>CRM US Equity</stp>
        <stp>TOT_FUTURE_REV_UNDER_CONTRACT/1M</stp>
        <stp>FPR=2022Y</stp>
        <stp>FPT=A</stp>
        <stp>FA_ACT_EST_DATA=E, EST_SOURCE=EVR</stp>
        <stp>ACT_EST_MAPPING=PRECISE</stp>
        <stp>FS=MRC</stp>
        <stp>CURRENCY=USD</stp>
        <stp>XLFILL=b</stp>
        <tr r="AK12" s="2"/>
      </tp>
      <tp t="s">
        <v/>
        <stp/>
        <stp>##V3_BQLV12</stp>
        <stp>[MODL_CRM_US1.xlsx]Single Period!R63C37</stp>
        <stp>CRM US Equity</stp>
        <stp>CF_DEPR_AMORT/1M</stp>
        <stp>FPR=2022Y</stp>
        <stp>FPT=A</stp>
        <stp>FA_ACT_EST_DATA=E, EST_SOURCE=EVR</stp>
        <stp>ACT_EST_MAPPING=PRECISE</stp>
        <stp>FS=MRC</stp>
        <stp>CURRENCY=USD</stp>
        <stp>XLFILL=b</stp>
        <tr r="AK63" s="2"/>
      </tp>
      <tp t="s">
        <v/>
        <stp/>
        <stp>##V3_BQLV12</stp>
        <stp>[MODL_CRM_US1.xlsx]Single Period!R137C51</stp>
        <stp>CRM US Equity</stp>
        <stp>BS_EQTY_BEFORE_MINORITY_INT/1M</stp>
        <stp>FPR=2022Y</stp>
        <stp>FPT=A</stp>
        <stp>FA_ACT_EST_DATA=E, EST_SOURCE=RCP</stp>
        <stp>ACT_EST_MAPPING=PRECISE</stp>
        <stp>FS=MRC</stp>
        <stp>CURRENCY=USD</stp>
        <stp>XLFILL=b</stp>
        <tr r="AY137" s="2"/>
      </tp>
      <tp t="s">
        <v/>
        <stp/>
        <stp>##V3_BQLV12</stp>
        <stp>[MODL_CRM_US1.xlsx]Single Period!R130C37</stp>
        <stp>CRM US Equity</stp>
        <stp>BS_ST_OPERATING_LEASE_LIABS/1M</stp>
        <stp>FPR=2022Y</stp>
        <stp>FPT=A</stp>
        <stp>FA_ACT_EST_DATA=E, EST_SOURCE=EVR</stp>
        <stp>ACT_EST_MAPPING=PRECISE</stp>
        <stp>FS=MRC</stp>
        <stp>CURRENCY=USD</stp>
        <stp>XLFILL=b</stp>
        <tr r="AK130" s="2"/>
      </tp>
      <tp t="s">
        <v/>
        <stp/>
        <stp>##V3_BQLV12</stp>
        <stp>[MODL_CRM_US1.xlsx]Single Period!R73C33</stp>
        <stp>CRM US Equity</stp>
        <stp>IS_SH_FOR_DILUTED_EPS/1M</stp>
        <stp>FPR=2022Y</stp>
        <stp>FPT=A</stp>
        <stp>FA_ACT_EST_DATA=E, EST_SOURCE=RHR</stp>
        <stp>ACT_EST_MAPPING=PRECISE</stp>
        <stp>FS=MRC</stp>
        <stp>CURRENCY=USD</stp>
        <stp>XLFILL=b</stp>
        <tr r="AG73" s="2"/>
      </tp>
      <tp t="s">
        <v/>
        <stp/>
        <stp>##V3_BQLV12</stp>
        <stp>[MODL_CRM_US1.xlsx]Single Period!R110C21</stp>
        <stp>CRM US Equity</stp>
        <stp>BS_CUR_ASSET_REPORT/1M</stp>
        <stp>FPR=2022Y</stp>
        <stp>FPT=A</stp>
        <stp>FA_ACT_EST_DATA=E, EST_SOURCE=RJA</stp>
        <stp>ACT_EST_MAPPING=PRECISE</stp>
        <stp>FS=MRC</stp>
        <stp>CURRENCY=USD</stp>
        <stp>XLFILL=b</stp>
        <tr r="U110" s="2"/>
      </tp>
      <tp t="s">
        <v/>
        <stp/>
        <stp>##V3_BQLV12</stp>
        <stp>[MODL_CRM_US1.xlsx]Single Period!R98C16</stp>
        <stp>CRM US Equity</stp>
        <stp>IS_INC_TAX_EFFECT_NONGAAP_REC/1M</stp>
        <stp>FPR=2022Y</stp>
        <stp>FPT=A</stp>
        <stp>FA_ACT_EST_DATA=E, EST_SOURCE=DBG</stp>
        <stp>ACT_EST_MAPPING=PRECISE</stp>
        <stp>FS=MRC</stp>
        <stp>CURRENCY=USD</stp>
        <stp>XLFILL=b</stp>
        <tr r="P98" s="2"/>
      </tp>
      <tp t="s">
        <v/>
        <stp/>
        <stp>##V3_BQLV12</stp>
        <stp>[MODL_CRM_US1.xlsx]Single Period!R117C35</stp>
        <stp>CRM US Equity</stp>
        <stp>BS_TOTAL_NON_CURRENT_ASSETS/1M</stp>
        <stp>FPR=2022Y</stp>
        <stp>FPT=A</stp>
        <stp>FA_ACT_EST_DATA=E, EST_SOURCE=ATL</stp>
        <stp>ACT_EST_MAPPING=PRECISE</stp>
        <stp>FS=MRC</stp>
        <stp>CURRENCY=USD</stp>
        <stp>XLFILL=b</stp>
        <tr r="AI117" s="2"/>
      </tp>
      <tp t="s">
        <v/>
        <stp/>
        <stp>##V3_BQLV12</stp>
        <stp>[MODL_CRM_US1.xlsx]Single Period!R110C48</stp>
        <stp>CRM US Equity</stp>
        <stp>BS_CUR_ASSET_REPORT/1M</stp>
        <stp>FPR=2022Y</stp>
        <stp>FPT=A</stp>
        <stp>FA_ACT_EST_DATA=E, EST_SOURCE=PJE</stp>
        <stp>ACT_EST_MAPPING=PRECISE</stp>
        <stp>FS=MRC</stp>
        <stp>CURRENCY=USD</stp>
        <stp>XLFILL=b</stp>
        <tr r="AV110" s="2"/>
      </tp>
      <tp t="s">
        <v/>
        <stp/>
        <stp>##V3_BQLV12</stp>
        <stp>[MODL_CRM_US1.xlsx]Single Period!R146C52</stp>
        <stp>CRM US Equity</stp>
        <stp>CUR_RATIO</stp>
        <stp>FPR=2022Y</stp>
        <stp>FPT=A</stp>
        <stp>FA_ACT_EST_DATA=E, EST_SOURCE=WFR</stp>
        <stp>ACT_EST_MAPPING=PRECISE</stp>
        <stp>FS=MRC</stp>
        <stp>CURRENCY=USD</stp>
        <stp>XLFILL=b</stp>
        <tr r="AZ146" s="2"/>
      </tp>
      <tp t="s">
        <v/>
        <stp/>
        <stp>##V3_BQLV12</stp>
        <stp>[MODL_CRM_US1.xlsx]Single Period!R117C46</stp>
        <stp>CRM US Equity</stp>
        <stp>BS_TOTAL_NON_CURRENT_ASSETS/1M</stp>
        <stp>FPR=2022Y</stp>
        <stp>FPT=A</stp>
        <stp>FA_ACT_EST_DATA=E, EST_SOURCE=CTI</stp>
        <stp>ACT_EST_MAPPING=PRECISE</stp>
        <stp>FS=MRC</stp>
        <stp>CURRENCY=USD</stp>
        <stp>XLFILL=b</stp>
        <tr r="AT117" s="2"/>
      </tp>
      <tp t="s">
        <v/>
        <stp/>
        <stp>##V3_BQLV12</stp>
        <stp>[MODL_CRM_US1.xlsx]Single Period!R122C53</stp>
        <stp>CRM US Equity</stp>
        <stp>BS_GOODWILL/1M</stp>
        <stp>FPR=2022Y</stp>
        <stp>FPT=A</stp>
        <stp>FA_ACT_EST_DATA=E, EST_SOURCE=NIK</stp>
        <stp>ACT_EST_MAPPING=PRECISE</stp>
        <stp>FS=MRC</stp>
        <stp>CURRENCY=USD</stp>
        <stp>XLFILL=b</stp>
        <tr r="BA122" s="2"/>
      </tp>
      <tp t="s">
        <v/>
        <stp/>
        <stp>##V3_BQLV12</stp>
        <stp>[MODL_CRM_US1.xlsx]Single Period!R146C47</stp>
        <stp>CRM US Equity</stp>
        <stp>CUR_RATIO</stp>
        <stp>FPR=2022Y</stp>
        <stp>FPT=A</stp>
        <stp>FA_ACT_EST_DATA=E, EST_SOURCE=WFT</stp>
        <stp>ACT_EST_MAPPING=PRECISE</stp>
        <stp>FS=MRC</stp>
        <stp>CURRENCY=USD</stp>
        <stp>XLFILL=b</stp>
        <tr r="AU146" s="2"/>
      </tp>
      <tp t="s">
        <v/>
        <stp/>
        <stp>##V3_BQLV12</stp>
        <stp>[MODL_CRM_US1.xlsx]Single Period!R132C22</stp>
        <stp>CRM US Equity</stp>
        <stp>BS_ADJ_TOTAL_LT_LIABILITIES/1M</stp>
        <stp>FPR=2022Y</stp>
        <stp>FPT=A</stp>
        <stp>FA_ACT_EST_DATA=E, EST_SOURCE=OPY</stp>
        <stp>ACT_EST_MAPPING=PRECISE</stp>
        <stp>FS=MRC</stp>
        <stp>CURRENCY=USD</stp>
        <stp>XLFILL=b</stp>
        <tr r="V132" s="2"/>
      </tp>
      <tp>
        <v>5801</v>
        <stp/>
        <stp>##V3_BQLV12</stp>
        <stp>[MODL_CRM_US1.xlsx]Single Period!R68C21</stp>
        <stp>CRM US Equity</stp>
        <stp>IS_COMP_PTP_EX_STK_BASED_COMP/1M</stp>
        <stp>FPR=2022Y</stp>
        <stp>FPT=A</stp>
        <stp>FA_ACT_EST_DATA=E, EST_SOURCE=RJA</stp>
        <stp>ACT_EST_MAPPING=PRECISE</stp>
        <stp>FS=MRC</stp>
        <stp>CURRENCY=USD</stp>
        <stp>XLFILL=b</stp>
        <tr r="U68" s="2"/>
      </tp>
      <tp t="s">
        <v/>
        <stp/>
        <stp>##V3_BQLV12</stp>
        <stp>[MODL_CRM_US1.xlsx]Single Period!R162C37</stp>
        <stp>CRM US Equity</stp>
        <stp>CF_CHANGE_IN_PREPAID_EXPNSS/1M</stp>
        <stp>FPR=2022Y</stp>
        <stp>FPT=A</stp>
        <stp>FA_ACT_EST_DATA=E, EST_SOURCE=EVR</stp>
        <stp>ACT_EST_MAPPING=PRECISE</stp>
        <stp>FS=MRC</stp>
        <stp>CURRENCY=USD</stp>
        <stp>XLFILL=b</stp>
        <tr r="AK162" s="2"/>
      </tp>
      <tp>
        <v>3821.6553650000001</v>
        <stp/>
        <stp>##V3_BQLV12</stp>
        <stp>[MODL_CRM_US1.xlsx]Single Period!R123C26</stp>
        <stp>CRM US Equity</stp>
        <stp>TOT_OPER_LEA_RT_OF_USE_ASSETS/1M</stp>
        <stp>FPR=2022Y</stp>
        <stp>FPT=A</stp>
        <stp>FA_ACT_EST_DATA=E, EST_SOURCE=KEY</stp>
        <stp>ACT_EST_MAPPING=PRECISE</stp>
        <stp>FS=MRC</stp>
        <stp>CURRENCY=USD</stp>
        <stp>XLFILL=b</stp>
        <tr r="Z123" s="2"/>
      </tp>
      <tp t="s">
        <v/>
        <stp/>
        <stp>##V3_BQLV12</stp>
        <stp>[MODL_CRM_US1.xlsx]Single Period!R119C19</stp>
        <stp>CRM US Equity</stp>
        <stp>CB_BS_OTHER_NONCURRENT_ASSETS/1M</stp>
        <stp>FPR=2022Y</stp>
        <stp>FPT=A</stp>
        <stp>FA_ACT_EST_DATA=E, EST_SOURCE=SCB</stp>
        <stp>ACT_EST_MAPPING=PRECISE</stp>
        <stp>FS=MRC</stp>
        <stp>CURRENCY=USD</stp>
        <stp>XLFILL=b</stp>
        <tr r="S119" s="2"/>
      </tp>
      <tp t="s">
        <v/>
        <stp/>
        <stp>##V3_BQLV12</stp>
        <stp>[MODL_CRM_US1.xlsx]Single Period!R65C39</stp>
        <stp>CRM US Equity</stp>
        <stp>IS_AMORT_OF_TOT_INTANG_PRETX/1M</stp>
        <stp>FPR=2022Y</stp>
        <stp>FPT=A</stp>
        <stp>FA_ACT_EST_DATA=E, EST_SOURCE=KGI</stp>
        <stp>ACT_EST_MAPPING=PRECISE</stp>
        <stp>FS=MRC</stp>
        <stp>CURRENCY=USD</stp>
        <stp>XLFILL=b</stp>
        <tr r="AM65" s="2"/>
      </tp>
      <tp t="s">
        <v/>
        <stp/>
        <stp>##V3_BQLV12</stp>
        <stp>[MODL_CRM_US1.xlsx]Single Period!R140C21</stp>
        <stp>CRM US Equity</stp>
        <stp>BS_ACCUMULATED_OTHER_COMP_INC/1M</stp>
        <stp>FPR=2022Y</stp>
        <stp>FPT=A</stp>
        <stp>FA_ACT_EST_DATA=E, EST_SOURCE=RJA</stp>
        <stp>ACT_EST_MAPPING=PRECISE</stp>
        <stp>FS=MRC</stp>
        <stp>CURRENCY=USD</stp>
        <stp>XLFILL=b</stp>
        <tr r="U140" s="2"/>
      </tp>
      <tp t="s">
        <v/>
        <stp/>
        <stp>##V3_BQLV12</stp>
        <stp>[MODL_CRM_US1.xlsx]Single Period!R149C15</stp>
        <stp>CRM US Equity</stp>
        <stp>TOT_FUTURE_REV_UNDER_CONTRACT/1M</stp>
        <stp>FPR=2022Y</stp>
        <stp>FPT=A</stp>
        <stp>FA_ACT_EST_DATA=E, EST_SOURCE=MSV</stp>
        <stp>ACT_EST_MAPPING=PRECISE</stp>
        <stp>FS=MRC</stp>
        <stp>CURRENCY=USD</stp>
        <stp>XLFILL=b</stp>
        <tr r="O149" s="2"/>
      </tp>
      <tp t="s">
        <v/>
        <stp/>
        <stp>##V3_BQLV12</stp>
        <stp>[MODL_CRM_US1.xlsx]Single Period!R119C53</stp>
        <stp>CRM US Equity</stp>
        <stp>CB_BS_OTHER_NONCURRENT_ASSETS/1M</stp>
        <stp>FPR=2022Y</stp>
        <stp>FPT=A</stp>
        <stp>FA_ACT_EST_DATA=E, EST_SOURCE=NIK</stp>
        <stp>ACT_EST_MAPPING=PRECISE</stp>
        <stp>FS=MRC</stp>
        <stp>CURRENCY=USD</stp>
        <stp>XLFILL=b</stp>
        <tr r="BA119" s="2"/>
      </tp>
      <tp t="s">
        <v/>
        <stp/>
        <stp>##V3_BQLV12</stp>
        <stp>[MODL_CRM_US1.xlsx]Single Period!R83C32</stp>
        <stp>CRM US Equity</stp>
        <stp>IS_OPEX_R_AND_D_GAAP/1M</stp>
        <stp>FPR=2022Y</stp>
        <stp>FPT=A</stp>
        <stp>FA_ACT_EST_DATA=E, EST_SOURCE=UBS</stp>
        <stp>ACT_EST_MAPPING=PRECISE</stp>
        <stp>FS=MRC</stp>
        <stp>CURRENCY=USD</stp>
        <stp>XLFILL=b</stp>
        <tr r="AF83" s="2"/>
      </tp>
      <tp t="s">
        <v/>
        <stp/>
        <stp>##V3_BQLV12</stp>
        <stp>[MODL_CRM_US1.xlsx]Single Period!R151C21</stp>
        <stp>CRM US Equity</stp>
        <stp>NON_CURRENT_FUTURE_REV_UNDER_CONTRACT/1M</stp>
        <stp>FPR=2022Y</stp>
        <stp>FPT=A</stp>
        <stp>FA_ACT_EST_DATA=E, EST_SOURCE=RJA</stp>
        <stp>ACT_EST_MAPPING=PRECISE</stp>
        <stp>FS=MRC</stp>
        <stp>CURRENCY=USD</stp>
        <stp>XLFILL=b</stp>
        <tr r="U151" s="2"/>
      </tp>
      <tp>
        <v>2909</v>
        <stp/>
        <stp>##V3_BQLV12</stp>
        <stp>[MODL_CRM_US1.xlsx]Single Period!R123C17</stp>
        <stp>CRM US Equity</stp>
        <stp>TOT_OPER_LEA_RT_OF_USE_ASSETS/1M</stp>
        <stp>FPR=2022Y</stp>
        <stp>FPT=A</stp>
        <stp>FA_ACT_EST_DATA=E, EST_SOURCE=NDH</stp>
        <stp>ACT_EST_MAPPING=PRECISE</stp>
        <stp>FS=MRC</stp>
        <stp>CURRENCY=USD</stp>
        <stp>XLFILL=b</stp>
        <tr r="Q123" s="2"/>
      </tp>
      <tp t="s">
        <v/>
        <stp/>
        <stp>##V3_BQLV12</stp>
        <stp>[MODL_CRM_US1.xlsx]Single Period!R83C27</stp>
        <stp>CRM US Equity</stp>
        <stp>IS_OPEX_R_AND_D_GAAP/1M</stp>
        <stp>FPR=2022Y</stp>
        <stp>FPT=A</stp>
        <stp>FA_ACT_EST_DATA=E, EST_SOURCE=LCM</stp>
        <stp>ACT_EST_MAPPING=PRECISE</stp>
        <stp>FS=MRC</stp>
        <stp>CURRENCY=USD</stp>
        <stp>XLFILL=b</stp>
        <tr r="AA83" s="2"/>
      </tp>
      <tp t="s">
        <v/>
        <stp/>
        <stp>##V3_BQLV12</stp>
        <stp>[MODL_CRM_US1.xlsx]Single Period!R119C14</stp>
        <stp>CRM US Equity</stp>
        <stp>CB_BS_OTHER_NONCURRENT_ASSETS/1M</stp>
        <stp>FPR=2022Y</stp>
        <stp>FPT=A</stp>
        <stp>FA_ACT_EST_DATA=E, EST_SOURCE=SNR</stp>
        <stp>ACT_EST_MAPPING=PRECISE</stp>
        <stp>FS=MRC</stp>
        <stp>CURRENCY=USD</stp>
        <stp>XLFILL=b</stp>
        <tr r="N119" s="2"/>
      </tp>
      <tp t="s">
        <v/>
        <stp/>
        <stp>##V3_BQLV12</stp>
        <stp>[MODL_CRM_US1.xlsx]Single Period!R29C46</stp>
        <stp>SEG0000269233 Segment</stp>
        <stp>SALES_REV_TURN/1M</stp>
        <stp>FPR=2022Y</stp>
        <stp>FPT=A</stp>
        <stp>FA_ACT_EST_DATA=E, EST_SOURCE=CTI</stp>
        <stp>ACT_EST_MAPPING=PRECISE</stp>
        <stp>FS=MRC</stp>
        <stp>CURRENCY=USD</stp>
        <stp>XLFILL=b</stp>
        <tr r="AT29" s="2"/>
      </tp>
      <tp t="s">
        <v/>
        <stp/>
        <stp>##V3_BQLV12</stp>
        <stp>[MODL_CRM_US1.xlsx]Single Period!R123C11</stp>
        <stp>CRM US Equity</stp>
        <stp>TOT_OPER_LEA_RT_OF_USE_ASSETS/1M</stp>
        <stp>FPR=2022Y</stp>
        <stp>FPT=A</stp>
        <stp>FA_ACT_EST_DATA=E, EST_SOURCE=WBL</stp>
        <stp>ACT_EST_MAPPING=PRECISE</stp>
        <stp>FS=MRC</stp>
        <stp>CURRENCY=USD</stp>
        <stp>XLFILL=b</stp>
        <tr r="K123" s="2"/>
      </tp>
      <tp t="s">
        <v/>
        <stp/>
        <stp>##V3_BQLV12</stp>
        <stp>[MODL_CRM_US1.xlsx]Single Period!R140C33</stp>
        <stp>CRM US Equity</stp>
        <stp>BS_ACCUMULATED_OTHER_COMP_INC/1M</stp>
        <stp>FPR=2022Y</stp>
        <stp>FPT=A</stp>
        <stp>FA_ACT_EST_DATA=E, EST_SOURCE=RHR</stp>
        <stp>ACT_EST_MAPPING=PRECISE</stp>
        <stp>FS=MRC</stp>
        <stp>CURRENCY=USD</stp>
        <stp>XLFILL=b</stp>
        <tr r="AG140" s="2"/>
      </tp>
      <tp t="s">
        <v/>
        <stp/>
        <stp>##V3_BQLV12</stp>
        <stp>[MODL_CRM_US1.xlsx]Single Period!R29C35</stp>
        <stp>SEG0000269233 Segment</stp>
        <stp>SALES_REV_TURN/1M</stp>
        <stp>FPR=2022Y</stp>
        <stp>FPT=A</stp>
        <stp>FA_ACT_EST_DATA=E, EST_SOURCE=ATL</stp>
        <stp>ACT_EST_MAPPING=PRECISE</stp>
        <stp>FS=MRC</stp>
        <stp>CURRENCY=USD</stp>
        <stp>XLFILL=b</stp>
        <tr r="AI29" s="2"/>
      </tp>
      <tp t="s">
        <v/>
        <stp/>
        <stp>##V3_BQLV12</stp>
        <stp>[MODL_CRM_US1.xlsx]Single Period!R83C31</stp>
        <stp>CRM US Equity</stp>
        <stp>IS_OPEX_R_AND_D_GAAP/1M</stp>
        <stp>FPR=2022Y</stp>
        <stp>FPT=A</stp>
        <stp>FA_ACT_EST_DATA=E, EST_SOURCE=RBC</stp>
        <stp>ACT_EST_MAPPING=PRECISE</stp>
        <stp>FS=MRC</stp>
        <stp>CURRENCY=USD</stp>
        <stp>XLFILL=b</stp>
        <tr r="AE83" s="2"/>
      </tp>
      <tp t="s">
        <v/>
        <stp/>
        <stp>##V3_BQLV12</stp>
        <stp>[MODL_CRM_US1.xlsx]Single Period!R38C46</stp>
        <stp>SEG0000269228 Segment</stp>
        <stp>SALES_REV_TURN/1M</stp>
        <stp>FPR=2022Y</stp>
        <stp>FPT=A</stp>
        <stp>FA_ACT_EST_DATA=E, EST_SOURCE=CTI</stp>
        <stp>ACT_EST_MAPPING=PRECISE</stp>
        <stp>FS=MRC</stp>
        <stp>CURRENCY=USD</stp>
        <stp>XLFILL=b</stp>
        <tr r="AT38" s="2"/>
      </tp>
      <tp t="s">
        <v/>
        <stp/>
        <stp>##V3_BQLV12</stp>
        <stp>[MODL_CRM_US1.xlsx]Single Period!R48C46</stp>
        <stp>SEG0000269229 Segment</stp>
        <stp>SALES_REV_TURN/1M</stp>
        <stp>FPR=2022Y</stp>
        <stp>FPT=A</stp>
        <stp>FA_ACT_EST_DATA=E, EST_SOURCE=CTI</stp>
        <stp>ACT_EST_MAPPING=PRECISE</stp>
        <stp>FS=MRC</stp>
        <stp>CURRENCY=USD</stp>
        <stp>XLFILL=b</stp>
        <tr r="AT48" s="2"/>
      </tp>
      <tp t="s">
        <v/>
        <stp/>
        <stp>##V3_BQLV12</stp>
        <stp>[MODL_CRM_US1.xlsx]Single Period!R149C54</stp>
        <stp>CRM US Equity</stp>
        <stp>TOT_FUTURE_REV_UNDER_CONTRACT/1M</stp>
        <stp>FPR=2022Y</stp>
        <stp>FPT=A</stp>
        <stp>FA_ACT_EST_DATA=E, EST_SOURCE=ARE</stp>
        <stp>ACT_EST_MAPPING=PRECISE</stp>
        <stp>FS=MRC</stp>
        <stp>CURRENCY=USD</stp>
        <stp>XLFILL=b</stp>
        <tr r="BB149" s="2"/>
      </tp>
      <tp t="s">
        <v/>
        <stp/>
        <stp>##V3_BQLV12</stp>
        <stp>[MODL_CRM_US1.xlsx]Single Period!R123C31</stp>
        <stp>CRM US Equity</stp>
        <stp>TOT_OPER_LEA_RT_OF_USE_ASSETS/1M</stp>
        <stp>FPR=2022Y</stp>
        <stp>FPT=A</stp>
        <stp>FA_ACT_EST_DATA=E, EST_SOURCE=RBC</stp>
        <stp>ACT_EST_MAPPING=PRECISE</stp>
        <stp>FS=MRC</stp>
        <stp>CURRENCY=USD</stp>
        <stp>XLFILL=b</stp>
        <tr r="AE123" s="2"/>
      </tp>
      <tp t="s">
        <v/>
        <stp/>
        <stp>##V3_BQLV12</stp>
        <stp>[MODL_CRM_US1.xlsx]Single Period!R123C40</stp>
        <stp>CRM US Equity</stp>
        <stp>TOT_OPER_LEA_RT_OF_USE_ASSETS/1M</stp>
        <stp>FPR=2022Y</stp>
        <stp>FPT=A</stp>
        <stp>FA_ACT_EST_DATA=E, EST_SOURCE=ACC</stp>
        <stp>ACT_EST_MAPPING=PRECISE</stp>
        <stp>FS=MRC</stp>
        <stp>CURRENCY=USD</stp>
        <stp>XLFILL=b</stp>
        <tr r="AN123" s="2"/>
      </tp>
      <tp t="s">
        <v/>
        <stp/>
        <stp>##V3_BQLV12</stp>
        <stp>[MODL_CRM_US1.xlsx]Single Period!R48C35</stp>
        <stp>SEG0000269229 Segment</stp>
        <stp>SALES_REV_TURN/1M</stp>
        <stp>FPR=2022Y</stp>
        <stp>FPT=A</stp>
        <stp>FA_ACT_EST_DATA=E, EST_SOURCE=ATL</stp>
        <stp>ACT_EST_MAPPING=PRECISE</stp>
        <stp>FS=MRC</stp>
        <stp>CURRENCY=USD</stp>
        <stp>XLFILL=b</stp>
        <tr r="AI48" s="2"/>
      </tp>
      <tp t="s">
        <v/>
        <stp/>
        <stp>##V3_BQLV12</stp>
        <stp>[MODL_CRM_US1.xlsx]Single Period!R28C45</stp>
        <stp>SEG0000269242 Segment</stp>
        <stp>SALES_REV_TURN/1M</stp>
        <stp>FPR=2022Y</stp>
        <stp>FPT=A</stp>
        <stp>FA_ACT_EST_DATA=E, EST_SOURCE=ARG</stp>
        <stp>ACT_EST_MAPPING=PRECISE</stp>
        <stp>FS=MRC</stp>
        <stp>CURRENCY=USD</stp>
        <stp>XLFILL=b</stp>
        <tr r="AS28" s="2"/>
      </tp>
      <tp t="s">
        <v/>
        <stp/>
        <stp>##V3_BQLV12</stp>
        <stp>[MODL_CRM_US1.xlsx]Single Period!R38C35</stp>
        <stp>SEG0000269228 Segment</stp>
        <stp>SALES_REV_TURN/1M</stp>
        <stp>FPR=2022Y</stp>
        <stp>FPT=A</stp>
        <stp>FA_ACT_EST_DATA=E, EST_SOURCE=ATL</stp>
        <stp>ACT_EST_MAPPING=PRECISE</stp>
        <stp>FS=MRC</stp>
        <stp>CURRENCY=USD</stp>
        <stp>XLFILL=b</stp>
        <tr r="AI38" s="2"/>
      </tp>
      <tp t="s">
        <v/>
        <stp/>
        <stp>##V3_BQLV12</stp>
        <stp>[MODL_CRM_US1.xlsx]Single Period!R151C33</stp>
        <stp>CRM US Equity</stp>
        <stp>NON_CURRENT_FUTURE_REV_UNDER_CONTRACT/1M</stp>
        <stp>FPR=2022Y</stp>
        <stp>FPT=A</stp>
        <stp>FA_ACT_EST_DATA=E, EST_SOURCE=RHR</stp>
        <stp>ACT_EST_MAPPING=PRECISE</stp>
        <stp>FS=MRC</stp>
        <stp>CURRENCY=USD</stp>
        <stp>XLFILL=b</stp>
        <tr r="AG151" s="2"/>
      </tp>
      <tp t="s">
        <v/>
        <stp/>
        <stp>##V3_BQLV12</stp>
        <stp>[MODL_CRM_US1.xlsx]Single Period!R28C54</stp>
        <stp>SEG0000269242 Segment</stp>
        <stp>SALES_REV_TURN/1M</stp>
        <stp>FPR=2022Y</stp>
        <stp>FPT=A</stp>
        <stp>FA_ACT_EST_DATA=E, EST_SOURCE=ARE</stp>
        <stp>ACT_EST_MAPPING=PRECISE</stp>
        <stp>FS=MRC</stp>
        <stp>CURRENCY=USD</stp>
        <stp>XLFILL=b</stp>
        <tr r="BB28" s="2"/>
      </tp>
      <tp t="s">
        <v>KGI Securities Co Ltd</v>
        <stp/>
        <stp>##V3_BQLV12</stp>
        <stp>[MODL_CRM_US1.xlsx]Single Period!R3C39</stp>
        <stp>CRM US Equity</stp>
        <stp>LAST(IS_COMP_SALES(FA_ACT_EST_DATA=E, EST_SOURCE=KGI).firm_name)</stp>
        <stp>FPR=2022Y</stp>
        <stp>FPT=A</stp>
        <stp>ACT_EST_MAPPING=PRECISE</stp>
        <stp>FS=MRC</stp>
        <stp>CURRENCY=USD</stp>
        <stp>XLFILL=b</stp>
        <tr r="AM3" s="2"/>
      </tp>
      <tp t="s">
        <v/>
        <stp/>
        <stp>##V3_BQLV12</stp>
        <stp>[MODL_CRM_US1.xlsx]Single Period!R183C54</stp>
        <stp>CRM US Equity</stp>
        <stp>CASH_FLOW_PER_SH</stp>
        <stp>FPR=2022Y</stp>
        <stp>FPT=A</stp>
        <stp>FA_ACT_EST_DATA=E, EST_SOURCE=ARE</stp>
        <stp>ACT_EST_MAPPING=PRECISE</stp>
        <stp>FS=MRC</stp>
        <stp>CURRENCY=USD</stp>
        <stp>XLFILL=b</stp>
        <tr r="BB183" s="2"/>
      </tp>
      <tp t="s">
        <v>Societe Generale</v>
        <stp/>
        <stp>##V3_BQLV12</stp>
        <stp>[MODL_CRM_US1.xlsx]Single Period!R3C49</stp>
        <stp>CRM US Equity</stp>
        <stp>LAST(IS_COMP_SALES(FA_ACT_EST_DATA=E, EST_SOURCE=SGE).firm_name)</stp>
        <stp>FPR=2022Y</stp>
        <stp>FPT=A</stp>
        <stp>ACT_EST_MAPPING=PRECISE</stp>
        <stp>FS=MRC</stp>
        <stp>CURRENCY=USD</stp>
        <stp>XLFILL=b</stp>
        <tr r="AW3" s="2"/>
      </tp>
      <tp t="s">
        <v/>
        <stp/>
        <stp>##V3_BQLV12</stp>
        <stp>[MODL_CRM_US1.xlsx]Single Period!R183C15</stp>
        <stp>CRM US Equity</stp>
        <stp>CASH_FLOW_PER_SH</stp>
        <stp>FPR=2022Y</stp>
        <stp>FPT=A</stp>
        <stp>FA_ACT_EST_DATA=E, EST_SOURCE=MSV</stp>
        <stp>ACT_EST_MAPPING=PRECISE</stp>
        <stp>FS=MRC</stp>
        <stp>CURRENCY=USD</stp>
        <stp>XLFILL=b</stp>
        <tr r="O183" s="2"/>
      </tp>
      <tp t="s">
        <v/>
        <stp/>
        <stp>##V3_BQLV12</stp>
        <stp>[MODL_CRM_US1.xlsx]Single Period!R17C50</stp>
        <stp>CRM US Equity</stp>
        <stp>IS_COMP_GROSS_MARGIN_PERCENTAGE</stp>
        <stp>FPR=2022Y</stp>
        <stp>FPT=A</stp>
        <stp>FA_ACT_EST_DATA=E, EST_SOURCE=MZS</stp>
        <stp>ACT_EST_MAPPING=PRECISE</stp>
        <stp>FS=MRC</stp>
        <stp>CURRENCY=USD</stp>
        <stp>XLFILL=b</stp>
        <tr r="AX17" s="2"/>
      </tp>
      <tp t="s">
        <v/>
        <stp/>
        <stp>##V3_BQLV12</stp>
        <stp>[MODL_CRM_US1.xlsx]Single Period!R56C50</stp>
        <stp>CRM US Equity</stp>
        <stp>IS_COMP_GROSS_MARGIN_PERCENTAGE</stp>
        <stp>FPR=2022Y</stp>
        <stp>FPT=A</stp>
        <stp>FA_ACT_EST_DATA=E, EST_SOURCE=MZS</stp>
        <stp>ACT_EST_MAPPING=PRECISE</stp>
        <stp>FS=MRC</stp>
        <stp>CURRENCY=USD</stp>
        <stp>XLFILL=b</stp>
        <tr r="AX56" s="2"/>
      </tp>
      <tp t="s">
        <v/>
        <stp/>
        <stp>##V3_BQLV12</stp>
        <stp>[MODL_CRM_US1.xlsx]Single Period!R166C45</stp>
        <stp>CRM US Equity</stp>
        <stp>CF_CHANGE_IN_OPER_LEASE_LIBLTS/1M</stp>
        <stp>FPR=2022Y</stp>
        <stp>FPT=A</stp>
        <stp>FA_ACT_EST_DATA=E, EST_SOURCE=ARG</stp>
        <stp>ACT_EST_MAPPING=PRECISE</stp>
        <stp>FS=MRC</stp>
        <stp>CURRENCY=USD</stp>
        <stp>XLFILL=b</stp>
        <tr r="AS166" s="2"/>
      </tp>
      <tp t="s">
        <v/>
        <stp/>
        <stp>##V3_BQLV12</stp>
        <stp>[MODL_CRM_US1.xlsx]Single Period!R166C54</stp>
        <stp>CRM US Equity</stp>
        <stp>CF_CHANGE_IN_OPER_LEASE_LIBLTS/1M</stp>
        <stp>FPR=2022Y</stp>
        <stp>FPT=A</stp>
        <stp>FA_ACT_EST_DATA=E, EST_SOURCE=ARE</stp>
        <stp>ACT_EST_MAPPING=PRECISE</stp>
        <stp>FS=MRC</stp>
        <stp>CURRENCY=USD</stp>
        <stp>XLFILL=b</stp>
        <tr r="BB166" s="2"/>
      </tp>
      <tp>
        <v>1.35</v>
        <stp/>
        <stp>##V3_BQLV12</stp>
        <stp>[MODL_CRM_US1.xlsx]Single Period!R95C25</stp>
        <stp>CRM US Equity</stp>
        <stp>IS_COMP_EPS_GAAP</stp>
        <stp>FPR=2022Y</stp>
        <stp>FPT=A</stp>
        <stp>FA_ACT_EST_DATA=E, EST_SOURCE=WMS</stp>
        <stp>ACT_EST_MAPPING=PRECISE</stp>
        <stp>FS=MRC</stp>
        <stp>CURRENCY=USD</stp>
        <stp>XLFILL=b</stp>
        <tr r="Y95" s="2"/>
      </tp>
      <tp t="s">
        <v/>
        <stp/>
        <stp>##V3_BQLV12</stp>
        <stp>[MODL_CRM_US1.xlsx]Single Period!R188C56</stp>
        <stp>CRM US Equity</stp>
        <stp>BS_CASH_NEAR_CASH_ITEM/1M</stp>
        <stp>FPR=2022Y</stp>
        <stp>FPT=A</stp>
        <stp>FA_ACT_EST_DATA=E, EST_SOURCE=DIR</stp>
        <stp>ACT_EST_MAPPING=PRECISE</stp>
        <stp>FS=MRC</stp>
        <stp>CURRENCY=USD</stp>
        <stp>XLFILL=b</stp>
        <tr r="BD188" s="2"/>
      </tp>
      <tp t="s">
        <v/>
        <stp/>
        <stp>##V3_BQLV12</stp>
        <stp>[MODL_CRM_US1.xlsx]Single Period!R112C51</stp>
        <stp>CRM US Equity</stp>
        <stp>BS_CASH_NEAR_CASH_ITEM/1M</stp>
        <stp>FPR=2022Y</stp>
        <stp>FPT=A</stp>
        <stp>FA_ACT_EST_DATA=E, EST_SOURCE=RCP</stp>
        <stp>ACT_EST_MAPPING=PRECISE</stp>
        <stp>FS=MRC</stp>
        <stp>CURRENCY=USD</stp>
        <stp>XLFILL=b</stp>
        <tr r="AY112" s="2"/>
      </tp>
      <tp>
        <v>22.7850716991342</v>
        <stp/>
        <stp>##V3_BQLV12</stp>
        <stp>[MODL_CRM_US1.xlsx]Single Period!R53C9</stp>
        <stp>CRM US Equity</stp>
        <stp>CONTRIBUTOR_STATS(REVENUE_GROWTH_CC_1_YR, MEDIAN)</stp>
        <stp>FPR=2022Y</stp>
        <stp>FPT=A</stp>
        <stp>FA_ACT_EST_DATA=E</stp>
        <stp>ACT_EST_MAPPING=PRECISE</stp>
        <stp>FS=MRC</stp>
        <stp>CURRENCY=USD</stp>
        <stp>XLFILL=b</stp>
        <tr r="I53" s="2"/>
      </tp>
      <tp t="s">
        <v/>
        <stp/>
        <stp>##V3_BQLV12</stp>
        <stp>[MODL_CRM_US1.xlsx]Single Period!R165C50</stp>
        <stp>CRM US Equity</stp>
        <stp>CF_CHG_IN_DEFER_UNEARND_REV_ST/1M</stp>
        <stp>FPR=2022Y</stp>
        <stp>FPT=A</stp>
        <stp>FA_ACT_EST_DATA=E, EST_SOURCE=MZS</stp>
        <stp>ACT_EST_MAPPING=PRECISE</stp>
        <stp>FS=MRC</stp>
        <stp>CURRENCY=USD</stp>
        <stp>XLFILL=b</stp>
        <tr r="AX165" s="2"/>
      </tp>
      <tp t="s">
        <v/>
        <stp/>
        <stp>##V3_BQLV12</stp>
        <stp>[MODL_CRM_US1.xlsx]Single Period!R112C27</stp>
        <stp>CRM US Equity</stp>
        <stp>BS_CASH_NEAR_CASH_ITEM/1M</stp>
        <stp>FPR=2022Y</stp>
        <stp>FPT=A</stp>
        <stp>FA_ACT_EST_DATA=E, EST_SOURCE=LCM</stp>
        <stp>ACT_EST_MAPPING=PRECISE</stp>
        <stp>FS=MRC</stp>
        <stp>CURRENCY=USD</stp>
        <stp>XLFILL=b</stp>
        <tr r="AA112" s="2"/>
      </tp>
      <tp>
        <v>46.188021535200889</v>
        <stp/>
        <stp>##V3_BQLV12</stp>
        <stp>[MODL_CRM_US1.xlsx]Single Period!R14C8</stp>
        <stp>CRM US Equity</stp>
        <stp>CONTRIBUTOR_STATS(NON_CURRENT_FUTURE_REV_UNDER_CONTRACT, STD)/1M</stp>
        <stp>FPR=2022Y</stp>
        <stp>FPT=A</stp>
        <stp>FA_ACT_EST_DATA=E</stp>
        <stp>ACT_EST_MAPPING=PRECISE</stp>
        <stp>FS=MRC</stp>
        <stp>CURRENCY=USD</stp>
        <stp>XLFILL=b</stp>
        <tr r="H14" s="2"/>
      </tp>
      <tp t="s">
        <v/>
        <stp/>
        <stp>##V3_BQLV12</stp>
        <stp>[MODL_CRM_US1.xlsx]Single Period!R188C53</stp>
        <stp>CRM US Equity</stp>
        <stp>BS_CASH_NEAR_CASH_ITEM/1M</stp>
        <stp>FPR=2022Y</stp>
        <stp>FPT=A</stp>
        <stp>FA_ACT_EST_DATA=E, EST_SOURCE=NIK</stp>
        <stp>ACT_EST_MAPPING=PRECISE</stp>
        <stp>FS=MRC</stp>
        <stp>CURRENCY=USD</stp>
        <stp>XLFILL=b</stp>
        <tr r="BA188" s="2"/>
      </tp>
      <tp>
        <v>16.958025071915031</v>
        <stp/>
        <stp>##V3_BQLV12</stp>
        <stp>[MODL_CRM_US1.xlsx]Single Period!R84C9</stp>
        <stp>CRM US Equity</stp>
        <stp>CONTRIBUTOR_STATS(RD_EXPEND_TO_NET_SALES, MEDIAN)</stp>
        <stp>FPR=2022Y</stp>
        <stp>FPT=A</stp>
        <stp>FA_ACT_EST_DATA=E</stp>
        <stp>ACT_EST_MAPPING=PRECISE</stp>
        <stp>FS=MRC</stp>
        <stp>CURRENCY=USD</stp>
        <stp>XLFILL=b</stp>
        <tr r="I84" s="2"/>
      </tp>
      <tp t="s">
        <v/>
        <stp/>
        <stp>##V3_BQLV12</stp>
        <stp>[MODL_CRM_US1.xlsx]Single Period!R112C19</stp>
        <stp>CRM US Equity</stp>
        <stp>BS_CASH_NEAR_CASH_ITEM/1M</stp>
        <stp>FPR=2022Y</stp>
        <stp>FPT=A</stp>
        <stp>FA_ACT_EST_DATA=E, EST_SOURCE=SCB</stp>
        <stp>ACT_EST_MAPPING=PRECISE</stp>
        <stp>FS=MRC</stp>
        <stp>CURRENCY=USD</stp>
        <stp>XLFILL=b</stp>
        <tr r="S112" s="2"/>
      </tp>
      <tp t="s">
        <v/>
        <stp/>
        <stp>##V3_BQLV12</stp>
        <stp>[MODL_CRM_US1.xlsx]Single Period!R112C40</stp>
        <stp>CRM US Equity</stp>
        <stp>BS_CASH_NEAR_CASH_ITEM/1M</stp>
        <stp>FPR=2022Y</stp>
        <stp>FPT=A</stp>
        <stp>FA_ACT_EST_DATA=E, EST_SOURCE=ACC</stp>
        <stp>ACT_EST_MAPPING=PRECISE</stp>
        <stp>FS=MRC</stp>
        <stp>CURRENCY=USD</stp>
        <stp>XLFILL=b</stp>
        <tr r="AN112" s="2"/>
      </tp>
      <tp>
        <v>6191.6802100140158</v>
        <stp/>
        <stp>##V3_BQLV12</stp>
        <stp>[MODL_CRM_US1.xlsx]Single Period!R112C13</stp>
        <stp>CRM US Equity</stp>
        <stp>BS_CASH_NEAR_CASH_ITEM/1M</stp>
        <stp>FPR=2022Y</stp>
        <stp>FPT=A</stp>
        <stp>FA_ACT_EST_DATA=E, EST_SOURCE=BCA</stp>
        <stp>ACT_EST_MAPPING=PRECISE</stp>
        <stp>FS=MRC</stp>
        <stp>CURRENCY=USD</stp>
        <stp>XLFILL=b</stp>
        <tr r="M112" s="2"/>
      </tp>
      <tp t="s">
        <v/>
        <stp/>
        <stp>##V3_BQLV12</stp>
        <stp>[MODL_CRM_US1.xlsx]Single Period!R146C39</stp>
        <stp>CRM US Equity</stp>
        <stp>CUR_RATIO</stp>
        <stp>FPR=2022Y</stp>
        <stp>FPT=A</stp>
        <stp>FA_ACT_EST_DATA=E, EST_SOURCE=KGI</stp>
        <stp>ACT_EST_MAPPING=PRECISE</stp>
        <stp>FS=MRC</stp>
        <stp>CURRENCY=USD</stp>
        <stp>XLFILL=b</stp>
        <tr r="AM146" s="2"/>
      </tp>
      <tp t="s">
        <v/>
        <stp/>
        <stp>##V3_BQLV12</stp>
        <stp>[MODL_CRM_US1.xlsx]Single Period!R137C31</stp>
        <stp>CRM US Equity</stp>
        <stp>BS_EQTY_BEFORE_MINORITY_INT/1M</stp>
        <stp>FPR=2022Y</stp>
        <stp>FPT=A</stp>
        <stp>FA_ACT_EST_DATA=E, EST_SOURCE=RBC</stp>
        <stp>ACT_EST_MAPPING=PRECISE</stp>
        <stp>FS=MRC</stp>
        <stp>CURRENCY=USD</stp>
        <stp>XLFILL=b</stp>
        <tr r="AE137" s="2"/>
      </tp>
      <tp t="s">
        <v/>
        <stp/>
        <stp>##V3_BQLV12</stp>
        <stp>[MODL_CRM_US1.xlsx]Single Period!R85C52</stp>
        <stp>CRM US Equity</stp>
        <stp>CB_IS_S_AND_M_EXPENSE/1M</stp>
        <stp>FPR=2022Y</stp>
        <stp>FPT=A</stp>
        <stp>FA_ACT_EST_DATA=E, EST_SOURCE=WFR</stp>
        <stp>ACT_EST_MAPPING=PRECISE</stp>
        <stp>FS=MRC</stp>
        <stp>CURRENCY=USD</stp>
        <stp>XLFILL=b</stp>
        <tr r="AZ85" s="2"/>
      </tp>
      <tp>
        <v>26400</v>
        <stp/>
        <stp>##V3_BQLV12</stp>
        <stp>[MODL_CRM_US1.xlsx]Single Period!R52C24</stp>
        <stp>CRM US Equity</stp>
        <stp>IS_COMP_SALES/1M</stp>
        <stp>FPR=2022Y</stp>
        <stp>FPT=A</stp>
        <stp>FA_ACT_EST_DATA=E, EST_SOURCE=FBC</stp>
        <stp>ACT_EST_MAPPING=PRECISE</stp>
        <stp>FS=MRC</stp>
        <stp>CURRENCY=USD</stp>
        <stp>XLFILL=b</stp>
        <tr r="X52" s="2"/>
      </tp>
      <tp t="s">
        <v/>
        <stp/>
        <stp>##V3_BQLV12</stp>
        <stp>[MODL_CRM_US1.xlsx]Single Period!R130C44</stp>
        <stp>CRM US Equity</stp>
        <stp>BS_ST_OPERATING_LEASE_LIABS/1M</stp>
        <stp>FPR=2022Y</stp>
        <stp>FPT=A</stp>
        <stp>FA_ACT_EST_DATA=E, EST_SOURCE=RWB</stp>
        <stp>ACT_EST_MAPPING=PRECISE</stp>
        <stp>FS=MRC</stp>
        <stp>CURRENCY=USD</stp>
        <stp>XLFILL=b</stp>
        <tr r="AR130" s="2"/>
      </tp>
      <tp>
        <v>57115.921447114131</v>
        <stp/>
        <stp>##V3_BQLV12</stp>
        <stp>[MODL_CRM_US1.xlsx]Single Period!R137C24</stp>
        <stp>CRM US Equity</stp>
        <stp>BS_EQTY_BEFORE_MINORITY_INT/1M</stp>
        <stp>FPR=2022Y</stp>
        <stp>FPT=A</stp>
        <stp>FA_ACT_EST_DATA=E, EST_SOURCE=FBC</stp>
        <stp>ACT_EST_MAPPING=PRECISE</stp>
        <stp>FS=MRC</stp>
        <stp>CURRENCY=USD</stp>
        <stp>XLFILL=b</stp>
        <tr r="X137" s="2"/>
      </tp>
      <tp>
        <v>66.595912860913728</v>
        <stp/>
        <stp>##V3_BQLV12</stp>
        <stp>[MODL_CRM_US1.xlsx]Single Period!R16C8</stp>
        <stp>CRM US Equity</stp>
        <stp>CONTRIBUTOR_STATS(IS_ADJ_GROSS_PROFIT_AS_REPORTED, STD)/1M</stp>
        <stp>FPR=2022Y</stp>
        <stp>FPT=A</stp>
        <stp>FA_ACT_EST_DATA=E</stp>
        <stp>ACT_EST_MAPPING=PRECISE</stp>
        <stp>FS=MRC</stp>
        <stp>CURRENCY=USD</stp>
        <stp>XLFILL=b</stp>
        <tr r="H16" s="2"/>
      </tp>
      <tp>
        <v>0.85</v>
        <stp/>
        <stp>##V3_BQLV12</stp>
        <stp>[MODL_CRM_US1.xlsx]Single Period!R95C6</stp>
        <stp>CRM US Equity</stp>
        <stp>CONTRIBUTOR_STATS(IS_COMP_EPS_GAAP, MIN)</stp>
        <stp>FPR=2022Y</stp>
        <stp>FPT=A</stp>
        <stp>FA_ACT_EST_DATA=E</stp>
        <stp>ACT_EST_MAPPING=PRECISE</stp>
        <stp>FS=MRC</stp>
        <stp>CURRENCY=USD</stp>
        <stp>XLFILL=b</stp>
        <tr r="F95" s="2"/>
      </tp>
      <tp t="s">
        <v/>
        <stp/>
        <stp>##V3_BQLV12</stp>
        <stp>[MODL_CRM_US1.xlsx]Single Period!R162C28</stp>
        <stp>CRM US Equity</stp>
        <stp>CF_CHANGE_IN_PREPAID_EXPNSS/1M</stp>
        <stp>FPR=2022Y</stp>
        <stp>FPT=A</stp>
        <stp>FA_ACT_EST_DATA=E, EST_SOURCE=CWN</stp>
        <stp>ACT_EST_MAPPING=PRECISE</stp>
        <stp>FS=MRC</stp>
        <stp>CURRENCY=USD</stp>
        <stp>XLFILL=b</stp>
        <tr r="AB162" s="2"/>
      </tp>
      <tp t="s">
        <v/>
        <stp/>
        <stp>##V3_BQLV12</stp>
        <stp>[MODL_CRM_US1.xlsx]Single Period!R162C43</stp>
        <stp>CRM US Equity</stp>
        <stp>CF_CHANGE_IN_PREPAID_EXPNSS/1M</stp>
        <stp>FPR=2022Y</stp>
        <stp>FPT=A</stp>
        <stp>FA_ACT_EST_DATA=E, EST_SOURCE=DWI</stp>
        <stp>ACT_EST_MAPPING=PRECISE</stp>
        <stp>FS=MRC</stp>
        <stp>CURRENCY=USD</stp>
        <stp>XLFILL=b</stp>
        <tr r="AQ162" s="2"/>
      </tp>
      <tp t="s">
        <v/>
        <stp/>
        <stp>##V3_BQLV12</stp>
        <stp>[MODL_CRM_US1.xlsx]Single Period!R122C33</stp>
        <stp>CRM US Equity</stp>
        <stp>BS_GOODWILL/1M</stp>
        <stp>FPR=2022Y</stp>
        <stp>FPT=A</stp>
        <stp>FA_ACT_EST_DATA=E, EST_SOURCE=RHR</stp>
        <stp>ACT_EST_MAPPING=PRECISE</stp>
        <stp>FS=MRC</stp>
        <stp>CURRENCY=USD</stp>
        <stp>XLFILL=b</stp>
        <tr r="AG122" s="2"/>
      </tp>
      <tp t="s">
        <v/>
        <stp/>
        <stp>##V3_BQLV12</stp>
        <stp>[MODL_CRM_US1.xlsx]Single Period!R94C16</stp>
        <stp>CRM US Equity</stp>
        <stp>IS_SH_FOR_DILUTED_EPS/1M</stp>
        <stp>FPR=2022Y</stp>
        <stp>FPT=A</stp>
        <stp>FA_ACT_EST_DATA=E, EST_SOURCE=DBG</stp>
        <stp>ACT_EST_MAPPING=PRECISE</stp>
        <stp>FS=MRC</stp>
        <stp>CURRENCY=USD</stp>
        <stp>XLFILL=b</stp>
        <tr r="P94" s="2"/>
      </tp>
      <tp>
        <v>58411.412523885243</v>
        <stp/>
        <stp>##V3_BQLV12</stp>
        <stp>[MODL_CRM_US1.xlsx]Single Period!R137C16</stp>
        <stp>CRM US Equity</stp>
        <stp>BS_EQTY_BEFORE_MINORITY_INT/1M</stp>
        <stp>FPR=2022Y</stp>
        <stp>FPT=A</stp>
        <stp>FA_ACT_EST_DATA=E, EST_SOURCE=DBG</stp>
        <stp>ACT_EST_MAPPING=PRECISE</stp>
        <stp>FS=MRC</stp>
        <stp>CURRENCY=USD</stp>
        <stp>XLFILL=b</stp>
        <tr r="P137" s="2"/>
      </tp>
      <tp t="s">
        <v/>
        <stp/>
        <stp>##V3_BQLV12</stp>
        <stp>[MODL_CRM_US1.xlsx]Single Period!R73C19</stp>
        <stp>CRM US Equity</stp>
        <stp>IS_SH_FOR_DILUTED_EPS/1M</stp>
        <stp>FPR=2022Y</stp>
        <stp>FPT=A</stp>
        <stp>FA_ACT_EST_DATA=E, EST_SOURCE=SCB</stp>
        <stp>ACT_EST_MAPPING=PRECISE</stp>
        <stp>FS=MRC</stp>
        <stp>CURRENCY=USD</stp>
        <stp>XLFILL=b</stp>
        <tr r="S73" s="2"/>
      </tp>
      <tp t="s">
        <v/>
        <stp/>
        <stp>##V3_BQLV12</stp>
        <stp>[MODL_CRM_US1.xlsx]Single Period!R162C44</stp>
        <stp>CRM US Equity</stp>
        <stp>CF_CHANGE_IN_PREPAID_EXPNSS/1M</stp>
        <stp>FPR=2022Y</stp>
        <stp>FPT=A</stp>
        <stp>FA_ACT_EST_DATA=E, EST_SOURCE=RWB</stp>
        <stp>ACT_EST_MAPPING=PRECISE</stp>
        <stp>FS=MRC</stp>
        <stp>CURRENCY=USD</stp>
        <stp>XLFILL=b</stp>
        <tr r="AR162" s="2"/>
      </tp>
      <tp t="s">
        <v/>
        <stp/>
        <stp>##V3_BQLV12</stp>
        <stp>[MODL_CRM_US1.xlsx]Single Period!R93C12</stp>
        <stp>CRM US Equity</stp>
        <stp>IS_AVG_NUM_SH_FOR_EPS/1M</stp>
        <stp>FPR=2022Y</stp>
        <stp>FPT=A</stp>
        <stp>FA_ACT_EST_DATA=E, EST_SOURCE=BMO</stp>
        <stp>ACT_EST_MAPPING=PRECISE</stp>
        <stp>FS=MRC</stp>
        <stp>CURRENCY=USD</stp>
        <stp>XLFILL=b</stp>
        <tr r="L93" s="2"/>
      </tp>
      <tp t="s">
        <v/>
        <stp/>
        <stp>##V3_BQLV12</stp>
        <stp>[MODL_CRM_US1.xlsx]Single Period!R130C43</stp>
        <stp>CRM US Equity</stp>
        <stp>BS_ST_OPERATING_LEASE_LIABS/1M</stp>
        <stp>FPR=2022Y</stp>
        <stp>FPT=A</stp>
        <stp>FA_ACT_EST_DATA=E, EST_SOURCE=DWI</stp>
        <stp>ACT_EST_MAPPING=PRECISE</stp>
        <stp>FS=MRC</stp>
        <stp>CURRENCY=USD</stp>
        <stp>XLFILL=b</stp>
        <tr r="AQ130" s="2"/>
      </tp>
      <tp t="s">
        <v/>
        <stp/>
        <stp>##V3_BQLV12</stp>
        <stp>[MODL_CRM_US1.xlsx]Single Period!R130C28</stp>
        <stp>CRM US Equity</stp>
        <stp>BS_ST_OPERATING_LEASE_LIABS/1M</stp>
        <stp>FPR=2022Y</stp>
        <stp>FPT=A</stp>
        <stp>FA_ACT_EST_DATA=E, EST_SOURCE=CWN</stp>
        <stp>ACT_EST_MAPPING=PRECISE</stp>
        <stp>FS=MRC</stp>
        <stp>CURRENCY=USD</stp>
        <stp>XLFILL=b</stp>
        <tr r="AB130" s="2"/>
      </tp>
      <tp>
        <v>5799</v>
        <stp/>
        <stp>##V3_BQLV12</stp>
        <stp>[MODL_CRM_US1.xlsx]Single Period!R68C14</stp>
        <stp>CRM US Equity</stp>
        <stp>IS_COMP_PTP_EX_STK_BASED_COMP/1M</stp>
        <stp>FPR=2022Y</stp>
        <stp>FPT=A</stp>
        <stp>FA_ACT_EST_DATA=E, EST_SOURCE=SNR</stp>
        <stp>ACT_EST_MAPPING=PRECISE</stp>
        <stp>FS=MRC</stp>
        <stp>CURRENCY=USD</stp>
        <stp>XLFILL=b</stp>
        <tr r="N68" s="2"/>
      </tp>
      <tp t="s">
        <v/>
        <stp/>
        <stp>##V3_BQLV12</stp>
        <stp>[MODL_CRM_US1.xlsx]Single Period!R146C49</stp>
        <stp>CRM US Equity</stp>
        <stp>CUR_RATIO</stp>
        <stp>FPR=2022Y</stp>
        <stp>FPT=A</stp>
        <stp>FA_ACT_EST_DATA=E, EST_SOURCE=SGE</stp>
        <stp>ACT_EST_MAPPING=PRECISE</stp>
        <stp>FS=MRC</stp>
        <stp>CURRENCY=USD</stp>
        <stp>XLFILL=b</stp>
        <tr r="AW146" s="2"/>
      </tp>
      <tp t="s">
        <v/>
        <stp/>
        <stp>##V3_BQLV12</stp>
        <stp>[MODL_CRM_US1.xlsx]Single Period!R141C10</stp>
        <stp>CRM US Equity</stp>
        <stp>BS_PURE_RETAINED_EARNINGS/1M</stp>
        <stp>FPR=2022Y</stp>
        <stp>FPT=A</stp>
        <stp>FA_ACT_EST_DATA=E, EST_SOURCE=CMPY</stp>
        <stp>ACT_EST_MAPPING=PRECISE</stp>
        <stp>FS=MRC</stp>
        <stp>CURRENCY=USD</stp>
        <stp>XLFILL=b</stp>
        <tr r="J141" s="2"/>
      </tp>
      <tp t="s">
        <v/>
        <stp/>
        <stp>##V3_BQLV12</stp>
        <stp>[MODL_CRM_US1.xlsx]Single Period!R137C11</stp>
        <stp>CRM US Equity</stp>
        <stp>BS_EQTY_BEFORE_MINORITY_INT/1M</stp>
        <stp>FPR=2022Y</stp>
        <stp>FPT=A</stp>
        <stp>FA_ACT_EST_DATA=E, EST_SOURCE=WBL</stp>
        <stp>ACT_EST_MAPPING=PRECISE</stp>
        <stp>FS=MRC</stp>
        <stp>CURRENCY=USD</stp>
        <stp>XLFILL=b</stp>
        <tr r="K137" s="2"/>
      </tp>
      <tp t="s">
        <v/>
        <stp/>
        <stp>##V3_BQLV12</stp>
        <stp>[MODL_CRM_US1.xlsx]Single Period!R73C53</stp>
        <stp>CRM US Equity</stp>
        <stp>IS_SH_FOR_DILUTED_EPS/1M</stp>
        <stp>FPR=2022Y</stp>
        <stp>FPT=A</stp>
        <stp>FA_ACT_EST_DATA=E, EST_SOURCE=NIK</stp>
        <stp>ACT_EST_MAPPING=PRECISE</stp>
        <stp>FS=MRC</stp>
        <stp>CURRENCY=USD</stp>
        <stp>XLFILL=b</stp>
        <tr r="BA73" s="2"/>
      </tp>
      <tp t="s">
        <v/>
        <stp/>
        <stp>##V3_BQLV12</stp>
        <stp>[MODL_CRM_US1.xlsx]Single Period!R94C27</stp>
        <stp>CRM US Equity</stp>
        <stp>IS_SH_FOR_DILUTED_EPS/1M</stp>
        <stp>FPR=2022Y</stp>
        <stp>FPT=A</stp>
        <stp>FA_ACT_EST_DATA=E, EST_SOURCE=LCM</stp>
        <stp>ACT_EST_MAPPING=PRECISE</stp>
        <stp>FS=MRC</stp>
        <stp>CURRENCY=USD</stp>
        <stp>XLFILL=b</stp>
        <tr r="AA94" s="2"/>
      </tp>
      <tp t="s">
        <v/>
        <stp/>
        <stp>##V3_BQLV12</stp>
        <stp>[MODL_CRM_US1.xlsx]Single Period!R94C52</stp>
        <stp>CRM US Equity</stp>
        <stp>IS_SH_FOR_DILUTED_EPS/1M</stp>
        <stp>FPR=2022Y</stp>
        <stp>FPT=A</stp>
        <stp>FA_ACT_EST_DATA=E, EST_SOURCE=WFR</stp>
        <stp>ACT_EST_MAPPING=PRECISE</stp>
        <stp>FS=MRC</stp>
        <stp>CURRENCY=USD</stp>
        <stp>XLFILL=b</stp>
        <tr r="AZ94" s="2"/>
      </tp>
      <tp t="s">
        <v/>
        <stp/>
        <stp>##V3_BQLV12</stp>
        <stp>[MODL_CRM_US1.xlsx]Single Period!R137C32</stp>
        <stp>CRM US Equity</stp>
        <stp>BS_EQTY_BEFORE_MINORITY_INT/1M</stp>
        <stp>FPR=2022Y</stp>
        <stp>FPT=A</stp>
        <stp>FA_ACT_EST_DATA=E, EST_SOURCE=UBS</stp>
        <stp>ACT_EST_MAPPING=PRECISE</stp>
        <stp>FS=MRC</stp>
        <stp>CURRENCY=USD</stp>
        <stp>XLFILL=b</stp>
        <tr r="AF137" s="2"/>
      </tp>
      <tp t="s">
        <v/>
        <stp/>
        <stp>##V3_BQLV12</stp>
        <stp>[MODL_CRM_US1.xlsx]Single Period!R131C54</stp>
        <stp>CRM US Equity</stp>
        <stp>ST_DEFERRED_REVENUE/1M</stp>
        <stp>FPR=2022Y</stp>
        <stp>FPT=A</stp>
        <stp>FA_ACT_EST_DATA=E, EST_SOURCE=ARE</stp>
        <stp>ACT_EST_MAPPING=PRECISE</stp>
        <stp>FS=MRC</stp>
        <stp>CURRENCY=USD</stp>
        <stp>XLFILL=b</stp>
        <tr r="BB131" s="2"/>
      </tp>
      <tp t="s">
        <v/>
        <stp/>
        <stp>##V3_BQLV12</stp>
        <stp>[MODL_CRM_US1.xlsx]Single Period!R114C44</stp>
        <stp>CRM US Equity</stp>
        <stp>BS_ACCTS_REC_EXCL_NOTES_REC/1M</stp>
        <stp>FPR=2022Y</stp>
        <stp>FPT=A</stp>
        <stp>FA_ACT_EST_DATA=E, EST_SOURCE=RWB</stp>
        <stp>ACT_EST_MAPPING=PRECISE</stp>
        <stp>FS=MRC</stp>
        <stp>CURRENCY=USD</stp>
        <stp>XLFILL=b</stp>
        <tr r="AR114" s="2"/>
      </tp>
      <tp t="s">
        <v/>
        <stp/>
        <stp>##V3_BQLV12</stp>
        <stp>[MODL_CRM_US1.xlsx]Single Period!R131C45</stp>
        <stp>CRM US Equity</stp>
        <stp>ST_DEFERRED_REVENUE/1M</stp>
        <stp>FPR=2022Y</stp>
        <stp>FPT=A</stp>
        <stp>FA_ACT_EST_DATA=E, EST_SOURCE=ARG</stp>
        <stp>ACT_EST_MAPPING=PRECISE</stp>
        <stp>FS=MRC</stp>
        <stp>CURRENCY=USD</stp>
        <stp>XLFILL=b</stp>
        <tr r="AS131" s="2"/>
      </tp>
      <tp>
        <v>11928.5734841255</v>
        <stp/>
        <stp>##V3_BQLV12</stp>
        <stp>[MODL_CRM_US1.xlsx]Single Period!R85C16</stp>
        <stp>CRM US Equity</stp>
        <stp>CB_IS_S_AND_M_EXPENSE/1M</stp>
        <stp>FPR=2022Y</stp>
        <stp>FPT=A</stp>
        <stp>FA_ACT_EST_DATA=E, EST_SOURCE=DBG</stp>
        <stp>ACT_EST_MAPPING=PRECISE</stp>
        <stp>FS=MRC</stp>
        <stp>CURRENCY=USD</stp>
        <stp>XLFILL=b</stp>
        <tr r="P85" s="2"/>
      </tp>
      <tp t="s">
        <v/>
        <stp/>
        <stp>##V3_BQLV12</stp>
        <stp>[MODL_CRM_US1.xlsx]Single Period!R134C28</stp>
        <stp>CRM US Equity</stp>
        <stp>BS_LT_OPERATING_LEASE_LIABS/1M</stp>
        <stp>FPR=2022Y</stp>
        <stp>FPT=A</stp>
        <stp>FA_ACT_EST_DATA=E, EST_SOURCE=CWN</stp>
        <stp>ACT_EST_MAPPING=PRECISE</stp>
        <stp>FS=MRC</stp>
        <stp>CURRENCY=USD</stp>
        <stp>XLFILL=b</stp>
        <tr r="AB134" s="2"/>
      </tp>
      <tp t="s">
        <v/>
        <stp/>
        <stp>##V3_BQLV12</stp>
        <stp>[MODL_CRM_US1.xlsx]Single Period!R68C53</stp>
        <stp>CRM US Equity</stp>
        <stp>IS_COMP_PTP_EX_STK_BASED_COMP/1M</stp>
        <stp>FPR=2022Y</stp>
        <stp>FPT=A</stp>
        <stp>FA_ACT_EST_DATA=E, EST_SOURCE=NIK</stp>
        <stp>ACT_EST_MAPPING=PRECISE</stp>
        <stp>FS=MRC</stp>
        <stp>CURRENCY=USD</stp>
        <stp>XLFILL=b</stp>
        <tr r="BA68" s="2"/>
      </tp>
      <tp t="s">
        <v/>
        <stp/>
        <stp>##V3_BQLV12</stp>
        <stp>[MODL_CRM_US1.xlsx]Single Period!R134C43</stp>
        <stp>CRM US Equity</stp>
        <stp>BS_LT_OPERATING_LEASE_LIABS/1M</stp>
        <stp>FPR=2022Y</stp>
        <stp>FPT=A</stp>
        <stp>FA_ACT_EST_DATA=E, EST_SOURCE=DWI</stp>
        <stp>ACT_EST_MAPPING=PRECISE</stp>
        <stp>FS=MRC</stp>
        <stp>CURRENCY=USD</stp>
        <stp>XLFILL=b</stp>
        <tr r="AQ134" s="2"/>
      </tp>
      <tp t="s">
        <v/>
        <stp/>
        <stp>##V3_BQLV12</stp>
        <stp>[MODL_CRM_US1.xlsx]Single Period!R93C56</stp>
        <stp>CRM US Equity</stp>
        <stp>IS_AVG_NUM_SH_FOR_EPS/1M</stp>
        <stp>FPR=2022Y</stp>
        <stp>FPT=A</stp>
        <stp>FA_ACT_EST_DATA=E, EST_SOURCE=DIR</stp>
        <stp>ACT_EST_MAPPING=PRECISE</stp>
        <stp>FS=MRC</stp>
        <stp>CURRENCY=USD</stp>
        <stp>XLFILL=b</stp>
        <tr r="BD93" s="2"/>
      </tp>
      <tp t="s">
        <v/>
        <stp/>
        <stp>##V3_BQLV12</stp>
        <stp>[MODL_CRM_US1.xlsx]Single Period!R73C14</stp>
        <stp>CRM US Equity</stp>
        <stp>IS_SH_FOR_DILUTED_EPS/1M</stp>
        <stp>FPR=2022Y</stp>
        <stp>FPT=A</stp>
        <stp>FA_ACT_EST_DATA=E, EST_SOURCE=SNR</stp>
        <stp>ACT_EST_MAPPING=PRECISE</stp>
        <stp>FS=MRC</stp>
        <stp>CURRENCY=USD</stp>
        <stp>XLFILL=b</stp>
        <tr r="N73" s="2"/>
      </tp>
      <tp t="s">
        <v/>
        <stp/>
        <stp>##V3_BQLV12</stp>
        <stp>[MODL_CRM_US1.xlsx]Single Period!R114C43</stp>
        <stp>CRM US Equity</stp>
        <stp>BS_ACCTS_REC_EXCL_NOTES_REC/1M</stp>
        <stp>FPR=2022Y</stp>
        <stp>FPT=A</stp>
        <stp>FA_ACT_EST_DATA=E, EST_SOURCE=DWI</stp>
        <stp>ACT_EST_MAPPING=PRECISE</stp>
        <stp>FS=MRC</stp>
        <stp>CURRENCY=USD</stp>
        <stp>XLFILL=b</stp>
        <tr r="AQ114" s="2"/>
      </tp>
      <tp t="s">
        <v/>
        <stp/>
        <stp>##V3_BQLV12</stp>
        <stp>[MODL_CRM_US1.xlsx]Single Period!R114C28</stp>
        <stp>CRM US Equity</stp>
        <stp>BS_ACCTS_REC_EXCL_NOTES_REC/1M</stp>
        <stp>FPR=2022Y</stp>
        <stp>FPT=A</stp>
        <stp>FA_ACT_EST_DATA=E, EST_SOURCE=CWN</stp>
        <stp>ACT_EST_MAPPING=PRECISE</stp>
        <stp>FS=MRC</stp>
        <stp>CURRENCY=USD</stp>
        <stp>XLFILL=b</stp>
        <tr r="AB114" s="2"/>
      </tp>
      <tp>
        <v>6016</v>
        <stp/>
        <stp>##V3_BQLV12</stp>
        <stp>[MODL_CRM_US1.xlsx]Single Period!R68C19</stp>
        <stp>CRM US Equity</stp>
        <stp>IS_COMP_PTP_EX_STK_BASED_COMP/1M</stp>
        <stp>FPR=2022Y</stp>
        <stp>FPT=A</stp>
        <stp>FA_ACT_EST_DATA=E, EST_SOURCE=SCB</stp>
        <stp>ACT_EST_MAPPING=PRECISE</stp>
        <stp>FS=MRC</stp>
        <stp>CURRENCY=USD</stp>
        <stp>XLFILL=b</stp>
        <tr r="S68" s="2"/>
      </tp>
      <tp>
        <v>20882.010759000001</v>
        <stp/>
        <stp>##V3_BQLV12</stp>
        <stp>[MODL_CRM_US1.xlsx]Single Period!R16C7</stp>
        <stp>CRM US Equity</stp>
        <stp>CONTRIBUTOR_STATS(IS_ADJ_GROSS_PROFIT_AS_REPORTED, MAX)/1M</stp>
        <stp>FPR=2022Y</stp>
        <stp>FPT=A</stp>
        <stp>FA_ACT_EST_DATA=E</stp>
        <stp>ACT_EST_MAPPING=PRECISE</stp>
        <stp>FS=MRC</stp>
        <stp>CURRENCY=USD</stp>
        <stp>XLFILL=b</stp>
        <tr r="G16" s="2"/>
      </tp>
      <tp>
        <v>20628.699000000001</v>
        <stp/>
        <stp>##V3_BQLV12</stp>
        <stp>[MODL_CRM_US1.xlsx]Single Period!R16C6</stp>
        <stp>CRM US Equity</stp>
        <stp>CONTRIBUTOR_STATS(IS_ADJ_GROSS_PROFIT_AS_REPORTED, MIN)/1M</stp>
        <stp>FPR=2022Y</stp>
        <stp>FPT=A</stp>
        <stp>FA_ACT_EST_DATA=E</stp>
        <stp>ACT_EST_MAPPING=PRECISE</stp>
        <stp>FS=MRC</stp>
        <stp>CURRENCY=USD</stp>
        <stp>XLFILL=b</stp>
        <tr r="F16" s="2"/>
      </tp>
      <tp t="s">
        <v/>
        <stp/>
        <stp>##V3_BQLV12</stp>
        <stp>[MODL_CRM_US1.xlsx]Single Period!R85C27</stp>
        <stp>CRM US Equity</stp>
        <stp>CB_IS_S_AND_M_EXPENSE/1M</stp>
        <stp>FPR=2022Y</stp>
        <stp>FPT=A</stp>
        <stp>FA_ACT_EST_DATA=E, EST_SOURCE=LCM</stp>
        <stp>ACT_EST_MAPPING=PRECISE</stp>
        <stp>FS=MRC</stp>
        <stp>CURRENCY=USD</stp>
        <stp>XLFILL=b</stp>
        <tr r="AA85" s="2"/>
      </tp>
      <tp t="s">
        <v/>
        <stp/>
        <stp>##V3_BQLV12</stp>
        <stp>[MODL_CRM_US1.xlsx]Single Period!R134C44</stp>
        <stp>CRM US Equity</stp>
        <stp>BS_LT_OPERATING_LEASE_LIABS/1M</stp>
        <stp>FPR=2022Y</stp>
        <stp>FPT=A</stp>
        <stp>FA_ACT_EST_DATA=E, EST_SOURCE=RWB</stp>
        <stp>ACT_EST_MAPPING=PRECISE</stp>
        <stp>FS=MRC</stp>
        <stp>CURRENCY=USD</stp>
        <stp>XLFILL=b</stp>
        <tr r="AR134" s="2"/>
      </tp>
      <tp>
        <v>2805.9761435853857</v>
        <stp/>
        <stp>##V3_BQLV12</stp>
        <stp>[MODL_CRM_US1.xlsx]Single Period!R99C5</stp>
        <stp>CRM US Equity</stp>
        <stp>IS_SBC_NON_GAAP/1M</stp>
        <stp>FPR=2022Y</stp>
        <stp>FPT=A</stp>
        <stp>FA_ACT_EST_DATA=E</stp>
        <stp>ACT_EST_MAPPING=PRECISE</stp>
        <stp>FS=MRC</stp>
        <stp>CURRENCY=USD</stp>
        <stp>XLFILL=b</stp>
        <tr r="E99" s="2"/>
      </tp>
      <tp t="s">
        <v/>
        <stp/>
        <stp>##V3_BQLV12</stp>
        <stp>[MODL_CRM_US1.xlsx]Single Period!R119C21</stp>
        <stp>CRM US Equity</stp>
        <stp>CB_BS_OTHER_NONCURRENT_ASSETS/1M</stp>
        <stp>FPR=2022Y</stp>
        <stp>FPT=A</stp>
        <stp>FA_ACT_EST_DATA=E, EST_SOURCE=RJA</stp>
        <stp>ACT_EST_MAPPING=PRECISE</stp>
        <stp>FS=MRC</stp>
        <stp>CURRENCY=USD</stp>
        <stp>XLFILL=b</stp>
        <tr r="U119" s="2"/>
      </tp>
      <tp t="s">
        <v/>
        <stp/>
        <stp>##V3_BQLV12</stp>
        <stp>[MODL_CRM_US1.xlsx]Single Period!R101C21</stp>
        <stp>CRM US Equity</stp>
        <stp>IS_SBC_ATTRIBUTABLE_TO_R_AND_D_PRETX/1M</stp>
        <stp>FPR=2022Y</stp>
        <stp>FPT=A</stp>
        <stp>FA_ACT_EST_DATA=E, EST_SOURCE=RJA</stp>
        <stp>ACT_EST_MAPPING=PRECISE</stp>
        <stp>FS=MRC</stp>
        <stp>CURRENCY=USD</stp>
        <stp>XLFILL=b</stp>
        <tr r="U101" s="2"/>
      </tp>
      <tp t="s">
        <v/>
        <stp/>
        <stp>##V3_BQLV12</stp>
        <stp>[MODL_CRM_US1.xlsx]Single Period!R140C19</stp>
        <stp>CRM US Equity</stp>
        <stp>BS_ACCUMULATED_OTHER_COMP_INC/1M</stp>
        <stp>FPR=2022Y</stp>
        <stp>FPT=A</stp>
        <stp>FA_ACT_EST_DATA=E, EST_SOURCE=SCB</stp>
        <stp>ACT_EST_MAPPING=PRECISE</stp>
        <stp>FS=MRC</stp>
        <stp>CURRENCY=USD</stp>
        <stp>XLFILL=b</stp>
        <tr r="S140" s="2"/>
      </tp>
      <tp t="s">
        <v/>
        <stp/>
        <stp>##V3_BQLV12</stp>
        <stp>[MODL_CRM_US1.xlsx]Single Period!R156C37</stp>
        <stp>CRM US Equity</stp>
        <stp>CF_DEPR_AMORT/1M</stp>
        <stp>FPR=2022Y</stp>
        <stp>FPT=A</stp>
        <stp>FA_ACT_EST_DATA=E, EST_SOURCE=EVR</stp>
        <stp>ACT_EST_MAPPING=PRECISE</stp>
        <stp>FS=MRC</stp>
        <stp>CURRENCY=USD</stp>
        <stp>XLFILL=b</stp>
        <tr r="AK156" s="2"/>
      </tp>
      <tp t="s">
        <v/>
        <stp/>
        <stp>##V3_BQLV12</stp>
        <stp>[MODL_CRM_US1.xlsx]Single Period!R151C53</stp>
        <stp>CRM US Equity</stp>
        <stp>NON_CURRENT_FUTURE_REV_UNDER_CONTRACT/1M</stp>
        <stp>FPR=2022Y</stp>
        <stp>FPT=A</stp>
        <stp>FA_ACT_EST_DATA=E, EST_SOURCE=NIK</stp>
        <stp>ACT_EST_MAPPING=PRECISE</stp>
        <stp>FS=MRC</stp>
        <stp>CURRENCY=USD</stp>
        <stp>XLFILL=b</stp>
        <tr r="BA151" s="2"/>
      </tp>
      <tp t="s">
        <v/>
        <stp/>
        <stp>##V3_BQLV12</stp>
        <stp>[MODL_CRM_US1.xlsx]Single Period!R123C51</stp>
        <stp>CRM US Equity</stp>
        <stp>TOT_OPER_LEA_RT_OF_USE_ASSETS/1M</stp>
        <stp>FPR=2022Y</stp>
        <stp>FPT=A</stp>
        <stp>FA_ACT_EST_DATA=E, EST_SOURCE=RCP</stp>
        <stp>ACT_EST_MAPPING=PRECISE</stp>
        <stp>FS=MRC</stp>
        <stp>CURRENCY=USD</stp>
        <stp>XLFILL=b</stp>
        <tr r="AY123" s="2"/>
      </tp>
      <tp t="s">
        <v/>
        <stp/>
        <stp>##V3_BQLV12</stp>
        <stp>[MODL_CRM_US1.xlsx]Single Period!R28C38</stp>
        <stp>SEG0000269242 Segment</stp>
        <stp>SALES_REV_TURN/1M</stp>
        <stp>FPR=2022Y</stp>
        <stp>FPT=A</stp>
        <stp>FA_ACT_EST_DATA=E, EST_SOURCE=MSR</stp>
        <stp>ACT_EST_MAPPING=PRECISE</stp>
        <stp>FS=MRC</stp>
        <stp>CURRENCY=USD</stp>
        <stp>XLFILL=b</stp>
        <tr r="AL28" s="2"/>
      </tp>
      <tp>
        <v>1665</v>
        <stp/>
        <stp>##V3_BQLV12</stp>
        <stp>[MODL_CRM_US1.xlsx]Single Period!R65C17</stp>
        <stp>CRM US Equity</stp>
        <stp>IS_AMORT_OF_TOT_INTANG_PRETX/1M</stp>
        <stp>FPR=2022Y</stp>
        <stp>FPT=A</stp>
        <stp>FA_ACT_EST_DATA=E, EST_SOURCE=NDH</stp>
        <stp>ACT_EST_MAPPING=PRECISE</stp>
        <stp>FS=MRC</stp>
        <stp>CURRENCY=USD</stp>
        <stp>XLFILL=b</stp>
        <tr r="Q65" s="2"/>
      </tp>
      <tp t="s">
        <v/>
        <stp/>
        <stp>##V3_BQLV12</stp>
        <stp>[MODL_CRM_US1.xlsx]Single Period!R28C41</stp>
        <stp>SEG0000269242 Segment</stp>
        <stp>SALES_REV_TURN/1M</stp>
        <stp>FPR=2022Y</stp>
        <stp>FPT=A</stp>
        <stp>FA_ACT_EST_DATA=E, EST_SOURCE=GSR</stp>
        <stp>ACT_EST_MAPPING=PRECISE</stp>
        <stp>FS=MRC</stp>
        <stp>CURRENCY=USD</stp>
        <stp>XLFILL=b</stp>
        <tr r="AO28" s="2"/>
      </tp>
      <tp t="s">
        <v/>
        <stp/>
        <stp>##V3_BQLV12</stp>
        <stp>[MODL_CRM_US1.xlsx]Single Period!R140C53</stp>
        <stp>CRM US Equity</stp>
        <stp>BS_ACCUMULATED_OTHER_COMP_INC/1M</stp>
        <stp>FPR=2022Y</stp>
        <stp>FPT=A</stp>
        <stp>FA_ACT_EST_DATA=E, EST_SOURCE=NIK</stp>
        <stp>ACT_EST_MAPPING=PRECISE</stp>
        <stp>FS=MRC</stp>
        <stp>CURRENCY=USD</stp>
        <stp>XLFILL=b</stp>
        <tr r="BA140" s="2"/>
      </tp>
      <tp>
        <v>4482.33</v>
        <stp/>
        <stp>##V3_BQLV12</stp>
        <stp>[MODL_CRM_US1.xlsx]Single Period!R28C15</stp>
        <stp>SEG0000269242 Segment</stp>
        <stp>SALES_REV_TURN/1M</stp>
        <stp>FPR=2022Y</stp>
        <stp>FPT=A</stp>
        <stp>FA_ACT_EST_DATA=E, EST_SOURCE=MSV</stp>
        <stp>ACT_EST_MAPPING=PRECISE</stp>
        <stp>FS=MRC</stp>
        <stp>CURRENCY=USD</stp>
        <stp>XLFILL=b</stp>
        <tr r="O28" s="2"/>
      </tp>
      <tp t="s">
        <v/>
        <stp/>
        <stp>##V3_BQLV12</stp>
        <stp>[MODL_CRM_US1.xlsx]Single Period!R151C19</stp>
        <stp>CRM US Equity</stp>
        <stp>NON_CURRENT_FUTURE_REV_UNDER_CONTRACT/1M</stp>
        <stp>FPR=2022Y</stp>
        <stp>FPT=A</stp>
        <stp>FA_ACT_EST_DATA=E, EST_SOURCE=SCB</stp>
        <stp>ACT_EST_MAPPING=PRECISE</stp>
        <stp>FS=MRC</stp>
        <stp>CURRENCY=USD</stp>
        <stp>XLFILL=b</stp>
        <tr r="S151" s="2"/>
      </tp>
      <tp t="s">
        <v/>
        <stp/>
        <stp>##V3_BQLV12</stp>
        <stp>[MODL_CRM_US1.xlsx]Single Period!R156C42</stp>
        <stp>CRM US Equity</stp>
        <stp>CF_DEPR_AMORT/1M</stp>
        <stp>FPR=2022Y</stp>
        <stp>FPT=A</stp>
        <stp>FA_ACT_EST_DATA=E, EST_SOURCE=PSG</stp>
        <stp>ACT_EST_MAPPING=PRECISE</stp>
        <stp>FS=MRC</stp>
        <stp>CURRENCY=USD</stp>
        <stp>XLFILL=b</stp>
        <tr r="AP156" s="2"/>
      </tp>
      <tp t="s">
        <v/>
        <stp/>
        <stp>##V3_BQLV12</stp>
        <stp>[MODL_CRM_US1.xlsx]Single Period!R119C33</stp>
        <stp>CRM US Equity</stp>
        <stp>CB_BS_OTHER_NONCURRENT_ASSETS/1M</stp>
        <stp>FPR=2022Y</stp>
        <stp>FPT=A</stp>
        <stp>FA_ACT_EST_DATA=E, EST_SOURCE=RHR</stp>
        <stp>ACT_EST_MAPPING=PRECISE</stp>
        <stp>FS=MRC</stp>
        <stp>CURRENCY=USD</stp>
        <stp>XLFILL=b</stp>
        <tr r="AG119" s="2"/>
      </tp>
      <tp t="s">
        <v/>
        <stp/>
        <stp>##V3_BQLV12</stp>
        <stp>[MODL_CRM_US1.xlsx]Single Period!R140C14</stp>
        <stp>CRM US Equity</stp>
        <stp>BS_ACCUMULATED_OTHER_COMP_INC/1M</stp>
        <stp>FPR=2022Y</stp>
        <stp>FPT=A</stp>
        <stp>FA_ACT_EST_DATA=E, EST_SOURCE=SNR</stp>
        <stp>ACT_EST_MAPPING=PRECISE</stp>
        <stp>FS=MRC</stp>
        <stp>CURRENCY=USD</stp>
        <stp>XLFILL=b</stp>
        <tr r="N140" s="2"/>
      </tp>
      <tp t="s">
        <v/>
        <stp/>
        <stp>##V3_BQLV12</stp>
        <stp>[MODL_CRM_US1.xlsx]Single Period!R149C45</stp>
        <stp>CRM US Equity</stp>
        <stp>TOT_FUTURE_REV_UNDER_CONTRACT/1M</stp>
        <stp>FPR=2022Y</stp>
        <stp>FPT=A</stp>
        <stp>FA_ACT_EST_DATA=E, EST_SOURCE=ARG</stp>
        <stp>ACT_EST_MAPPING=PRECISE</stp>
        <stp>FS=MRC</stp>
        <stp>CURRENCY=USD</stp>
        <stp>XLFILL=b</stp>
        <tr r="AS149" s="2"/>
      </tp>
      <tp t="s">
        <v/>
        <stp/>
        <stp>##V3_BQLV12</stp>
        <stp>[MODL_CRM_US1.xlsx]Single Period!R156C35</stp>
        <stp>CRM US Equity</stp>
        <stp>CF_DEPR_AMORT/1M</stp>
        <stp>FPR=2022Y</stp>
        <stp>FPT=A</stp>
        <stp>FA_ACT_EST_DATA=E, EST_SOURCE=ATL</stp>
        <stp>ACT_EST_MAPPING=PRECISE</stp>
        <stp>FS=MRC</stp>
        <stp>CURRENCY=USD</stp>
        <stp>XLFILL=b</stp>
        <tr r="AI156" s="2"/>
      </tp>
      <tp t="s">
        <v/>
        <stp/>
        <stp>##V3_BQLV12</stp>
        <stp>[MODL_CRM_US1.xlsx]Single Period!R83C55</stp>
        <stp>CRM US Equity</stp>
        <stp>IS_OPEX_R_AND_D_GAAP/1M</stp>
        <stp>FPR=2022Y</stp>
        <stp>FPT=A</stp>
        <stp>FA_ACT_EST_DATA=E, EST_SOURCE=RED</stp>
        <stp>ACT_EST_MAPPING=PRECISE</stp>
        <stp>FS=MRC</stp>
        <stp>CURRENCY=USD</stp>
        <stp>XLFILL=b</stp>
        <tr r="BC83" s="2"/>
      </tp>
      <tp t="s">
        <v/>
        <stp/>
        <stp>##V3_BQLV12</stp>
        <stp>[MODL_CRM_US1.xlsx]Single Period!R83C18</stp>
        <stp>CRM US Equity</stp>
        <stp>IS_OPEX_R_AND_D_GAAP/1M</stp>
        <stp>FPR=2022Y</stp>
        <stp>FPT=A</stp>
        <stp>FA_ACT_EST_DATA=E, EST_SOURCE=CAN</stp>
        <stp>ACT_EST_MAPPING=PRECISE</stp>
        <stp>FS=MRC</stp>
        <stp>CURRENCY=USD</stp>
        <stp>XLFILL=b</stp>
        <tr r="R83" s="2"/>
      </tp>
      <tp t="s">
        <v/>
        <stp/>
        <stp>##V3_BQLV12</stp>
        <stp>[MODL_CRM_US1.xlsx]Single Period!R28C42</stp>
        <stp>SEG0000269242 Segment</stp>
        <stp>SALES_REV_TURN/1M</stp>
        <stp>FPR=2022Y</stp>
        <stp>FPT=A</stp>
        <stp>FA_ACT_EST_DATA=E, EST_SOURCE=PSG</stp>
        <stp>ACT_EST_MAPPING=PRECISE</stp>
        <stp>FS=MRC</stp>
        <stp>CURRENCY=USD</stp>
        <stp>XLFILL=b</stp>
        <tr r="AP28" s="2"/>
      </tp>
      <tp t="s">
        <v/>
        <stp/>
        <stp>##V3_BQLV12</stp>
        <stp>[MODL_CRM_US1.xlsx]Single Period!R123C48</stp>
        <stp>CRM US Equity</stp>
        <stp>TOT_OPER_LEA_RT_OF_USE_ASSETS/1M</stp>
        <stp>FPR=2022Y</stp>
        <stp>FPT=A</stp>
        <stp>FA_ACT_EST_DATA=E, EST_SOURCE=PJE</stp>
        <stp>ACT_EST_MAPPING=PRECISE</stp>
        <stp>FS=MRC</stp>
        <stp>CURRENCY=USD</stp>
        <stp>XLFILL=b</stp>
        <tr r="AV123" s="2"/>
      </tp>
      <tp>
        <v>4382.4019664908346</v>
        <stp/>
        <stp>##V3_BQLV12</stp>
        <stp>[MODL_CRM_US1.xlsx]Single Period!R83C24</stp>
        <stp>CRM US Equity</stp>
        <stp>IS_OPEX_R_AND_D_GAAP/1M</stp>
        <stp>FPR=2022Y</stp>
        <stp>FPT=A</stp>
        <stp>FA_ACT_EST_DATA=E, EST_SOURCE=FBC</stp>
        <stp>ACT_EST_MAPPING=PRECISE</stp>
        <stp>FS=MRC</stp>
        <stp>CURRENCY=USD</stp>
        <stp>XLFILL=b</stp>
        <tr r="X83" s="2"/>
      </tp>
      <tp t="s">
        <v/>
        <stp/>
        <stp>##V3_BQLV12</stp>
        <stp>[MODL_CRM_US1.xlsx]Single Period!R151C14</stp>
        <stp>CRM US Equity</stp>
        <stp>NON_CURRENT_FUTURE_REV_UNDER_CONTRACT/1M</stp>
        <stp>FPR=2022Y</stp>
        <stp>FPT=A</stp>
        <stp>FA_ACT_EST_DATA=E, EST_SOURCE=SNR</stp>
        <stp>ACT_EST_MAPPING=PRECISE</stp>
        <stp>FS=MRC</stp>
        <stp>CURRENCY=USD</stp>
        <stp>XLFILL=b</stp>
        <tr r="N151" s="2"/>
      </tp>
      <tp t="s">
        <v/>
        <stp/>
        <stp>##V3_BQLV12</stp>
        <stp>[MODL_CRM_US1.xlsx]Single Period!R183C42</stp>
        <stp>CRM US Equity</stp>
        <stp>CASH_FLOW_PER_SH</stp>
        <stp>FPR=2022Y</stp>
        <stp>FPT=A</stp>
        <stp>FA_ACT_EST_DATA=E, EST_SOURCE=PSG</stp>
        <stp>ACT_EST_MAPPING=PRECISE</stp>
        <stp>FS=MRC</stp>
        <stp>CURRENCY=USD</stp>
        <stp>XLFILL=b</stp>
        <tr r="AP183" s="2"/>
      </tp>
      <tp t="s">
        <v/>
        <stp/>
        <stp>##V3_BQLV12</stp>
        <stp>[MODL_CRM_US1.xlsx]Single Period!R183C35</stp>
        <stp>CRM US Equity</stp>
        <stp>CASH_FLOW_PER_SH</stp>
        <stp>FPR=2022Y</stp>
        <stp>FPT=A</stp>
        <stp>FA_ACT_EST_DATA=E, EST_SOURCE=ATL</stp>
        <stp>ACT_EST_MAPPING=PRECISE</stp>
        <stp>FS=MRC</stp>
        <stp>CURRENCY=USD</stp>
        <stp>XLFILL=b</stp>
        <tr r="AI183" s="2"/>
      </tp>
      <tp t="s">
        <v/>
        <stp/>
        <stp>##V3_BQLV12</stp>
        <stp>[MODL_CRM_US1.xlsx]Single Period!R111C10</stp>
        <stp>CRM US Equity</stp>
        <stp>BS_CASH_CASH_EQUIVALENTS_AND_STI/1M</stp>
        <stp>FPR=2022Y</stp>
        <stp>FPT=A</stp>
        <stp>FA_ACT_EST_DATA=E, EST_SOURCE=CMPY</stp>
        <stp>ACT_EST_MAPPING=PRECISE</stp>
        <stp>FS=MRC</stp>
        <stp>CURRENCY=USD</stp>
        <stp>XLFILL=b</stp>
        <tr r="J111" s="2"/>
      </tp>
      <tp t="s">
        <v/>
        <stp/>
        <stp>##V3_BQLV12</stp>
        <stp>[MODL_CRM_US1.xlsx]Single Period!R183C37</stp>
        <stp>CRM US Equity</stp>
        <stp>CASH_FLOW_PER_SH</stp>
        <stp>FPR=2022Y</stp>
        <stp>FPT=A</stp>
        <stp>FA_ACT_EST_DATA=E, EST_SOURCE=EVR</stp>
        <stp>ACT_EST_MAPPING=PRECISE</stp>
        <stp>FS=MRC</stp>
        <stp>CURRENCY=USD</stp>
        <stp>XLFILL=b</stp>
        <tr r="AK183" s="2"/>
      </tp>
      <tp t="s">
        <v/>
        <stp/>
        <stp>##V3_BQLV12</stp>
        <stp>[MODL_CRM_US1.xlsx]Single Period!R161C10</stp>
        <stp>CRM US Equity</stp>
        <stp>CF_ACCT_RCV_UNBILLED_REV/1M</stp>
        <stp>FPR=2022Y</stp>
        <stp>FPT=A</stp>
        <stp>FA_ACT_EST_DATA=E, EST_SOURCE=CMPY</stp>
        <stp>ACT_EST_MAPPING=PRECISE</stp>
        <stp>FS=MRC</stp>
        <stp>CURRENCY=USD</stp>
        <stp>XLFILL=b</stp>
        <tr r="J161" s="2"/>
      </tp>
      <tp>
        <v>1622</v>
        <stp/>
        <stp>##V3_BQLV12</stp>
        <stp>[MODL_CRM_US1.xlsx]Single Period!R65C9</stp>
        <stp>CRM US Equity</stp>
        <stp>CONTRIBUTOR_STATS(IS_AMORT_OF_TOT_INTANG_PRETX, MEDIAN)/1M</stp>
        <stp>FPR=2022Y</stp>
        <stp>FPT=A</stp>
        <stp>FA_ACT_EST_DATA=E</stp>
        <stp>ACT_EST_MAPPING=PRECISE</stp>
        <stp>FS=MRC</stp>
        <stp>CURRENCY=USD</stp>
        <stp>XLFILL=b</stp>
        <tr r="I65" s="2"/>
      </tp>
      <tp t="s">
        <v/>
        <stp/>
        <stp>##V3_BQLV12</stp>
        <stp>[MODL_CRM_US1.xlsx]Single Period!R95C56</stp>
        <stp>CRM US Equity</stp>
        <stp>IS_COMP_EPS_GAAP</stp>
        <stp>FPR=2022Y</stp>
        <stp>FPT=A</stp>
        <stp>FA_ACT_EST_DATA=E, EST_SOURCE=DIR</stp>
        <stp>ACT_EST_MAPPING=PRECISE</stp>
        <stp>FS=MRC</stp>
        <stp>CURRENCY=USD</stp>
        <stp>XLFILL=b</stp>
        <tr r="BD95" s="2"/>
      </tp>
      <tp t="s">
        <v/>
        <stp/>
        <stp>##V3_BQLV12</stp>
        <stp>[MODL_CRM_US1.xlsx]Single Period!R188C14</stp>
        <stp>CRM US Equity</stp>
        <stp>BS_CASH_NEAR_CASH_ITEM/1M</stp>
        <stp>FPR=2022Y</stp>
        <stp>FPT=A</stp>
        <stp>FA_ACT_EST_DATA=E, EST_SOURCE=SNR</stp>
        <stp>ACT_EST_MAPPING=PRECISE</stp>
        <stp>FS=MRC</stp>
        <stp>CURRENCY=USD</stp>
        <stp>XLFILL=b</stp>
        <tr r="N188" s="2"/>
      </tp>
      <tp t="s">
        <v/>
        <stp/>
        <stp>##V3_BQLV12</stp>
        <stp>[MODL_CRM_US1.xlsx]Single Period!R188C29</stp>
        <stp>CRM US Equity</stp>
        <stp>BS_CASH_NEAR_CASH_ITEM/1M</stp>
        <stp>FPR=2022Y</stp>
        <stp>FPT=A</stp>
        <stp>FA_ACT_EST_DATA=E, EST_SOURCE=BNS</stp>
        <stp>ACT_EST_MAPPING=PRECISE</stp>
        <stp>FS=MRC</stp>
        <stp>CURRENCY=USD</stp>
        <stp>XLFILL=b</stp>
        <tr r="AC188" s="2"/>
      </tp>
      <tp t="s">
        <v/>
        <stp/>
        <stp>##V3_BQLV12</stp>
        <stp>[MODL_CRM_US1.xlsx]Single Period!R105C50</stp>
        <stp>CRM US Equity</stp>
        <stp>IS_AMORT_ACQD_INTANGIBLES_COGS/1M</stp>
        <stp>FPR=2022Y</stp>
        <stp>FPT=A</stp>
        <stp>FA_ACT_EST_DATA=E, EST_SOURCE=MZS</stp>
        <stp>ACT_EST_MAPPING=PRECISE</stp>
        <stp>FS=MRC</stp>
        <stp>CURRENCY=USD</stp>
        <stp>XLFILL=b</stp>
        <tr r="AX105" s="2"/>
      </tp>
      <tp>
        <v>1.26</v>
        <stp/>
        <stp>##V3_BQLV12</stp>
        <stp>[MODL_CRM_US1.xlsx]Single Period!R95C12</stp>
        <stp>CRM US Equity</stp>
        <stp>IS_COMP_EPS_GAAP</stp>
        <stp>FPR=2022Y</stp>
        <stp>FPT=A</stp>
        <stp>FA_ACT_EST_DATA=E, EST_SOURCE=BMO</stp>
        <stp>ACT_EST_MAPPING=PRECISE</stp>
        <stp>FS=MRC</stp>
        <stp>CURRENCY=USD</stp>
        <stp>XLFILL=b</stp>
        <tr r="L95" s="2"/>
      </tp>
      <tp>
        <v>7844.6291499999998</v>
        <stp/>
        <stp>##V3_BQLV12</stp>
        <stp>[MODL_CRM_US1.xlsx]Single Period!R112C17</stp>
        <stp>CRM US Equity</stp>
        <stp>BS_CASH_NEAR_CASH_ITEM/1M</stp>
        <stp>FPR=2022Y</stp>
        <stp>FPT=A</stp>
        <stp>FA_ACT_EST_DATA=E, EST_SOURCE=NDH</stp>
        <stp>ACT_EST_MAPPING=PRECISE</stp>
        <stp>FS=MRC</stp>
        <stp>CURRENCY=USD</stp>
        <stp>XLFILL=b</stp>
        <tr r="Q112" s="2"/>
      </tp>
      <tp t="s">
        <v/>
        <stp/>
        <stp>##V3_BQLV12</stp>
        <stp>[MODL_CRM_US1.xlsx]Single Period!R63C45</stp>
        <stp>CRM US Equity</stp>
        <stp>CF_DEPR_AMORT/1M</stp>
        <stp>FPR=2022Y</stp>
        <stp>FPT=A</stp>
        <stp>FA_ACT_EST_DATA=E, EST_SOURCE=ARG</stp>
        <stp>ACT_EST_MAPPING=PRECISE</stp>
        <stp>FS=MRC</stp>
        <stp>CURRENCY=USD</stp>
        <stp>XLFILL=b</stp>
        <tr r="AS63" s="2"/>
      </tp>
      <tp t="s">
        <v/>
        <stp/>
        <stp>##V3_BQLV12</stp>
        <stp>[MODL_CRM_US1.xlsx]Single Period!R94C40</stp>
        <stp>CRM US Equity</stp>
        <stp>IS_SH_FOR_DILUTED_EPS/1M</stp>
        <stp>FPR=2022Y</stp>
        <stp>FPT=A</stp>
        <stp>FA_ACT_EST_DATA=E, EST_SOURCE=ACC</stp>
        <stp>ACT_EST_MAPPING=PRECISE</stp>
        <stp>FS=MRC</stp>
        <stp>CURRENCY=USD</stp>
        <stp>XLFILL=b</stp>
        <tr r="AN94" s="2"/>
      </tp>
      <tp t="s">
        <v/>
        <stp/>
        <stp>##V3_BQLV12</stp>
        <stp>[MODL_CRM_US1.xlsx]Single Period!R94C31</stp>
        <stp>CRM US Equity</stp>
        <stp>IS_SH_FOR_DILUTED_EPS/1M</stp>
        <stp>FPR=2022Y</stp>
        <stp>FPT=A</stp>
        <stp>FA_ACT_EST_DATA=E, EST_SOURCE=RBC</stp>
        <stp>ACT_EST_MAPPING=PRECISE</stp>
        <stp>FS=MRC</stp>
        <stp>CURRENCY=USD</stp>
        <stp>XLFILL=b</stp>
        <tr r="AE94" s="2"/>
      </tp>
      <tp t="s">
        <v/>
        <stp/>
        <stp>##V3_BQLV12</stp>
        <stp>[MODL_CRM_US1.xlsx]Single Period!R162C23</stp>
        <stp>CRM US Equity</stp>
        <stp>CF_CHANGE_IN_PREPAID_EXPNSS/1M</stp>
        <stp>FPR=2022Y</stp>
        <stp>FPT=A</stp>
        <stp>FA_ACT_EST_DATA=E, EST_SOURCE=JPM</stp>
        <stp>ACT_EST_MAPPING=PRECISE</stp>
        <stp>FS=MRC</stp>
        <stp>CURRENCY=USD</stp>
        <stp>XLFILL=b</stp>
        <tr r="W162" s="2"/>
      </tp>
      <tp t="s">
        <v/>
        <stp/>
        <stp>##V3_BQLV12</stp>
        <stp>[MODL_CRM_US1.xlsx]Single Period!R137C55</stp>
        <stp>CRM US Equity</stp>
        <stp>BS_EQTY_BEFORE_MINORITY_INT/1M</stp>
        <stp>FPR=2022Y</stp>
        <stp>FPT=A</stp>
        <stp>FA_ACT_EST_DATA=E, EST_SOURCE=RED</stp>
        <stp>ACT_EST_MAPPING=PRECISE</stp>
        <stp>FS=MRC</stp>
        <stp>CURRENCY=USD</stp>
        <stp>XLFILL=b</stp>
        <tr r="BC137" s="2"/>
      </tp>
      <tp t="s">
        <v/>
        <stp/>
        <stp>##V3_BQLV12</stp>
        <stp>[MODL_CRM_US1.xlsx]Single Period!R134C22</stp>
        <stp>CRM US Equity</stp>
        <stp>BS_LT_OPERATING_LEASE_LIABS/1M</stp>
        <stp>FPR=2022Y</stp>
        <stp>FPT=A</stp>
        <stp>FA_ACT_EST_DATA=E, EST_SOURCE=OPY</stp>
        <stp>ACT_EST_MAPPING=PRECISE</stp>
        <stp>FS=MRC</stp>
        <stp>CURRENCY=USD</stp>
        <stp>XLFILL=b</stp>
        <tr r="V134" s="2"/>
      </tp>
      <tp>
        <v>26395</v>
        <stp/>
        <stp>##V3_BQLV12</stp>
        <stp>[MODL_CRM_US1.xlsx]Single Period!R52C34</stp>
        <stp>CRM US Equity</stp>
        <stp>IS_COMP_SALES/1M</stp>
        <stp>FPR=2022Y</stp>
        <stp>FPT=A</stp>
        <stp>FA_ACT_EST_DATA=E, EST_SOURCE=JEF</stp>
        <stp>ACT_EST_MAPPING=PRECISE</stp>
        <stp>FS=MRC</stp>
        <stp>CURRENCY=USD</stp>
        <stp>XLFILL=b</stp>
        <tr r="AH52" s="2"/>
      </tp>
      <tp t="s">
        <v/>
        <stp/>
        <stp>##V3_BQLV12</stp>
        <stp>[MODL_CRM_US1.xlsx]Single Period!R137C34</stp>
        <stp>CRM US Equity</stp>
        <stp>BS_EQTY_BEFORE_MINORITY_INT/1M</stp>
        <stp>FPR=2022Y</stp>
        <stp>FPT=A</stp>
        <stp>FA_ACT_EST_DATA=E, EST_SOURCE=JEF</stp>
        <stp>ACT_EST_MAPPING=PRECISE</stp>
        <stp>FS=MRC</stp>
        <stp>CURRENCY=USD</stp>
        <stp>XLFILL=b</stp>
        <tr r="AH137" s="2"/>
      </tp>
      <tp t="s">
        <v/>
        <stp/>
        <stp>##V3_BQLV12</stp>
        <stp>[MODL_CRM_US1.xlsx]Single Period!R12C45</stp>
        <stp>CRM US Equity</stp>
        <stp>TOT_FUTURE_REV_UNDER_CONTRACT/1M</stp>
        <stp>FPR=2022Y</stp>
        <stp>FPT=A</stp>
        <stp>FA_ACT_EST_DATA=E, EST_SOURCE=ARG</stp>
        <stp>ACT_EST_MAPPING=PRECISE</stp>
        <stp>FS=MRC</stp>
        <stp>CURRENCY=USD</stp>
        <stp>XLFILL=b</stp>
        <tr r="AS12" s="2"/>
      </tp>
      <tp t="s">
        <v/>
        <stp/>
        <stp>##V3_BQLV12</stp>
        <stp>[MODL_CRM_US1.xlsx]Single Period!R130C23</stp>
        <stp>CRM US Equity</stp>
        <stp>BS_ST_OPERATING_LEASE_LIABS/1M</stp>
        <stp>FPR=2022Y</stp>
        <stp>FPT=A</stp>
        <stp>FA_ACT_EST_DATA=E, EST_SOURCE=JPM</stp>
        <stp>ACT_EST_MAPPING=PRECISE</stp>
        <stp>FS=MRC</stp>
        <stp>CURRENCY=USD</stp>
        <stp>XLFILL=b</stp>
        <tr r="W130" s="2"/>
      </tp>
      <tp>
        <v>11887.362550087009</v>
        <stp/>
        <stp>##V3_BQLV12</stp>
        <stp>[MODL_CRM_US1.xlsx]Single Period!R85C26</stp>
        <stp>CRM US Equity</stp>
        <stp>CB_IS_S_AND_M_EXPENSE/1M</stp>
        <stp>FPR=2022Y</stp>
        <stp>FPT=A</stp>
        <stp>FA_ACT_EST_DATA=E, EST_SOURCE=KEY</stp>
        <stp>ACT_EST_MAPPING=PRECISE</stp>
        <stp>FS=MRC</stp>
        <stp>CURRENCY=USD</stp>
        <stp>XLFILL=b</stp>
        <tr r="Z85" s="2"/>
      </tp>
      <tp>
        <v>976</v>
        <stp/>
        <stp>##V3_BQLV12</stp>
        <stp>[MODL_CRM_US1.xlsx]Single Period!R94C17</stp>
        <stp>CRM US Equity</stp>
        <stp>IS_SH_FOR_DILUTED_EPS/1M</stp>
        <stp>FPR=2022Y</stp>
        <stp>FPT=A</stp>
        <stp>FA_ACT_EST_DATA=E, EST_SOURCE=NDH</stp>
        <stp>ACT_EST_MAPPING=PRECISE</stp>
        <stp>FS=MRC</stp>
        <stp>CURRENCY=USD</stp>
        <stp>XLFILL=b</stp>
        <tr r="Q94" s="2"/>
      </tp>
      <tp t="s">
        <v/>
        <stp/>
        <stp>##V3_BQLV12</stp>
        <stp>[MODL_CRM_US1.xlsx]Single Period!R114C22</stp>
        <stp>CRM US Equity</stp>
        <stp>BS_ACCTS_REC_EXCL_NOTES_REC/1M</stp>
        <stp>FPR=2022Y</stp>
        <stp>FPT=A</stp>
        <stp>FA_ACT_EST_DATA=E, EST_SOURCE=OPY</stp>
        <stp>ACT_EST_MAPPING=PRECISE</stp>
        <stp>FS=MRC</stp>
        <stp>CURRENCY=USD</stp>
        <stp>XLFILL=b</stp>
        <tr r="V114" s="2"/>
      </tp>
      <tp>
        <v>4725</v>
        <stp/>
        <stp>##V3_BQLV12</stp>
        <stp>[MODL_CRM_US1.xlsx]Single Period!R70C7</stp>
        <stp>CRM US Equity</stp>
        <stp>CONTRIBUTOR_STATS(IS_COMP_NET_INC_EXCL_STOCK_COMP, MAX)/1M</stp>
        <stp>FPR=2022Y</stp>
        <stp>FPT=A</stp>
        <stp>FA_ACT_EST_DATA=E</stp>
        <stp>ACT_EST_MAPPING=PRECISE</stp>
        <stp>FS=MRC</stp>
        <stp>CURRENCY=USD</stp>
        <stp>XLFILL=b</stp>
        <tr r="G70" s="2"/>
      </tp>
      <tp>
        <v>4354</v>
        <stp/>
        <stp>##V3_BQLV12</stp>
        <stp>[MODL_CRM_US1.xlsx]Single Period!R70C6</stp>
        <stp>CRM US Equity</stp>
        <stp>CONTRIBUTOR_STATS(IS_COMP_NET_INC_EXCL_STOCK_COMP, MIN)/1M</stp>
        <stp>FPR=2022Y</stp>
        <stp>FPT=A</stp>
        <stp>FA_ACT_EST_DATA=E</stp>
        <stp>ACT_EST_MAPPING=PRECISE</stp>
        <stp>FS=MRC</stp>
        <stp>CURRENCY=USD</stp>
        <stp>XLFILL=b</stp>
        <tr r="F70" s="2"/>
      </tp>
      <tp t="s">
        <v/>
        <stp/>
        <stp>##V3_BQLV12</stp>
        <stp>[MODL_CRM_US1.xlsx]Single Period!R14C33</stp>
        <stp>CRM US Equity</stp>
        <stp>NON_CURRENT_FUTURE_REV_UNDER_CONTRACT/1M</stp>
        <stp>FPR=2022Y</stp>
        <stp>FPT=A</stp>
        <stp>FA_ACT_EST_DATA=E, EST_SOURCE=RHR</stp>
        <stp>ACT_EST_MAPPING=PRECISE</stp>
        <stp>FS=MRC</stp>
        <stp>CURRENCY=USD</stp>
        <stp>XLFILL=b</stp>
        <tr r="AG14" s="2"/>
      </tp>
      <tp>
        <v>5880</v>
        <stp/>
        <stp>##V3_BQLV12</stp>
        <stp>[MODL_CRM_US1.xlsx]Single Period!R68C20</stp>
        <stp>CRM US Equity</stp>
        <stp>IS_COMP_PTP_EX_STK_BASED_COMP/1M</stp>
        <stp>FPR=2022Y</stp>
        <stp>FPT=A</stp>
        <stp>FA_ACT_EST_DATA=E, EST_SOURCE=JMP</stp>
        <stp>ACT_EST_MAPPING=PRECISE</stp>
        <stp>FS=MRC</stp>
        <stp>CURRENCY=USD</stp>
        <stp>XLFILL=b</stp>
        <tr r="T68" s="2"/>
      </tp>
      <tp t="s">
        <v/>
        <stp/>
        <stp>##V3_BQLV12</stp>
        <stp>[MODL_CRM_US1.xlsx]Single Period!R98C51</stp>
        <stp>CRM US Equity</stp>
        <stp>IS_INC_TAX_EFFECT_NONGAAP_REC/1M</stp>
        <stp>FPR=2022Y</stp>
        <stp>FPT=A</stp>
        <stp>FA_ACT_EST_DATA=E, EST_SOURCE=RCP</stp>
        <stp>ACT_EST_MAPPING=PRECISE</stp>
        <stp>FS=MRC</stp>
        <stp>CURRENCY=USD</stp>
        <stp>XLFILL=b</stp>
        <tr r="AY98" s="2"/>
      </tp>
      <tp t="s">
        <v/>
        <stp/>
        <stp>##V3_BQLV12</stp>
        <stp>[MODL_CRM_US1.xlsx]Single Period!R94C11</stp>
        <stp>CRM US Equity</stp>
        <stp>IS_SH_FOR_DILUTED_EPS/1M</stp>
        <stp>FPR=2022Y</stp>
        <stp>FPT=A</stp>
        <stp>FA_ACT_EST_DATA=E, EST_SOURCE=WBL</stp>
        <stp>ACT_EST_MAPPING=PRECISE</stp>
        <stp>FS=MRC</stp>
        <stp>CURRENCY=USD</stp>
        <stp>XLFILL=b</stp>
        <tr r="K94" s="2"/>
      </tp>
      <tp>
        <v>26398</v>
        <stp/>
        <stp>##V3_BQLV12</stp>
        <stp>[MODL_CRM_US1.xlsx]Single Period!R52C30</stp>
        <stp>CRM US Equity</stp>
        <stp>IS_COMP_SALES/1M</stp>
        <stp>FPR=2022Y</stp>
        <stp>FPT=A</stp>
        <stp>FA_ACT_EST_DATA=E, EST_SOURCE=BAM</stp>
        <stp>ACT_EST_MAPPING=PRECISE</stp>
        <stp>FS=MRC</stp>
        <stp>CURRENCY=USD</stp>
        <stp>XLFILL=b</stp>
        <tr r="AD52" s="2"/>
      </tp>
      <tp t="s">
        <v/>
        <stp/>
        <stp>##V3_BQLV12</stp>
        <stp>[MODL_CRM_US1.xlsx]Single Period!R85C40</stp>
        <stp>CRM US Equity</stp>
        <stp>CB_IS_S_AND_M_EXPENSE/1M</stp>
        <stp>FPR=2022Y</stp>
        <stp>FPT=A</stp>
        <stp>FA_ACT_EST_DATA=E, EST_SOURCE=ACC</stp>
        <stp>ACT_EST_MAPPING=PRECISE</stp>
        <stp>FS=MRC</stp>
        <stp>CURRENCY=USD</stp>
        <stp>XLFILL=b</stp>
        <tr r="AN85" s="2"/>
      </tp>
      <tp t="s">
        <v/>
        <stp/>
        <stp>##V3_BQLV12</stp>
        <stp>[MODL_CRM_US1.xlsx]Single Period!R85C31</stp>
        <stp>CRM US Equity</stp>
        <stp>CB_IS_S_AND_M_EXPENSE/1M</stp>
        <stp>FPR=2022Y</stp>
        <stp>FPT=A</stp>
        <stp>FA_ACT_EST_DATA=E, EST_SOURCE=RBC</stp>
        <stp>ACT_EST_MAPPING=PRECISE</stp>
        <stp>FS=MRC</stp>
        <stp>CURRENCY=USD</stp>
        <stp>XLFILL=b</stp>
        <tr r="AE85" s="2"/>
      </tp>
      <tp>
        <v>60.213807088595267</v>
        <stp/>
        <stp>##V3_BQLV12</stp>
        <stp>[MODL_CRM_US1.xlsx]Single Period!R70C8</stp>
        <stp>CRM US Equity</stp>
        <stp>CONTRIBUTOR_STATS(IS_COMP_NET_INC_EXCL_STOCK_COMP, STD)/1M</stp>
        <stp>FPR=2022Y</stp>
        <stp>FPT=A</stp>
        <stp>FA_ACT_EST_DATA=E</stp>
        <stp>ACT_EST_MAPPING=PRECISE</stp>
        <stp>FS=MRC</stp>
        <stp>CURRENCY=USD</stp>
        <stp>XLFILL=b</stp>
        <tr r="H70" s="2"/>
      </tp>
      <tp t="s">
        <v/>
        <stp/>
        <stp>##V3_BQLV12</stp>
        <stp>[MODL_CRM_US1.xlsx]Single Period!R132C37</stp>
        <stp>CRM US Equity</stp>
        <stp>BS_ADJ_TOTAL_LT_LIABILITIES/1M</stp>
        <stp>FPR=2022Y</stp>
        <stp>FPT=A</stp>
        <stp>FA_ACT_EST_DATA=E, EST_SOURCE=EVR</stp>
        <stp>ACT_EST_MAPPING=PRECISE</stp>
        <stp>FS=MRC</stp>
        <stp>CURRENCY=USD</stp>
        <stp>XLFILL=b</stp>
        <tr r="AK132" s="2"/>
      </tp>
      <tp>
        <v>975</v>
        <stp/>
        <stp>##V3_BQLV12</stp>
        <stp>[MODL_CRM_US1.xlsx]Single Period!R73C20</stp>
        <stp>CRM US Equity</stp>
        <stp>IS_SH_FOR_DILUTED_EPS/1M</stp>
        <stp>FPR=2022Y</stp>
        <stp>FPT=A</stp>
        <stp>FA_ACT_EST_DATA=E, EST_SOURCE=JMP</stp>
        <stp>ACT_EST_MAPPING=PRECISE</stp>
        <stp>FS=MRC</stp>
        <stp>CURRENCY=USD</stp>
        <stp>XLFILL=b</stp>
        <tr r="T73" s="2"/>
      </tp>
      <tp t="s">
        <v/>
        <stp/>
        <stp>##V3_BQLV12</stp>
        <stp>[MODL_CRM_US1.xlsx]Single Period!R162C22</stp>
        <stp>CRM US Equity</stp>
        <stp>CF_CHANGE_IN_PREPAID_EXPNSS/1M</stp>
        <stp>FPR=2022Y</stp>
        <stp>FPT=A</stp>
        <stp>FA_ACT_EST_DATA=E, EST_SOURCE=OPY</stp>
        <stp>ACT_EST_MAPPING=PRECISE</stp>
        <stp>FS=MRC</stp>
        <stp>CURRENCY=USD</stp>
        <stp>XLFILL=b</stp>
        <tr r="V162" s="2"/>
      </tp>
      <tp t="s">
        <v/>
        <stp/>
        <stp>##V3_BQLV12</stp>
        <stp>[MODL_CRM_US1.xlsx]Single Period!R117C45</stp>
        <stp>CRM US Equity</stp>
        <stp>BS_TOTAL_NON_CURRENT_ASSETS/1M</stp>
        <stp>FPR=2022Y</stp>
        <stp>FPT=A</stp>
        <stp>FA_ACT_EST_DATA=E, EST_SOURCE=ARG</stp>
        <stp>ACT_EST_MAPPING=PRECISE</stp>
        <stp>FS=MRC</stp>
        <stp>CURRENCY=USD</stp>
        <stp>XLFILL=b</stp>
        <tr r="AS117" s="2"/>
      </tp>
      <tp>
        <v>953.75</v>
        <stp/>
        <stp>##V3_BQLV12</stp>
        <stp>[MODL_CRM_US1.xlsx]Single Period!R93C25</stp>
        <stp>CRM US Equity</stp>
        <stp>IS_AVG_NUM_SH_FOR_EPS/1M</stp>
        <stp>FPR=2022Y</stp>
        <stp>FPT=A</stp>
        <stp>FA_ACT_EST_DATA=E, EST_SOURCE=WMS</stp>
        <stp>ACT_EST_MAPPING=PRECISE</stp>
        <stp>FS=MRC</stp>
        <stp>CURRENCY=USD</stp>
        <stp>XLFILL=b</stp>
        <tr r="Y93" s="2"/>
      </tp>
      <tp t="s">
        <v/>
        <stp/>
        <stp>##V3_BQLV12</stp>
        <stp>[MODL_CRM_US1.xlsx]Single Period!R52C47</stp>
        <stp>CRM US Equity</stp>
        <stp>IS_COMP_SALES/1M</stp>
        <stp>FPR=2022Y</stp>
        <stp>FPT=A</stp>
        <stp>FA_ACT_EST_DATA=E, EST_SOURCE=WFT</stp>
        <stp>ACT_EST_MAPPING=PRECISE</stp>
        <stp>FS=MRC</stp>
        <stp>CURRENCY=USD</stp>
        <stp>XLFILL=b</stp>
        <tr r="AU52" s="2"/>
      </tp>
      <tp t="s">
        <v/>
        <stp/>
        <stp>##V3_BQLV12</stp>
        <stp>[MODL_CRM_US1.xlsx]Single Period!R117C54</stp>
        <stp>CRM US Equity</stp>
        <stp>BS_TOTAL_NON_CURRENT_ASSETS/1M</stp>
        <stp>FPR=2022Y</stp>
        <stp>FPT=A</stp>
        <stp>FA_ACT_EST_DATA=E, EST_SOURCE=ARE</stp>
        <stp>ACT_EST_MAPPING=PRECISE</stp>
        <stp>FS=MRC</stp>
        <stp>CURRENCY=USD</stp>
        <stp>XLFILL=b</stp>
        <tr r="BB117" s="2"/>
      </tp>
      <tp t="s">
        <v/>
        <stp/>
        <stp>##V3_BQLV12</stp>
        <stp>[MODL_CRM_US1.xlsx]Single Period!R134C23</stp>
        <stp>CRM US Equity</stp>
        <stp>BS_LT_OPERATING_LEASE_LIABS/1M</stp>
        <stp>FPR=2022Y</stp>
        <stp>FPT=A</stp>
        <stp>FA_ACT_EST_DATA=E, EST_SOURCE=JPM</stp>
        <stp>ACT_EST_MAPPING=PRECISE</stp>
        <stp>FS=MRC</stp>
        <stp>CURRENCY=USD</stp>
        <stp>XLFILL=b</stp>
        <tr r="W134" s="2"/>
      </tp>
      <tp t="s">
        <v/>
        <stp/>
        <stp>##V3_BQLV12</stp>
        <stp>[MODL_CRM_US1.xlsx]Single Period!R114C23</stp>
        <stp>CRM US Equity</stp>
        <stp>BS_ACCTS_REC_EXCL_NOTES_REC/1M</stp>
        <stp>FPR=2022Y</stp>
        <stp>FPT=A</stp>
        <stp>FA_ACT_EST_DATA=E, EST_SOURCE=JPM</stp>
        <stp>ACT_EST_MAPPING=PRECISE</stp>
        <stp>FS=MRC</stp>
        <stp>CURRENCY=USD</stp>
        <stp>XLFILL=b</stp>
        <tr r="W114" s="2"/>
      </tp>
      <tp t="s">
        <v/>
        <stp/>
        <stp>##V3_BQLV12</stp>
        <stp>[MODL_CRM_US1.xlsx]Single Period!R85C17</stp>
        <stp>CRM US Equity</stp>
        <stp>CB_IS_S_AND_M_EXPENSE/1M</stp>
        <stp>FPR=2022Y</stp>
        <stp>FPT=A</stp>
        <stp>FA_ACT_EST_DATA=E, EST_SOURCE=NDH</stp>
        <stp>ACT_EST_MAPPING=PRECISE</stp>
        <stp>FS=MRC</stp>
        <stp>CURRENCY=USD</stp>
        <stp>XLFILL=b</stp>
        <tr r="Q85" s="2"/>
      </tp>
      <tp t="s">
        <v/>
        <stp/>
        <stp>##V3_BQLV12</stp>
        <stp>[MODL_CRM_US1.xlsx]Single Period!R98C48</stp>
        <stp>CRM US Equity</stp>
        <stp>IS_INC_TAX_EFFECT_NONGAAP_REC/1M</stp>
        <stp>FPR=2022Y</stp>
        <stp>FPT=A</stp>
        <stp>FA_ACT_EST_DATA=E, EST_SOURCE=PJE</stp>
        <stp>ACT_EST_MAPPING=PRECISE</stp>
        <stp>FS=MRC</stp>
        <stp>CURRENCY=USD</stp>
        <stp>XLFILL=b</stp>
        <tr r="AV98" s="2"/>
      </tp>
      <tp>
        <v>997.75631249999992</v>
        <stp/>
        <stp>##V3_BQLV12</stp>
        <stp>[MODL_CRM_US1.xlsx]Single Period!R94C26</stp>
        <stp>CRM US Equity</stp>
        <stp>IS_SH_FOR_DILUTED_EPS/1M</stp>
        <stp>FPR=2022Y</stp>
        <stp>FPT=A</stp>
        <stp>FA_ACT_EST_DATA=E, EST_SOURCE=KEY</stp>
        <stp>ACT_EST_MAPPING=PRECISE</stp>
        <stp>FS=MRC</stp>
        <stp>CURRENCY=USD</stp>
        <stp>XLFILL=b</stp>
        <tr r="Z94" s="2"/>
      </tp>
      <tp t="s">
        <v/>
        <stp/>
        <stp>##V3_BQLV12</stp>
        <stp>[MODL_CRM_US1.xlsx]Single Period!R185C50</stp>
        <stp>CRM US Equity</stp>
        <stp>CF_EFFECT_FOREIGN_EXCHANGES/1M</stp>
        <stp>FPR=2022Y</stp>
        <stp>FPT=A</stp>
        <stp>FA_ACT_EST_DATA=E, EST_SOURCE=MZS</stp>
        <stp>ACT_EST_MAPPING=PRECISE</stp>
        <stp>FS=MRC</stp>
        <stp>CURRENCY=USD</stp>
        <stp>XLFILL=b</stp>
        <tr r="AX185" s="2"/>
      </tp>
      <tp>
        <v>60266.675157400517</v>
        <stp/>
        <stp>##V3_BQLV12</stp>
        <stp>[MODL_CRM_US1.xlsx]Single Period!R137C26</stp>
        <stp>CRM US Equity</stp>
        <stp>BS_EQTY_BEFORE_MINORITY_INT/1M</stp>
        <stp>FPR=2022Y</stp>
        <stp>FPT=A</stp>
        <stp>FA_ACT_EST_DATA=E, EST_SOURCE=KEY</stp>
        <stp>ACT_EST_MAPPING=PRECISE</stp>
        <stp>FS=MRC</stp>
        <stp>CURRENCY=USD</stp>
        <stp>XLFILL=b</stp>
        <tr r="Z137" s="2"/>
      </tp>
      <tp t="s">
        <v/>
        <stp/>
        <stp>##V3_BQLV12</stp>
        <stp>[MODL_CRM_US1.xlsx]Single Period!R130C22</stp>
        <stp>CRM US Equity</stp>
        <stp>BS_ST_OPERATING_LEASE_LIABS/1M</stp>
        <stp>FPR=2022Y</stp>
        <stp>FPT=A</stp>
        <stp>FA_ACT_EST_DATA=E, EST_SOURCE=OPY</stp>
        <stp>ACT_EST_MAPPING=PRECISE</stp>
        <stp>FS=MRC</stp>
        <stp>CURRENCY=USD</stp>
        <stp>XLFILL=b</stp>
        <tr r="V130" s="2"/>
      </tp>
      <tp t="s">
        <v/>
        <stp/>
        <stp>##V3_BQLV12</stp>
        <stp>[MODL_CRM_US1.xlsx]Single Period!R128C50</stp>
        <stp>CRM US Equity</stp>
        <stp>BS_CUR_LIAB/1M</stp>
        <stp>FPR=2022Y</stp>
        <stp>FPT=A</stp>
        <stp>FA_ACT_EST_DATA=E, EST_SOURCE=MZS</stp>
        <stp>ACT_EST_MAPPING=PRECISE</stp>
        <stp>FS=MRC</stp>
        <stp>CURRENCY=USD</stp>
        <stp>XLFILL=b</stp>
        <tr r="AX128" s="2"/>
      </tp>
      <tp t="s">
        <v/>
        <stp/>
        <stp>##V3_BQLV12</stp>
        <stp>[MODL_CRM_US1.xlsx]Single Period!R14C21</stp>
        <stp>CRM US Equity</stp>
        <stp>NON_CURRENT_FUTURE_REV_UNDER_CONTRACT/1M</stp>
        <stp>FPR=2022Y</stp>
        <stp>FPT=A</stp>
        <stp>FA_ACT_EST_DATA=E, EST_SOURCE=RJA</stp>
        <stp>ACT_EST_MAPPING=PRECISE</stp>
        <stp>FS=MRC</stp>
        <stp>CURRENCY=USD</stp>
        <stp>XLFILL=b</stp>
        <tr r="U14" s="2"/>
      </tp>
      <tp t="s">
        <v/>
        <stp/>
        <stp>##V3_BQLV12</stp>
        <stp>[MODL_CRM_US1.xlsx]Single Period!R85C11</stp>
        <stp>CRM US Equity</stp>
        <stp>CB_IS_S_AND_M_EXPENSE/1M</stp>
        <stp>FPR=2022Y</stp>
        <stp>FPT=A</stp>
        <stp>FA_ACT_EST_DATA=E, EST_SOURCE=WBL</stp>
        <stp>ACT_EST_MAPPING=PRECISE</stp>
        <stp>FS=MRC</stp>
        <stp>CURRENCY=USD</stp>
        <stp>XLFILL=b</stp>
        <tr r="K85" s="2"/>
      </tp>
      <tp>
        <v>2367</v>
        <stp/>
        <stp>##V3_BQLV12</stp>
        <stp>[MODL_CRM_US1.xlsx]Single Period!R156C15</stp>
        <stp>CRM US Equity</stp>
        <stp>CF_DEPR_AMORT/1M</stp>
        <stp>FPR=2022Y</stp>
        <stp>FPT=A</stp>
        <stp>FA_ACT_EST_DATA=E, EST_SOURCE=MSV</stp>
        <stp>ACT_EST_MAPPING=PRECISE</stp>
        <stp>FS=MRC</stp>
        <stp>CURRENCY=USD</stp>
        <stp>XLFILL=b</stp>
        <tr r="O156" s="2"/>
      </tp>
      <tp t="s">
        <v/>
        <stp/>
        <stp>##V3_BQLV12</stp>
        <stp>[MODL_CRM_US1.xlsx]Single Period!R65C36</stp>
        <stp>CRM US Equity</stp>
        <stp>IS_AMORT_OF_TOT_INTANG_PRETX/1M</stp>
        <stp>FPR=2022Y</stp>
        <stp>FPT=A</stp>
        <stp>FA_ACT_EST_DATA=E, EST_SOURCE=MAC</stp>
        <stp>ACT_EST_MAPPING=PRECISE</stp>
        <stp>FS=MRC</stp>
        <stp>CURRENCY=USD</stp>
        <stp>XLFILL=b</stp>
        <tr r="AJ65" s="2"/>
      </tp>
      <tp>
        <v>1612</v>
        <stp/>
        <stp>##V3_BQLV12</stp>
        <stp>[MODL_CRM_US1.xlsx]Single Period!R65C13</stp>
        <stp>CRM US Equity</stp>
        <stp>IS_AMORT_OF_TOT_INTANG_PRETX/1M</stp>
        <stp>FPR=2022Y</stp>
        <stp>FPT=A</stp>
        <stp>FA_ACT_EST_DATA=E, EST_SOURCE=BCA</stp>
        <stp>ACT_EST_MAPPING=PRECISE</stp>
        <stp>FS=MRC</stp>
        <stp>CURRENCY=USD</stp>
        <stp>XLFILL=b</stp>
        <tr r="M65" s="2"/>
      </tp>
      <tp>
        <v>4317.3172411424293</v>
        <stp/>
        <stp>##V3_BQLV12</stp>
        <stp>[MODL_CRM_US1.xlsx]Single Period!R83C26</stp>
        <stp>CRM US Equity</stp>
        <stp>IS_OPEX_R_AND_D_GAAP/1M</stp>
        <stp>FPR=2022Y</stp>
        <stp>FPT=A</stp>
        <stp>FA_ACT_EST_DATA=E, EST_SOURCE=KEY</stp>
        <stp>ACT_EST_MAPPING=PRECISE</stp>
        <stp>FS=MRC</stp>
        <stp>CURRENCY=USD</stp>
        <stp>XLFILL=b</stp>
        <tr r="Z83" s="2"/>
      </tp>
      <tp>
        <v>3.4428195284807402E-2</v>
        <stp/>
        <stp>##V3_BQLV12</stp>
        <stp>[MODL_CRM_US1.xlsx]Single Period!R92C8</stp>
        <stp>CRM US Equity</stp>
        <stp>CONTRIBUTOR_STATS(PROF_MARGIN, STD)</stp>
        <stp>FPR=2022Y</stp>
        <stp>FPT=A</stp>
        <stp>FA_ACT_EST_DATA=E</stp>
        <stp>ACT_EST_MAPPING=PRECISE</stp>
        <stp>FS=MRC</stp>
        <stp>CURRENCY=USD</stp>
        <stp>XLFILL=b</stp>
        <tr r="H92" s="2"/>
      </tp>
      <tp t="s">
        <v/>
        <stp/>
        <stp>##V3_BQLV12</stp>
        <stp>[MODL_CRM_US1.xlsx]Single Period!R65C30</stp>
        <stp>CRM US Equity</stp>
        <stp>IS_AMORT_OF_TOT_INTANG_PRETX/1M</stp>
        <stp>FPR=2022Y</stp>
        <stp>FPT=A</stp>
        <stp>FA_ACT_EST_DATA=E, EST_SOURCE=BAM</stp>
        <stp>ACT_EST_MAPPING=PRECISE</stp>
        <stp>FS=MRC</stp>
        <stp>CURRENCY=USD</stp>
        <stp>XLFILL=b</stp>
        <tr r="AD65" s="2"/>
      </tp>
      <tp>
        <v>1242</v>
        <stp/>
        <stp>##V3_BQLV12</stp>
        <stp>[MODL_CRM_US1.xlsx]Single Period!R65C19</stp>
        <stp>CRM US Equity</stp>
        <stp>IS_AMORT_OF_TOT_INTANG_PRETX/1M</stp>
        <stp>FPR=2022Y</stp>
        <stp>FPT=A</stp>
        <stp>FA_ACT_EST_DATA=E, EST_SOURCE=SCB</stp>
        <stp>ACT_EST_MAPPING=PRECISE</stp>
        <stp>FS=MRC</stp>
        <stp>CURRENCY=USD</stp>
        <stp>XLFILL=b</stp>
        <tr r="S65" s="2"/>
      </tp>
      <tp t="s">
        <v/>
        <stp/>
        <stp>##V3_BQLV12</stp>
        <stp>[MODL_CRM_US1.xlsx]Single Period!R26C50</stp>
        <stp>SEG0000269247 Segment</stp>
        <stp>SALES_REV_TURN/1M</stp>
        <stp>FPR=2022Y</stp>
        <stp>FPT=A</stp>
        <stp>FA_ACT_EST_DATA=E, EST_SOURCE=MZS</stp>
        <stp>ACT_EST_MAPPING=PRECISE</stp>
        <stp>FS=MRC</stp>
        <stp>CURRENCY=USD</stp>
        <stp>XLFILL=b</stp>
        <tr r="AX26" s="2"/>
      </tp>
      <tp>
        <v>896</v>
        <stp/>
        <stp>##V3_BQLV12</stp>
        <stp>[MODL_CRM_US1.xlsx]Single Period!R101C20</stp>
        <stp>CRM US Equity</stp>
        <stp>IS_SBC_ATTRIBUTABLE_TO_R_AND_D_PRETX/1M</stp>
        <stp>FPR=2022Y</stp>
        <stp>FPT=A</stp>
        <stp>FA_ACT_EST_DATA=E, EST_SOURCE=JMP</stp>
        <stp>ACT_EST_MAPPING=PRECISE</stp>
        <stp>FS=MRC</stp>
        <stp>CURRENCY=USD</stp>
        <stp>XLFILL=b</stp>
        <tr r="T101" s="2"/>
      </tp>
      <tp t="s">
        <v/>
        <stp/>
        <stp>##V3_BQLV12</stp>
        <stp>[MODL_CRM_US1.xlsx]Single Period!R156C54</stp>
        <stp>CRM US Equity</stp>
        <stp>CF_DEPR_AMORT/1M</stp>
        <stp>FPR=2022Y</stp>
        <stp>FPT=A</stp>
        <stp>FA_ACT_EST_DATA=E, EST_SOURCE=ARE</stp>
        <stp>ACT_EST_MAPPING=PRECISE</stp>
        <stp>FS=MRC</stp>
        <stp>CURRENCY=USD</stp>
        <stp>XLFILL=b</stp>
        <tr r="BB156" s="2"/>
      </tp>
      <tp t="s">
        <v/>
        <stp/>
        <stp>##V3_BQLV12</stp>
        <stp>[MODL_CRM_US1.xlsx]Single Period!R28C46</stp>
        <stp>SEG0000269242 Segment</stp>
        <stp>SALES_REV_TURN/1M</stp>
        <stp>FPR=2022Y</stp>
        <stp>FPT=A</stp>
        <stp>FA_ACT_EST_DATA=E, EST_SOURCE=CTI</stp>
        <stp>ACT_EST_MAPPING=PRECISE</stp>
        <stp>FS=MRC</stp>
        <stp>CURRENCY=USD</stp>
        <stp>XLFILL=b</stp>
        <tr r="AT28" s="2"/>
      </tp>
      <tp t="s">
        <v/>
        <stp/>
        <stp>##V3_BQLV12</stp>
        <stp>[MODL_CRM_US1.xlsx]Single Period!R38C54</stp>
        <stp>SEG0000269228 Segment</stp>
        <stp>SALES_REV_TURN/1M</stp>
        <stp>FPR=2022Y</stp>
        <stp>FPT=A</stp>
        <stp>FA_ACT_EST_DATA=E, EST_SOURCE=ARE</stp>
        <stp>ACT_EST_MAPPING=PRECISE</stp>
        <stp>FS=MRC</stp>
        <stp>CURRENCY=USD</stp>
        <stp>XLFILL=b</stp>
        <tr r="BB38" s="2"/>
      </tp>
      <tp t="s">
        <v/>
        <stp/>
        <stp>##V3_BQLV12</stp>
        <stp>[MODL_CRM_US1.xlsx]Single Period!R65C47</stp>
        <stp>CRM US Equity</stp>
        <stp>IS_AMORT_OF_TOT_INTANG_PRETX/1M</stp>
        <stp>FPR=2022Y</stp>
        <stp>FPT=A</stp>
        <stp>FA_ACT_EST_DATA=E, EST_SOURCE=WFT</stp>
        <stp>ACT_EST_MAPPING=PRECISE</stp>
        <stp>FS=MRC</stp>
        <stp>CURRENCY=USD</stp>
        <stp>XLFILL=b</stp>
        <tr r="AU65" s="2"/>
      </tp>
      <tp t="s">
        <v/>
        <stp/>
        <stp>##V3_BQLV12</stp>
        <stp>[MODL_CRM_US1.xlsx]Single Period!R48C54</stp>
        <stp>SEG0000269229 Segment</stp>
        <stp>SALES_REV_TURN/1M</stp>
        <stp>FPR=2022Y</stp>
        <stp>FPT=A</stp>
        <stp>FA_ACT_EST_DATA=E, EST_SOURCE=ARE</stp>
        <stp>ACT_EST_MAPPING=PRECISE</stp>
        <stp>FS=MRC</stp>
        <stp>CURRENCY=USD</stp>
        <stp>XLFILL=b</stp>
        <tr r="BB48" s="2"/>
      </tp>
      <tp t="s">
        <v/>
        <stp/>
        <stp>##V3_BQLV12</stp>
        <stp>[MODL_CRM_US1.xlsx]Single Period!R140C20</stp>
        <stp>CRM US Equity</stp>
        <stp>BS_ACCUMULATED_OTHER_COMP_INC/1M</stp>
        <stp>FPR=2022Y</stp>
        <stp>FPT=A</stp>
        <stp>FA_ACT_EST_DATA=E, EST_SOURCE=JMP</stp>
        <stp>ACT_EST_MAPPING=PRECISE</stp>
        <stp>FS=MRC</stp>
        <stp>CURRENCY=USD</stp>
        <stp>XLFILL=b</stp>
        <tr r="T140" s="2"/>
      </tp>
      <tp t="s">
        <v/>
        <stp/>
        <stp>##V3_BQLV12</stp>
        <stp>[MODL_CRM_US1.xlsx]Single Period!R38C45</stp>
        <stp>SEG0000269228 Segment</stp>
        <stp>SALES_REV_TURN/1M</stp>
        <stp>FPR=2022Y</stp>
        <stp>FPT=A</stp>
        <stp>FA_ACT_EST_DATA=E, EST_SOURCE=ARG</stp>
        <stp>ACT_EST_MAPPING=PRECISE</stp>
        <stp>FS=MRC</stp>
        <stp>CURRENCY=USD</stp>
        <stp>XLFILL=b</stp>
        <tr r="AS38" s="2"/>
      </tp>
      <tp t="s">
        <v/>
        <stp/>
        <stp>##V3_BQLV12</stp>
        <stp>[MODL_CRM_US1.xlsx]Single Period!R28C35</stp>
        <stp>SEG0000269242 Segment</stp>
        <stp>SALES_REV_TURN/1M</stp>
        <stp>FPR=2022Y</stp>
        <stp>FPT=A</stp>
        <stp>FA_ACT_EST_DATA=E, EST_SOURCE=ATL</stp>
        <stp>ACT_EST_MAPPING=PRECISE</stp>
        <stp>FS=MRC</stp>
        <stp>CURRENCY=USD</stp>
        <stp>XLFILL=b</stp>
        <tr r="AI28" s="2"/>
      </tp>
      <tp t="s">
        <v/>
        <stp/>
        <stp>##V3_BQLV12</stp>
        <stp>[MODL_CRM_US1.xlsx]Single Period!R48C45</stp>
        <stp>SEG0000269229 Segment</stp>
        <stp>SALES_REV_TURN/1M</stp>
        <stp>FPR=2022Y</stp>
        <stp>FPT=A</stp>
        <stp>FA_ACT_EST_DATA=E, EST_SOURCE=ARG</stp>
        <stp>ACT_EST_MAPPING=PRECISE</stp>
        <stp>FS=MRC</stp>
        <stp>CURRENCY=USD</stp>
        <stp>XLFILL=b</stp>
        <tr r="AS48" s="2"/>
      </tp>
      <tp t="s">
        <v/>
        <stp/>
        <stp>##V3_BQLV12</stp>
        <stp>[MODL_CRM_US1.xlsx]Single Period!R101C14</stp>
        <stp>CRM US Equity</stp>
        <stp>IS_SBC_ATTRIBUTABLE_TO_R_AND_D_PRETX/1M</stp>
        <stp>FPR=2022Y</stp>
        <stp>FPT=A</stp>
        <stp>FA_ACT_EST_DATA=E, EST_SOURCE=SNR</stp>
        <stp>ACT_EST_MAPPING=PRECISE</stp>
        <stp>FS=MRC</stp>
        <stp>CURRENCY=USD</stp>
        <stp>XLFILL=b</stp>
        <tr r="N101" s="2"/>
      </tp>
      <tp t="s">
        <v/>
        <stp/>
        <stp>##V3_BQLV12</stp>
        <stp>[MODL_CRM_US1.xlsx]Single Period!R101C25</stp>
        <stp>CRM US Equity</stp>
        <stp>IS_SBC_ATTRIBUTABLE_TO_R_AND_D_PRETX/1M</stp>
        <stp>FPR=2022Y</stp>
        <stp>FPT=A</stp>
        <stp>FA_ACT_EST_DATA=E, EST_SOURCE=WMS</stp>
        <stp>ACT_EST_MAPPING=PRECISE</stp>
        <stp>FS=MRC</stp>
        <stp>CURRENCY=USD</stp>
        <stp>XLFILL=b</stp>
        <tr r="Y101" s="2"/>
      </tp>
      <tp t="s">
        <v/>
        <stp/>
        <stp>##V3_BQLV12</stp>
        <stp>[MODL_CRM_US1.xlsx]Single Period!R83C40</stp>
        <stp>CRM US Equity</stp>
        <stp>IS_OPEX_R_AND_D_GAAP/1M</stp>
        <stp>FPR=2022Y</stp>
        <stp>FPT=A</stp>
        <stp>FA_ACT_EST_DATA=E, EST_SOURCE=ACC</stp>
        <stp>ACT_EST_MAPPING=PRECISE</stp>
        <stp>FS=MRC</stp>
        <stp>CURRENCY=USD</stp>
        <stp>XLFILL=b</stp>
        <tr r="AN83" s="2"/>
      </tp>
      <tp t="s">
        <v/>
        <stp/>
        <stp>##V3_BQLV12</stp>
        <stp>[MODL_CRM_US1.xlsx]Single Period!R151C20</stp>
        <stp>CRM US Equity</stp>
        <stp>NON_CURRENT_FUTURE_REV_UNDER_CONTRACT/1M</stp>
        <stp>FPR=2022Y</stp>
        <stp>FPT=A</stp>
        <stp>FA_ACT_EST_DATA=E, EST_SOURCE=JMP</stp>
        <stp>ACT_EST_MAPPING=PRECISE</stp>
        <stp>FS=MRC</stp>
        <stp>CURRENCY=USD</stp>
        <stp>XLFILL=b</stp>
        <tr r="T151" s="2"/>
      </tp>
      <tp t="s">
        <v/>
        <stp/>
        <stp>##V3_BQLV12</stp>
        <stp>[MODL_CRM_US1.xlsx]Single Period!R29C45</stp>
        <stp>SEG0000269233 Segment</stp>
        <stp>SALES_REV_TURN/1M</stp>
        <stp>FPR=2022Y</stp>
        <stp>FPT=A</stp>
        <stp>FA_ACT_EST_DATA=E, EST_SOURCE=ARG</stp>
        <stp>ACT_EST_MAPPING=PRECISE</stp>
        <stp>FS=MRC</stp>
        <stp>CURRENCY=USD</stp>
        <stp>XLFILL=b</stp>
        <tr r="AS29" s="2"/>
      </tp>
      <tp>
        <v>42416.6</v>
        <stp/>
        <stp>##V3_BQLV12</stp>
        <stp>[MODL_CRM_US1.xlsx]Single Period!R12C9</stp>
        <stp>CRM US Equity</stp>
        <stp>CONTRIBUTOR_STATS(TOT_FUTURE_REV_UNDER_CONTRACT, MEDIAN)/1M</stp>
        <stp>FPR=2022Y</stp>
        <stp>FPT=A</stp>
        <stp>FA_ACT_EST_DATA=E</stp>
        <stp>ACT_EST_MAPPING=PRECISE</stp>
        <stp>FS=MRC</stp>
        <stp>CURRENCY=USD</stp>
        <stp>XLFILL=b</stp>
        <tr r="I12" s="2"/>
      </tp>
      <tp t="s">
        <v/>
        <stp/>
        <stp>##V3_BQLV12</stp>
        <stp>[MODL_CRM_US1.xlsx]Single Period!R29C54</stp>
        <stp>SEG0000269233 Segment</stp>
        <stp>SALES_REV_TURN/1M</stp>
        <stp>FPR=2022Y</stp>
        <stp>FPT=A</stp>
        <stp>FA_ACT_EST_DATA=E, EST_SOURCE=ARE</stp>
        <stp>ACT_EST_MAPPING=PRECISE</stp>
        <stp>FS=MRC</stp>
        <stp>CURRENCY=USD</stp>
        <stp>XLFILL=b</stp>
        <tr r="BB29" s="2"/>
      </tp>
      <tp t="s">
        <v>BofA Securities</v>
        <stp/>
        <stp>##V3_BQLV12</stp>
        <stp>[MODL_CRM_US1.xlsx]Single Period!R3C30</stp>
        <stp>CRM US Equity</stp>
        <stp>LAST(IS_COMP_SALES(FA_ACT_EST_DATA=E, EST_SOURCE=BAM).firm_name)</stp>
        <stp>FPR=2022Y</stp>
        <stp>FPT=A</stp>
        <stp>ACT_EST_MAPPING=PRECISE</stp>
        <stp>FS=MRC</stp>
        <stp>CURRENCY=USD</stp>
        <stp>XLFILL=b</stp>
        <tr r="AD3" s="2"/>
      </tp>
      <tp t="s">
        <v>Canaccord Genuity</v>
        <stp/>
        <stp>##V3_BQLV12</stp>
        <stp>[MODL_CRM_US1.xlsx]Single Period!R3C18</stp>
        <stp>CRM US Equity</stp>
        <stp>LAST(IS_COMP_SALES(FA_ACT_EST_DATA=E, EST_SOURCE=CAN).firm_name)</stp>
        <stp>FPR=2022Y</stp>
        <stp>FPT=A</stp>
        <stp>ACT_EST_MAPPING=PRECISE</stp>
        <stp>FS=MRC</stp>
        <stp>CURRENCY=USD</stp>
        <stp>XLFILL=b</stp>
        <tr r="R3" s="2"/>
      </tp>
      <tp t="s">
        <v/>
        <stp/>
        <stp>##V3_BQLV12</stp>
        <stp>[MODL_CRM_US1.xlsx]Single Period!R8C10</stp>
        <stp>CRM US Equity</stp>
        <stp>REVENUE_GROWTH_CC_1_YR</stp>
        <stp>FPR=2022Y</stp>
        <stp>FPT=A</stp>
        <stp>FA_ACT_EST_DATA=E, EST_SOURCE=CMPY</stp>
        <stp>ACT_EST_MAPPING=PRECISE</stp>
        <stp>FS=MRC</stp>
        <stp>CURRENCY=USD</stp>
        <stp>XLFILL=b</stp>
        <tr r="J8" s="2"/>
      </tp>
      <tp t="s">
        <v>Macquarie</v>
        <stp/>
        <stp>##V3_BQLV12</stp>
        <stp>[MODL_CRM_US1.xlsx]Single Period!R3C36</stp>
        <stp>CRM US Equity</stp>
        <stp>LAST(IS_COMP_SALES(FA_ACT_EST_DATA=E, EST_SOURCE=MAC).firm_name)</stp>
        <stp>FPR=2022Y</stp>
        <stp>FPT=A</stp>
        <stp>ACT_EST_MAPPING=PRECISE</stp>
        <stp>FS=MRC</stp>
        <stp>CURRENCY=USD</stp>
        <stp>XLFILL=b</stp>
        <tr r="AJ3" s="2"/>
      </tp>
      <tp>
        <v>7841.494451247886</v>
        <stp/>
        <stp>##V3_BQLV12</stp>
        <stp>[MODL_CRM_US1.xlsx]Single Period!R112C26</stp>
        <stp>CRM US Equity</stp>
        <stp>BS_CASH_NEAR_CASH_ITEM/1M</stp>
        <stp>FPR=2022Y</stp>
        <stp>FPT=A</stp>
        <stp>FA_ACT_EST_DATA=E, EST_SOURCE=KEY</stp>
        <stp>ACT_EST_MAPPING=PRECISE</stp>
        <stp>FS=MRC</stp>
        <stp>CURRENCY=USD</stp>
        <stp>XLFILL=b</stp>
        <tr r="Z112" s="2"/>
      </tp>
      <tp t="s">
        <v/>
        <stp/>
        <stp>##V3_BQLV12</stp>
        <stp>[MODL_CRM_US1.xlsx]Single Period!R166C46</stp>
        <stp>CRM US Equity</stp>
        <stp>CF_CHANGE_IN_OPER_LEASE_LIBLTS/1M</stp>
        <stp>FPR=2022Y</stp>
        <stp>FPT=A</stp>
        <stp>FA_ACT_EST_DATA=E, EST_SOURCE=CTI</stp>
        <stp>ACT_EST_MAPPING=PRECISE</stp>
        <stp>FS=MRC</stp>
        <stp>CURRENCY=USD</stp>
        <stp>XLFILL=b</stp>
        <tr r="AT166" s="2"/>
      </tp>
      <tp t="s">
        <v/>
        <stp/>
        <stp>##V3_BQLV12</stp>
        <stp>[MODL_CRM_US1.xlsx]Single Period!R166C35</stp>
        <stp>CRM US Equity</stp>
        <stp>CF_CHANGE_IN_OPER_LEASE_LIBLTS/1M</stp>
        <stp>FPR=2022Y</stp>
        <stp>FPT=A</stp>
        <stp>FA_ACT_EST_DATA=E, EST_SOURCE=ATL</stp>
        <stp>ACT_EST_MAPPING=PRECISE</stp>
        <stp>FS=MRC</stp>
        <stp>CURRENCY=USD</stp>
        <stp>XLFILL=b</stp>
        <tr r="AI166" s="2"/>
      </tp>
      <tp t="s">
        <v/>
        <stp/>
        <stp>##V3_BQLV12</stp>
        <stp>[MODL_CRM_US1.xlsx]Single Period!R95C39</stp>
        <stp>CRM US Equity</stp>
        <stp>IS_COMP_EPS_GAAP</stp>
        <stp>FPR=2022Y</stp>
        <stp>FPT=A</stp>
        <stp>FA_ACT_EST_DATA=E, EST_SOURCE=KGI</stp>
        <stp>ACT_EST_MAPPING=PRECISE</stp>
        <stp>FS=MRC</stp>
        <stp>CURRENCY=USD</stp>
        <stp>XLFILL=b</stp>
        <tr r="AM95" s="2"/>
      </tp>
      <tp t="s">
        <v/>
        <stp/>
        <stp>##V3_BQLV12</stp>
        <stp>[MODL_CRM_US1.xlsx]Single Period!R112C34</stp>
        <stp>CRM US Equity</stp>
        <stp>BS_CASH_NEAR_CASH_ITEM/1M</stp>
        <stp>FPR=2022Y</stp>
        <stp>FPT=A</stp>
        <stp>FA_ACT_EST_DATA=E, EST_SOURCE=JEF</stp>
        <stp>ACT_EST_MAPPING=PRECISE</stp>
        <stp>FS=MRC</stp>
        <stp>CURRENCY=USD</stp>
        <stp>XLFILL=b</stp>
        <tr r="AH112" s="2"/>
      </tp>
      <tp t="s">
        <v/>
        <stp/>
        <stp>##V3_BQLV12</stp>
        <stp>[MODL_CRM_US1.xlsx]Single Period!R112C55</stp>
        <stp>CRM US Equity</stp>
        <stp>BS_CASH_NEAR_CASH_ITEM/1M</stp>
        <stp>FPR=2022Y</stp>
        <stp>FPT=A</stp>
        <stp>FA_ACT_EST_DATA=E, EST_SOURCE=RED</stp>
        <stp>ACT_EST_MAPPING=PRECISE</stp>
        <stp>FS=MRC</stp>
        <stp>CURRENCY=USD</stp>
        <stp>XLFILL=b</stp>
        <tr r="BC112" s="2"/>
      </tp>
      <tp t="s">
        <v/>
        <stp/>
        <stp>##V3_BQLV12</stp>
        <stp>[MODL_CRM_US1.xlsx]Single Period!R95C49</stp>
        <stp>CRM US Equity</stp>
        <stp>IS_COMP_EPS_GAAP</stp>
        <stp>FPR=2022Y</stp>
        <stp>FPT=A</stp>
        <stp>FA_ACT_EST_DATA=E, EST_SOURCE=SGE</stp>
        <stp>ACT_EST_MAPPING=PRECISE</stp>
        <stp>FS=MRC</stp>
        <stp>CURRENCY=USD</stp>
        <stp>XLFILL=b</stp>
        <tr r="AW95" s="2"/>
      </tp>
      <tp t="s">
        <v/>
        <stp/>
        <stp>##V3_BQLV12</stp>
        <stp>[MODL_CRM_US1.xlsx]Single Period!R117C41</stp>
        <stp>CRM US Equity</stp>
        <stp>BS_TOTAL_NON_CURRENT_ASSETS/1M</stp>
        <stp>FPR=2022Y</stp>
        <stp>FPT=A</stp>
        <stp>FA_ACT_EST_DATA=E, EST_SOURCE=GSR</stp>
        <stp>ACT_EST_MAPPING=PRECISE</stp>
        <stp>FS=MRC</stp>
        <stp>CURRENCY=USD</stp>
        <stp>XLFILL=b</stp>
        <tr r="AO117" s="2"/>
      </tp>
      <tp t="s">
        <v/>
        <stp/>
        <stp>##V3_BQLV12</stp>
        <stp>[MODL_CRM_US1.xlsx]Single Period!R117C15</stp>
        <stp>CRM US Equity</stp>
        <stp>BS_TOTAL_NON_CURRENT_ASSETS/1M</stp>
        <stp>FPR=2022Y</stp>
        <stp>FPT=A</stp>
        <stp>FA_ACT_EST_DATA=E, EST_SOURCE=MSV</stp>
        <stp>ACT_EST_MAPPING=PRECISE</stp>
        <stp>FS=MRC</stp>
        <stp>CURRENCY=USD</stp>
        <stp>XLFILL=b</stp>
        <tr r="O117" s="2"/>
      </tp>
      <tp t="s">
        <v/>
        <stp/>
        <stp>##V3_BQLV12</stp>
        <stp>[MODL_CRM_US1.xlsx]Single Period!R63C54</stp>
        <stp>CRM US Equity</stp>
        <stp>CF_DEPR_AMORT/1M</stp>
        <stp>FPR=2022Y</stp>
        <stp>FPT=A</stp>
        <stp>FA_ACT_EST_DATA=E, EST_SOURCE=ARE</stp>
        <stp>ACT_EST_MAPPING=PRECISE</stp>
        <stp>FS=MRC</stp>
        <stp>CURRENCY=USD</stp>
        <stp>XLFILL=b</stp>
        <tr r="BB63" s="2"/>
      </tp>
      <tp>
        <v>26395</v>
        <stp/>
        <stp>##V3_BQLV12</stp>
        <stp>[MODL_CRM_US1.xlsx]Single Period!R52C13</stp>
        <stp>CRM US Equity</stp>
        <stp>IS_COMP_SALES/1M</stp>
        <stp>FPR=2022Y</stp>
        <stp>FPT=A</stp>
        <stp>FA_ACT_EST_DATA=E, EST_SOURCE=BCA</stp>
        <stp>ACT_EST_MAPPING=PRECISE</stp>
        <stp>FS=MRC</stp>
        <stp>CURRENCY=USD</stp>
        <stp>XLFILL=b</stp>
        <tr r="M52" s="2"/>
      </tp>
      <tp t="s">
        <v/>
        <stp/>
        <stp>##V3_BQLV12</stp>
        <stp>[MODL_CRM_US1.xlsx]Single Period!R85C51</stp>
        <stp>CRM US Equity</stp>
        <stp>CB_IS_S_AND_M_EXPENSE/1M</stp>
        <stp>FPR=2022Y</stp>
        <stp>FPT=A</stp>
        <stp>FA_ACT_EST_DATA=E, EST_SOURCE=RCP</stp>
        <stp>ACT_EST_MAPPING=PRECISE</stp>
        <stp>FS=MRC</stp>
        <stp>CURRENCY=USD</stp>
        <stp>XLFILL=b</stp>
        <tr r="AY85" s="2"/>
      </tp>
      <tp t="s">
        <v/>
        <stp/>
        <stp>##V3_BQLV12</stp>
        <stp>[MODL_CRM_US1.xlsx]Single Period!R132C44</stp>
        <stp>CRM US Equity</stp>
        <stp>BS_ADJ_TOTAL_LT_LIABILITIES/1M</stp>
        <stp>FPR=2022Y</stp>
        <stp>FPT=A</stp>
        <stp>FA_ACT_EST_DATA=E, EST_SOURCE=RWB</stp>
        <stp>ACT_EST_MAPPING=PRECISE</stp>
        <stp>FS=MRC</stp>
        <stp>CURRENCY=USD</stp>
        <stp>XLFILL=b</stp>
        <tr r="AR132" s="2"/>
      </tp>
      <tp t="s">
        <v/>
        <stp/>
        <stp>##V3_BQLV12</stp>
        <stp>[MODL_CRM_US1.xlsx]Single Period!R12C54</stp>
        <stp>CRM US Equity</stp>
        <stp>TOT_FUTURE_REV_UNDER_CONTRACT/1M</stp>
        <stp>FPR=2022Y</stp>
        <stp>FPT=A</stp>
        <stp>FA_ACT_EST_DATA=E, EST_SOURCE=ARE</stp>
        <stp>ACT_EST_MAPPING=PRECISE</stp>
        <stp>FS=MRC</stp>
        <stp>CURRENCY=USD</stp>
        <stp>XLFILL=b</stp>
        <tr r="BB12" s="2"/>
      </tp>
      <tp t="s">
        <v/>
        <stp/>
        <stp>##V3_BQLV12</stp>
        <stp>[MODL_CRM_US1.xlsx]Single Period!R146C30</stp>
        <stp>CRM US Equity</stp>
        <stp>CUR_RATIO</stp>
        <stp>FPR=2022Y</stp>
        <stp>FPT=A</stp>
        <stp>FA_ACT_EST_DATA=E, EST_SOURCE=BAM</stp>
        <stp>ACT_EST_MAPPING=PRECISE</stp>
        <stp>FS=MRC</stp>
        <stp>CURRENCY=USD</stp>
        <stp>XLFILL=b</stp>
        <tr r="AD146" s="2"/>
      </tp>
      <tp t="s">
        <v/>
        <stp/>
        <stp>##V3_BQLV12</stp>
        <stp>[MODL_CRM_US1.xlsx]Single Period!R122C29</stp>
        <stp>CRM US Equity</stp>
        <stp>BS_GOODWILL/1M</stp>
        <stp>FPR=2022Y</stp>
        <stp>FPT=A</stp>
        <stp>FA_ACT_EST_DATA=E, EST_SOURCE=BNS</stp>
        <stp>ACT_EST_MAPPING=PRECISE</stp>
        <stp>FS=MRC</stp>
        <stp>CURRENCY=USD</stp>
        <stp>XLFILL=b</stp>
        <tr r="AC122" s="2"/>
      </tp>
      <tp t="s">
        <v/>
        <stp/>
        <stp>##V3_BQLV12</stp>
        <stp>[MODL_CRM_US1.xlsx]Single Period!R52C55</stp>
        <stp>CRM US Equity</stp>
        <stp>IS_COMP_SALES/1M</stp>
        <stp>FPR=2022Y</stp>
        <stp>FPT=A</stp>
        <stp>FA_ACT_EST_DATA=E, EST_SOURCE=RED</stp>
        <stp>ACT_EST_MAPPING=PRECISE</stp>
        <stp>FS=MRC</stp>
        <stp>CURRENCY=USD</stp>
        <stp>XLFILL=b</stp>
        <tr r="BC52" s="2"/>
      </tp>
      <tp t="s">
        <v/>
        <stp/>
        <stp>##V3_BQLV12</stp>
        <stp>[MODL_CRM_US1.xlsx]Single Period!R122C14</stp>
        <stp>CRM US Equity</stp>
        <stp>BS_GOODWILL/1M</stp>
        <stp>FPR=2022Y</stp>
        <stp>FPT=A</stp>
        <stp>FA_ACT_EST_DATA=E, EST_SOURCE=SNR</stp>
        <stp>ACT_EST_MAPPING=PRECISE</stp>
        <stp>FS=MRC</stp>
        <stp>CURRENCY=USD</stp>
        <stp>XLFILL=b</stp>
        <tr r="N122" s="2"/>
      </tp>
      <tp>
        <v>-929</v>
        <stp/>
        <stp>##V3_BQLV12</stp>
        <stp>[MODL_CRM_US1.xlsx]Single Period!R98C26</stp>
        <stp>CRM US Equity</stp>
        <stp>IS_INC_TAX_EFFECT_NONGAAP_REC/1M</stp>
        <stp>FPR=2022Y</stp>
        <stp>FPT=A</stp>
        <stp>FA_ACT_EST_DATA=E, EST_SOURCE=KEY</stp>
        <stp>ACT_EST_MAPPING=PRECISE</stp>
        <stp>FS=MRC</stp>
        <stp>CURRENCY=USD</stp>
        <stp>XLFILL=b</stp>
        <tr r="Z98" s="2"/>
      </tp>
      <tp t="s">
        <v/>
        <stp/>
        <stp>##V3_BQLV12</stp>
        <stp>[MODL_CRM_US1.xlsx]Single Period!R94C48</stp>
        <stp>CRM US Equity</stp>
        <stp>IS_SH_FOR_DILUTED_EPS/1M</stp>
        <stp>FPR=2022Y</stp>
        <stp>FPT=A</stp>
        <stp>FA_ACT_EST_DATA=E, EST_SOURCE=PJE</stp>
        <stp>ACT_EST_MAPPING=PRECISE</stp>
        <stp>FS=MRC</stp>
        <stp>CURRENCY=USD</stp>
        <stp>XLFILL=b</stp>
        <tr r="AV94" s="2"/>
      </tp>
      <tp t="s">
        <v/>
        <stp/>
        <stp>##V3_BQLV12</stp>
        <stp>[MODL_CRM_US1.xlsx]Single Period!R146C18</stp>
        <stp>CRM US Equity</stp>
        <stp>CUR_RATIO</stp>
        <stp>FPR=2022Y</stp>
        <stp>FPT=A</stp>
        <stp>FA_ACT_EST_DATA=E, EST_SOURCE=CAN</stp>
        <stp>ACT_EST_MAPPING=PRECISE</stp>
        <stp>FS=MRC</stp>
        <stp>CURRENCY=USD</stp>
        <stp>XLFILL=b</stp>
        <tr r="R146" s="2"/>
      </tp>
      <tp t="s">
        <v/>
        <stp/>
        <stp>##V3_BQLV12</stp>
        <stp>[MODL_CRM_US1.xlsx]Single Period!R117C38</stp>
        <stp>CRM US Equity</stp>
        <stp>BS_TOTAL_NON_CURRENT_ASSETS/1M</stp>
        <stp>FPR=2022Y</stp>
        <stp>FPT=A</stp>
        <stp>FA_ACT_EST_DATA=E, EST_SOURCE=MSR</stp>
        <stp>ACT_EST_MAPPING=PRECISE</stp>
        <stp>FS=MRC</stp>
        <stp>CURRENCY=USD</stp>
        <stp>XLFILL=b</stp>
        <tr r="AL117" s="2"/>
      </tp>
      <tp t="s">
        <v/>
        <stp/>
        <stp>##V3_BQLV12</stp>
        <stp>[MODL_CRM_US1.xlsx]Single Period!R132C43</stp>
        <stp>CRM US Equity</stp>
        <stp>BS_ADJ_TOTAL_LT_LIABILITIES/1M</stp>
        <stp>FPR=2022Y</stp>
        <stp>FPT=A</stp>
        <stp>FA_ACT_EST_DATA=E, EST_SOURCE=DWI</stp>
        <stp>ACT_EST_MAPPING=PRECISE</stp>
        <stp>FS=MRC</stp>
        <stp>CURRENCY=USD</stp>
        <stp>XLFILL=b</stp>
        <tr r="AQ132" s="2"/>
      </tp>
      <tp t="s">
        <v/>
        <stp/>
        <stp>##V3_BQLV12</stp>
        <stp>[MODL_CRM_US1.xlsx]Single Period!R132C28</stp>
        <stp>CRM US Equity</stp>
        <stp>BS_ADJ_TOTAL_LT_LIABILITIES/1M</stp>
        <stp>FPR=2022Y</stp>
        <stp>FPT=A</stp>
        <stp>FA_ACT_EST_DATA=E, EST_SOURCE=CWN</stp>
        <stp>ACT_EST_MAPPING=PRECISE</stp>
        <stp>FS=MRC</stp>
        <stp>CURRENCY=USD</stp>
        <stp>XLFILL=b</stp>
        <tr r="AB132" s="2"/>
      </tp>
      <tp t="s">
        <v/>
        <stp/>
        <stp>##V3_BQLV12</stp>
        <stp>[MODL_CRM_US1.xlsx]Single Period!R110C20</stp>
        <stp>CRM US Equity</stp>
        <stp>BS_CUR_ASSET_REPORT/1M</stp>
        <stp>FPR=2022Y</stp>
        <stp>FPT=A</stp>
        <stp>FA_ACT_EST_DATA=E, EST_SOURCE=JMP</stp>
        <stp>ACT_EST_MAPPING=PRECISE</stp>
        <stp>FS=MRC</stp>
        <stp>CURRENCY=USD</stp>
        <stp>XLFILL=b</stp>
        <tr r="T110" s="2"/>
      </tp>
      <tp>
        <v>56264.732150000011</v>
        <stp/>
        <stp>##V3_BQLV12</stp>
        <stp>[MODL_CRM_US1.xlsx]Single Period!R137C17</stp>
        <stp>CRM US Equity</stp>
        <stp>BS_EQTY_BEFORE_MINORITY_INT/1M</stp>
        <stp>FPR=2022Y</stp>
        <stp>FPT=A</stp>
        <stp>FA_ACT_EST_DATA=E, EST_SOURCE=NDH</stp>
        <stp>ACT_EST_MAPPING=PRECISE</stp>
        <stp>FS=MRC</stp>
        <stp>CURRENCY=USD</stp>
        <stp>XLFILL=b</stp>
        <tr r="Q137" s="2"/>
      </tp>
      <tp t="s">
        <v/>
        <stp/>
        <stp>##V3_BQLV12</stp>
        <stp>[MODL_CRM_US1.xlsx]Single Period!R110C25</stp>
        <stp>CRM US Equity</stp>
        <stp>BS_CUR_ASSET_REPORT/1M</stp>
        <stp>FPR=2022Y</stp>
        <stp>FPT=A</stp>
        <stp>FA_ACT_EST_DATA=E, EST_SOURCE=WMS</stp>
        <stp>ACT_EST_MAPPING=PRECISE</stp>
        <stp>FS=MRC</stp>
        <stp>CURRENCY=USD</stp>
        <stp>XLFILL=b</stp>
        <tr r="Y110" s="2"/>
      </tp>
      <tp t="s">
        <v/>
        <stp/>
        <stp>##V3_BQLV12</stp>
        <stp>[MODL_CRM_US1.xlsx]Single Period!R146C36</stp>
        <stp>CRM US Equity</stp>
        <stp>CUR_RATIO</stp>
        <stp>FPR=2022Y</stp>
        <stp>FPT=A</stp>
        <stp>FA_ACT_EST_DATA=E, EST_SOURCE=MAC</stp>
        <stp>ACT_EST_MAPPING=PRECISE</stp>
        <stp>FS=MRC</stp>
        <stp>CURRENCY=USD</stp>
        <stp>XLFILL=b</stp>
        <tr r="AJ146" s="2"/>
      </tp>
      <tp t="s">
        <v/>
        <stp/>
        <stp>##V3_BQLV12</stp>
        <stp>[MODL_CRM_US1.xlsx]Single Period!R93C18</stp>
        <stp>CRM US Equity</stp>
        <stp>IS_AVG_NUM_SH_FOR_EPS/1M</stp>
        <stp>FPR=2022Y</stp>
        <stp>FPT=A</stp>
        <stp>FA_ACT_EST_DATA=E, EST_SOURCE=CAN</stp>
        <stp>ACT_EST_MAPPING=PRECISE</stp>
        <stp>FS=MRC</stp>
        <stp>CURRENCY=USD</stp>
        <stp>XLFILL=b</stp>
        <tr r="R93" s="2"/>
      </tp>
      <tp t="s">
        <v/>
        <stp/>
        <stp>##V3_BQLV12</stp>
        <stp>[MODL_CRM_US1.xlsx]Single Period!R14C14</stp>
        <stp>CRM US Equity</stp>
        <stp>NON_CURRENT_FUTURE_REV_UNDER_CONTRACT/1M</stp>
        <stp>FPR=2022Y</stp>
        <stp>FPT=A</stp>
        <stp>FA_ACT_EST_DATA=E, EST_SOURCE=SNR</stp>
        <stp>ACT_EST_MAPPING=PRECISE</stp>
        <stp>FS=MRC</stp>
        <stp>CURRENCY=USD</stp>
        <stp>XLFILL=b</stp>
        <tr r="N14" s="2"/>
      </tp>
      <tp>
        <v>2367</v>
        <stp/>
        <stp>##V3_BQLV12</stp>
        <stp>[MODL_CRM_US1.xlsx]Single Period!R63C15</stp>
        <stp>CRM US Equity</stp>
        <stp>CF_DEPR_AMORT/1M</stp>
        <stp>FPR=2022Y</stp>
        <stp>FPT=A</stp>
        <stp>FA_ACT_EST_DATA=E, EST_SOURCE=MSV</stp>
        <stp>ACT_EST_MAPPING=PRECISE</stp>
        <stp>FS=MRC</stp>
        <stp>CURRENCY=USD</stp>
        <stp>XLFILL=b</stp>
        <tr r="O63" s="2"/>
      </tp>
      <tp>
        <v>26487</v>
        <stp/>
        <stp>##V3_BQLV12</stp>
        <stp>[MODL_CRM_US1.xlsx]Single Period!R52C32</stp>
        <stp>CRM US Equity</stp>
        <stp>IS_COMP_SALES/1M</stp>
        <stp>FPR=2022Y</stp>
        <stp>FPT=A</stp>
        <stp>FA_ACT_EST_DATA=E, EST_SOURCE=UBS</stp>
        <stp>ACT_EST_MAPPING=PRECISE</stp>
        <stp>FS=MRC</stp>
        <stp>CURRENCY=USD</stp>
        <stp>XLFILL=b</stp>
        <tr r="AF52" s="2"/>
      </tp>
      <tp t="s">
        <v/>
        <stp/>
        <stp>##V3_BQLV12</stp>
        <stp>[MODL_CRM_US1.xlsx]Single Period!R98C11</stp>
        <stp>CRM US Equity</stp>
        <stp>IS_INC_TAX_EFFECT_NONGAAP_REC/1M</stp>
        <stp>FPR=2022Y</stp>
        <stp>FPT=A</stp>
        <stp>FA_ACT_EST_DATA=E, EST_SOURCE=WBL</stp>
        <stp>ACT_EST_MAPPING=PRECISE</stp>
        <stp>FS=MRC</stp>
        <stp>CURRENCY=USD</stp>
        <stp>XLFILL=b</stp>
        <tr r="K98" s="2"/>
      </tp>
      <tp t="s">
        <v/>
        <stp/>
        <stp>##V3_BQLV12</stp>
        <stp>[MODL_CRM_US1.xlsx]Single Period!R94C51</stp>
        <stp>CRM US Equity</stp>
        <stp>IS_SH_FOR_DILUTED_EPS/1M</stp>
        <stp>FPR=2022Y</stp>
        <stp>FPT=A</stp>
        <stp>FA_ACT_EST_DATA=E, EST_SOURCE=RCP</stp>
        <stp>ACT_EST_MAPPING=PRECISE</stp>
        <stp>FS=MRC</stp>
        <stp>CURRENCY=USD</stp>
        <stp>XLFILL=b</stp>
        <tr r="AY94" s="2"/>
      </tp>
      <tp t="s">
        <v/>
        <stp/>
        <stp>##V3_BQLV12</stp>
        <stp>[MODL_CRM_US1.xlsx]Single Period!R110C12</stp>
        <stp>CRM US Equity</stp>
        <stp>BS_CUR_ASSET_REPORT/1M</stp>
        <stp>FPR=2022Y</stp>
        <stp>FPT=A</stp>
        <stp>FA_ACT_EST_DATA=E, EST_SOURCE=BMO</stp>
        <stp>ACT_EST_MAPPING=PRECISE</stp>
        <stp>FS=MRC</stp>
        <stp>CURRENCY=USD</stp>
        <stp>XLFILL=b</stp>
        <tr r="L110" s="2"/>
      </tp>
      <tp t="s">
        <v/>
        <stp/>
        <stp>##V3_BQLV12</stp>
        <stp>[MODL_CRM_US1.xlsx]Single Period!R117C42</stp>
        <stp>CRM US Equity</stp>
        <stp>BS_TOTAL_NON_CURRENT_ASSETS/1M</stp>
        <stp>FPR=2022Y</stp>
        <stp>FPT=A</stp>
        <stp>FA_ACT_EST_DATA=E, EST_SOURCE=PSG</stp>
        <stp>ACT_EST_MAPPING=PRECISE</stp>
        <stp>FS=MRC</stp>
        <stp>CURRENCY=USD</stp>
        <stp>XLFILL=b</stp>
        <tr r="AP117" s="2"/>
      </tp>
      <tp>
        <v>4552.3</v>
        <stp/>
        <stp>##V3_BQLV12</stp>
        <stp>[MODL_CRM_US1.xlsx]Single Period!R70C5</stp>
        <stp>CRM US Equity</stp>
        <stp>IS_COMP_NET_INC_EXCL_STOCK_COMP/1M</stp>
        <stp>FPR=2022Y</stp>
        <stp>FPT=A</stp>
        <stp>FA_ACT_EST_DATA=E</stp>
        <stp>ACT_EST_MAPPING=PRECISE</stp>
        <stp>FS=MRC</stp>
        <stp>CURRENCY=USD</stp>
        <stp>XLFILL=b</stp>
        <tr r="E70" s="2"/>
      </tp>
      <tp t="s">
        <v/>
        <stp/>
        <stp>##V3_BQLV12</stp>
        <stp>[MODL_CRM_US1.xlsx]Single Period!R85C48</stp>
        <stp>CRM US Equity</stp>
        <stp>CB_IS_S_AND_M_EXPENSE/1M</stp>
        <stp>FPR=2022Y</stp>
        <stp>FPT=A</stp>
        <stp>FA_ACT_EST_DATA=E, EST_SOURCE=PJE</stp>
        <stp>ACT_EST_MAPPING=PRECISE</stp>
        <stp>FS=MRC</stp>
        <stp>CURRENCY=USD</stp>
        <stp>XLFILL=b</stp>
        <tr r="AV85" s="2"/>
      </tp>
      <tp t="s">
        <v/>
        <stp/>
        <stp>##V3_BQLV12</stp>
        <stp>[MODL_CRM_US1.xlsx]Single Period!R98C17</stp>
        <stp>CRM US Equity</stp>
        <stp>IS_INC_TAX_EFFECT_NONGAAP_REC/1M</stp>
        <stp>FPR=2022Y</stp>
        <stp>FPT=A</stp>
        <stp>FA_ACT_EST_DATA=E, EST_SOURCE=NDH</stp>
        <stp>ACT_EST_MAPPING=PRECISE</stp>
        <stp>FS=MRC</stp>
        <stp>CURRENCY=USD</stp>
        <stp>XLFILL=b</stp>
        <tr r="Q98" s="2"/>
      </tp>
      <tp t="s">
        <v/>
        <stp/>
        <stp>##V3_BQLV12</stp>
        <stp>[MODL_CRM_US1.xlsx]Single Period!R14C53</stp>
        <stp>CRM US Equity</stp>
        <stp>NON_CURRENT_FUTURE_REV_UNDER_CONTRACT/1M</stp>
        <stp>FPR=2022Y</stp>
        <stp>FPT=A</stp>
        <stp>FA_ACT_EST_DATA=E, EST_SOURCE=NIK</stp>
        <stp>ACT_EST_MAPPING=PRECISE</stp>
        <stp>FS=MRC</stp>
        <stp>CURRENCY=USD</stp>
        <stp>XLFILL=b</stp>
        <tr r="BA14" s="2"/>
      </tp>
      <tp t="s">
        <v/>
        <stp/>
        <stp>##V3_BQLV12</stp>
        <stp>[MODL_CRM_US1.xlsx]Single Period!R12C15</stp>
        <stp>CRM US Equity</stp>
        <stp>TOT_FUTURE_REV_UNDER_CONTRACT/1M</stp>
        <stp>FPR=2022Y</stp>
        <stp>FPT=A</stp>
        <stp>FA_ACT_EST_DATA=E, EST_SOURCE=MSV</stp>
        <stp>ACT_EST_MAPPING=PRECISE</stp>
        <stp>FS=MRC</stp>
        <stp>CURRENCY=USD</stp>
        <stp>XLFILL=b</stp>
        <tr r="O12" s="2"/>
      </tp>
      <tp t="s">
        <v/>
        <stp/>
        <stp>##V3_BQLV12</stp>
        <stp>[MODL_CRM_US1.xlsx]Single Period!R131C46</stp>
        <stp>CRM US Equity</stp>
        <stp>ST_DEFERRED_REVENUE/1M</stp>
        <stp>FPR=2022Y</stp>
        <stp>FPT=A</stp>
        <stp>FA_ACT_EST_DATA=E, EST_SOURCE=CTI</stp>
        <stp>ACT_EST_MAPPING=PRECISE</stp>
        <stp>FS=MRC</stp>
        <stp>CURRENCY=USD</stp>
        <stp>XLFILL=b</stp>
        <tr r="AT131" s="2"/>
      </tp>
      <tp t="s">
        <v/>
        <stp/>
        <stp>##V3_BQLV12</stp>
        <stp>[MODL_CRM_US1.xlsx]Single Period!R98C40</stp>
        <stp>CRM US Equity</stp>
        <stp>IS_INC_TAX_EFFECT_NONGAAP_REC/1M</stp>
        <stp>FPR=2022Y</stp>
        <stp>FPT=A</stp>
        <stp>FA_ACT_EST_DATA=E, EST_SOURCE=ACC</stp>
        <stp>ACT_EST_MAPPING=PRECISE</stp>
        <stp>FS=MRC</stp>
        <stp>CURRENCY=USD</stp>
        <stp>XLFILL=b</stp>
        <tr r="AN98" s="2"/>
      </tp>
      <tp t="s">
        <v/>
        <stp/>
        <stp>##V3_BQLV12</stp>
        <stp>[MODL_CRM_US1.xlsx]Single Period!R98C31</stp>
        <stp>CRM US Equity</stp>
        <stp>IS_INC_TAX_EFFECT_NONGAAP_REC/1M</stp>
        <stp>FPR=2022Y</stp>
        <stp>FPT=A</stp>
        <stp>FA_ACT_EST_DATA=E, EST_SOURCE=RBC</stp>
        <stp>ACT_EST_MAPPING=PRECISE</stp>
        <stp>FS=MRC</stp>
        <stp>CURRENCY=USD</stp>
        <stp>XLFILL=b</stp>
        <tr r="AE98" s="2"/>
      </tp>
      <tp t="s">
        <v/>
        <stp/>
        <stp>##V3_BQLV12</stp>
        <stp>[MODL_CRM_US1.xlsx]Single Period!R14C19</stp>
        <stp>CRM US Equity</stp>
        <stp>NON_CURRENT_FUTURE_REV_UNDER_CONTRACT/1M</stp>
        <stp>FPR=2022Y</stp>
        <stp>FPT=A</stp>
        <stp>FA_ACT_EST_DATA=E, EST_SOURCE=SCB</stp>
        <stp>ACT_EST_MAPPING=PRECISE</stp>
        <stp>FS=MRC</stp>
        <stp>CURRENCY=USD</stp>
        <stp>XLFILL=b</stp>
        <tr r="S14" s="2"/>
      </tp>
      <tp t="s">
        <v/>
        <stp/>
        <stp>##V3_BQLV12</stp>
        <stp>[MODL_CRM_US1.xlsx]Single Period!R131C35</stp>
        <stp>CRM US Equity</stp>
        <stp>ST_DEFERRED_REVENUE/1M</stp>
        <stp>FPR=2022Y</stp>
        <stp>FPT=A</stp>
        <stp>FA_ACT_EST_DATA=E, EST_SOURCE=ATL</stp>
        <stp>ACT_EST_MAPPING=PRECISE</stp>
        <stp>FS=MRC</stp>
        <stp>CURRENCY=USD</stp>
        <stp>XLFILL=b</stp>
        <tr r="AI131" s="2"/>
      </tp>
      <tp t="s">
        <v/>
        <stp/>
        <stp>##V3_BQLV12</stp>
        <stp>[MODL_CRM_US1.xlsx]Single Period!R48C38</stp>
        <stp>SEG0000269229 Segment</stp>
        <stp>SALES_REV_TURN/1M</stp>
        <stp>FPR=2022Y</stp>
        <stp>FPT=A</stp>
        <stp>FA_ACT_EST_DATA=E, EST_SOURCE=MSR</stp>
        <stp>ACT_EST_MAPPING=PRECISE</stp>
        <stp>FS=MRC</stp>
        <stp>CURRENCY=USD</stp>
        <stp>XLFILL=b</stp>
        <tr r="AL48" s="2"/>
      </tp>
      <tp t="s">
        <v/>
        <stp/>
        <stp>##V3_BQLV12</stp>
        <stp>[MODL_CRM_US1.xlsx]Single Period!R10C50</stp>
        <stp>SEG0000269238 Segment</stp>
        <stp>SALES_REV_TURN/1M</stp>
        <stp>FPR=2022Y</stp>
        <stp>FPT=A</stp>
        <stp>FA_ACT_EST_DATA=E, EST_SOURCE=MZS</stp>
        <stp>ACT_EST_MAPPING=PRECISE</stp>
        <stp>FS=MRC</stp>
        <stp>CURRENCY=USD</stp>
        <stp>XLFILL=b</stp>
        <tr r="AX10" s="2"/>
      </tp>
      <tp t="s">
        <v/>
        <stp/>
        <stp>##V3_BQLV12</stp>
        <stp>[MODL_CRM_US1.xlsx]Single Period!R48C41</stp>
        <stp>SEG0000269229 Segment</stp>
        <stp>SALES_REV_TURN/1M</stp>
        <stp>FPR=2022Y</stp>
        <stp>FPT=A</stp>
        <stp>FA_ACT_EST_DATA=E, EST_SOURCE=GSR</stp>
        <stp>ACT_EST_MAPPING=PRECISE</stp>
        <stp>FS=MRC</stp>
        <stp>CURRENCY=USD</stp>
        <stp>XLFILL=b</stp>
        <tr r="AO48" s="2"/>
      </tp>
      <tp t="s">
        <v/>
        <stp/>
        <stp>##V3_BQLV12</stp>
        <stp>[MODL_CRM_US1.xlsx]Single Period!R38C38</stp>
        <stp>SEG0000269228 Segment</stp>
        <stp>SALES_REV_TURN/1M</stp>
        <stp>FPR=2022Y</stp>
        <stp>FPT=A</stp>
        <stp>FA_ACT_EST_DATA=E, EST_SOURCE=MSR</stp>
        <stp>ACT_EST_MAPPING=PRECISE</stp>
        <stp>FS=MRC</stp>
        <stp>CURRENCY=USD</stp>
        <stp>XLFILL=b</stp>
        <tr r="AL38" s="2"/>
      </tp>
      <tp t="s">
        <v/>
        <stp/>
        <stp>##V3_BQLV12</stp>
        <stp>[MODL_CRM_US1.xlsx]Single Period!R38C41</stp>
        <stp>SEG0000269228 Segment</stp>
        <stp>SALES_REV_TURN/1M</stp>
        <stp>FPR=2022Y</stp>
        <stp>FPT=A</stp>
        <stp>FA_ACT_EST_DATA=E, EST_SOURCE=GSR</stp>
        <stp>ACT_EST_MAPPING=PRECISE</stp>
        <stp>FS=MRC</stp>
        <stp>CURRENCY=USD</stp>
        <stp>XLFILL=b</stp>
        <tr r="AO38" s="2"/>
      </tp>
      <tp>
        <v>1823</v>
        <stp/>
        <stp>##V3_BQLV12</stp>
        <stp>[MODL_CRM_US1.xlsx]Single Period!R48C15</stp>
        <stp>SEG0000269229 Segment</stp>
        <stp>SALES_REV_TURN/1M</stp>
        <stp>FPR=2022Y</stp>
        <stp>FPT=A</stp>
        <stp>FA_ACT_EST_DATA=E, EST_SOURCE=MSV</stp>
        <stp>ACT_EST_MAPPING=PRECISE</stp>
        <stp>FS=MRC</stp>
        <stp>CURRENCY=USD</stp>
        <stp>XLFILL=b</stp>
        <tr r="O48" s="2"/>
      </tp>
      <tp>
        <v>13044</v>
        <stp/>
        <stp>##V3_BQLV12</stp>
        <stp>[MODL_CRM_US1.xlsx]Single Period!R38C15</stp>
        <stp>SEG0000269228 Segment</stp>
        <stp>SALES_REV_TURN/1M</stp>
        <stp>FPR=2022Y</stp>
        <stp>FPT=A</stp>
        <stp>FA_ACT_EST_DATA=E, EST_SOURCE=MSV</stp>
        <stp>ACT_EST_MAPPING=PRECISE</stp>
        <stp>FS=MRC</stp>
        <stp>CURRENCY=USD</stp>
        <stp>XLFILL=b</stp>
        <tr r="O38" s="2"/>
      </tp>
      <tp>
        <v>1624</v>
        <stp/>
        <stp>##V3_BQLV12</stp>
        <stp>[MODL_CRM_US1.xlsx]Single Period!R65C16</stp>
        <stp>CRM US Equity</stp>
        <stp>IS_AMORT_OF_TOT_INTANG_PRETX/1M</stp>
        <stp>FPR=2022Y</stp>
        <stp>FPT=A</stp>
        <stp>FA_ACT_EST_DATA=E, EST_SOURCE=DBG</stp>
        <stp>ACT_EST_MAPPING=PRECISE</stp>
        <stp>FS=MRC</stp>
        <stp>CURRENCY=USD</stp>
        <stp>XLFILL=b</stp>
        <tr r="P65" s="2"/>
      </tp>
      <tp t="s">
        <v/>
        <stp/>
        <stp>##V3_BQLV12</stp>
        <stp>[MODL_CRM_US1.xlsx]Single Period!R29C38</stp>
        <stp>SEG0000269233 Segment</stp>
        <stp>SALES_REV_TURN/1M</stp>
        <stp>FPR=2022Y</stp>
        <stp>FPT=A</stp>
        <stp>FA_ACT_EST_DATA=E, EST_SOURCE=MSR</stp>
        <stp>ACT_EST_MAPPING=PRECISE</stp>
        <stp>FS=MRC</stp>
        <stp>CURRENCY=USD</stp>
        <stp>XLFILL=b</stp>
        <tr r="AL29" s="2"/>
      </tp>
      <tp t="s">
        <v/>
        <stp/>
        <stp>##V3_BQLV12</stp>
        <stp>[MODL_CRM_US1.xlsx]Single Period!R29C41</stp>
        <stp>SEG0000269233 Segment</stp>
        <stp>SALES_REV_TURN/1M</stp>
        <stp>FPR=2022Y</stp>
        <stp>FPT=A</stp>
        <stp>FA_ACT_EST_DATA=E, EST_SOURCE=GSR</stp>
        <stp>ACT_EST_MAPPING=PRECISE</stp>
        <stp>FS=MRC</stp>
        <stp>CURRENCY=USD</stp>
        <stp>XLFILL=b</stp>
        <tr r="AO29" s="2"/>
      </tp>
      <tp t="s">
        <v/>
        <stp/>
        <stp>##V3_BQLV12</stp>
        <stp>[MODL_CRM_US1.xlsx]Single Period!R123C52</stp>
        <stp>CRM US Equity</stp>
        <stp>TOT_OPER_LEA_RT_OF_USE_ASSETS/1M</stp>
        <stp>FPR=2022Y</stp>
        <stp>FPT=A</stp>
        <stp>FA_ACT_EST_DATA=E, EST_SOURCE=WFR</stp>
        <stp>ACT_EST_MAPPING=PRECISE</stp>
        <stp>FS=MRC</stp>
        <stp>CURRENCY=USD</stp>
        <stp>XLFILL=b</stp>
        <tr r="AZ123" s="2"/>
      </tp>
      <tp t="s">
        <v/>
        <stp/>
        <stp>##V3_BQLV12</stp>
        <stp>[MODL_CRM_US1.xlsx]Single Period!R65C49</stp>
        <stp>CRM US Equity</stp>
        <stp>IS_AMORT_OF_TOT_INTANG_PRETX/1M</stp>
        <stp>FPR=2022Y</stp>
        <stp>FPT=A</stp>
        <stp>FA_ACT_EST_DATA=E, EST_SOURCE=SGE</stp>
        <stp>ACT_EST_MAPPING=PRECISE</stp>
        <stp>FS=MRC</stp>
        <stp>CURRENCY=USD</stp>
        <stp>XLFILL=b</stp>
        <tr r="AW65" s="2"/>
      </tp>
      <tp t="s">
        <v/>
        <stp/>
        <stp>##V3_BQLV12</stp>
        <stp>[MODL_CRM_US1.xlsx]Single Period!R83C51</stp>
        <stp>CRM US Equity</stp>
        <stp>IS_OPEX_R_AND_D_GAAP/1M</stp>
        <stp>FPR=2022Y</stp>
        <stp>FPT=A</stp>
        <stp>FA_ACT_EST_DATA=E, EST_SOURCE=RCP</stp>
        <stp>ACT_EST_MAPPING=PRECISE</stp>
        <stp>FS=MRC</stp>
        <stp>CURRENCY=USD</stp>
        <stp>XLFILL=b</stp>
        <tr r="AY83" s="2"/>
      </tp>
      <tp>
        <v>1630</v>
        <stp/>
        <stp>##V3_BQLV12</stp>
        <stp>[MODL_CRM_US1.xlsx]Single Period!R65C11</stp>
        <stp>CRM US Equity</stp>
        <stp>IS_AMORT_OF_TOT_INTANG_PRETX/1M</stp>
        <stp>FPR=2022Y</stp>
        <stp>FPT=A</stp>
        <stp>FA_ACT_EST_DATA=E, EST_SOURCE=WBL</stp>
        <stp>ACT_EST_MAPPING=PRECISE</stp>
        <stp>FS=MRC</stp>
        <stp>CURRENCY=USD</stp>
        <stp>XLFILL=b</stp>
        <tr r="K65" s="2"/>
      </tp>
      <tp t="s">
        <v/>
        <stp/>
        <stp>##V3_BQLV12</stp>
        <stp>[MODL_CRM_US1.xlsx]Single Period!R27C50</stp>
        <stp>SEG0000269241 Segment</stp>
        <stp>SALES_REV_TURN/1M</stp>
        <stp>FPR=2022Y</stp>
        <stp>FPT=A</stp>
        <stp>FA_ACT_EST_DATA=E, EST_SOURCE=MZS</stp>
        <stp>ACT_EST_MAPPING=PRECISE</stp>
        <stp>FS=MRC</stp>
        <stp>CURRENCY=USD</stp>
        <stp>XLFILL=b</stp>
        <tr r="AX27" s="2"/>
      </tp>
      <tp>
        <v>3955.2849999999999</v>
        <stp/>
        <stp>##V3_BQLV12</stp>
        <stp>[MODL_CRM_US1.xlsx]Single Period!R29C15</stp>
        <stp>SEG0000269233 Segment</stp>
        <stp>SALES_REV_TURN/1M</stp>
        <stp>FPR=2022Y</stp>
        <stp>FPT=A</stp>
        <stp>FA_ACT_EST_DATA=E, EST_SOURCE=MSV</stp>
        <stp>ACT_EST_MAPPING=PRECISE</stp>
        <stp>FS=MRC</stp>
        <stp>CURRENCY=USD</stp>
        <stp>XLFILL=b</stp>
        <tr r="O29" s="2"/>
      </tp>
      <tp t="s">
        <v/>
        <stp/>
        <stp>##V3_BQLV12</stp>
        <stp>[MODL_CRM_US1.xlsx]Single Period!R101C48</stp>
        <stp>CRM US Equity</stp>
        <stp>IS_SBC_ATTRIBUTABLE_TO_R_AND_D_PRETX/1M</stp>
        <stp>FPR=2022Y</stp>
        <stp>FPT=A</stp>
        <stp>FA_ACT_EST_DATA=E, EST_SOURCE=PJE</stp>
        <stp>ACT_EST_MAPPING=PRECISE</stp>
        <stp>FS=MRC</stp>
        <stp>CURRENCY=USD</stp>
        <stp>XLFILL=b</stp>
        <tr r="AV101" s="2"/>
      </tp>
      <tp t="s">
        <v/>
        <stp/>
        <stp>##V3_BQLV12</stp>
        <stp>[MODL_CRM_US1.xlsx]Single Period!R149C37</stp>
        <stp>CRM US Equity</stp>
        <stp>TOT_FUTURE_REV_UNDER_CONTRACT/1M</stp>
        <stp>FPR=2022Y</stp>
        <stp>FPT=A</stp>
        <stp>FA_ACT_EST_DATA=E, EST_SOURCE=EVR</stp>
        <stp>ACT_EST_MAPPING=PRECISE</stp>
        <stp>FS=MRC</stp>
        <stp>CURRENCY=USD</stp>
        <stp>XLFILL=b</stp>
        <tr r="AK149" s="2"/>
      </tp>
      <tp t="s">
        <v/>
        <stp/>
        <stp>##V3_BQLV12</stp>
        <stp>[MODL_CRM_US1.xlsx]Single Period!R156C45</stp>
        <stp>CRM US Equity</stp>
        <stp>CF_DEPR_AMORT/1M</stp>
        <stp>FPR=2022Y</stp>
        <stp>FPT=A</stp>
        <stp>FA_ACT_EST_DATA=E, EST_SOURCE=ARG</stp>
        <stp>ACT_EST_MAPPING=PRECISE</stp>
        <stp>FS=MRC</stp>
        <stp>CURRENCY=USD</stp>
        <stp>XLFILL=b</stp>
        <tr r="AS156" s="2"/>
      </tp>
      <tp t="s">
        <v/>
        <stp/>
        <stp>##V3_BQLV12</stp>
        <stp>[MODL_CRM_US1.xlsx]Single Period!R119C20</stp>
        <stp>CRM US Equity</stp>
        <stp>CB_BS_OTHER_NONCURRENT_ASSETS/1M</stp>
        <stp>FPR=2022Y</stp>
        <stp>FPT=A</stp>
        <stp>FA_ACT_EST_DATA=E, EST_SOURCE=JMP</stp>
        <stp>ACT_EST_MAPPING=PRECISE</stp>
        <stp>FS=MRC</stp>
        <stp>CURRENCY=USD</stp>
        <stp>XLFILL=b</stp>
        <tr r="T119" s="2"/>
      </tp>
      <tp t="s">
        <v/>
        <stp/>
        <stp>##V3_BQLV12</stp>
        <stp>[MODL_CRM_US1.xlsx]Single Period!R149C35</stp>
        <stp>CRM US Equity</stp>
        <stp>TOT_FUTURE_REV_UNDER_CONTRACT/1M</stp>
        <stp>FPR=2022Y</stp>
        <stp>FPT=A</stp>
        <stp>FA_ACT_EST_DATA=E, EST_SOURCE=ATL</stp>
        <stp>ACT_EST_MAPPING=PRECISE</stp>
        <stp>FS=MRC</stp>
        <stp>CURRENCY=USD</stp>
        <stp>XLFILL=b</stp>
        <tr r="AI149" s="2"/>
      </tp>
      <tp t="s">
        <v/>
        <stp/>
        <stp>##V3_BQLV12</stp>
        <stp>[MODL_CRM_US1.xlsx]Single Period!R123C27</stp>
        <stp>CRM US Equity</stp>
        <stp>TOT_OPER_LEA_RT_OF_USE_ASSETS/1M</stp>
        <stp>FPR=2022Y</stp>
        <stp>FPT=A</stp>
        <stp>FA_ACT_EST_DATA=E, EST_SOURCE=LCM</stp>
        <stp>ACT_EST_MAPPING=PRECISE</stp>
        <stp>FS=MRC</stp>
        <stp>CURRENCY=USD</stp>
        <stp>XLFILL=b</stp>
        <tr r="AA123" s="2"/>
      </tp>
      <tp t="s">
        <v/>
        <stp/>
        <stp>##V3_BQLV12</stp>
        <stp>[MODL_CRM_US1.xlsx]Single Period!R65C52</stp>
        <stp>CRM US Equity</stp>
        <stp>IS_AMORT_OF_TOT_INTANG_PRETX/1M</stp>
        <stp>FPR=2022Y</stp>
        <stp>FPT=A</stp>
        <stp>FA_ACT_EST_DATA=E, EST_SOURCE=WFR</stp>
        <stp>ACT_EST_MAPPING=PRECISE</stp>
        <stp>FS=MRC</stp>
        <stp>CURRENCY=USD</stp>
        <stp>XLFILL=b</stp>
        <tr r="AZ65" s="2"/>
      </tp>
      <tp t="s">
        <v/>
        <stp/>
        <stp>##V3_BQLV12</stp>
        <stp>[MODL_CRM_US1.xlsx]Single Period!R38C42</stp>
        <stp>SEG0000269228 Segment</stp>
        <stp>SALES_REV_TURN/1M</stp>
        <stp>FPR=2022Y</stp>
        <stp>FPT=A</stp>
        <stp>FA_ACT_EST_DATA=E, EST_SOURCE=PSG</stp>
        <stp>ACT_EST_MAPPING=PRECISE</stp>
        <stp>FS=MRC</stp>
        <stp>CURRENCY=USD</stp>
        <stp>XLFILL=b</stp>
        <tr r="AP38" s="2"/>
      </tp>
      <tp t="s">
        <v/>
        <stp/>
        <stp>##V3_BQLV12</stp>
        <stp>[MODL_CRM_US1.xlsx]Single Period!R48C42</stp>
        <stp>SEG0000269229 Segment</stp>
        <stp>SALES_REV_TURN/1M</stp>
        <stp>FPR=2022Y</stp>
        <stp>FPT=A</stp>
        <stp>FA_ACT_EST_DATA=E, EST_SOURCE=PSG</stp>
        <stp>ACT_EST_MAPPING=PRECISE</stp>
        <stp>FS=MRC</stp>
        <stp>CURRENCY=USD</stp>
        <stp>XLFILL=b</stp>
        <tr r="AP48" s="2"/>
      </tp>
      <tp t="s">
        <v/>
        <stp/>
        <stp>##V3_BQLV12</stp>
        <stp>[MODL_CRM_US1.xlsx]Single Period!R149C42</stp>
        <stp>CRM US Equity</stp>
        <stp>TOT_FUTURE_REV_UNDER_CONTRACT/1M</stp>
        <stp>FPR=2022Y</stp>
        <stp>FPT=A</stp>
        <stp>FA_ACT_EST_DATA=E, EST_SOURCE=PSG</stp>
        <stp>ACT_EST_MAPPING=PRECISE</stp>
        <stp>FS=MRC</stp>
        <stp>CURRENCY=USD</stp>
        <stp>XLFILL=b</stp>
        <tr r="AP149" s="2"/>
      </tp>
      <tp t="s">
        <v/>
        <stp/>
        <stp>##V3_BQLV12</stp>
        <stp>[MODL_CRM_US1.xlsx]Single Period!R83C34</stp>
        <stp>CRM US Equity</stp>
        <stp>IS_OPEX_R_AND_D_GAAP/1M</stp>
        <stp>FPR=2022Y</stp>
        <stp>FPT=A</stp>
        <stp>FA_ACT_EST_DATA=E, EST_SOURCE=JEF</stp>
        <stp>ACT_EST_MAPPING=PRECISE</stp>
        <stp>FS=MRC</stp>
        <stp>CURRENCY=USD</stp>
        <stp>XLFILL=b</stp>
        <tr r="AH83" s="2"/>
      </tp>
      <tp t="s">
        <v/>
        <stp/>
        <stp>##V3_BQLV12</stp>
        <stp>[MODL_CRM_US1.xlsx]Single Period!R29C42</stp>
        <stp>SEG0000269233 Segment</stp>
        <stp>SALES_REV_TURN/1M</stp>
        <stp>FPR=2022Y</stp>
        <stp>FPT=A</stp>
        <stp>FA_ACT_EST_DATA=E, EST_SOURCE=PSG</stp>
        <stp>ACT_EST_MAPPING=PRECISE</stp>
        <stp>FS=MRC</stp>
        <stp>CURRENCY=USD</stp>
        <stp>XLFILL=b</stp>
        <tr r="AP29" s="2"/>
      </tp>
      <tp>
        <v>2909</v>
        <stp/>
        <stp>##V3_BQLV12</stp>
        <stp>[MODL_CRM_US1.xlsx]Single Period!R123C16</stp>
        <stp>CRM US Equity</stp>
        <stp>TOT_OPER_LEA_RT_OF_USE_ASSETS/1M</stp>
        <stp>FPR=2022Y</stp>
        <stp>FPT=A</stp>
        <stp>FA_ACT_EST_DATA=E, EST_SOURCE=DBG</stp>
        <stp>ACT_EST_MAPPING=PRECISE</stp>
        <stp>FS=MRC</stp>
        <stp>CURRENCY=USD</stp>
        <stp>XLFILL=b</stp>
        <tr r="P123" s="2"/>
      </tp>
      <tp t="s">
        <v/>
        <stp/>
        <stp>##V3_BQLV12</stp>
        <stp>[MODL_CRM_US1.xlsx]Single Period!R183C44</stp>
        <stp>CRM US Equity</stp>
        <stp>CASH_FLOW_PER_SH</stp>
        <stp>FPR=2022Y</stp>
        <stp>FPT=A</stp>
        <stp>FA_ACT_EST_DATA=E, EST_SOURCE=RWB</stp>
        <stp>ACT_EST_MAPPING=PRECISE</stp>
        <stp>FS=MRC</stp>
        <stp>CURRENCY=USD</stp>
        <stp>XLFILL=b</stp>
        <tr r="AR183" s="2"/>
      </tp>
      <tp t="s">
        <v>William Blair</v>
        <stp/>
        <stp>##V3_BQLV12</stp>
        <stp>[MODL_CRM_US1.xlsx]Single Period!R3C11</stp>
        <stp>CRM US Equity</stp>
        <stp>LAST(IS_COMP_SALES(FA_ACT_EST_DATA=E, EST_SOURCE=WBL).firm_name)</stp>
        <stp>FPR=2022Y</stp>
        <stp>FPT=A</stp>
        <stp>ACT_EST_MAPPING=PRECISE</stp>
        <stp>FS=MRC</stp>
        <stp>CURRENCY=USD</stp>
        <stp>XLFILL=b</stp>
        <tr r="K3" s="2"/>
      </tp>
      <tp t="s">
        <v>RBC Capital</v>
        <stp/>
        <stp>##V3_BQLV12</stp>
        <stp>[MODL_CRM_US1.xlsx]Single Period!R3C31</stp>
        <stp>CRM US Equity</stp>
        <stp>LAST(IS_COMP_SALES(FA_ACT_EST_DATA=E, EST_SOURCE=RBC).firm_name)</stp>
        <stp>FPR=2022Y</stp>
        <stp>FPT=A</stp>
        <stp>ACT_EST_MAPPING=PRECISE</stp>
        <stp>FS=MRC</stp>
        <stp>CURRENCY=USD</stp>
        <stp>XLFILL=b</stp>
        <tr r="AE3" s="2"/>
      </tp>
      <tp t="s">
        <v>Credit Suisse</v>
        <stp/>
        <stp>##V3_BQLV12</stp>
        <stp>[MODL_CRM_US1.xlsx]Single Period!R3C24</stp>
        <stp>CRM US Equity</stp>
        <stp>LAST(IS_COMP_SALES(FA_ACT_EST_DATA=E, EST_SOURCE=FBC).firm_name)</stp>
        <stp>FPR=2022Y</stp>
        <stp>FPT=A</stp>
        <stp>ACT_EST_MAPPING=PRECISE</stp>
        <stp>FS=MRC</stp>
        <stp>CURRENCY=USD</stp>
        <stp>XLFILL=b</stp>
        <tr r="X3" s="2"/>
      </tp>
      <tp t="s">
        <v>Deutsche Bank</v>
        <stp/>
        <stp>##V3_BQLV12</stp>
        <stp>[MODL_CRM_US1.xlsx]Single Period!R3C16</stp>
        <stp>CRM US Equity</stp>
        <stp>LAST(IS_COMP_SALES(FA_ACT_EST_DATA=E, EST_SOURCE=DBG).firm_name)</stp>
        <stp>FPR=2022Y</stp>
        <stp>FPT=A</stp>
        <stp>ACT_EST_MAPPING=PRECISE</stp>
        <stp>FS=MRC</stp>
        <stp>CURRENCY=USD</stp>
        <stp>XLFILL=b</stp>
        <tr r="P3" s="2"/>
      </tp>
      <tp t="s">
        <v/>
        <stp/>
        <stp>##V3_BQLV12</stp>
        <stp>[MODL_CRM_US1.xlsx]Single Period!R183C23</stp>
        <stp>CRM US Equity</stp>
        <stp>CASH_FLOW_PER_SH</stp>
        <stp>FPR=2022Y</stp>
        <stp>FPT=A</stp>
        <stp>FA_ACT_EST_DATA=E, EST_SOURCE=JPM</stp>
        <stp>ACT_EST_MAPPING=PRECISE</stp>
        <stp>FS=MRC</stp>
        <stp>CURRENCY=USD</stp>
        <stp>XLFILL=b</stp>
        <tr r="W183" s="2"/>
      </tp>
      <tp t="s">
        <v>UBS</v>
        <stp/>
        <stp>##V3_BQLV12</stp>
        <stp>[MODL_CRM_US1.xlsx]Single Period!R3C32</stp>
        <stp>CRM US Equity</stp>
        <stp>LAST(IS_COMP_SALES(FA_ACT_EST_DATA=E, EST_SOURCE=UBS).firm_name)</stp>
        <stp>FPR=2022Y</stp>
        <stp>FPT=A</stp>
        <stp>ACT_EST_MAPPING=PRECISE</stp>
        <stp>FS=MRC</stp>
        <stp>CURRENCY=USD</stp>
        <stp>XLFILL=b</stp>
        <tr r="AF3" s="2"/>
      </tp>
      <tp t="s">
        <v/>
        <stp/>
        <stp>##V3_BQLV12</stp>
        <stp>[MODL_CRM_US1.xlsx]Single Period!R88C10</stp>
        <stp>CRM US Equity</stp>
        <stp>OPER_INC_TO_NET_SALES</stp>
        <stp>FPR=2022Y</stp>
        <stp>FPT=A</stp>
        <stp>FA_ACT_EST_DATA=E, EST_SOURCE=CMPY</stp>
        <stp>ACT_EST_MAPPING=PRECISE</stp>
        <stp>FS=MRC</stp>
        <stp>CURRENCY=USD</stp>
        <stp>XLFILL=b</stp>
        <tr r="J88" s="2"/>
      </tp>
      <tp t="s">
        <v/>
        <stp/>
        <stp>##V3_BQLV12</stp>
        <stp>[MODL_CRM_US1.xlsx]Single Period!R166C44</stp>
        <stp>CRM US Equity</stp>
        <stp>CF_CHANGE_IN_OPER_LEASE_LIBLTS/1M</stp>
        <stp>FPR=2022Y</stp>
        <stp>FPT=A</stp>
        <stp>FA_ACT_EST_DATA=E, EST_SOURCE=RWB</stp>
        <stp>ACT_EST_MAPPING=PRECISE</stp>
        <stp>FS=MRC</stp>
        <stp>CURRENCY=USD</stp>
        <stp>XLFILL=b</stp>
        <tr r="AR166" s="2"/>
      </tp>
      <tp t="s">
        <v/>
        <stp/>
        <stp>##V3_BQLV12</stp>
        <stp>[MODL_CRM_US1.xlsx]Single Period!R112C47</stp>
        <stp>CRM US Equity</stp>
        <stp>BS_CASH_NEAR_CASH_ITEM/1M</stp>
        <stp>FPR=2022Y</stp>
        <stp>FPT=A</stp>
        <stp>FA_ACT_EST_DATA=E, EST_SOURCE=WFT</stp>
        <stp>ACT_EST_MAPPING=PRECISE</stp>
        <stp>FS=MRC</stp>
        <stp>CURRENCY=USD</stp>
        <stp>XLFILL=b</stp>
        <tr r="AU112" s="2"/>
      </tp>
      <tp t="s">
        <v/>
        <stp/>
        <stp>##V3_BQLV12</stp>
        <stp>[MODL_CRM_US1.xlsx]Single Period!R166C43</stp>
        <stp>CRM US Equity</stp>
        <stp>CF_CHANGE_IN_OPER_LEASE_LIBLTS/1M</stp>
        <stp>FPR=2022Y</stp>
        <stp>FPT=A</stp>
        <stp>FA_ACT_EST_DATA=E, EST_SOURCE=DWI</stp>
        <stp>ACT_EST_MAPPING=PRECISE</stp>
        <stp>FS=MRC</stp>
        <stp>CURRENCY=USD</stp>
        <stp>XLFILL=b</stp>
        <tr r="AQ166" s="2"/>
      </tp>
      <tp>
        <v>1.28</v>
        <stp/>
        <stp>##V3_BQLV12</stp>
        <stp>[MODL_CRM_US1.xlsx]Single Period!R95C20</stp>
        <stp>CRM US Equity</stp>
        <stp>IS_COMP_EPS_GAAP</stp>
        <stp>FPR=2022Y</stp>
        <stp>FPT=A</stp>
        <stp>FA_ACT_EST_DATA=E, EST_SOURCE=JMP</stp>
        <stp>ACT_EST_MAPPING=PRECISE</stp>
        <stp>FS=MRC</stp>
        <stp>CURRENCY=USD</stp>
        <stp>XLFILL=b</stp>
        <tr r="T95" s="2"/>
      </tp>
      <tp t="s">
        <v/>
        <stp/>
        <stp>##V3_BQLV12</stp>
        <stp>[MODL_CRM_US1.xlsx]Single Period!R112C52</stp>
        <stp>CRM US Equity</stp>
        <stp>BS_CASH_NEAR_CASH_ITEM/1M</stp>
        <stp>FPR=2022Y</stp>
        <stp>FPT=A</stp>
        <stp>FA_ACT_EST_DATA=E, EST_SOURCE=WFR</stp>
        <stp>ACT_EST_MAPPING=PRECISE</stp>
        <stp>FS=MRC</stp>
        <stp>CURRENCY=USD</stp>
        <stp>XLFILL=b</stp>
        <tr r="AZ112" s="2"/>
      </tp>
      <tp t="s">
        <v/>
        <stp/>
        <stp>##V3_BQLV12</stp>
        <stp>[MODL_CRM_US1.xlsx]Single Period!R166C28</stp>
        <stp>CRM US Equity</stp>
        <stp>CF_CHANGE_IN_OPER_LEASE_LIBLTS/1M</stp>
        <stp>FPR=2022Y</stp>
        <stp>FPT=A</stp>
        <stp>FA_ACT_EST_DATA=E, EST_SOURCE=CWN</stp>
        <stp>ACT_EST_MAPPING=PRECISE</stp>
        <stp>FS=MRC</stp>
        <stp>CURRENCY=USD</stp>
        <stp>XLFILL=b</stp>
        <tr r="AB166" s="2"/>
      </tp>
      <tp>
        <v>953.5</v>
        <stp/>
        <stp>##V3_BQLV12</stp>
        <stp>[MODL_CRM_US1.xlsx]Single Period!R93C6</stp>
        <stp>CRM US Equity</stp>
        <stp>CONTRIBUTOR_STATS(IS_AVG_NUM_SH_FOR_EPS, MIN)/1M</stp>
        <stp>FPR=2022Y</stp>
        <stp>FPT=A</stp>
        <stp>FA_ACT_EST_DATA=E</stp>
        <stp>ACT_EST_MAPPING=PRECISE</stp>
        <stp>FS=MRC</stp>
        <stp>CURRENCY=USD</stp>
        <stp>XLFILL=b</stp>
        <tr r="F93" s="2"/>
      </tp>
      <tp>
        <v>26396</v>
        <stp/>
        <stp>##V3_BQLV12</stp>
        <stp>[MODL_CRM_US1.xlsx]Single Period!R52C31</stp>
        <stp>CRM US Equity</stp>
        <stp>IS_COMP_SALES/1M</stp>
        <stp>FPR=2022Y</stp>
        <stp>FPT=A</stp>
        <stp>FA_ACT_EST_DATA=E, EST_SOURCE=RBC</stp>
        <stp>ACT_EST_MAPPING=PRECISE</stp>
        <stp>FS=MRC</stp>
        <stp>CURRENCY=USD</stp>
        <stp>XLFILL=b</stp>
        <tr r="AE52" s="2"/>
      </tp>
      <tp>
        <v>26391</v>
        <stp/>
        <stp>##V3_BQLV12</stp>
        <stp>[MODL_CRM_US1.xlsx]Single Period!R52C40</stp>
        <stp>CRM US Equity</stp>
        <stp>IS_COMP_SALES/1M</stp>
        <stp>FPR=2022Y</stp>
        <stp>FPT=A</stp>
        <stp>FA_ACT_EST_DATA=E, EST_SOURCE=ACC</stp>
        <stp>ACT_EST_MAPPING=PRECISE</stp>
        <stp>FS=MRC</stp>
        <stp>CURRENCY=USD</stp>
        <stp>XLFILL=b</stp>
        <tr r="AN52" s="2"/>
      </tp>
      <tp t="s">
        <v/>
        <stp/>
        <stp>##V3_BQLV12</stp>
        <stp>[MODL_CRM_US1.xlsx]Single Period!R137C49</stp>
        <stp>CRM US Equity</stp>
        <stp>BS_EQTY_BEFORE_MINORITY_INT/1M</stp>
        <stp>FPR=2022Y</stp>
        <stp>FPT=A</stp>
        <stp>FA_ACT_EST_DATA=E, EST_SOURCE=SGE</stp>
        <stp>ACT_EST_MAPPING=PRECISE</stp>
        <stp>FS=MRC</stp>
        <stp>CURRENCY=USD</stp>
        <stp>XLFILL=b</stp>
        <tr r="AW137" s="2"/>
      </tp>
      <tp t="s">
        <v/>
        <stp/>
        <stp>##V3_BQLV12</stp>
        <stp>[MODL_CRM_US1.xlsx]Single Period!R94C34</stp>
        <stp>CRM US Equity</stp>
        <stp>IS_SH_FOR_DILUTED_EPS/1M</stp>
        <stp>FPR=2022Y</stp>
        <stp>FPT=A</stp>
        <stp>FA_ACT_EST_DATA=E, EST_SOURCE=JEF</stp>
        <stp>ACT_EST_MAPPING=PRECISE</stp>
        <stp>FS=MRC</stp>
        <stp>CURRENCY=USD</stp>
        <stp>XLFILL=b</stp>
        <tr r="AH94" s="2"/>
      </tp>
      <tp t="s">
        <v/>
        <stp/>
        <stp>##V3_BQLV12</stp>
        <stp>[MODL_CRM_US1.xlsx]Single Period!R130C45</stp>
        <stp>CRM US Equity</stp>
        <stp>BS_ST_OPERATING_LEASE_LIABS/1M</stp>
        <stp>FPR=2022Y</stp>
        <stp>FPT=A</stp>
        <stp>FA_ACT_EST_DATA=E, EST_SOURCE=ARG</stp>
        <stp>ACT_EST_MAPPING=PRECISE</stp>
        <stp>FS=MRC</stp>
        <stp>CURRENCY=USD</stp>
        <stp>XLFILL=b</stp>
        <tr r="AS130" s="2"/>
      </tp>
      <tp t="s">
        <v/>
        <stp/>
        <stp>##V3_BQLV12</stp>
        <stp>[MODL_CRM_US1.xlsx]Single Period!R122C25</stp>
        <stp>CRM US Equity</stp>
        <stp>BS_GOODWILL/1M</stp>
        <stp>FPR=2022Y</stp>
        <stp>FPT=A</stp>
        <stp>FA_ACT_EST_DATA=E, EST_SOURCE=WMS</stp>
        <stp>ACT_EST_MAPPING=PRECISE</stp>
        <stp>FS=MRC</stp>
        <stp>CURRENCY=USD</stp>
        <stp>XLFILL=b</stp>
        <tr r="Y122" s="2"/>
      </tp>
      <tp t="s">
        <v/>
        <stp/>
        <stp>##V3_BQLV12</stp>
        <stp>[MODL_CRM_US1.xlsx]Single Period!R146C11</stp>
        <stp>CRM US Equity</stp>
        <stp>CUR_RATIO</stp>
        <stp>FPR=2022Y</stp>
        <stp>FPT=A</stp>
        <stp>FA_ACT_EST_DATA=E, EST_SOURCE=WBL</stp>
        <stp>ACT_EST_MAPPING=PRECISE</stp>
        <stp>FS=MRC</stp>
        <stp>CURRENCY=USD</stp>
        <stp>XLFILL=b</stp>
        <tr r="K146" s="2"/>
      </tp>
      <tp t="s">
        <v/>
        <stp/>
        <stp>##V3_BQLV12</stp>
        <stp>[MODL_CRM_US1.xlsx]Single Period!R93C19</stp>
        <stp>CRM US Equity</stp>
        <stp>IS_AVG_NUM_SH_FOR_EPS/1M</stp>
        <stp>FPR=2022Y</stp>
        <stp>FPT=A</stp>
        <stp>FA_ACT_EST_DATA=E, EST_SOURCE=SCB</stp>
        <stp>ACT_EST_MAPPING=PRECISE</stp>
        <stp>FS=MRC</stp>
        <stp>CURRENCY=USD</stp>
        <stp>XLFILL=b</stp>
        <tr r="S93" s="2"/>
      </tp>
      <tp t="s">
        <v/>
        <stp/>
        <stp>##V3_BQLV12</stp>
        <stp>[MODL_CRM_US1.xlsx]Single Period!R85C47</stp>
        <stp>CRM US Equity</stp>
        <stp>CB_IS_S_AND_M_EXPENSE/1M</stp>
        <stp>FPR=2022Y</stp>
        <stp>FPT=A</stp>
        <stp>FA_ACT_EST_DATA=E, EST_SOURCE=WFT</stp>
        <stp>ACT_EST_MAPPING=PRECISE</stp>
        <stp>FS=MRC</stp>
        <stp>CURRENCY=USD</stp>
        <stp>XLFILL=b</stp>
        <tr r="AU85" s="2"/>
      </tp>
      <tp t="s">
        <v/>
        <stp/>
        <stp>##V3_BQLV12</stp>
        <stp>[MODL_CRM_US1.xlsx]Single Period!R130C54</stp>
        <stp>CRM US Equity</stp>
        <stp>BS_ST_OPERATING_LEASE_LIABS/1M</stp>
        <stp>FPR=2022Y</stp>
        <stp>FPT=A</stp>
        <stp>FA_ACT_EST_DATA=E, EST_SOURCE=ARE</stp>
        <stp>ACT_EST_MAPPING=PRECISE</stp>
        <stp>FS=MRC</stp>
        <stp>CURRENCY=USD</stp>
        <stp>XLFILL=b</stp>
        <tr r="BB130" s="2"/>
      </tp>
      <tp t="s">
        <v/>
        <stp/>
        <stp>##V3_BQLV12</stp>
        <stp>[MODL_CRM_US1.xlsx]Single Period!R122C20</stp>
        <stp>CRM US Equity</stp>
        <stp>BS_GOODWILL/1M</stp>
        <stp>FPR=2022Y</stp>
        <stp>FPT=A</stp>
        <stp>FA_ACT_EST_DATA=E, EST_SOURCE=JMP</stp>
        <stp>ACT_EST_MAPPING=PRECISE</stp>
        <stp>FS=MRC</stp>
        <stp>CURRENCY=USD</stp>
        <stp>XLFILL=b</stp>
        <tr r="T122" s="2"/>
      </tp>
      <tp t="s">
        <v/>
        <stp/>
        <stp>##V3_BQLV12</stp>
        <stp>[MODL_CRM_US1.xlsx]Single Period!R110C14</stp>
        <stp>CRM US Equity</stp>
        <stp>BS_CUR_ASSET_REPORT/1M</stp>
        <stp>FPR=2022Y</stp>
        <stp>FPT=A</stp>
        <stp>FA_ACT_EST_DATA=E, EST_SOURCE=SNR</stp>
        <stp>ACT_EST_MAPPING=PRECISE</stp>
        <stp>FS=MRC</stp>
        <stp>CURRENCY=USD</stp>
        <stp>XLFILL=b</stp>
        <tr r="N110" s="2"/>
      </tp>
      <tp t="s">
        <v/>
        <stp/>
        <stp>##V3_BQLV12</stp>
        <stp>[MODL_CRM_US1.xlsx]Single Period!R132C46</stp>
        <stp>CRM US Equity</stp>
        <stp>BS_ADJ_TOTAL_LT_LIABILITIES/1M</stp>
        <stp>FPR=2022Y</stp>
        <stp>FPT=A</stp>
        <stp>FA_ACT_EST_DATA=E, EST_SOURCE=CTI</stp>
        <stp>ACT_EST_MAPPING=PRECISE</stp>
        <stp>FS=MRC</stp>
        <stp>CURRENCY=USD</stp>
        <stp>XLFILL=b</stp>
        <tr r="AT132" s="2"/>
      </tp>
      <tp>
        <v>26395</v>
        <stp/>
        <stp>##V3_BQLV12</stp>
        <stp>[MODL_CRM_US1.xlsx]Single Period!R52C17</stp>
        <stp>CRM US Equity</stp>
        <stp>IS_COMP_SALES/1M</stp>
        <stp>FPR=2022Y</stp>
        <stp>FPT=A</stp>
        <stp>FA_ACT_EST_DATA=E, EST_SOURCE=NDH</stp>
        <stp>ACT_EST_MAPPING=PRECISE</stp>
        <stp>FS=MRC</stp>
        <stp>CURRENCY=USD</stp>
        <stp>XLFILL=b</stp>
        <tr r="Q52" s="2"/>
      </tp>
      <tp t="s">
        <v/>
        <stp/>
        <stp>##V3_BQLV12</stp>
        <stp>[MODL_CRM_US1.xlsx]Single Period!R73C12</stp>
        <stp>CRM US Equity</stp>
        <stp>IS_SH_FOR_DILUTED_EPS/1M</stp>
        <stp>FPR=2022Y</stp>
        <stp>FPT=A</stp>
        <stp>FA_ACT_EST_DATA=E, EST_SOURCE=BMO</stp>
        <stp>ACT_EST_MAPPING=PRECISE</stp>
        <stp>FS=MRC</stp>
        <stp>CURRENCY=USD</stp>
        <stp>XLFILL=b</stp>
        <tr r="L73" s="2"/>
      </tp>
      <tp t="s">
        <v/>
        <stp/>
        <stp>##V3_BQLV12</stp>
        <stp>[MODL_CRM_US1.xlsx]Single Period!R132C35</stp>
        <stp>CRM US Equity</stp>
        <stp>BS_ADJ_TOTAL_LT_LIABILITIES/1M</stp>
        <stp>FPR=2022Y</stp>
        <stp>FPT=A</stp>
        <stp>FA_ACT_EST_DATA=E, EST_SOURCE=ATL</stp>
        <stp>ACT_EST_MAPPING=PRECISE</stp>
        <stp>FS=MRC</stp>
        <stp>CURRENCY=USD</stp>
        <stp>XLFILL=b</stp>
        <tr r="AI132" s="2"/>
      </tp>
      <tp t="s">
        <v/>
        <stp/>
        <stp>##V3_BQLV12</stp>
        <stp>[MODL_CRM_US1.xlsx]Single Period!R110C29</stp>
        <stp>CRM US Equity</stp>
        <stp>BS_CUR_ASSET_REPORT/1M</stp>
        <stp>FPR=2022Y</stp>
        <stp>FPT=A</stp>
        <stp>FA_ACT_EST_DATA=E, EST_SOURCE=BNS</stp>
        <stp>ACT_EST_MAPPING=PRECISE</stp>
        <stp>FS=MRC</stp>
        <stp>CURRENCY=USD</stp>
        <stp>XLFILL=b</stp>
        <tr r="AC110" s="2"/>
      </tp>
      <tp>
        <v>1.0469290683902923</v>
        <stp/>
        <stp>##V3_BQLV12</stp>
        <stp>[MODL_CRM_US1.xlsx]Single Period!R146C24</stp>
        <stp>CRM US Equity</stp>
        <stp>CUR_RATIO</stp>
        <stp>FPR=2022Y</stp>
        <stp>FPT=A</stp>
        <stp>FA_ACT_EST_DATA=E, EST_SOURCE=FBC</stp>
        <stp>ACT_EST_MAPPING=PRECISE</stp>
        <stp>FS=MRC</stp>
        <stp>CURRENCY=USD</stp>
        <stp>XLFILL=b</stp>
        <tr r="X146" s="2"/>
      </tp>
      <tp t="s">
        <v/>
        <stp/>
        <stp>##V3_BQLV12</stp>
        <stp>[MODL_CRM_US1.xlsx]Single Period!R146C31</stp>
        <stp>CRM US Equity</stp>
        <stp>CUR_RATIO</stp>
        <stp>FPR=2022Y</stp>
        <stp>FPT=A</stp>
        <stp>FA_ACT_EST_DATA=E, EST_SOURCE=RBC</stp>
        <stp>ACT_EST_MAPPING=PRECISE</stp>
        <stp>FS=MRC</stp>
        <stp>CURRENCY=USD</stp>
        <stp>XLFILL=b</stp>
        <tr r="AE146" s="2"/>
      </tp>
      <tp t="s">
        <v/>
        <stp/>
        <stp>##V3_BQLV12</stp>
        <stp>[MODL_CRM_US1.xlsx]Single Period!R137C39</stp>
        <stp>CRM US Equity</stp>
        <stp>BS_EQTY_BEFORE_MINORITY_INT/1M</stp>
        <stp>FPR=2022Y</stp>
        <stp>FPT=A</stp>
        <stp>FA_ACT_EST_DATA=E, EST_SOURCE=KGI</stp>
        <stp>ACT_EST_MAPPING=PRECISE</stp>
        <stp>FS=MRC</stp>
        <stp>CURRENCY=USD</stp>
        <stp>XLFILL=b</stp>
        <tr r="AM137" s="2"/>
      </tp>
      <tp t="s">
        <v/>
        <stp/>
        <stp>##V3_BQLV12</stp>
        <stp>[MODL_CRM_US1.xlsx]Single Period!R68C56</stp>
        <stp>CRM US Equity</stp>
        <stp>IS_COMP_PTP_EX_STK_BASED_COMP/1M</stp>
        <stp>FPR=2022Y</stp>
        <stp>FPT=A</stp>
        <stp>FA_ACT_EST_DATA=E, EST_SOURCE=DIR</stp>
        <stp>ACT_EST_MAPPING=PRECISE</stp>
        <stp>FS=MRC</stp>
        <stp>CURRENCY=USD</stp>
        <stp>XLFILL=b</stp>
        <tr r="BD68" s="2"/>
      </tp>
      <tp t="s">
        <v/>
        <stp/>
        <stp>##V3_BQLV12</stp>
        <stp>[MODL_CRM_US1.xlsx]Single Period!R98C32</stp>
        <stp>CRM US Equity</stp>
        <stp>IS_INC_TAX_EFFECT_NONGAAP_REC/1M</stp>
        <stp>FPR=2022Y</stp>
        <stp>FPT=A</stp>
        <stp>FA_ACT_EST_DATA=E, EST_SOURCE=UBS</stp>
        <stp>ACT_EST_MAPPING=PRECISE</stp>
        <stp>FS=MRC</stp>
        <stp>CURRENCY=USD</stp>
        <stp>XLFILL=b</stp>
        <tr r="AF98" s="2"/>
      </tp>
      <tp t="s">
        <v/>
        <stp/>
        <stp>##V3_BQLV12</stp>
        <stp>[MODL_CRM_US1.xlsx]Single Period!R162C45</stp>
        <stp>CRM US Equity</stp>
        <stp>CF_CHANGE_IN_PREPAID_EXPNSS/1M</stp>
        <stp>FPR=2022Y</stp>
        <stp>FPT=A</stp>
        <stp>FA_ACT_EST_DATA=E, EST_SOURCE=ARG</stp>
        <stp>ACT_EST_MAPPING=PRECISE</stp>
        <stp>FS=MRC</stp>
        <stp>CURRENCY=USD</stp>
        <stp>XLFILL=b</stp>
        <tr r="AS162" s="2"/>
      </tp>
      <tp t="s">
        <v/>
        <stp/>
        <stp>##V3_BQLV12</stp>
        <stp>[MODL_CRM_US1.xlsx]Single Period!R117C22</stp>
        <stp>CRM US Equity</stp>
        <stp>BS_TOTAL_NON_CURRENT_ASSETS/1M</stp>
        <stp>FPR=2022Y</stp>
        <stp>FPT=A</stp>
        <stp>FA_ACT_EST_DATA=E, EST_SOURCE=OPY</stp>
        <stp>ACT_EST_MAPPING=PRECISE</stp>
        <stp>FS=MRC</stp>
        <stp>CURRENCY=USD</stp>
        <stp>XLFILL=b</stp>
        <tr r="V117" s="2"/>
      </tp>
      <tp t="s">
        <v/>
        <stp/>
        <stp>##V3_BQLV12</stp>
        <stp>[MODL_CRM_US1.xlsx]Single Period!R93C53</stp>
        <stp>CRM US Equity</stp>
        <stp>IS_AVG_NUM_SH_FOR_EPS/1M</stp>
        <stp>FPR=2022Y</stp>
        <stp>FPT=A</stp>
        <stp>FA_ACT_EST_DATA=E, EST_SOURCE=NIK</stp>
        <stp>ACT_EST_MAPPING=PRECISE</stp>
        <stp>FS=MRC</stp>
        <stp>CURRENCY=USD</stp>
        <stp>XLFILL=b</stp>
        <tr r="BA93" s="2"/>
      </tp>
      <tp>
        <v>26394</v>
        <stp/>
        <stp>##V3_BQLV12</stp>
        <stp>[MODL_CRM_US1.xlsx]Single Period!R52C11</stp>
        <stp>CRM US Equity</stp>
        <stp>IS_COMP_SALES/1M</stp>
        <stp>FPR=2022Y</stp>
        <stp>FPT=A</stp>
        <stp>FA_ACT_EST_DATA=E, EST_SOURCE=WBL</stp>
        <stp>ACT_EST_MAPPING=PRECISE</stp>
        <stp>FS=MRC</stp>
        <stp>CURRENCY=USD</stp>
        <stp>XLFILL=b</stp>
        <tr r="K52" s="2"/>
      </tp>
      <tp t="s">
        <v/>
        <stp/>
        <stp>##V3_BQLV12</stp>
        <stp>[MODL_CRM_US1.xlsx]Single Period!R162C54</stp>
        <stp>CRM US Equity</stp>
        <stp>CF_CHANGE_IN_PREPAID_EXPNSS/1M</stp>
        <stp>FPR=2022Y</stp>
        <stp>FPT=A</stp>
        <stp>FA_ACT_EST_DATA=E, EST_SOURCE=ARE</stp>
        <stp>ACT_EST_MAPPING=PRECISE</stp>
        <stp>FS=MRC</stp>
        <stp>CURRENCY=USD</stp>
        <stp>XLFILL=b</stp>
        <tr r="BB162" s="2"/>
      </tp>
      <tp>
        <v>1.0683064387282963</v>
        <stp/>
        <stp>##V3_BQLV12</stp>
        <stp>[MODL_CRM_US1.xlsx]Single Period!R146C16</stp>
        <stp>CRM US Equity</stp>
        <stp>CUR_RATIO</stp>
        <stp>FPR=2022Y</stp>
        <stp>FPT=A</stp>
        <stp>FA_ACT_EST_DATA=E, EST_SOURCE=DBG</stp>
        <stp>ACT_EST_MAPPING=PRECISE</stp>
        <stp>FS=MRC</stp>
        <stp>CURRENCY=USD</stp>
        <stp>XLFILL=b</stp>
        <tr r="P146" s="2"/>
      </tp>
      <tp t="s">
        <v/>
        <stp/>
        <stp>##V3_BQLV12</stp>
        <stp>[MODL_CRM_US1.xlsx]Single Period!R94C30</stp>
        <stp>CRM US Equity</stp>
        <stp>IS_SH_FOR_DILUTED_EPS/1M</stp>
        <stp>FPR=2022Y</stp>
        <stp>FPT=A</stp>
        <stp>FA_ACT_EST_DATA=E, EST_SOURCE=BAM</stp>
        <stp>ACT_EST_MAPPING=PRECISE</stp>
        <stp>FS=MRC</stp>
        <stp>CURRENCY=USD</stp>
        <stp>XLFILL=b</stp>
        <tr r="AD94" s="2"/>
      </tp>
      <tp>
        <v>5829</v>
        <stp/>
        <stp>##V3_BQLV12</stp>
        <stp>[MODL_CRM_US1.xlsx]Single Period!R68C12</stp>
        <stp>CRM US Equity</stp>
        <stp>IS_COMP_PTP_EX_STK_BASED_COMP/1M</stp>
        <stp>FPR=2022Y</stp>
        <stp>FPT=A</stp>
        <stp>FA_ACT_EST_DATA=E, EST_SOURCE=BMO</stp>
        <stp>ACT_EST_MAPPING=PRECISE</stp>
        <stp>FS=MRC</stp>
        <stp>CURRENCY=USD</stp>
        <stp>XLFILL=b</stp>
        <tr r="L68" s="2"/>
      </tp>
      <tp t="s">
        <v/>
        <stp/>
        <stp>##V3_BQLV12</stp>
        <stp>[MODL_CRM_US1.xlsx]Single Period!R14C18</stp>
        <stp>CRM US Equity</stp>
        <stp>NON_CURRENT_FUTURE_REV_UNDER_CONTRACT/1M</stp>
        <stp>FPR=2022Y</stp>
        <stp>FPT=A</stp>
        <stp>FA_ACT_EST_DATA=E, EST_SOURCE=CAN</stp>
        <stp>ACT_EST_MAPPING=PRECISE</stp>
        <stp>FS=MRC</stp>
        <stp>CURRENCY=USD</stp>
        <stp>XLFILL=b</stp>
        <tr r="R14" s="2"/>
      </tp>
      <tp t="s">
        <v/>
        <stp/>
        <stp>##V3_BQLV12</stp>
        <stp>[MODL_CRM_US1.xlsx]Single Period!R114C45</stp>
        <stp>CRM US Equity</stp>
        <stp>BS_ACCTS_REC_EXCL_NOTES_REC/1M</stp>
        <stp>FPR=2022Y</stp>
        <stp>FPT=A</stp>
        <stp>FA_ACT_EST_DATA=E, EST_SOURCE=ARG</stp>
        <stp>ACT_EST_MAPPING=PRECISE</stp>
        <stp>FS=MRC</stp>
        <stp>CURRENCY=USD</stp>
        <stp>XLFILL=b</stp>
        <tr r="AS114" s="2"/>
      </tp>
      <tp t="s">
        <v/>
        <stp/>
        <stp>##V3_BQLV12</stp>
        <stp>[MODL_CRM_US1.xlsx]Single Period!R85C34</stp>
        <stp>CRM US Equity</stp>
        <stp>CB_IS_S_AND_M_EXPENSE/1M</stp>
        <stp>FPR=2022Y</stp>
        <stp>FPT=A</stp>
        <stp>FA_ACT_EST_DATA=E, EST_SOURCE=JEF</stp>
        <stp>ACT_EST_MAPPING=PRECISE</stp>
        <stp>FS=MRC</stp>
        <stp>CURRENCY=USD</stp>
        <stp>XLFILL=b</stp>
        <tr r="AH85" s="2"/>
      </tp>
      <tp t="s">
        <v/>
        <stp/>
        <stp>##V3_BQLV12</stp>
        <stp>[MODL_CRM_US1.xlsx]Single Period!R94C47</stp>
        <stp>CRM US Equity</stp>
        <stp>IS_SH_FOR_DILUTED_EPS/1M</stp>
        <stp>FPR=2022Y</stp>
        <stp>FPT=A</stp>
        <stp>FA_ACT_EST_DATA=E, EST_SOURCE=WFT</stp>
        <stp>ACT_EST_MAPPING=PRECISE</stp>
        <stp>FS=MRC</stp>
        <stp>CURRENCY=USD</stp>
        <stp>XLFILL=b</stp>
        <tr r="AU94" s="2"/>
      </tp>
      <tp>
        <v>3160.2068607347987</v>
        <stp/>
        <stp>##V3_BQLV12</stp>
        <stp>[MODL_CRM_US1.xlsx]Single Period!R63C5</stp>
        <stp>CRM US Equity</stp>
        <stp>CF_DEPR_AMORT/1M</stp>
        <stp>FPR=2022Y</stp>
        <stp>FPT=A</stp>
        <stp>FA_ACT_EST_DATA=E</stp>
        <stp>ACT_EST_MAPPING=PRECISE</stp>
        <stp>FS=MRC</stp>
        <stp>CURRENCY=USD</stp>
        <stp>XLFILL=b</stp>
        <tr r="E63" s="2"/>
      </tp>
      <tp t="s">
        <v/>
        <stp/>
        <stp>##V3_BQLV12</stp>
        <stp>[MODL_CRM_US1.xlsx]Single Period!R93C14</stp>
        <stp>CRM US Equity</stp>
        <stp>IS_AVG_NUM_SH_FOR_EPS/1M</stp>
        <stp>FPR=2022Y</stp>
        <stp>FPT=A</stp>
        <stp>FA_ACT_EST_DATA=E, EST_SOURCE=SNR</stp>
        <stp>ACT_EST_MAPPING=PRECISE</stp>
        <stp>FS=MRC</stp>
        <stp>CURRENCY=USD</stp>
        <stp>XLFILL=b</stp>
        <tr r="N93" s="2"/>
      </tp>
      <tp t="s">
        <v/>
        <stp/>
        <stp>##V3_BQLV12</stp>
        <stp>[MODL_CRM_US1.xlsx]Single Period!R73C56</stp>
        <stp>CRM US Equity</stp>
        <stp>IS_SH_FOR_DILUTED_EPS/1M</stp>
        <stp>FPR=2022Y</stp>
        <stp>FPT=A</stp>
        <stp>FA_ACT_EST_DATA=E, EST_SOURCE=DIR</stp>
        <stp>ACT_EST_MAPPING=PRECISE</stp>
        <stp>FS=MRC</stp>
        <stp>CURRENCY=USD</stp>
        <stp>XLFILL=b</stp>
        <tr r="BD73" s="2"/>
      </tp>
      <tp t="s">
        <v/>
        <stp/>
        <stp>##V3_BQLV12</stp>
        <stp>[MODL_CRM_US1.xlsx]Single Period!R102C50</stp>
        <stp>CRM US Equity</stp>
        <stp>IS_SBC_ATT_TO_S_AND_M_PRETX/1M</stp>
        <stp>FPR=2022Y</stp>
        <stp>FPT=A</stp>
        <stp>FA_ACT_EST_DATA=E, EST_SOURCE=MZS</stp>
        <stp>ACT_EST_MAPPING=PRECISE</stp>
        <stp>FS=MRC</stp>
        <stp>CURRENCY=USD</stp>
        <stp>XLFILL=b</stp>
        <tr r="AX102" s="2"/>
      </tp>
      <tp t="s">
        <v/>
        <stp/>
        <stp>##V3_BQLV12</stp>
        <stp>[MODL_CRM_US1.xlsx]Single Period!R131C44</stp>
        <stp>CRM US Equity</stp>
        <stp>ST_DEFERRED_REVENUE/1M</stp>
        <stp>FPR=2022Y</stp>
        <stp>FPT=A</stp>
        <stp>FA_ACT_EST_DATA=E, EST_SOURCE=RWB</stp>
        <stp>ACT_EST_MAPPING=PRECISE</stp>
        <stp>FS=MRC</stp>
        <stp>CURRENCY=USD</stp>
        <stp>XLFILL=b</stp>
        <tr r="AR131" s="2"/>
      </tp>
      <tp t="s">
        <v/>
        <stp/>
        <stp>##V3_BQLV12</stp>
        <stp>[MODL_CRM_US1.xlsx]Single Period!R114C54</stp>
        <stp>CRM US Equity</stp>
        <stp>BS_ACCTS_REC_EXCL_NOTES_REC/1M</stp>
        <stp>FPR=2022Y</stp>
        <stp>FPT=A</stp>
        <stp>FA_ACT_EST_DATA=E, EST_SOURCE=ARE</stp>
        <stp>ACT_EST_MAPPING=PRECISE</stp>
        <stp>FS=MRC</stp>
        <stp>CURRENCY=USD</stp>
        <stp>XLFILL=b</stp>
        <tr r="BB114" s="2"/>
      </tp>
      <tp t="s">
        <v/>
        <stp/>
        <stp>##V3_BQLV12</stp>
        <stp>[MODL_CRM_US1.xlsx]Single Period!R134C54</stp>
        <stp>CRM US Equity</stp>
        <stp>BS_LT_OPERATING_LEASE_LIABS/1M</stp>
        <stp>FPR=2022Y</stp>
        <stp>FPT=A</stp>
        <stp>FA_ACT_EST_DATA=E, EST_SOURCE=ARE</stp>
        <stp>ACT_EST_MAPPING=PRECISE</stp>
        <stp>FS=MRC</stp>
        <stp>CURRENCY=USD</stp>
        <stp>XLFILL=b</stp>
        <tr r="BB134" s="2"/>
      </tp>
      <tp t="s">
        <v/>
        <stp/>
        <stp>##V3_BQLV12</stp>
        <stp>[MODL_CRM_US1.xlsx]Single Period!R117C23</stp>
        <stp>CRM US Equity</stp>
        <stp>BS_TOTAL_NON_CURRENT_ASSETS/1M</stp>
        <stp>FPR=2022Y</stp>
        <stp>FPT=A</stp>
        <stp>FA_ACT_EST_DATA=E, EST_SOURCE=JPM</stp>
        <stp>ACT_EST_MAPPING=PRECISE</stp>
        <stp>FS=MRC</stp>
        <stp>CURRENCY=USD</stp>
        <stp>XLFILL=b</stp>
        <tr r="W117" s="2"/>
      </tp>
      <tp t="s">
        <v/>
        <stp/>
        <stp>##V3_BQLV12</stp>
        <stp>[MODL_CRM_US1.xlsx]Single Period!R98C55</stp>
        <stp>CRM US Equity</stp>
        <stp>IS_INC_TAX_EFFECT_NONGAAP_REC/1M</stp>
        <stp>FPR=2022Y</stp>
        <stp>FPT=A</stp>
        <stp>FA_ACT_EST_DATA=E, EST_SOURCE=RED</stp>
        <stp>ACT_EST_MAPPING=PRECISE</stp>
        <stp>FS=MRC</stp>
        <stp>CURRENCY=USD</stp>
        <stp>XLFILL=b</stp>
        <tr r="BC98" s="2"/>
      </tp>
      <tp t="s">
        <v/>
        <stp/>
        <stp>##V3_BQLV12</stp>
        <stp>[MODL_CRM_US1.xlsx]Single Period!R146C32</stp>
        <stp>CRM US Equity</stp>
        <stp>CUR_RATIO</stp>
        <stp>FPR=2022Y</stp>
        <stp>FPT=A</stp>
        <stp>FA_ACT_EST_DATA=E, EST_SOURCE=UBS</stp>
        <stp>ACT_EST_MAPPING=PRECISE</stp>
        <stp>FS=MRC</stp>
        <stp>CURRENCY=USD</stp>
        <stp>XLFILL=b</stp>
        <tr r="AF146" s="2"/>
      </tp>
      <tp>
        <v>26395</v>
        <stp/>
        <stp>##V3_BQLV12</stp>
        <stp>[MODL_CRM_US1.xlsx]Single Period!R52C26</stp>
        <stp>CRM US Equity</stp>
        <stp>IS_COMP_SALES/1M</stp>
        <stp>FPR=2022Y</stp>
        <stp>FPT=A</stp>
        <stp>FA_ACT_EST_DATA=E, EST_SOURCE=KEY</stp>
        <stp>ACT_EST_MAPPING=PRECISE</stp>
        <stp>FS=MRC</stp>
        <stp>CURRENCY=USD</stp>
        <stp>XLFILL=b</stp>
        <tr r="Z52" s="2"/>
      </tp>
      <tp t="s">
        <v/>
        <stp/>
        <stp>##V3_BQLV12</stp>
        <stp>[MODL_CRM_US1.xlsx]Single Period!R134C45</stp>
        <stp>CRM US Equity</stp>
        <stp>BS_LT_OPERATING_LEASE_LIABS/1M</stp>
        <stp>FPR=2022Y</stp>
        <stp>FPT=A</stp>
        <stp>FA_ACT_EST_DATA=E, EST_SOURCE=ARG</stp>
        <stp>ACT_EST_MAPPING=PRECISE</stp>
        <stp>FS=MRC</stp>
        <stp>CURRENCY=USD</stp>
        <stp>XLFILL=b</stp>
        <tr r="AS134" s="2"/>
      </tp>
      <tp t="s">
        <v/>
        <stp/>
        <stp>##V3_BQLV12</stp>
        <stp>[MODL_CRM_US1.xlsx]Single Period!R122C12</stp>
        <stp>CRM US Equity</stp>
        <stp>BS_GOODWILL/1M</stp>
        <stp>FPR=2022Y</stp>
        <stp>FPT=A</stp>
        <stp>FA_ACT_EST_DATA=E, EST_SOURCE=BMO</stp>
        <stp>ACT_EST_MAPPING=PRECISE</stp>
        <stp>FS=MRC</stp>
        <stp>CURRENCY=USD</stp>
        <stp>XLFILL=b</stp>
        <tr r="L122" s="2"/>
      </tp>
      <tp t="s">
        <v/>
        <stp/>
        <stp>##V3_BQLV12</stp>
        <stp>[MODL_CRM_US1.xlsx]Single Period!R131C43</stp>
        <stp>CRM US Equity</stp>
        <stp>ST_DEFERRED_REVENUE/1M</stp>
        <stp>FPR=2022Y</stp>
        <stp>FPT=A</stp>
        <stp>FA_ACT_EST_DATA=E, EST_SOURCE=DWI</stp>
        <stp>ACT_EST_MAPPING=PRECISE</stp>
        <stp>FS=MRC</stp>
        <stp>CURRENCY=USD</stp>
        <stp>XLFILL=b</stp>
        <tr r="AQ131" s="2"/>
      </tp>
      <tp t="s">
        <v/>
        <stp/>
        <stp>##V3_BQLV12</stp>
        <stp>[MODL_CRM_US1.xlsx]Single Period!R131C28</stp>
        <stp>CRM US Equity</stp>
        <stp>ST_DEFERRED_REVENUE/1M</stp>
        <stp>FPR=2022Y</stp>
        <stp>FPT=A</stp>
        <stp>FA_ACT_EST_DATA=E, EST_SOURCE=CWN</stp>
        <stp>ACT_EST_MAPPING=PRECISE</stp>
        <stp>FS=MRC</stp>
        <stp>CURRENCY=USD</stp>
        <stp>XLFILL=b</stp>
        <tr r="AB131" s="2"/>
      </tp>
      <tp t="s">
        <v/>
        <stp/>
        <stp>##V3_BQLV12</stp>
        <stp>[MODL_CRM_US1.xlsx]Single Period!R85C30</stp>
        <stp>CRM US Equity</stp>
        <stp>CB_IS_S_AND_M_EXPENSE/1M</stp>
        <stp>FPR=2022Y</stp>
        <stp>FPT=A</stp>
        <stp>FA_ACT_EST_DATA=E, EST_SOURCE=BAM</stp>
        <stp>ACT_EST_MAPPING=PRECISE</stp>
        <stp>FS=MRC</stp>
        <stp>CURRENCY=USD</stp>
        <stp>XLFILL=b</stp>
        <tr r="AD85" s="2"/>
      </tp>
      <tp>
        <v>-664.4779710629324</v>
        <stp/>
        <stp>##V3_BQLV12</stp>
        <stp>[MODL_CRM_US1.xlsx]Single Period!R98C13</stp>
        <stp>CRM US Equity</stp>
        <stp>IS_INC_TAX_EFFECT_NONGAAP_REC/1M</stp>
        <stp>FPR=2022Y</stp>
        <stp>FPT=A</stp>
        <stp>FA_ACT_EST_DATA=E, EST_SOURCE=BCA</stp>
        <stp>ACT_EST_MAPPING=PRECISE</stp>
        <stp>FS=MRC</stp>
        <stp>CURRENCY=USD</stp>
        <stp>XLFILL=b</stp>
        <tr r="M98" s="2"/>
      </tp>
      <tp t="s">
        <v/>
        <stp/>
        <stp>##V3_BQLV12</stp>
        <stp>[MODL_CRM_US1.xlsx]Single Period!R65C18</stp>
        <stp>CRM US Equity</stp>
        <stp>IS_AMORT_OF_TOT_INTANG_PRETX/1M</stp>
        <stp>FPR=2022Y</stp>
        <stp>FPT=A</stp>
        <stp>FA_ACT_EST_DATA=E, EST_SOURCE=CAN</stp>
        <stp>ACT_EST_MAPPING=PRECISE</stp>
        <stp>FS=MRC</stp>
        <stp>CURRENCY=USD</stp>
        <stp>XLFILL=b</stp>
        <tr r="R65" s="2"/>
      </tp>
      <tp>
        <v>1628.09</v>
        <stp/>
        <stp>##V3_BQLV12</stp>
        <stp>[MODL_CRM_US1.xlsx]Single Period!R65C24</stp>
        <stp>CRM US Equity</stp>
        <stp>IS_AMORT_OF_TOT_INTANG_PRETX/1M</stp>
        <stp>FPR=2022Y</stp>
        <stp>FPT=A</stp>
        <stp>FA_ACT_EST_DATA=E, EST_SOURCE=FBC</stp>
        <stp>ACT_EST_MAPPING=PRECISE</stp>
        <stp>FS=MRC</stp>
        <stp>CURRENCY=USD</stp>
        <stp>XLFILL=b</stp>
        <tr r="X65" s="2"/>
      </tp>
      <tp t="s">
        <v/>
        <stp/>
        <stp>##V3_BQLV12</stp>
        <stp>[MODL_CRM_US1.xlsx]Single Period!R151C12</stp>
        <stp>CRM US Equity</stp>
        <stp>NON_CURRENT_FUTURE_REV_UNDER_CONTRACT/1M</stp>
        <stp>FPR=2022Y</stp>
        <stp>FPT=A</stp>
        <stp>FA_ACT_EST_DATA=E, EST_SOURCE=BMO</stp>
        <stp>ACT_EST_MAPPING=PRECISE</stp>
        <stp>FS=MRC</stp>
        <stp>CURRENCY=USD</stp>
        <stp>XLFILL=b</stp>
        <tr r="L151" s="2"/>
      </tp>
      <tp t="s">
        <v/>
        <stp/>
        <stp>##V3_BQLV12</stp>
        <stp>[MODL_CRM_US1.xlsx]Single Period!R29C22</stp>
        <stp>SEG0000269233 Segment</stp>
        <stp>SALES_REV_TURN/1M</stp>
        <stp>FPR=2022Y</stp>
        <stp>FPT=A</stp>
        <stp>FA_ACT_EST_DATA=E, EST_SOURCE=OPY</stp>
        <stp>ACT_EST_MAPPING=PRECISE</stp>
        <stp>FS=MRC</stp>
        <stp>CURRENCY=USD</stp>
        <stp>XLFILL=b</stp>
        <tr r="V29" s="2"/>
      </tp>
      <tp t="s">
        <v/>
        <stp/>
        <stp>##V3_BQLV12</stp>
        <stp>[MODL_CRM_US1.xlsx]Single Period!R119C49</stp>
        <stp>CRM US Equity</stp>
        <stp>CB_BS_OTHER_NONCURRENT_ASSETS/1M</stp>
        <stp>FPR=2022Y</stp>
        <stp>FPT=A</stp>
        <stp>FA_ACT_EST_DATA=E, EST_SOURCE=SGE</stp>
        <stp>ACT_EST_MAPPING=PRECISE</stp>
        <stp>FS=MRC</stp>
        <stp>CURRENCY=USD</stp>
        <stp>XLFILL=b</stp>
        <tr r="AW119" s="2"/>
      </tp>
      <tp t="s">
        <v/>
        <stp/>
        <stp>##V3_BQLV12</stp>
        <stp>[MODL_CRM_US1.xlsx]Single Period!R149C22</stp>
        <stp>CRM US Equity</stp>
        <stp>TOT_FUTURE_REV_UNDER_CONTRACT/1M</stp>
        <stp>FPR=2022Y</stp>
        <stp>FPT=A</stp>
        <stp>FA_ACT_EST_DATA=E, EST_SOURCE=OPY</stp>
        <stp>ACT_EST_MAPPING=PRECISE</stp>
        <stp>FS=MRC</stp>
        <stp>CURRENCY=USD</stp>
        <stp>XLFILL=b</stp>
        <tr r="V149" s="2"/>
      </tp>
      <tp t="s">
        <v/>
        <stp/>
        <stp>##V3_BQLV12</stp>
        <stp>[MODL_CRM_US1.xlsx]Single Period!R65C55</stp>
        <stp>CRM US Equity</stp>
        <stp>IS_AMORT_OF_TOT_INTANG_PRETX/1M</stp>
        <stp>FPR=2022Y</stp>
        <stp>FPT=A</stp>
        <stp>FA_ACT_EST_DATA=E, EST_SOURCE=RED</stp>
        <stp>ACT_EST_MAPPING=PRECISE</stp>
        <stp>FS=MRC</stp>
        <stp>CURRENCY=USD</stp>
        <stp>XLFILL=b</stp>
        <tr r="BC65" s="2"/>
      </tp>
      <tp t="s">
        <v/>
        <stp/>
        <stp>##V3_BQLV12</stp>
        <stp>[MODL_CRM_US1.xlsx]Single Period!R119C39</stp>
        <stp>CRM US Equity</stp>
        <stp>CB_BS_OTHER_NONCURRENT_ASSETS/1M</stp>
        <stp>FPR=2022Y</stp>
        <stp>FPT=A</stp>
        <stp>FA_ACT_EST_DATA=E, EST_SOURCE=KGI</stp>
        <stp>ACT_EST_MAPPING=PRECISE</stp>
        <stp>FS=MRC</stp>
        <stp>CURRENCY=USD</stp>
        <stp>XLFILL=b</stp>
        <tr r="AM119" s="2"/>
      </tp>
      <tp t="s">
        <v/>
        <stp/>
        <stp>##V3_BQLV12</stp>
        <stp>[MODL_CRM_US1.xlsx]Single Period!R38C22</stp>
        <stp>SEG0000269228 Segment</stp>
        <stp>SALES_REV_TURN/1M</stp>
        <stp>FPR=2022Y</stp>
        <stp>FPT=A</stp>
        <stp>FA_ACT_EST_DATA=E, EST_SOURCE=OPY</stp>
        <stp>ACT_EST_MAPPING=PRECISE</stp>
        <stp>FS=MRC</stp>
        <stp>CURRENCY=USD</stp>
        <stp>XLFILL=b</stp>
        <tr r="V38" s="2"/>
      </tp>
      <tp t="s">
        <v/>
        <stp/>
        <stp>##V3_BQLV12</stp>
        <stp>[MODL_CRM_US1.xlsx]Single Period!R140C12</stp>
        <stp>CRM US Equity</stp>
        <stp>BS_ACCUMULATED_OTHER_COMP_INC/1M</stp>
        <stp>FPR=2022Y</stp>
        <stp>FPT=A</stp>
        <stp>FA_ACT_EST_DATA=E, EST_SOURCE=BMO</stp>
        <stp>ACT_EST_MAPPING=PRECISE</stp>
        <stp>FS=MRC</stp>
        <stp>CURRENCY=USD</stp>
        <stp>XLFILL=b</stp>
        <tr r="L140" s="2"/>
      </tp>
      <tp t="s">
        <v/>
        <stp/>
        <stp>##V3_BQLV12</stp>
        <stp>[MODL_CRM_US1.xlsx]Single Period!R28C37</stp>
        <stp>SEG0000269242 Segment</stp>
        <stp>SALES_REV_TURN/1M</stp>
        <stp>FPR=2022Y</stp>
        <stp>FPT=A</stp>
        <stp>FA_ACT_EST_DATA=E, EST_SOURCE=EVR</stp>
        <stp>ACT_EST_MAPPING=PRECISE</stp>
        <stp>FS=MRC</stp>
        <stp>CURRENCY=USD</stp>
        <stp>XLFILL=b</stp>
        <tr r="AK28" s="2"/>
      </tp>
      <tp t="s">
        <v/>
        <stp/>
        <stp>##V3_BQLV12</stp>
        <stp>[MODL_CRM_US1.xlsx]Single Period!R48C22</stp>
        <stp>SEG0000269229 Segment</stp>
        <stp>SALES_REV_TURN/1M</stp>
        <stp>FPR=2022Y</stp>
        <stp>FPT=A</stp>
        <stp>FA_ACT_EST_DATA=E, EST_SOURCE=OPY</stp>
        <stp>ACT_EST_MAPPING=PRECISE</stp>
        <stp>FS=MRC</stp>
        <stp>CURRENCY=USD</stp>
        <stp>XLFILL=b</stp>
        <tr r="V48" s="2"/>
      </tp>
      <tp t="s">
        <v/>
        <stp/>
        <stp>##V3_BQLV12</stp>
        <stp>[MODL_CRM_US1.xlsx]Single Period!R123C29</stp>
        <stp>CRM US Equity</stp>
        <stp>TOT_OPER_LEA_RT_OF_USE_ASSETS/1M</stp>
        <stp>FPR=2022Y</stp>
        <stp>FPT=A</stp>
        <stp>FA_ACT_EST_DATA=E, EST_SOURCE=BNS</stp>
        <stp>ACT_EST_MAPPING=PRECISE</stp>
        <stp>FS=MRC</stp>
        <stp>CURRENCY=USD</stp>
        <stp>XLFILL=b</stp>
        <tr r="AC123" s="2"/>
      </tp>
      <tp t="s">
        <v/>
        <stp/>
        <stp>##V3_BQLV12</stp>
        <stp>[MODL_CRM_US1.xlsx]Single Period!R149C41</stp>
        <stp>CRM US Equity</stp>
        <stp>TOT_FUTURE_REV_UNDER_CONTRACT/1M</stp>
        <stp>FPR=2022Y</stp>
        <stp>FPT=A</stp>
        <stp>FA_ACT_EST_DATA=E, EST_SOURCE=GSR</stp>
        <stp>ACT_EST_MAPPING=PRECISE</stp>
        <stp>FS=MRC</stp>
        <stp>CURRENCY=USD</stp>
        <stp>XLFILL=b</stp>
        <tr r="AO149" s="2"/>
      </tp>
      <tp t="s">
        <v/>
        <stp/>
        <stp>##V3_BQLV12</stp>
        <stp>[MODL_CRM_US1.xlsx]Single Period!R32C50</stp>
        <stp>SEG0000269227 Segment</stp>
        <stp>SALES_REV_TURN/1M</stp>
        <stp>FPR=2022Y</stp>
        <stp>FPT=A</stp>
        <stp>FA_ACT_EST_DATA=E, EST_SOURCE=MZS</stp>
        <stp>ACT_EST_MAPPING=PRECISE</stp>
        <stp>FS=MRC</stp>
        <stp>CURRENCY=USD</stp>
        <stp>XLFILL=b</stp>
        <tr r="AX32" s="2"/>
      </tp>
      <tp>
        <v>1820.8086499999999</v>
        <stp/>
        <stp>##V3_BQLV12</stp>
        <stp>[MODL_CRM_US1.xlsx]Single Period!R34C6</stp>
        <stp>SEG0000269227 Segment</stp>
        <stp>CONTRIBUTOR_STATS(IS_COGS_TO_FE_AND_PP_AND_G, MIN)/1M</stp>
        <stp>FPR=2022Y</stp>
        <stp>FPT=A</stp>
        <stp>FA_ACT_EST_DATA=E</stp>
        <stp>ACT_EST_MAPPING=PRECISE</stp>
        <stp>FS=MRC</stp>
        <stp>CURRENCY=USD</stp>
        <stp>XLFILL=b</stp>
        <tr r="F34" s="2"/>
      </tp>
      <tp>
        <v>1987.6831999999999</v>
        <stp/>
        <stp>##V3_BQLV12</stp>
        <stp>[MODL_CRM_US1.xlsx]Single Period!R34C7</stp>
        <stp>SEG0000269227 Segment</stp>
        <stp>CONTRIBUTOR_STATS(IS_COGS_TO_FE_AND_PP_AND_G, MAX)/1M</stp>
        <stp>FPR=2022Y</stp>
        <stp>FPT=A</stp>
        <stp>FA_ACT_EST_DATA=E</stp>
        <stp>ACT_EST_MAPPING=PRECISE</stp>
        <stp>FS=MRC</stp>
        <stp>CURRENCY=USD</stp>
        <stp>XLFILL=b</stp>
        <tr r="G34" s="2"/>
      </tp>
      <tp>
        <v>47.12675613726411</v>
        <stp/>
        <stp>##V3_BQLV12</stp>
        <stp>[MODL_CRM_US1.xlsx]Single Period!R34C8</stp>
        <stp>SEG0000269227 Segment</stp>
        <stp>CONTRIBUTOR_STATS(IS_COGS_TO_FE_AND_PP_AND_G, STD)/1M</stp>
        <stp>FPR=2022Y</stp>
        <stp>FPT=A</stp>
        <stp>FA_ACT_EST_DATA=E</stp>
        <stp>ACT_EST_MAPPING=PRECISE</stp>
        <stp>FS=MRC</stp>
        <stp>CURRENCY=USD</stp>
        <stp>XLFILL=b</stp>
        <tr r="H34" s="2"/>
      </tp>
      <tp t="s">
        <v/>
        <stp/>
        <stp>##V3_BQLV12</stp>
        <stp>[MODL_CRM_US1.xlsx]Single Period!R140C56</stp>
        <stp>CRM US Equity</stp>
        <stp>BS_ACCUMULATED_OTHER_COMP_INC/1M</stp>
        <stp>FPR=2022Y</stp>
        <stp>FPT=A</stp>
        <stp>FA_ACT_EST_DATA=E, EST_SOURCE=DIR</stp>
        <stp>ACT_EST_MAPPING=PRECISE</stp>
        <stp>FS=MRC</stp>
        <stp>CURRENCY=USD</stp>
        <stp>XLFILL=b</stp>
        <tr r="BD140" s="2"/>
      </tp>
      <tp t="s">
        <v/>
        <stp/>
        <stp>##V3_BQLV12</stp>
        <stp>[MODL_CRM_US1.xlsx]Single Period!R83C17</stp>
        <stp>CRM US Equity</stp>
        <stp>IS_OPEX_R_AND_D_GAAP/1M</stp>
        <stp>FPR=2022Y</stp>
        <stp>FPT=A</stp>
        <stp>FA_ACT_EST_DATA=E, EST_SOURCE=NDH</stp>
        <stp>ACT_EST_MAPPING=PRECISE</stp>
        <stp>FS=MRC</stp>
        <stp>CURRENCY=USD</stp>
        <stp>XLFILL=b</stp>
        <tr r="Q83" s="2"/>
      </tp>
      <tp t="s">
        <v/>
        <stp/>
        <stp>##V3_BQLV12</stp>
        <stp>[MODL_CRM_US1.xlsx]Single Period!R149C46</stp>
        <stp>CRM US Equity</stp>
        <stp>TOT_FUTURE_REV_UNDER_CONTRACT/1M</stp>
        <stp>FPR=2022Y</stp>
        <stp>FPT=A</stp>
        <stp>FA_ACT_EST_DATA=E, EST_SOURCE=CTI</stp>
        <stp>ACT_EST_MAPPING=PRECISE</stp>
        <stp>FS=MRC</stp>
        <stp>CURRENCY=USD</stp>
        <stp>XLFILL=b</stp>
        <tr r="AT149" s="2"/>
      </tp>
      <tp t="s">
        <v/>
        <stp/>
        <stp>##V3_BQLV12</stp>
        <stp>[MODL_CRM_US1.xlsx]Single Period!R29C23</stp>
        <stp>SEG0000269233 Segment</stp>
        <stp>SALES_REV_TURN/1M</stp>
        <stp>FPR=2022Y</stp>
        <stp>FPT=A</stp>
        <stp>FA_ACT_EST_DATA=E, EST_SOURCE=JPM</stp>
        <stp>ACT_EST_MAPPING=PRECISE</stp>
        <stp>FS=MRC</stp>
        <stp>CURRENCY=USD</stp>
        <stp>XLFILL=b</stp>
        <tr r="W29" s="2"/>
      </tp>
      <tp t="s">
        <v/>
        <stp/>
        <stp>##V3_BQLV12</stp>
        <stp>[MODL_CRM_US1.xlsx]Single Period!R123C36</stp>
        <stp>CRM US Equity</stp>
        <stp>TOT_OPER_LEA_RT_OF_USE_ASSETS/1M</stp>
        <stp>FPR=2022Y</stp>
        <stp>FPT=A</stp>
        <stp>FA_ACT_EST_DATA=E, EST_SOURCE=MAC</stp>
        <stp>ACT_EST_MAPPING=PRECISE</stp>
        <stp>FS=MRC</stp>
        <stp>CURRENCY=USD</stp>
        <stp>XLFILL=b</stp>
        <tr r="AJ123" s="2"/>
      </tp>
      <tp t="s">
        <v/>
        <stp/>
        <stp>##V3_BQLV12</stp>
        <stp>[MODL_CRM_US1.xlsx]Single Period!R38C23</stp>
        <stp>SEG0000269228 Segment</stp>
        <stp>SALES_REV_TURN/1M</stp>
        <stp>FPR=2022Y</stp>
        <stp>FPT=A</stp>
        <stp>FA_ACT_EST_DATA=E, EST_SOURCE=JPM</stp>
        <stp>ACT_EST_MAPPING=PRECISE</stp>
        <stp>FS=MRC</stp>
        <stp>CURRENCY=USD</stp>
        <stp>XLFILL=b</stp>
        <tr r="W38" s="2"/>
      </tp>
      <tp t="s">
        <v/>
        <stp/>
        <stp>##V3_BQLV12</stp>
        <stp>[MODL_CRM_US1.xlsx]Single Period!R48C23</stp>
        <stp>SEG0000269229 Segment</stp>
        <stp>SALES_REV_TURN/1M</stp>
        <stp>FPR=2022Y</stp>
        <stp>FPT=A</stp>
        <stp>FA_ACT_EST_DATA=E, EST_SOURCE=JPM</stp>
        <stp>ACT_EST_MAPPING=PRECISE</stp>
        <stp>FS=MRC</stp>
        <stp>CURRENCY=USD</stp>
        <stp>XLFILL=b</stp>
        <tr r="W48" s="2"/>
      </tp>
      <tp>
        <v>18963.245990313339</v>
        <stp/>
        <stp>##V3_BQLV12</stp>
        <stp>[MODL_CRM_US1.xlsx]Single Period!R81C5</stp>
        <stp>CRM US Equity</stp>
        <stp>IS_TOT_OPER_EXP/1M</stp>
        <stp>FPR=2022Y</stp>
        <stp>FPT=A</stp>
        <stp>FA_ACT_EST_DATA=E</stp>
        <stp>ACT_EST_MAPPING=PRECISE</stp>
        <stp>FS=MRC</stp>
        <stp>CURRENCY=USD</stp>
        <stp>XLFILL=b</stp>
        <tr r="E81" s="2"/>
      </tp>
      <tp t="s">
        <v/>
        <stp/>
        <stp>##V3_BQLV12</stp>
        <stp>[MODL_CRM_US1.xlsx]Single Period!R156C43</stp>
        <stp>CRM US Equity</stp>
        <stp>CF_DEPR_AMORT/1M</stp>
        <stp>FPR=2022Y</stp>
        <stp>FPT=A</stp>
        <stp>FA_ACT_EST_DATA=E, EST_SOURCE=DWI</stp>
        <stp>ACT_EST_MAPPING=PRECISE</stp>
        <stp>FS=MRC</stp>
        <stp>CURRENCY=USD</stp>
        <stp>XLFILL=b</stp>
        <tr r="AQ156" s="2"/>
      </tp>
      <tp t="s">
        <v/>
        <stp/>
        <stp>##V3_BQLV12</stp>
        <stp>[MODL_CRM_US1.xlsx]Single Period!R151C56</stp>
        <stp>CRM US Equity</stp>
        <stp>NON_CURRENT_FUTURE_REV_UNDER_CONTRACT/1M</stp>
        <stp>FPR=2022Y</stp>
        <stp>FPT=A</stp>
        <stp>FA_ACT_EST_DATA=E, EST_SOURCE=DIR</stp>
        <stp>ACT_EST_MAPPING=PRECISE</stp>
        <stp>FS=MRC</stp>
        <stp>CURRENCY=USD</stp>
        <stp>XLFILL=b</stp>
        <tr r="BD151" s="2"/>
      </tp>
      <tp t="s">
        <v>Loop Capital Markets</v>
        <stp/>
        <stp>##V3_BQLV12</stp>
        <stp>[MODL_CRM_US1.xlsx]Single Period!R3C27</stp>
        <stp>CRM US Equity</stp>
        <stp>LAST(IS_COMP_SALES(FA_ACT_EST_DATA=E, EST_SOURCE=LCM).firm_name)</stp>
        <stp>FPR=2022Y</stp>
        <stp>FPT=A</stp>
        <stp>ACT_EST_MAPPING=PRECISE</stp>
        <stp>FS=MRC</stp>
        <stp>CURRENCY=USD</stp>
        <stp>XLFILL=b</stp>
        <tr r="AA3" s="2"/>
      </tp>
      <tp t="s">
        <v/>
        <stp/>
        <stp>##V3_BQLV12</stp>
        <stp>[MODL_CRM_US1.xlsx]Single Period!R183C46</stp>
        <stp>CRM US Equity</stp>
        <stp>CASH_FLOW_PER_SH</stp>
        <stp>FPR=2022Y</stp>
        <stp>FPT=A</stp>
        <stp>FA_ACT_EST_DATA=E, EST_SOURCE=CTI</stp>
        <stp>ACT_EST_MAPPING=PRECISE</stp>
        <stp>FS=MRC</stp>
        <stp>CURRENCY=USD</stp>
        <stp>XLFILL=b</stp>
        <tr r="AT183" s="2"/>
      </tp>
      <tp t="s">
        <v>Bernstein</v>
        <stp/>
        <stp>##V3_BQLV12</stp>
        <stp>[MODL_CRM_US1.xlsx]Single Period!R3C19</stp>
        <stp>CRM US Equity</stp>
        <stp>LAST(IS_COMP_SALES(FA_ACT_EST_DATA=E, EST_SOURCE=SCB).firm_name)</stp>
        <stp>FPR=2022Y</stp>
        <stp>FPT=A</stp>
        <stp>ACT_EST_MAPPING=PRECISE</stp>
        <stp>FS=MRC</stp>
        <stp>CURRENCY=USD</stp>
        <stp>XLFILL=b</stp>
        <tr r="S3" s="2"/>
      </tp>
      <tp t="s">
        <v>Barclays</v>
        <stp/>
        <stp>##V3_BQLV12</stp>
        <stp>[MODL_CRM_US1.xlsx]Single Period!R3C13</stp>
        <stp>CRM US Equity</stp>
        <stp>LAST(IS_COMP_SALES(FA_ACT_EST_DATA=E, EST_SOURCE=BCA).firm_name)</stp>
        <stp>FPR=2022Y</stp>
        <stp>FPT=A</stp>
        <stp>ACT_EST_MAPPING=PRECISE</stp>
        <stp>FS=MRC</stp>
        <stp>CURRENCY=USD</stp>
        <stp>XLFILL=b</stp>
        <tr r="M3" s="2"/>
      </tp>
      <tp t="s">
        <v>ARC Independent Research</v>
        <stp/>
        <stp>##V3_BQLV12</stp>
        <stp>[MODL_CRM_US1.xlsx]Single Period!R3C40</stp>
        <stp>CRM US Equity</stp>
        <stp>LAST(IS_COMP_SALES(FA_ACT_EST_DATA=E, EST_SOURCE=ACC).firm_name)</stp>
        <stp>FPR=2022Y</stp>
        <stp>FPT=A</stp>
        <stp>ACT_EST_MAPPING=PRECISE</stp>
        <stp>FS=MRC</stp>
        <stp>CURRENCY=USD</stp>
        <stp>XLFILL=b</stp>
        <tr r="AN3" s="2"/>
      </tp>
      <tp t="s">
        <v/>
        <stp/>
        <stp>##V3_BQLV12</stp>
        <stp>[MODL_CRM_US1.xlsx]Single Period!R183C41</stp>
        <stp>CRM US Equity</stp>
        <stp>CASH_FLOW_PER_SH</stp>
        <stp>FPR=2022Y</stp>
        <stp>FPT=A</stp>
        <stp>FA_ACT_EST_DATA=E, EST_SOURCE=GSR</stp>
        <stp>ACT_EST_MAPPING=PRECISE</stp>
        <stp>FS=MRC</stp>
        <stp>CURRENCY=USD</stp>
        <stp>XLFILL=b</stp>
        <tr r="AO183" s="2"/>
      </tp>
      <tp t="s">
        <v/>
        <stp/>
        <stp>##V3_BQLV12</stp>
        <stp>[MODL_CRM_US1.xlsx]Single Period!R91C10</stp>
        <stp>CRM US Equity</stp>
        <stp>IS_COMP_NET_INCOME_GAAP/1M</stp>
        <stp>FPR=2022Y</stp>
        <stp>FPT=A</stp>
        <stp>FA_ACT_EST_DATA=E, EST_SOURCE=CMPY</stp>
        <stp>ACT_EST_MAPPING=PRECISE</stp>
        <stp>FS=MRC</stp>
        <stp>CURRENCY=USD</stp>
        <stp>XLFILL=b</stp>
        <tr r="J91" s="2"/>
      </tp>
      <tp>
        <v>5.8141424054552262</v>
        <stp/>
        <stp>##V3_BQLV12</stp>
        <stp>[MODL_CRM_US1.xlsx]Single Period!R183C22</stp>
        <stp>CRM US Equity</stp>
        <stp>CASH_FLOW_PER_SH</stp>
        <stp>FPR=2022Y</stp>
        <stp>FPT=A</stp>
        <stp>FA_ACT_EST_DATA=E, EST_SOURCE=OPY</stp>
        <stp>ACT_EST_MAPPING=PRECISE</stp>
        <stp>FS=MRC</stp>
        <stp>CURRENCY=USD</stp>
        <stp>XLFILL=b</stp>
        <tr r="V183" s="2"/>
      </tp>
      <tp t="s">
        <v>Roth Capital Partners</v>
        <stp/>
        <stp>##V3_BQLV12</stp>
        <stp>[MODL_CRM_US1.xlsx]Single Period!R3C51</stp>
        <stp>CRM US Equity</stp>
        <stp>LAST(IS_COMP_SALES(FA_ACT_EST_DATA=E, EST_SOURCE=RCP).firm_name)</stp>
        <stp>FPR=2022Y</stp>
        <stp>FPT=A</stp>
        <stp>ACT_EST_MAPPING=PRECISE</stp>
        <stp>FS=MRC</stp>
        <stp>CURRENCY=USD</stp>
        <stp>XLFILL=b</stp>
        <tr r="AY3" s="2"/>
      </tp>
      <tp t="s">
        <v/>
        <stp/>
        <stp>##V3_BQLV12</stp>
        <stp>[MODL_CRM_US1.xlsx]Single Period!R189C50</stp>
        <stp>CRM US Equity</stp>
        <stp>CF_CASH_AND_CASH_EQUIV_BEG_BAL/1M</stp>
        <stp>FPR=2022Y</stp>
        <stp>FPT=A</stp>
        <stp>FA_ACT_EST_DATA=E, EST_SOURCE=MZS</stp>
        <stp>ACT_EST_MAPPING=PRECISE</stp>
        <stp>FS=MRC</stp>
        <stp>CURRENCY=USD</stp>
        <stp>XLFILL=b</stp>
        <tr r="AX189" s="2"/>
      </tp>
      <tp>
        <v>15118.43681415036</v>
        <stp/>
        <stp>##V3_BQLV12</stp>
        <stp>[MODL_CRM_US1.xlsx]Single Period!R188C25</stp>
        <stp>CRM US Equity</stp>
        <stp>BS_CASH_NEAR_CASH_ITEM/1M</stp>
        <stp>FPR=2022Y</stp>
        <stp>FPT=A</stp>
        <stp>FA_ACT_EST_DATA=E, EST_SOURCE=WMS</stp>
        <stp>ACT_EST_MAPPING=PRECISE</stp>
        <stp>FS=MRC</stp>
        <stp>CURRENCY=USD</stp>
        <stp>XLFILL=b</stp>
        <tr r="Y188" s="2"/>
      </tp>
      <tp>
        <v>8211</v>
        <stp/>
        <stp>##V3_BQLV12</stp>
        <stp>[MODL_CRM_US1.xlsx]Single Period!R64C9</stp>
        <stp>CRM US Equity</stp>
        <stp>CONTRIBUTOR_STATS(IS_COMPARABLE_EBITDA, MEDIAN)/1M</stp>
        <stp>FPR=2022Y</stp>
        <stp>FPT=A</stp>
        <stp>FA_ACT_EST_DATA=E</stp>
        <stp>ACT_EST_MAPPING=PRECISE</stp>
        <stp>FS=MRC</stp>
        <stp>CURRENCY=USD</stp>
        <stp>XLFILL=b</stp>
        <tr r="I64" s="2"/>
      </tp>
      <tp t="s">
        <v/>
        <stp/>
        <stp>##V3_BQLV12</stp>
        <stp>[MODL_CRM_US1.xlsx]Single Period!R188C20</stp>
        <stp>CRM US Equity</stp>
        <stp>BS_CASH_NEAR_CASH_ITEM/1M</stp>
        <stp>FPR=2022Y</stp>
        <stp>FPT=A</stp>
        <stp>FA_ACT_EST_DATA=E, EST_SOURCE=JMP</stp>
        <stp>ACT_EST_MAPPING=PRECISE</stp>
        <stp>FS=MRC</stp>
        <stp>CURRENCY=USD</stp>
        <stp>XLFILL=b</stp>
        <tr r="T188" s="2"/>
      </tp>
      <tp t="s">
        <v/>
        <stp/>
        <stp>##V3_BQLV12</stp>
        <stp>[MODL_CRM_US1.xlsx]Single Period!R188C12</stp>
        <stp>CRM US Equity</stp>
        <stp>BS_CASH_NEAR_CASH_ITEM/1M</stp>
        <stp>FPR=2022Y</stp>
        <stp>FPT=A</stp>
        <stp>FA_ACT_EST_DATA=E, EST_SOURCE=BMO</stp>
        <stp>ACT_EST_MAPPING=PRECISE</stp>
        <stp>FS=MRC</stp>
        <stp>CURRENCY=USD</stp>
        <stp>XLFILL=b</stp>
        <tr r="L188" s="2"/>
      </tp>
      <tp t="s">
        <v/>
        <stp/>
        <stp>##V3_BQLV12</stp>
        <stp>[MODL_CRM_US1.xlsx]Single Period!R166C37</stp>
        <stp>CRM US Equity</stp>
        <stp>CF_CHANGE_IN_OPER_LEASE_LIBLTS/1M</stp>
        <stp>FPR=2022Y</stp>
        <stp>FPT=A</stp>
        <stp>FA_ACT_EST_DATA=E, EST_SOURCE=EVR</stp>
        <stp>ACT_EST_MAPPING=PRECISE</stp>
        <stp>FS=MRC</stp>
        <stp>CURRENCY=USD</stp>
        <stp>XLFILL=b</stp>
        <tr r="AK166" s="2"/>
      </tp>
      <tp t="s">
        <v/>
        <stp/>
        <stp>##V3_BQLV12</stp>
        <stp>[MODL_CRM_US1.xlsx]Single Period!R112C39</stp>
        <stp>CRM US Equity</stp>
        <stp>BS_CASH_NEAR_CASH_ITEM/1M</stp>
        <stp>FPR=2022Y</stp>
        <stp>FPT=A</stp>
        <stp>FA_ACT_EST_DATA=E, EST_SOURCE=KGI</stp>
        <stp>ACT_EST_MAPPING=PRECISE</stp>
        <stp>FS=MRC</stp>
        <stp>CURRENCY=USD</stp>
        <stp>XLFILL=b</stp>
        <tr r="AM112" s="2"/>
      </tp>
      <tp>
        <v>957.8125</v>
        <stp/>
        <stp>##V3_BQLV12</stp>
        <stp>[MODL_CRM_US1.xlsx]Single Period!R93C7</stp>
        <stp>CRM US Equity</stp>
        <stp>CONTRIBUTOR_STATS(IS_AVG_NUM_SH_FOR_EPS, MAX)/1M</stp>
        <stp>FPR=2022Y</stp>
        <stp>FPT=A</stp>
        <stp>FA_ACT_EST_DATA=E</stp>
        <stp>ACT_EST_MAPPING=PRECISE</stp>
        <stp>FS=MRC</stp>
        <stp>CURRENCY=USD</stp>
        <stp>XLFILL=b</stp>
        <tr r="G93" s="2"/>
      </tp>
      <tp t="s">
        <v/>
        <stp/>
        <stp>##V3_BQLV12</stp>
        <stp>[MODL_CRM_US1.xlsx]Single Period!R112C49</stp>
        <stp>CRM US Equity</stp>
        <stp>BS_CASH_NEAR_CASH_ITEM/1M</stp>
        <stp>FPR=2022Y</stp>
        <stp>FPT=A</stp>
        <stp>FA_ACT_EST_DATA=E, EST_SOURCE=SGE</stp>
        <stp>ACT_EST_MAPPING=PRECISE</stp>
        <stp>FS=MRC</stp>
        <stp>CURRENCY=USD</stp>
        <stp>XLFILL=b</stp>
        <tr r="AW112" s="2"/>
      </tp>
      <tp t="s">
        <v/>
        <stp/>
        <stp>##V3_BQLV12</stp>
        <stp>[MODL_CRM_US1.xlsx]Single Period!R85C32</stp>
        <stp>CRM US Equity</stp>
        <stp>CB_IS_S_AND_M_EXPENSE/1M</stp>
        <stp>FPR=2022Y</stp>
        <stp>FPT=A</stp>
        <stp>FA_ACT_EST_DATA=E, EST_SOURCE=UBS</stp>
        <stp>ACT_EST_MAPPING=PRECISE</stp>
        <stp>FS=MRC</stp>
        <stp>CURRENCY=USD</stp>
        <stp>XLFILL=b</stp>
        <tr r="AF85" s="2"/>
      </tp>
      <tp t="s">
        <v/>
        <stp/>
        <stp>##V3_BQLV12</stp>
        <stp>[MODL_CRM_US1.xlsx]Single Period!R73C49</stp>
        <stp>CRM US Equity</stp>
        <stp>IS_SH_FOR_DILUTED_EPS/1M</stp>
        <stp>FPR=2022Y</stp>
        <stp>FPT=A</stp>
        <stp>FA_ACT_EST_DATA=E, EST_SOURCE=SGE</stp>
        <stp>ACT_EST_MAPPING=PRECISE</stp>
        <stp>FS=MRC</stp>
        <stp>CURRENCY=USD</stp>
        <stp>XLFILL=b</stp>
        <tr r="AW73" s="2"/>
      </tp>
      <tp t="s">
        <v/>
        <stp/>
        <stp>##V3_BQLV12</stp>
        <stp>[MODL_CRM_US1.xlsx]Single Period!R131C37</stp>
        <stp>CRM US Equity</stp>
        <stp>ST_DEFERRED_REVENUE/1M</stp>
        <stp>FPR=2022Y</stp>
        <stp>FPT=A</stp>
        <stp>FA_ACT_EST_DATA=E, EST_SOURCE=EVR</stp>
        <stp>ACT_EST_MAPPING=PRECISE</stp>
        <stp>FS=MRC</stp>
        <stp>CURRENCY=USD</stp>
        <stp>XLFILL=b</stp>
        <tr r="AK131" s="2"/>
      </tp>
      <tp>
        <v>9544.0654356164378</v>
        <stp/>
        <stp>##V3_BQLV12</stp>
        <stp>[MODL_CRM_US1.xlsx]Single Period!R114C15</stp>
        <stp>CRM US Equity</stp>
        <stp>BS_ACCTS_REC_EXCL_NOTES_REC/1M</stp>
        <stp>FPR=2022Y</stp>
        <stp>FPT=A</stp>
        <stp>FA_ACT_EST_DATA=E, EST_SOURCE=MSV</stp>
        <stp>ACT_EST_MAPPING=PRECISE</stp>
        <stp>FS=MRC</stp>
        <stp>CURRENCY=USD</stp>
        <stp>XLFILL=b</stp>
        <tr r="O114" s="2"/>
      </tp>
      <tp t="s">
        <v/>
        <stp/>
        <stp>##V3_BQLV12</stp>
        <stp>[MODL_CRM_US1.xlsx]Single Period!R114C41</stp>
        <stp>CRM US Equity</stp>
        <stp>BS_ACCTS_REC_EXCL_NOTES_REC/1M</stp>
        <stp>FPR=2022Y</stp>
        <stp>FPT=A</stp>
        <stp>FA_ACT_EST_DATA=E, EST_SOURCE=GSR</stp>
        <stp>ACT_EST_MAPPING=PRECISE</stp>
        <stp>FS=MRC</stp>
        <stp>CURRENCY=USD</stp>
        <stp>XLFILL=b</stp>
        <tr r="AO114" s="2"/>
      </tp>
      <tp>
        <v>1381.0229580895841</v>
        <stp/>
        <stp>##V3_BQLV12</stp>
        <stp>[MODL_CRM_US1.xlsx]Single Period!R89C9</stp>
        <stp>CRM US Equity</stp>
        <stp>CONTRIBUTOR_STATS(PRETAX_INC, MEDIAN)/1M</stp>
        <stp>FPR=2022Y</stp>
        <stp>FPT=A</stp>
        <stp>FA_ACT_EST_DATA=E</stp>
        <stp>ACT_EST_MAPPING=PRECISE</stp>
        <stp>FS=MRC</stp>
        <stp>CURRENCY=USD</stp>
        <stp>XLFILL=b</stp>
        <tr r="I89" s="2"/>
      </tp>
      <tp t="s">
        <v/>
        <stp/>
        <stp>##V3_BQLV12</stp>
        <stp>[MODL_CRM_US1.xlsx]Single Period!R100C50</stp>
        <stp>CRM US Equity</stp>
        <stp>IS_SBC_ATTRIB_TO_COGS_PRETX/1M</stp>
        <stp>FPR=2022Y</stp>
        <stp>FPT=A</stp>
        <stp>FA_ACT_EST_DATA=E, EST_SOURCE=MZS</stp>
        <stp>ACT_EST_MAPPING=PRECISE</stp>
        <stp>FS=MRC</stp>
        <stp>CURRENCY=USD</stp>
        <stp>XLFILL=b</stp>
        <tr r="AX100" s="2"/>
      </tp>
      <tp>
        <v>976</v>
        <stp/>
        <stp>##V3_BQLV12</stp>
        <stp>[MODL_CRM_US1.xlsx]Single Period!R94C13</stp>
        <stp>CRM US Equity</stp>
        <stp>IS_SH_FOR_DILUTED_EPS/1M</stp>
        <stp>FPR=2022Y</stp>
        <stp>FPT=A</stp>
        <stp>FA_ACT_EST_DATA=E, EST_SOURCE=BCA</stp>
        <stp>ACT_EST_MAPPING=PRECISE</stp>
        <stp>FS=MRC</stp>
        <stp>CURRENCY=USD</stp>
        <stp>XLFILL=b</stp>
        <tr r="M94" s="2"/>
      </tp>
      <tp>
        <v>955.25</v>
        <stp/>
        <stp>##V3_BQLV12</stp>
        <stp>[MODL_CRM_US1.xlsx]Single Period!R93C21</stp>
        <stp>CRM US Equity</stp>
        <stp>IS_AVG_NUM_SH_FOR_EPS/1M</stp>
        <stp>FPR=2022Y</stp>
        <stp>FPT=A</stp>
        <stp>FA_ACT_EST_DATA=E, EST_SOURCE=RJA</stp>
        <stp>ACT_EST_MAPPING=PRECISE</stp>
        <stp>FS=MRC</stp>
        <stp>CURRENCY=USD</stp>
        <stp>XLFILL=b</stp>
        <tr r="U93" s="2"/>
      </tp>
      <tp t="s">
        <v/>
        <stp/>
        <stp>##V3_BQLV12</stp>
        <stp>[MODL_CRM_US1.xlsx]Single Period!R130C42</stp>
        <stp>CRM US Equity</stp>
        <stp>BS_ST_OPERATING_LEASE_LIABS/1M</stp>
        <stp>FPR=2022Y</stp>
        <stp>FPT=A</stp>
        <stp>FA_ACT_EST_DATA=E, EST_SOURCE=PSG</stp>
        <stp>ACT_EST_MAPPING=PRECISE</stp>
        <stp>FS=MRC</stp>
        <stp>CURRENCY=USD</stp>
        <stp>XLFILL=b</stp>
        <tr r="AP130" s="2"/>
      </tp>
      <tp t="s">
        <v/>
        <stp/>
        <stp>##V3_BQLV12</stp>
        <stp>[MODL_CRM_US1.xlsx]Single Period!R146C27</stp>
        <stp>CRM US Equity</stp>
        <stp>CUR_RATIO</stp>
        <stp>FPR=2022Y</stp>
        <stp>FPT=A</stp>
        <stp>FA_ACT_EST_DATA=E, EST_SOURCE=LCM</stp>
        <stp>ACT_EST_MAPPING=PRECISE</stp>
        <stp>FS=MRC</stp>
        <stp>CURRENCY=USD</stp>
        <stp>XLFILL=b</stp>
        <tr r="AA146" s="2"/>
      </tp>
      <tp t="s">
        <v/>
        <stp/>
        <stp>##V3_BQLV12</stp>
        <stp>[MODL_CRM_US1.xlsx]Single Period!R94C55</stp>
        <stp>CRM US Equity</stp>
        <stp>IS_SH_FOR_DILUTED_EPS/1M</stp>
        <stp>FPR=2022Y</stp>
        <stp>FPT=A</stp>
        <stp>FA_ACT_EST_DATA=E, EST_SOURCE=RED</stp>
        <stp>ACT_EST_MAPPING=PRECISE</stp>
        <stp>FS=MRC</stp>
        <stp>CURRENCY=USD</stp>
        <stp>XLFILL=b</stp>
        <tr r="BC94" s="2"/>
      </tp>
      <tp t="s">
        <v/>
        <stp/>
        <stp>##V3_BQLV12</stp>
        <stp>[MODL_CRM_US1.xlsx]Single Period!R114C38</stp>
        <stp>CRM US Equity</stp>
        <stp>BS_ACCTS_REC_EXCL_NOTES_REC/1M</stp>
        <stp>FPR=2022Y</stp>
        <stp>FPT=A</stp>
        <stp>FA_ACT_EST_DATA=E, EST_SOURCE=MSR</stp>
        <stp>ACT_EST_MAPPING=PRECISE</stp>
        <stp>FS=MRC</stp>
        <stp>CURRENCY=USD</stp>
        <stp>XLFILL=b</stp>
        <tr r="AL114" s="2"/>
      </tp>
      <tp t="s">
        <v/>
        <stp/>
        <stp>##V3_BQLV12</stp>
        <stp>[MODL_CRM_US1.xlsx]Single Period!R52C48</stp>
        <stp>CRM US Equity</stp>
        <stp>IS_COMP_SALES/1M</stp>
        <stp>FPR=2022Y</stp>
        <stp>FPT=A</stp>
        <stp>FA_ACT_EST_DATA=E, EST_SOURCE=PJE</stp>
        <stp>ACT_EST_MAPPING=PRECISE</stp>
        <stp>FS=MRC</stp>
        <stp>CURRENCY=USD</stp>
        <stp>XLFILL=b</stp>
        <tr r="AV52" s="2"/>
      </tp>
      <tp t="s">
        <v/>
        <stp/>
        <stp>##V3_BQLV12</stp>
        <stp>[MODL_CRM_US1.xlsx]Single Period!R12C43</stp>
        <stp>CRM US Equity</stp>
        <stp>TOT_FUTURE_REV_UNDER_CONTRACT/1M</stp>
        <stp>FPR=2022Y</stp>
        <stp>FPT=A</stp>
        <stp>FA_ACT_EST_DATA=E, EST_SOURCE=DWI</stp>
        <stp>ACT_EST_MAPPING=PRECISE</stp>
        <stp>FS=MRC</stp>
        <stp>CURRENCY=USD</stp>
        <stp>XLFILL=b</stp>
        <tr r="AQ12" s="2"/>
      </tp>
      <tp>
        <v>1.078319491834371</v>
        <stp/>
        <stp>##V3_BQLV12</stp>
        <stp>[MODL_CRM_US1.xlsx]Single Period!R146C13</stp>
        <stp>CRM US Equity</stp>
        <stp>CUR_RATIO</stp>
        <stp>FPR=2022Y</stp>
        <stp>FPT=A</stp>
        <stp>FA_ACT_EST_DATA=E, EST_SOURCE=BCA</stp>
        <stp>ACT_EST_MAPPING=PRECISE</stp>
        <stp>FS=MRC</stp>
        <stp>CURRENCY=USD</stp>
        <stp>XLFILL=b</stp>
        <tr r="M146" s="2"/>
      </tp>
      <tp t="s">
        <v/>
        <stp/>
        <stp>##V3_BQLV12</stp>
        <stp>[MODL_CRM_US1.xlsx]Single Period!R134C38</stp>
        <stp>CRM US Equity</stp>
        <stp>BS_LT_OPERATING_LEASE_LIABS/1M</stp>
        <stp>FPR=2022Y</stp>
        <stp>FPT=A</stp>
        <stp>FA_ACT_EST_DATA=E, EST_SOURCE=MSR</stp>
        <stp>ACT_EST_MAPPING=PRECISE</stp>
        <stp>FS=MRC</stp>
        <stp>CURRENCY=USD</stp>
        <stp>XLFILL=b</stp>
        <tr r="AL134" s="2"/>
      </tp>
      <tp t="s">
        <v/>
        <stp/>
        <stp>##V3_BQLV12</stp>
        <stp>[MODL_CRM_US1.xlsx]Single Period!R98C47</stp>
        <stp>CRM US Equity</stp>
        <stp>IS_INC_TAX_EFFECT_NONGAAP_REC/1M</stp>
        <stp>FPR=2022Y</stp>
        <stp>FPT=A</stp>
        <stp>FA_ACT_EST_DATA=E, EST_SOURCE=WFT</stp>
        <stp>ACT_EST_MAPPING=PRECISE</stp>
        <stp>FS=MRC</stp>
        <stp>CURRENCY=USD</stp>
        <stp>XLFILL=b</stp>
        <tr r="AU98" s="2"/>
      </tp>
      <tp t="s">
        <v/>
        <stp/>
        <stp>##V3_BQLV12</stp>
        <stp>[MODL_CRM_US1.xlsx]Single Period!R146C40</stp>
        <stp>CRM US Equity</stp>
        <stp>CUR_RATIO</stp>
        <stp>FPR=2022Y</stp>
        <stp>FPT=A</stp>
        <stp>FA_ACT_EST_DATA=E, EST_SOURCE=ACC</stp>
        <stp>ACT_EST_MAPPING=PRECISE</stp>
        <stp>FS=MRC</stp>
        <stp>CURRENCY=USD</stp>
        <stp>XLFILL=b</stp>
        <tr r="AN146" s="2"/>
      </tp>
      <tp t="s">
        <v/>
        <stp/>
        <stp>##V3_BQLV12</stp>
        <stp>[MODL_CRM_US1.xlsx]Single Period!R146C19</stp>
        <stp>CRM US Equity</stp>
        <stp>CUR_RATIO</stp>
        <stp>FPR=2022Y</stp>
        <stp>FPT=A</stp>
        <stp>FA_ACT_EST_DATA=E, EST_SOURCE=SCB</stp>
        <stp>ACT_EST_MAPPING=PRECISE</stp>
        <stp>FS=MRC</stp>
        <stp>CURRENCY=USD</stp>
        <stp>XLFILL=b</stp>
        <tr r="S146" s="2"/>
      </tp>
      <tp t="s">
        <v/>
        <stp/>
        <stp>##V3_BQLV12</stp>
        <stp>[MODL_CRM_US1.xlsx]Single Period!R73C39</stp>
        <stp>CRM US Equity</stp>
        <stp>IS_SH_FOR_DILUTED_EPS/1M</stp>
        <stp>FPR=2022Y</stp>
        <stp>FPT=A</stp>
        <stp>FA_ACT_EST_DATA=E, EST_SOURCE=KGI</stp>
        <stp>ACT_EST_MAPPING=PRECISE</stp>
        <stp>FS=MRC</stp>
        <stp>CURRENCY=USD</stp>
        <stp>XLFILL=b</stp>
        <tr r="AM73" s="2"/>
      </tp>
      <tp t="s">
        <v/>
        <stp/>
        <stp>##V3_BQLV12</stp>
        <stp>[MODL_CRM_US1.xlsx]Single Period!R162C42</stp>
        <stp>CRM US Equity</stp>
        <stp>CF_CHANGE_IN_PREPAID_EXPNSS/1M</stp>
        <stp>FPR=2022Y</stp>
        <stp>FPT=A</stp>
        <stp>FA_ACT_EST_DATA=E, EST_SOURCE=PSG</stp>
        <stp>ACT_EST_MAPPING=PRECISE</stp>
        <stp>FS=MRC</stp>
        <stp>CURRENCY=USD</stp>
        <stp>XLFILL=b</stp>
        <tr r="AP162" s="2"/>
      </tp>
      <tp t="s">
        <v/>
        <stp/>
        <stp>##V3_BQLV12</stp>
        <stp>[MODL_CRM_US1.xlsx]Single Period!R63C43</stp>
        <stp>CRM US Equity</stp>
        <stp>CF_DEPR_AMORT/1M</stp>
        <stp>FPR=2022Y</stp>
        <stp>FPT=A</stp>
        <stp>FA_ACT_EST_DATA=E, EST_SOURCE=DWI</stp>
        <stp>ACT_EST_MAPPING=PRECISE</stp>
        <stp>FS=MRC</stp>
        <stp>CURRENCY=USD</stp>
        <stp>XLFILL=b</stp>
        <tr r="AQ63" s="2"/>
      </tp>
      <tp t="s">
        <v/>
        <stp/>
        <stp>##V3_BQLV12</stp>
        <stp>[MODL_CRM_US1.xlsx]Single Period!R134C41</stp>
        <stp>CRM US Equity</stp>
        <stp>BS_LT_OPERATING_LEASE_LIABS/1M</stp>
        <stp>FPR=2022Y</stp>
        <stp>FPT=A</stp>
        <stp>FA_ACT_EST_DATA=E, EST_SOURCE=GSR</stp>
        <stp>ACT_EST_MAPPING=PRECISE</stp>
        <stp>FS=MRC</stp>
        <stp>CURRENCY=USD</stp>
        <stp>XLFILL=b</stp>
        <tr r="AO134" s="2"/>
      </tp>
      <tp t="s">
        <v/>
        <stp/>
        <stp>##V3_BQLV12</stp>
        <stp>[MODL_CRM_US1.xlsx]Single Period!R14C25</stp>
        <stp>CRM US Equity</stp>
        <stp>NON_CURRENT_FUTURE_REV_UNDER_CONTRACT/1M</stp>
        <stp>FPR=2022Y</stp>
        <stp>FPT=A</stp>
        <stp>FA_ACT_EST_DATA=E, EST_SOURCE=WMS</stp>
        <stp>ACT_EST_MAPPING=PRECISE</stp>
        <stp>FS=MRC</stp>
        <stp>CURRENCY=USD</stp>
        <stp>XLFILL=b</stp>
        <tr r="Y14" s="2"/>
      </tp>
      <tp t="s">
        <v/>
        <stp/>
        <stp>##V3_BQLV12</stp>
        <stp>[MODL_CRM_US1.xlsx]Single Period!R134C15</stp>
        <stp>CRM US Equity</stp>
        <stp>BS_LT_OPERATING_LEASE_LIABS/1M</stp>
        <stp>FPR=2022Y</stp>
        <stp>FPT=A</stp>
        <stp>FA_ACT_EST_DATA=E, EST_SOURCE=MSV</stp>
        <stp>ACT_EST_MAPPING=PRECISE</stp>
        <stp>FS=MRC</stp>
        <stp>CURRENCY=USD</stp>
        <stp>XLFILL=b</stp>
        <tr r="O134" s="2"/>
      </tp>
      <tp t="s">
        <v/>
        <stp/>
        <stp>##V3_BQLV12</stp>
        <stp>[MODL_CRM_US1.xlsx]Single Period!R130C15</stp>
        <stp>CRM US Equity</stp>
        <stp>BS_ST_OPERATING_LEASE_LIABS/1M</stp>
        <stp>FPR=2022Y</stp>
        <stp>FPT=A</stp>
        <stp>FA_ACT_EST_DATA=E, EST_SOURCE=MSV</stp>
        <stp>ACT_EST_MAPPING=PRECISE</stp>
        <stp>FS=MRC</stp>
        <stp>CURRENCY=USD</stp>
        <stp>XLFILL=b</stp>
        <tr r="O130" s="2"/>
      </tp>
      <tp t="s">
        <v/>
        <stp/>
        <stp>##V3_BQLV12</stp>
        <stp>[MODL_CRM_US1.xlsx]Single Period!R137C47</stp>
        <stp>CRM US Equity</stp>
        <stp>BS_EQTY_BEFORE_MINORITY_INT/1M</stp>
        <stp>FPR=2022Y</stp>
        <stp>FPT=A</stp>
        <stp>FA_ACT_EST_DATA=E, EST_SOURCE=WFT</stp>
        <stp>ACT_EST_MAPPING=PRECISE</stp>
        <stp>FS=MRC</stp>
        <stp>CURRENCY=USD</stp>
        <stp>XLFILL=b</stp>
        <tr r="AU137" s="2"/>
      </tp>
      <tp t="s">
        <v/>
        <stp/>
        <stp>##V3_BQLV12</stp>
        <stp>[MODL_CRM_US1.xlsx]Single Period!R94C32</stp>
        <stp>CRM US Equity</stp>
        <stp>IS_SH_FOR_DILUTED_EPS/1M</stp>
        <stp>FPR=2022Y</stp>
        <stp>FPT=A</stp>
        <stp>FA_ACT_EST_DATA=E, EST_SOURCE=UBS</stp>
        <stp>ACT_EST_MAPPING=PRECISE</stp>
        <stp>FS=MRC</stp>
        <stp>CURRENCY=USD</stp>
        <stp>XLFILL=b</stp>
        <tr r="AF94" s="2"/>
      </tp>
      <tp t="s">
        <v/>
        <stp/>
        <stp>##V3_BQLV12</stp>
        <stp>[MODL_CRM_US1.xlsx]Single Period!R130C41</stp>
        <stp>CRM US Equity</stp>
        <stp>BS_ST_OPERATING_LEASE_LIABS/1M</stp>
        <stp>FPR=2022Y</stp>
        <stp>FPT=A</stp>
        <stp>FA_ACT_EST_DATA=E, EST_SOURCE=GSR</stp>
        <stp>ACT_EST_MAPPING=PRECISE</stp>
        <stp>FS=MRC</stp>
        <stp>CURRENCY=USD</stp>
        <stp>XLFILL=b</stp>
        <tr r="AO130" s="2"/>
      </tp>
      <tp>
        <v>11925.88463417618</v>
        <stp/>
        <stp>##V3_BQLV12</stp>
        <stp>[MODL_CRM_US1.xlsx]Single Period!R85C13</stp>
        <stp>CRM US Equity</stp>
        <stp>CB_IS_S_AND_M_EXPENSE/1M</stp>
        <stp>FPR=2022Y</stp>
        <stp>FPT=A</stp>
        <stp>FA_ACT_EST_DATA=E, EST_SOURCE=BCA</stp>
        <stp>ACT_EST_MAPPING=PRECISE</stp>
        <stp>FS=MRC</stp>
        <stp>CURRENCY=USD</stp>
        <stp>XLFILL=b</stp>
        <tr r="M85" s="2"/>
      </tp>
      <tp t="s">
        <v/>
        <stp/>
        <stp>##V3_BQLV12</stp>
        <stp>[MODL_CRM_US1.xlsx]Single Period!R52C51</stp>
        <stp>CRM US Equity</stp>
        <stp>IS_COMP_SALES/1M</stp>
        <stp>FPR=2022Y</stp>
        <stp>FPT=A</stp>
        <stp>FA_ACT_EST_DATA=E, EST_SOURCE=RCP</stp>
        <stp>ACT_EST_MAPPING=PRECISE</stp>
        <stp>FS=MRC</stp>
        <stp>CURRENCY=USD</stp>
        <stp>XLFILL=b</stp>
        <tr r="AY52" s="2"/>
      </tp>
      <tp t="s">
        <v/>
        <stp/>
        <stp>##V3_BQLV12</stp>
        <stp>[MODL_CRM_US1.xlsx]Single Period!R98C30</stp>
        <stp>CRM US Equity</stp>
        <stp>IS_INC_TAX_EFFECT_NONGAAP_REC/1M</stp>
        <stp>FPR=2022Y</stp>
        <stp>FPT=A</stp>
        <stp>FA_ACT_EST_DATA=E, EST_SOURCE=BAM</stp>
        <stp>ACT_EST_MAPPING=PRECISE</stp>
        <stp>FS=MRC</stp>
        <stp>CURRENCY=USD</stp>
        <stp>XLFILL=b</stp>
        <tr r="AD98" s="2"/>
      </tp>
      <tp>
        <v>4.6819999999999986</v>
        <stp/>
        <stp>##V3_BQLV12</stp>
        <stp>[MODL_CRM_US1.xlsx]Single Period!R6C5</stp>
        <stp>CRM US Equity</stp>
        <stp>IS_COMP_EPS_EXCL_STOCK_COMP</stp>
        <stp>FPR=2022Y</stp>
        <stp>FPT=A</stp>
        <stp>FA_ACT_EST_DATA=E</stp>
        <stp>ACT_EST_MAPPING=PRECISE</stp>
        <stp>FS=MRC</stp>
        <stp>CURRENCY=USD</stp>
        <stp>XLFILL=b</stp>
        <tr r="E6" s="2"/>
      </tp>
      <tp t="s">
        <v/>
        <stp/>
        <stp>##V3_BQLV12</stp>
        <stp>[MODL_CRM_US1.xlsx]Single Period!R114C42</stp>
        <stp>CRM US Equity</stp>
        <stp>BS_ACCTS_REC_EXCL_NOTES_REC/1M</stp>
        <stp>FPR=2022Y</stp>
        <stp>FPT=A</stp>
        <stp>FA_ACT_EST_DATA=E, EST_SOURCE=PSG</stp>
        <stp>ACT_EST_MAPPING=PRECISE</stp>
        <stp>FS=MRC</stp>
        <stp>CURRENCY=USD</stp>
        <stp>XLFILL=b</stp>
        <tr r="AP114" s="2"/>
      </tp>
      <tp t="s">
        <v/>
        <stp/>
        <stp>##V3_BQLV12</stp>
        <stp>[MODL_CRM_US1.xlsx]Single Period!R130C38</stp>
        <stp>CRM US Equity</stp>
        <stp>BS_ST_OPERATING_LEASE_LIABS/1M</stp>
        <stp>FPR=2022Y</stp>
        <stp>FPT=A</stp>
        <stp>FA_ACT_EST_DATA=E, EST_SOURCE=MSR</stp>
        <stp>ACT_EST_MAPPING=PRECISE</stp>
        <stp>FS=MRC</stp>
        <stp>CURRENCY=USD</stp>
        <stp>XLFILL=b</stp>
        <tr r="AL130" s="2"/>
      </tp>
      <tp t="s">
        <v/>
        <stp/>
        <stp>##V3_BQLV12</stp>
        <stp>[MODL_CRM_US1.xlsx]Single Period!R68C39</stp>
        <stp>CRM US Equity</stp>
        <stp>IS_COMP_PTP_EX_STK_BASED_COMP/1M</stp>
        <stp>FPR=2022Y</stp>
        <stp>FPT=A</stp>
        <stp>FA_ACT_EST_DATA=E, EST_SOURCE=KGI</stp>
        <stp>ACT_EST_MAPPING=PRECISE</stp>
        <stp>FS=MRC</stp>
        <stp>CURRENCY=USD</stp>
        <stp>XLFILL=b</stp>
        <tr r="AM68" s="2"/>
      </tp>
      <tp t="s">
        <v/>
        <stp/>
        <stp>##V3_BQLV12</stp>
        <stp>[MODL_CRM_US1.xlsx]Single Period!R93C33</stp>
        <stp>CRM US Equity</stp>
        <stp>IS_AVG_NUM_SH_FOR_EPS/1M</stp>
        <stp>FPR=2022Y</stp>
        <stp>FPT=A</stp>
        <stp>FA_ACT_EST_DATA=E, EST_SOURCE=RHR</stp>
        <stp>ACT_EST_MAPPING=PRECISE</stp>
        <stp>FS=MRC</stp>
        <stp>CURRENCY=USD</stp>
        <stp>XLFILL=b</stp>
        <tr r="AG93" s="2"/>
      </tp>
      <tp t="s">
        <v/>
        <stp/>
        <stp>##V3_BQLV12</stp>
        <stp>[MODL_CRM_US1.xlsx]Single Period!R85C55</stp>
        <stp>CRM US Equity</stp>
        <stp>CB_IS_S_AND_M_EXPENSE/1M</stp>
        <stp>FPR=2022Y</stp>
        <stp>FPT=A</stp>
        <stp>FA_ACT_EST_DATA=E, EST_SOURCE=RED</stp>
        <stp>ACT_EST_MAPPING=PRECISE</stp>
        <stp>FS=MRC</stp>
        <stp>CURRENCY=USD</stp>
        <stp>XLFILL=b</stp>
        <tr r="BC85" s="2"/>
      </tp>
      <tp t="s">
        <v/>
        <stp/>
        <stp>##V3_BQLV12</stp>
        <stp>[MODL_CRM_US1.xlsx]Single Period!R137C52</stp>
        <stp>CRM US Equity</stp>
        <stp>BS_EQTY_BEFORE_MINORITY_INT/1M</stp>
        <stp>FPR=2022Y</stp>
        <stp>FPT=A</stp>
        <stp>FA_ACT_EST_DATA=E, EST_SOURCE=WFR</stp>
        <stp>ACT_EST_MAPPING=PRECISE</stp>
        <stp>FS=MRC</stp>
        <stp>CURRENCY=USD</stp>
        <stp>XLFILL=b</stp>
        <tr r="AZ137" s="2"/>
      </tp>
      <tp t="s">
        <v/>
        <stp/>
        <stp>##V3_BQLV12</stp>
        <stp>[MODL_CRM_US1.xlsx]Single Period!R98C34</stp>
        <stp>CRM US Equity</stp>
        <stp>IS_INC_TAX_EFFECT_NONGAAP_REC/1M</stp>
        <stp>FPR=2022Y</stp>
        <stp>FPT=A</stp>
        <stp>FA_ACT_EST_DATA=E, EST_SOURCE=JEF</stp>
        <stp>ACT_EST_MAPPING=PRECISE</stp>
        <stp>FS=MRC</stp>
        <stp>CURRENCY=USD</stp>
        <stp>XLFILL=b</stp>
        <tr r="AH98" s="2"/>
      </tp>
      <tp t="s">
        <v/>
        <stp/>
        <stp>##V3_BQLV12</stp>
        <stp>[MODL_CRM_US1.xlsx]Single Period!R162C41</stp>
        <stp>CRM US Equity</stp>
        <stp>CF_CHANGE_IN_PREPAID_EXPNSS/1M</stp>
        <stp>FPR=2022Y</stp>
        <stp>FPT=A</stp>
        <stp>FA_ACT_EST_DATA=E, EST_SOURCE=GSR</stp>
        <stp>ACT_EST_MAPPING=PRECISE</stp>
        <stp>FS=MRC</stp>
        <stp>CURRENCY=USD</stp>
        <stp>XLFILL=b</stp>
        <tr r="AO162" s="2"/>
      </tp>
      <tp>
        <v>-1</v>
        <stp/>
        <stp>##V3_BQLV12</stp>
        <stp>[MODL_CRM_US1.xlsx]Single Period!R162C15</stp>
        <stp>CRM US Equity</stp>
        <stp>CF_CHANGE_IN_PREPAID_EXPNSS/1M</stp>
        <stp>FPR=2022Y</stp>
        <stp>FPT=A</stp>
        <stp>FA_ACT_EST_DATA=E, EST_SOURCE=MSV</stp>
        <stp>ACT_EST_MAPPING=PRECISE</stp>
        <stp>FS=MRC</stp>
        <stp>CURRENCY=USD</stp>
        <stp>XLFILL=b</stp>
        <tr r="O162" s="2"/>
      </tp>
      <tp t="s">
        <v/>
        <stp/>
        <stp>##V3_BQLV12</stp>
        <stp>[MODL_CRM_US1.xlsx]Single Period!R146C51</stp>
        <stp>CRM US Equity</stp>
        <stp>CUR_RATIO</stp>
        <stp>FPR=2022Y</stp>
        <stp>FPT=A</stp>
        <stp>FA_ACT_EST_DATA=E, EST_SOURCE=RCP</stp>
        <stp>ACT_EST_MAPPING=PRECISE</stp>
        <stp>FS=MRC</stp>
        <stp>CURRENCY=USD</stp>
        <stp>XLFILL=b</stp>
        <tr r="AY146" s="2"/>
      </tp>
      <tp t="s">
        <v/>
        <stp/>
        <stp>##V3_BQLV12</stp>
        <stp>[MODL_CRM_US1.xlsx]Single Period!R68C49</stp>
        <stp>CRM US Equity</stp>
        <stp>IS_COMP_PTP_EX_STK_BASED_COMP/1M</stp>
        <stp>FPR=2022Y</stp>
        <stp>FPT=A</stp>
        <stp>FA_ACT_EST_DATA=E, EST_SOURCE=SGE</stp>
        <stp>ACT_EST_MAPPING=PRECISE</stp>
        <stp>FS=MRC</stp>
        <stp>CURRENCY=USD</stp>
        <stp>XLFILL=b</stp>
        <tr r="AW68" s="2"/>
      </tp>
      <tp t="s">
        <v/>
        <stp/>
        <stp>##V3_BQLV12</stp>
        <stp>[MODL_CRM_US1.xlsx]Single Period!R134C42</stp>
        <stp>CRM US Equity</stp>
        <stp>BS_LT_OPERATING_LEASE_LIABS/1M</stp>
        <stp>FPR=2022Y</stp>
        <stp>FPT=A</stp>
        <stp>FA_ACT_EST_DATA=E, EST_SOURCE=PSG</stp>
        <stp>ACT_EST_MAPPING=PRECISE</stp>
        <stp>FS=MRC</stp>
        <stp>CURRENCY=USD</stp>
        <stp>XLFILL=b</stp>
        <tr r="AP134" s="2"/>
      </tp>
      <tp t="s">
        <v/>
        <stp/>
        <stp>##V3_BQLV12</stp>
        <stp>[MODL_CRM_US1.xlsx]Single Period!R162C38</stp>
        <stp>CRM US Equity</stp>
        <stp>CF_CHANGE_IN_PREPAID_EXPNSS/1M</stp>
        <stp>FPR=2022Y</stp>
        <stp>FPT=A</stp>
        <stp>FA_ACT_EST_DATA=E, EST_SOURCE=MSR</stp>
        <stp>ACT_EST_MAPPING=PRECISE</stp>
        <stp>FS=MRC</stp>
        <stp>CURRENCY=USD</stp>
        <stp>XLFILL=b</stp>
        <tr r="AL162" s="2"/>
      </tp>
      <tp t="s">
        <v/>
        <stp/>
        <stp>##V3_BQLV12</stp>
        <stp>[MODL_CRM_US1.xlsx]Single Period!R140C49</stp>
        <stp>CRM US Equity</stp>
        <stp>BS_ACCUMULATED_OTHER_COMP_INC/1M</stp>
        <stp>FPR=2022Y</stp>
        <stp>FPT=A</stp>
        <stp>FA_ACT_EST_DATA=E, EST_SOURCE=SGE</stp>
        <stp>ACT_EST_MAPPING=PRECISE</stp>
        <stp>FS=MRC</stp>
        <stp>CURRENCY=USD</stp>
        <stp>XLFILL=b</stp>
        <tr r="AW140" s="2"/>
      </tp>
      <tp t="s">
        <v/>
        <stp/>
        <stp>##V3_BQLV12</stp>
        <stp>[MODL_CRM_US1.xlsx]Single Period!R65C31</stp>
        <stp>CRM US Equity</stp>
        <stp>IS_AMORT_OF_TOT_INTANG_PRETX/1M</stp>
        <stp>FPR=2022Y</stp>
        <stp>FPT=A</stp>
        <stp>FA_ACT_EST_DATA=E, EST_SOURCE=RBC</stp>
        <stp>ACT_EST_MAPPING=PRECISE</stp>
        <stp>FS=MRC</stp>
        <stp>CURRENCY=USD</stp>
        <stp>XLFILL=b</stp>
        <tr r="AE65" s="2"/>
      </tp>
      <tp>
        <v>3603</v>
        <stp/>
        <stp>##V3_BQLV12</stp>
        <stp>[MODL_CRM_US1.xlsx]Single Period!R30C6</stp>
        <stp>SEG0000269238 Segment</stp>
        <stp>CONTRIBUTOR_STATS(IS_COGS_TO_FE_AND_PP_AND_G, MIN)/1M</stp>
        <stp>FPR=2022Y</stp>
        <stp>FPT=A</stp>
        <stp>FA_ACT_EST_DATA=E</stp>
        <stp>ACT_EST_MAPPING=PRECISE</stp>
        <stp>FS=MRC</stp>
        <stp>CURRENCY=USD</stp>
        <stp>XLFILL=b</stp>
        <tr r="F30" s="2"/>
      </tp>
      <tp>
        <v>5131.1447670446742</v>
        <stp/>
        <stp>##V3_BQLV12</stp>
        <stp>[MODL_CRM_US1.xlsx]Single Period!R30C7</stp>
        <stp>SEG0000269238 Segment</stp>
        <stp>CONTRIBUTOR_STATS(IS_COGS_TO_FE_AND_PP_AND_G, MAX)/1M</stp>
        <stp>FPR=2022Y</stp>
        <stp>FPT=A</stp>
        <stp>FA_ACT_EST_DATA=E</stp>
        <stp>ACT_EST_MAPPING=PRECISE</stp>
        <stp>FS=MRC</stp>
        <stp>CURRENCY=USD</stp>
        <stp>XLFILL=b</stp>
        <tr r="G30" s="2"/>
      </tp>
      <tp t="s">
        <v/>
        <stp/>
        <stp>##V3_BQLV12</stp>
        <stp>[MODL_CRM_US1.xlsx]Single Period!R151C39</stp>
        <stp>CRM US Equity</stp>
        <stp>NON_CURRENT_FUTURE_REV_UNDER_CONTRACT/1M</stp>
        <stp>FPR=2022Y</stp>
        <stp>FPT=A</stp>
        <stp>FA_ACT_EST_DATA=E, EST_SOURCE=KGI</stp>
        <stp>ACT_EST_MAPPING=PRECISE</stp>
        <stp>FS=MRC</stp>
        <stp>CURRENCY=USD</stp>
        <stp>XLFILL=b</stp>
        <tr r="AM151" s="2"/>
      </tp>
      <tp t="s">
        <v/>
        <stp/>
        <stp>##V3_BQLV12</stp>
        <stp>[MODL_CRM_US1.xlsx]Single Period!R151C49</stp>
        <stp>CRM US Equity</stp>
        <stp>NON_CURRENT_FUTURE_REV_UNDER_CONTRACT/1M</stp>
        <stp>FPR=2022Y</stp>
        <stp>FPT=A</stp>
        <stp>FA_ACT_EST_DATA=E, EST_SOURCE=SGE</stp>
        <stp>ACT_EST_MAPPING=PRECISE</stp>
        <stp>FS=MRC</stp>
        <stp>CURRENCY=USD</stp>
        <stp>XLFILL=b</stp>
        <tr r="AW151" s="2"/>
      </tp>
      <tp t="s">
        <v/>
        <stp/>
        <stp>##V3_BQLV12</stp>
        <stp>[MODL_CRM_US1.xlsx]Single Period!R101C53</stp>
        <stp>CRM US Equity</stp>
        <stp>IS_SBC_ATTRIBUTABLE_TO_R_AND_D_PRETX/1M</stp>
        <stp>FPR=2022Y</stp>
        <stp>FPT=A</stp>
        <stp>FA_ACT_EST_DATA=E, EST_SOURCE=NIK</stp>
        <stp>ACT_EST_MAPPING=PRECISE</stp>
        <stp>FS=MRC</stp>
        <stp>CURRENCY=USD</stp>
        <stp>XLFILL=b</stp>
        <tr r="BA101" s="2"/>
      </tp>
      <tp t="s">
        <v/>
        <stp/>
        <stp>##V3_BQLV12</stp>
        <stp>[MODL_CRM_US1.xlsx]Single Period!R65C27</stp>
        <stp>CRM US Equity</stp>
        <stp>IS_AMORT_OF_TOT_INTANG_PRETX/1M</stp>
        <stp>FPR=2022Y</stp>
        <stp>FPT=A</stp>
        <stp>FA_ACT_EST_DATA=E, EST_SOURCE=LCM</stp>
        <stp>ACT_EST_MAPPING=PRECISE</stp>
        <stp>FS=MRC</stp>
        <stp>CURRENCY=USD</stp>
        <stp>XLFILL=b</stp>
        <tr r="AA65" s="2"/>
      </tp>
      <tp t="s">
        <v/>
        <stp/>
        <stp>##V3_BQLV12</stp>
        <stp>[MODL_CRM_US1.xlsx]Single Period!R101C12</stp>
        <stp>CRM US Equity</stp>
        <stp>IS_SBC_ATTRIBUTABLE_TO_R_AND_D_PRETX/1M</stp>
        <stp>FPR=2022Y</stp>
        <stp>FPT=A</stp>
        <stp>FA_ACT_EST_DATA=E, EST_SOURCE=BMO</stp>
        <stp>ACT_EST_MAPPING=PRECISE</stp>
        <stp>FS=MRC</stp>
        <stp>CURRENCY=USD</stp>
        <stp>XLFILL=b</stp>
        <tr r="L101" s="2"/>
      </tp>
      <tp t="s">
        <v/>
        <stp/>
        <stp>##V3_BQLV12</stp>
        <stp>[MODL_CRM_US1.xlsx]Single Period!R119C12</stp>
        <stp>CRM US Equity</stp>
        <stp>CB_BS_OTHER_NONCURRENT_ASSETS/1M</stp>
        <stp>FPR=2022Y</stp>
        <stp>FPT=A</stp>
        <stp>FA_ACT_EST_DATA=E, EST_SOURCE=BMO</stp>
        <stp>ACT_EST_MAPPING=PRECISE</stp>
        <stp>FS=MRC</stp>
        <stp>CURRENCY=USD</stp>
        <stp>XLFILL=b</stp>
        <tr r="L119" s="2"/>
      </tp>
      <tp t="s">
        <v/>
        <stp/>
        <stp>##V3_BQLV12</stp>
        <stp>[MODL_CRM_US1.xlsx]Single Period!R140C39</stp>
        <stp>CRM US Equity</stp>
        <stp>BS_ACCUMULATED_OTHER_COMP_INC/1M</stp>
        <stp>FPR=2022Y</stp>
        <stp>FPT=A</stp>
        <stp>FA_ACT_EST_DATA=E, EST_SOURCE=KGI</stp>
        <stp>ACT_EST_MAPPING=PRECISE</stp>
        <stp>FS=MRC</stp>
        <stp>CURRENCY=USD</stp>
        <stp>XLFILL=b</stp>
        <tr r="AM140" s="2"/>
      </tp>
      <tp t="s">
        <v/>
        <stp/>
        <stp>##V3_BQLV12</stp>
        <stp>[MODL_CRM_US1.xlsx]Single Period!R149C23</stp>
        <stp>CRM US Equity</stp>
        <stp>TOT_FUTURE_REV_UNDER_CONTRACT/1M</stp>
        <stp>FPR=2022Y</stp>
        <stp>FPT=A</stp>
        <stp>FA_ACT_EST_DATA=E, EST_SOURCE=JPM</stp>
        <stp>ACT_EST_MAPPING=PRECISE</stp>
        <stp>FS=MRC</stp>
        <stp>CURRENCY=USD</stp>
        <stp>XLFILL=b</stp>
        <tr r="W149" s="2"/>
      </tp>
      <tp t="s">
        <v/>
        <stp/>
        <stp>##V3_BQLV12</stp>
        <stp>[MODL_CRM_US1.xlsx]Single Period!R28C43</stp>
        <stp>SEG0000269242 Segment</stp>
        <stp>SALES_REV_TURN/1M</stp>
        <stp>FPR=2022Y</stp>
        <stp>FPT=A</stp>
        <stp>FA_ACT_EST_DATA=E, EST_SOURCE=DWI</stp>
        <stp>ACT_EST_MAPPING=PRECISE</stp>
        <stp>FS=MRC</stp>
        <stp>CURRENCY=USD</stp>
        <stp>XLFILL=b</stp>
        <tr r="AQ28" s="2"/>
      </tp>
      <tp t="s">
        <v/>
        <stp/>
        <stp>##V3_BQLV12</stp>
        <stp>[MODL_CRM_US1.xlsx]Single Period!R119C56</stp>
        <stp>CRM US Equity</stp>
        <stp>CB_BS_OTHER_NONCURRENT_ASSETS/1M</stp>
        <stp>FPR=2022Y</stp>
        <stp>FPT=A</stp>
        <stp>FA_ACT_EST_DATA=E, EST_SOURCE=DIR</stp>
        <stp>ACT_EST_MAPPING=PRECISE</stp>
        <stp>FS=MRC</stp>
        <stp>CURRENCY=USD</stp>
        <stp>XLFILL=b</stp>
        <tr r="BD119" s="2"/>
      </tp>
      <tp t="s">
        <v/>
        <stp/>
        <stp>##V3_BQLV12</stp>
        <stp>[MODL_CRM_US1.xlsx]Single Period!R28C28</stp>
        <stp>SEG0000269242 Segment</stp>
        <stp>SALES_REV_TURN/1M</stp>
        <stp>FPR=2022Y</stp>
        <stp>FPT=A</stp>
        <stp>FA_ACT_EST_DATA=E, EST_SOURCE=CWN</stp>
        <stp>ACT_EST_MAPPING=PRECISE</stp>
        <stp>FS=MRC</stp>
        <stp>CURRENCY=USD</stp>
        <stp>XLFILL=b</stp>
        <tr r="AB28" s="2"/>
      </tp>
      <tp t="s">
        <v/>
        <stp/>
        <stp>##V3_BQLV12</stp>
        <stp>[MODL_CRM_US1.xlsx]Single Period!R101C56</stp>
        <stp>CRM US Equity</stp>
        <stp>IS_SBC_ATTRIBUTABLE_TO_R_AND_D_PRETX/1M</stp>
        <stp>FPR=2022Y</stp>
        <stp>FPT=A</stp>
        <stp>FA_ACT_EST_DATA=E, EST_SOURCE=DIR</stp>
        <stp>ACT_EST_MAPPING=PRECISE</stp>
        <stp>FS=MRC</stp>
        <stp>CURRENCY=USD</stp>
        <stp>XLFILL=b</stp>
        <tr r="BD101" s="2"/>
      </tp>
      <tp t="s">
        <v/>
        <stp/>
        <stp>##V3_BQLV12</stp>
        <stp>[MODL_CRM_US1.xlsx]Single Period!R65C32</stp>
        <stp>CRM US Equity</stp>
        <stp>IS_AMORT_OF_TOT_INTANG_PRETX/1M</stp>
        <stp>FPR=2022Y</stp>
        <stp>FPT=A</stp>
        <stp>FA_ACT_EST_DATA=E, EST_SOURCE=UBS</stp>
        <stp>ACT_EST_MAPPING=PRECISE</stp>
        <stp>FS=MRC</stp>
        <stp>CURRENCY=USD</stp>
        <stp>XLFILL=b</stp>
        <tr r="AF65" s="2"/>
      </tp>
      <tp t="s">
        <v/>
        <stp/>
        <stp>##V3_BQLV12</stp>
        <stp>[MODL_CRM_US1.xlsx]Single Period!R28C44</stp>
        <stp>SEG0000269242 Segment</stp>
        <stp>SALES_REV_TURN/1M</stp>
        <stp>FPR=2022Y</stp>
        <stp>FPT=A</stp>
        <stp>FA_ACT_EST_DATA=E, EST_SOURCE=RWB</stp>
        <stp>ACT_EST_MAPPING=PRECISE</stp>
        <stp>FS=MRC</stp>
        <stp>CURRENCY=USD</stp>
        <stp>XLFILL=b</stp>
        <tr r="AR28" s="2"/>
      </tp>
      <tp t="s">
        <v/>
        <stp/>
        <stp>##V3_BQLV12</stp>
        <stp>[MODL_CRM_US1.xlsx]Single Period!R83C39</stp>
        <stp>CRM US Equity</stp>
        <stp>IS_OPEX_R_AND_D_GAAP/1M</stp>
        <stp>FPR=2022Y</stp>
        <stp>FPT=A</stp>
        <stp>FA_ACT_EST_DATA=E, EST_SOURCE=KGI</stp>
        <stp>ACT_EST_MAPPING=PRECISE</stp>
        <stp>FS=MRC</stp>
        <stp>CURRENCY=USD</stp>
        <stp>XLFILL=b</stp>
        <tr r="AM83" s="2"/>
      </tp>
      <tp>
        <v>450.55044349745117</v>
        <stp/>
        <stp>##V3_BQLV12</stp>
        <stp>[MODL_CRM_US1.xlsx]Single Period!R30C8</stp>
        <stp>SEG0000269238 Segment</stp>
        <stp>CONTRIBUTOR_STATS(IS_COGS_TO_FE_AND_PP_AND_G, STD)/1M</stp>
        <stp>FPR=2022Y</stp>
        <stp>FPT=A</stp>
        <stp>FA_ACT_EST_DATA=E</stp>
        <stp>ACT_EST_MAPPING=PRECISE</stp>
        <stp>FS=MRC</stp>
        <stp>CURRENCY=USD</stp>
        <stp>XLFILL=b</stp>
        <tr r="H30" s="2"/>
      </tp>
      <tp>
        <v>3123</v>
        <stp/>
        <stp>##V3_BQLV12</stp>
        <stp>[MODL_CRM_US1.xlsx]Single Period!R123C24</stp>
        <stp>CRM US Equity</stp>
        <stp>TOT_OPER_LEA_RT_OF_USE_ASSETS/1M</stp>
        <stp>FPR=2022Y</stp>
        <stp>FPT=A</stp>
        <stp>FA_ACT_EST_DATA=E, EST_SOURCE=FBC</stp>
        <stp>ACT_EST_MAPPING=PRECISE</stp>
        <stp>FS=MRC</stp>
        <stp>CURRENCY=USD</stp>
        <stp>XLFILL=b</stp>
        <tr r="X123" s="2"/>
      </tp>
      <tp t="s">
        <v/>
        <stp/>
        <stp>##V3_BQLV12</stp>
        <stp>[MODL_CRM_US1.xlsx]Single Period!R101C29</stp>
        <stp>CRM US Equity</stp>
        <stp>IS_SBC_ATTRIBUTABLE_TO_R_AND_D_PRETX/1M</stp>
        <stp>FPR=2022Y</stp>
        <stp>FPT=A</stp>
        <stp>FA_ACT_EST_DATA=E, EST_SOURCE=BNS</stp>
        <stp>ACT_EST_MAPPING=PRECISE</stp>
        <stp>FS=MRC</stp>
        <stp>CURRENCY=USD</stp>
        <stp>XLFILL=b</stp>
        <tr r="AC101" s="2"/>
      </tp>
      <tp t="s">
        <v/>
        <stp/>
        <stp>##V3_BQLV12</stp>
        <stp>[MODL_CRM_US1.xlsx]Single Period!R149C44</stp>
        <stp>CRM US Equity</stp>
        <stp>TOT_FUTURE_REV_UNDER_CONTRACT/1M</stp>
        <stp>FPR=2022Y</stp>
        <stp>FPT=A</stp>
        <stp>FA_ACT_EST_DATA=E, EST_SOURCE=RWB</stp>
        <stp>ACT_EST_MAPPING=PRECISE</stp>
        <stp>FS=MRC</stp>
        <stp>CURRENCY=USD</stp>
        <stp>XLFILL=b</stp>
        <tr r="AR149" s="2"/>
      </tp>
      <tp t="s">
        <v/>
        <stp/>
        <stp>##V3_BQLV12</stp>
        <stp>[MODL_CRM_US1.xlsx]Single Period!R82C37</stp>
        <stp>CRM US Equity</stp>
        <stp>OPERATING_EXPENSES_TO_NET_SALES</stp>
        <stp>FPR=2022Y</stp>
        <stp>FPT=A</stp>
        <stp>FA_ACT_EST_DATA=E, EST_SOURCE=EVR</stp>
        <stp>ACT_EST_MAPPING=PRECISE</stp>
        <stp>FS=MRC</stp>
        <stp>CURRENCY=USD</stp>
        <stp>XLFILL=b</stp>
        <tr r="AK82" s="2"/>
      </tp>
      <tp t="s">
        <v/>
        <stp/>
        <stp>##V3_BQLV12</stp>
        <stp>[MODL_CRM_US1.xlsx]Single Period!R105C10</stp>
        <stp>CRM US Equity</stp>
        <stp>IS_AMORT_ACQD_INTANGIBLES_COGS/1M</stp>
        <stp>FPR=2022Y</stp>
        <stp>FPT=A</stp>
        <stp>FA_ACT_EST_DATA=E, EST_SOURCE=CMPY</stp>
        <stp>ACT_EST_MAPPING=PRECISE</stp>
        <stp>FS=MRC</stp>
        <stp>CURRENCY=USD</stp>
        <stp>XLFILL=b</stp>
        <tr r="J105" s="2"/>
      </tp>
      <tp t="s">
        <v/>
        <stp/>
        <stp>##V3_BQLV12</stp>
        <stp>[MODL_CRM_US1.xlsx]Single Period!R82C28</stp>
        <stp>CRM US Equity</stp>
        <stp>OPERATING_EXPENSES_TO_NET_SALES</stp>
        <stp>FPR=2022Y</stp>
        <stp>FPT=A</stp>
        <stp>FA_ACT_EST_DATA=E, EST_SOURCE=CWN</stp>
        <stp>ACT_EST_MAPPING=PRECISE</stp>
        <stp>FS=MRC</stp>
        <stp>CURRENCY=USD</stp>
        <stp>XLFILL=b</stp>
        <tr r="AB82" s="2"/>
      </tp>
      <tp t="s">
        <v/>
        <stp/>
        <stp>##V3_BQLV12</stp>
        <stp>[MODL_CRM_US1.xlsx]Single Period!R171C10</stp>
        <stp>CRM US Equity</stp>
        <stp>CF_PURCHASE_OF_FIXED_PROD_ASSETS/1M</stp>
        <stp>FPR=2022Y</stp>
        <stp>FPT=A</stp>
        <stp>FA_ACT_EST_DATA=E, EST_SOURCE=CMPY</stp>
        <stp>ACT_EST_MAPPING=PRECISE</stp>
        <stp>FS=MRC</stp>
        <stp>CURRENCY=USD</stp>
        <stp>XLFILL=b</stp>
        <tr r="J171" s="2"/>
      </tp>
      <tp>
        <v>1.32</v>
        <stp/>
        <stp>##V3_BQLV12</stp>
        <stp>[MODL_CRM_US1.xlsx]Single Period!R95C26</stp>
        <stp>CRM US Equity</stp>
        <stp>IS_COMP_EPS_GAAP</stp>
        <stp>FPR=2022Y</stp>
        <stp>FPT=A</stp>
        <stp>FA_ACT_EST_DATA=E, EST_SOURCE=KEY</stp>
        <stp>ACT_EST_MAPPING=PRECISE</stp>
        <stp>FS=MRC</stp>
        <stp>CURRENCY=USD</stp>
        <stp>XLFILL=b</stp>
        <tr r="Z95" s="2"/>
      </tp>
      <tp>
        <v>1.0229712322787921</v>
        <stp/>
        <stp>##V3_BQLV12</stp>
        <stp>[MODL_CRM_US1.xlsx]Single Period!R93C8</stp>
        <stp>CRM US Equity</stp>
        <stp>CONTRIBUTOR_STATS(IS_AVG_NUM_SH_FOR_EPS, STD)/1M</stp>
        <stp>FPR=2022Y</stp>
        <stp>FPT=A</stp>
        <stp>FA_ACT_EST_DATA=E</stp>
        <stp>ACT_EST_MAPPING=PRECISE</stp>
        <stp>FS=MRC</stp>
        <stp>CURRENCY=USD</stp>
        <stp>XLFILL=b</stp>
        <tr r="H93" s="2"/>
      </tp>
      <tp t="s">
        <v/>
        <stp/>
        <stp>##V3_BQLV12</stp>
        <stp>[MODL_CRM_US1.xlsx]Single Period!R112C33</stp>
        <stp>CRM US Equity</stp>
        <stp>BS_CASH_NEAR_CASH_ITEM/1M</stp>
        <stp>FPR=2022Y</stp>
        <stp>FPT=A</stp>
        <stp>FA_ACT_EST_DATA=E, EST_SOURCE=RHR</stp>
        <stp>ACT_EST_MAPPING=PRECISE</stp>
        <stp>FS=MRC</stp>
        <stp>CURRENCY=USD</stp>
        <stp>XLFILL=b</stp>
        <tr r="AG112" s="2"/>
      </tp>
      <tp t="s">
        <v/>
        <stp/>
        <stp>##V3_BQLV12</stp>
        <stp>[MODL_CRM_US1.xlsx]Single Period!R188C32</stp>
        <stp>CRM US Equity</stp>
        <stp>BS_CASH_NEAR_CASH_ITEM/1M</stp>
        <stp>FPR=2022Y</stp>
        <stp>FPT=A</stp>
        <stp>FA_ACT_EST_DATA=E, EST_SOURCE=UBS</stp>
        <stp>ACT_EST_MAPPING=PRECISE</stp>
        <stp>FS=MRC</stp>
        <stp>CURRENCY=USD</stp>
        <stp>XLFILL=b</stp>
        <tr r="AF188" s="2"/>
      </tp>
      <tp t="s">
        <v/>
        <stp/>
        <stp>##V3_BQLV12</stp>
        <stp>[MODL_CRM_US1.xlsx]Single Period!R188C11</stp>
        <stp>CRM US Equity</stp>
        <stp>BS_CASH_NEAR_CASH_ITEM/1M</stp>
        <stp>FPR=2022Y</stp>
        <stp>FPT=A</stp>
        <stp>FA_ACT_EST_DATA=E, EST_SOURCE=WBL</stp>
        <stp>ACT_EST_MAPPING=PRECISE</stp>
        <stp>FS=MRC</stp>
        <stp>CURRENCY=USD</stp>
        <stp>XLFILL=b</stp>
        <tr r="K188" s="2"/>
      </tp>
      <tp>
        <v>1.26</v>
        <stp/>
        <stp>##V3_BQLV12</stp>
        <stp>[MODL_CRM_US1.xlsx]Single Period!R95C17</stp>
        <stp>CRM US Equity</stp>
        <stp>IS_COMP_EPS_GAAP</stp>
        <stp>FPR=2022Y</stp>
        <stp>FPT=A</stp>
        <stp>FA_ACT_EST_DATA=E, EST_SOURCE=NDH</stp>
        <stp>ACT_EST_MAPPING=PRECISE</stp>
        <stp>FS=MRC</stp>
        <stp>CURRENCY=USD</stp>
        <stp>XLFILL=b</stp>
        <tr r="Q95" s="2"/>
      </tp>
      <tp t="s">
        <v/>
        <stp/>
        <stp>##V3_BQLV12</stp>
        <stp>[MODL_CRM_US1.xlsx]Single Period!R105C37</stp>
        <stp>CRM US Equity</stp>
        <stp>IS_AMORT_ACQD_INTANGIBLES_COGS/1M</stp>
        <stp>FPR=2022Y</stp>
        <stp>FPT=A</stp>
        <stp>FA_ACT_EST_DATA=E, EST_SOURCE=EVR</stp>
        <stp>ACT_EST_MAPPING=PRECISE</stp>
        <stp>FS=MRC</stp>
        <stp>CURRENCY=USD</stp>
        <stp>XLFILL=b</stp>
        <tr r="AK105" s="2"/>
      </tp>
      <tp>
        <v>1.27</v>
        <stp/>
        <stp>##V3_BQLV12</stp>
        <stp>[MODL_CRM_US1.xlsx]Single Period!R95C11</stp>
        <stp>CRM US Equity</stp>
        <stp>IS_COMP_EPS_GAAP</stp>
        <stp>FPR=2022Y</stp>
        <stp>FPT=A</stp>
        <stp>FA_ACT_EST_DATA=E, EST_SOURCE=WBL</stp>
        <stp>ACT_EST_MAPPING=PRECISE</stp>
        <stp>FS=MRC</stp>
        <stp>CURRENCY=USD</stp>
        <stp>XLFILL=b</stp>
        <tr r="K95" s="2"/>
      </tp>
      <tp>
        <v>6221.5710327355901</v>
        <stp/>
        <stp>##V3_BQLV12</stp>
        <stp>[MODL_CRM_US1.xlsx]Single Period!R188C16</stp>
        <stp>CRM US Equity</stp>
        <stp>BS_CASH_NEAR_CASH_ITEM/1M</stp>
        <stp>FPR=2022Y</stp>
        <stp>FPT=A</stp>
        <stp>FA_ACT_EST_DATA=E, EST_SOURCE=DBG</stp>
        <stp>ACT_EST_MAPPING=PRECISE</stp>
        <stp>FS=MRC</stp>
        <stp>CURRENCY=USD</stp>
        <stp>XLFILL=b</stp>
        <tr r="P188" s="2"/>
      </tp>
      <tp t="s">
        <v/>
        <stp/>
        <stp>##V3_BQLV12</stp>
        <stp>[MODL_CRM_US1.xlsx]Single Period!R95C31</stp>
        <stp>CRM US Equity</stp>
        <stp>IS_COMP_EPS_GAAP</stp>
        <stp>FPR=2022Y</stp>
        <stp>FPT=A</stp>
        <stp>FA_ACT_EST_DATA=E, EST_SOURCE=RBC</stp>
        <stp>ACT_EST_MAPPING=PRECISE</stp>
        <stp>FS=MRC</stp>
        <stp>CURRENCY=USD</stp>
        <stp>XLFILL=b</stp>
        <tr r="AE95" s="2"/>
      </tp>
      <tp>
        <v>1.27</v>
        <stp/>
        <stp>##V3_BQLV12</stp>
        <stp>[MODL_CRM_US1.xlsx]Single Period!R95C40</stp>
        <stp>CRM US Equity</stp>
        <stp>IS_COMP_EPS_GAAP</stp>
        <stp>FPR=2022Y</stp>
        <stp>FPT=A</stp>
        <stp>FA_ACT_EST_DATA=E, EST_SOURCE=ACC</stp>
        <stp>ACT_EST_MAPPING=PRECISE</stp>
        <stp>FS=MRC</stp>
        <stp>CURRENCY=USD</stp>
        <stp>XLFILL=b</stp>
        <tr r="AN95" s="2"/>
      </tp>
      <tp>
        <v>12028.51475716339</v>
        <stp/>
        <stp>##V3_BQLV12</stp>
        <stp>[MODL_CRM_US1.xlsx]Single Period!R188C24</stp>
        <stp>CRM US Equity</stp>
        <stp>BS_CASH_NEAR_CASH_ITEM/1M</stp>
        <stp>FPR=2022Y</stp>
        <stp>FPT=A</stp>
        <stp>FA_ACT_EST_DATA=E, EST_SOURCE=FBC</stp>
        <stp>ACT_EST_MAPPING=PRECISE</stp>
        <stp>FS=MRC</stp>
        <stp>CURRENCY=USD</stp>
        <stp>XLFILL=b</stp>
        <tr r="X188" s="2"/>
      </tp>
      <tp t="s">
        <v/>
        <stp/>
        <stp>##V3_BQLV12</stp>
        <stp>[MODL_CRM_US1.xlsx]Single Period!R188C31</stp>
        <stp>CRM US Equity</stp>
        <stp>BS_CASH_NEAR_CASH_ITEM/1M</stp>
        <stp>FPR=2022Y</stp>
        <stp>FPT=A</stp>
        <stp>FA_ACT_EST_DATA=E, EST_SOURCE=RBC</stp>
        <stp>ACT_EST_MAPPING=PRECISE</stp>
        <stp>FS=MRC</stp>
        <stp>CURRENCY=USD</stp>
        <stp>XLFILL=b</stp>
        <tr r="AE188" s="2"/>
      </tp>
      <tp t="s">
        <v/>
        <stp/>
        <stp>##V3_BQLV12</stp>
        <stp>[MODL_CRM_US1.xlsx]Single Period!R122C51</stp>
        <stp>CRM US Equity</stp>
        <stp>BS_GOODWILL/1M</stp>
        <stp>FPR=2022Y</stp>
        <stp>FPT=A</stp>
        <stp>FA_ACT_EST_DATA=E, EST_SOURCE=RCP</stp>
        <stp>ACT_EST_MAPPING=PRECISE</stp>
        <stp>FS=MRC</stp>
        <stp>CURRENCY=USD</stp>
        <stp>XLFILL=b</stp>
        <tr r="AY122" s="2"/>
      </tp>
      <tp t="s">
        <v/>
        <stp/>
        <stp>##V3_BQLV12</stp>
        <stp>[MODL_CRM_US1.xlsx]Single Period!R85C56</stp>
        <stp>CRM US Equity</stp>
        <stp>CB_IS_S_AND_M_EXPENSE/1M</stp>
        <stp>FPR=2022Y</stp>
        <stp>FPT=A</stp>
        <stp>FA_ACT_EST_DATA=E, EST_SOURCE=DIR</stp>
        <stp>ACT_EST_MAPPING=PRECISE</stp>
        <stp>FS=MRC</stp>
        <stp>CURRENCY=USD</stp>
        <stp>XLFILL=b</stp>
        <tr r="BD85" s="2"/>
      </tp>
      <tp t="s">
        <v/>
        <stp/>
        <stp>##V3_BQLV12</stp>
        <stp>[MODL_CRM_US1.xlsx]Single Period!R93C16</stp>
        <stp>CRM US Equity</stp>
        <stp>IS_AVG_NUM_SH_FOR_EPS/1M</stp>
        <stp>FPR=2022Y</stp>
        <stp>FPT=A</stp>
        <stp>FA_ACT_EST_DATA=E, EST_SOURCE=DBG</stp>
        <stp>ACT_EST_MAPPING=PRECISE</stp>
        <stp>FS=MRC</stp>
        <stp>CURRENCY=USD</stp>
        <stp>XLFILL=b</stp>
        <tr r="P93" s="2"/>
      </tp>
      <tp t="s">
        <v/>
        <stp/>
        <stp>##V3_BQLV12</stp>
        <stp>[MODL_CRM_US1.xlsx]Single Period!R73C34</stp>
        <stp>CRM US Equity</stp>
        <stp>IS_SH_FOR_DILUTED_EPS/1M</stp>
        <stp>FPR=2022Y</stp>
        <stp>FPT=A</stp>
        <stp>FA_ACT_EST_DATA=E, EST_SOURCE=JEF</stp>
        <stp>ACT_EST_MAPPING=PRECISE</stp>
        <stp>FS=MRC</stp>
        <stp>CURRENCY=USD</stp>
        <stp>XLFILL=b</stp>
        <tr r="AH73" s="2"/>
      </tp>
      <tp t="s">
        <v/>
        <stp/>
        <stp>##V3_BQLV12</stp>
        <stp>[MODL_CRM_US1.xlsx]Single Period!R93C27</stp>
        <stp>CRM US Equity</stp>
        <stp>IS_AVG_NUM_SH_FOR_EPS/1M</stp>
        <stp>FPR=2022Y</stp>
        <stp>FPT=A</stp>
        <stp>FA_ACT_EST_DATA=E, EST_SOURCE=LCM</stp>
        <stp>ACT_EST_MAPPING=PRECISE</stp>
        <stp>FS=MRC</stp>
        <stp>CURRENCY=USD</stp>
        <stp>XLFILL=b</stp>
        <tr r="AA93" s="2"/>
      </tp>
      <tp t="s">
        <v/>
        <stp/>
        <stp>##V3_BQLV12</stp>
        <stp>[MODL_CRM_US1.xlsx]Single Period!R73C30</stp>
        <stp>CRM US Equity</stp>
        <stp>IS_SH_FOR_DILUTED_EPS/1M</stp>
        <stp>FPR=2022Y</stp>
        <stp>FPT=A</stp>
        <stp>FA_ACT_EST_DATA=E, EST_SOURCE=BAM</stp>
        <stp>ACT_EST_MAPPING=PRECISE</stp>
        <stp>FS=MRC</stp>
        <stp>CURRENCY=USD</stp>
        <stp>XLFILL=b</stp>
        <tr r="AD73" s="2"/>
      </tp>
      <tp t="s">
        <v/>
        <stp/>
        <stp>##V3_BQLV12</stp>
        <stp>[MODL_CRM_US1.xlsx]Single Period!R68C47</stp>
        <stp>CRM US Equity</stp>
        <stp>IS_COMP_PTP_EX_STK_BASED_COMP/1M</stp>
        <stp>FPR=2022Y</stp>
        <stp>FPT=A</stp>
        <stp>FA_ACT_EST_DATA=E, EST_SOURCE=WFT</stp>
        <stp>ACT_EST_MAPPING=PRECISE</stp>
        <stp>FS=MRC</stp>
        <stp>CURRENCY=USD</stp>
        <stp>XLFILL=b</stp>
        <tr r="AU68" s="2"/>
      </tp>
      <tp t="s">
        <v/>
        <stp/>
        <stp>##V3_BQLV12</stp>
        <stp>[MODL_CRM_US1.xlsx]Single Period!R102C46</stp>
        <stp>CRM US Equity</stp>
        <stp>IS_SBC_ATT_TO_S_AND_M_PRETX/1M</stp>
        <stp>FPR=2022Y</stp>
        <stp>FPT=A</stp>
        <stp>FA_ACT_EST_DATA=E, EST_SOURCE=CTI</stp>
        <stp>ACT_EST_MAPPING=PRECISE</stp>
        <stp>FS=MRC</stp>
        <stp>CURRENCY=USD</stp>
        <stp>XLFILL=b</stp>
        <tr r="AT102" s="2"/>
      </tp>
      <tp t="s">
        <v/>
        <stp/>
        <stp>##V3_BQLV12</stp>
        <stp>[MODL_CRM_US1.xlsx]Single Period!R94C12</stp>
        <stp>CRM US Equity</stp>
        <stp>IS_SH_FOR_DILUTED_EPS/1M</stp>
        <stp>FPR=2022Y</stp>
        <stp>FPT=A</stp>
        <stp>FA_ACT_EST_DATA=E, EST_SOURCE=BMO</stp>
        <stp>ACT_EST_MAPPING=PRECISE</stp>
        <stp>FS=MRC</stp>
        <stp>CURRENCY=USD</stp>
        <stp>XLFILL=b</stp>
        <tr r="L94" s="2"/>
      </tp>
      <tp t="s">
        <v/>
        <stp/>
        <stp>##V3_BQLV12</stp>
        <stp>[MODL_CRM_US1.xlsx]Single Period!R102C35</stp>
        <stp>CRM US Equity</stp>
        <stp>IS_SBC_ATT_TO_S_AND_M_PRETX/1M</stp>
        <stp>FPR=2022Y</stp>
        <stp>FPT=A</stp>
        <stp>FA_ACT_EST_DATA=E, EST_SOURCE=ATL</stp>
        <stp>ACT_EST_MAPPING=PRECISE</stp>
        <stp>FS=MRC</stp>
        <stp>CURRENCY=USD</stp>
        <stp>XLFILL=b</stp>
        <tr r="AI102" s="2"/>
      </tp>
      <tp t="s">
        <v/>
        <stp/>
        <stp>##V3_BQLV12</stp>
        <stp>[MODL_CRM_US1.xlsx]Single Period!R137C53</stp>
        <stp>CRM US Equity</stp>
        <stp>BS_EQTY_BEFORE_MINORITY_INT/1M</stp>
        <stp>FPR=2022Y</stp>
        <stp>FPT=A</stp>
        <stp>FA_ACT_EST_DATA=E, EST_SOURCE=NIK</stp>
        <stp>ACT_EST_MAPPING=PRECISE</stp>
        <stp>FS=MRC</stp>
        <stp>CURRENCY=USD</stp>
        <stp>XLFILL=b</stp>
        <tr r="BA137" s="2"/>
      </tp>
      <tp t="s">
        <v/>
        <stp/>
        <stp>##V3_BQLV12</stp>
        <stp>[MODL_CRM_US1.xlsx]Single Period!R14C29</stp>
        <stp>CRM US Equity</stp>
        <stp>NON_CURRENT_FUTURE_REV_UNDER_CONTRACT/1M</stp>
        <stp>FPR=2022Y</stp>
        <stp>FPT=A</stp>
        <stp>FA_ACT_EST_DATA=E, EST_SOURCE=BNS</stp>
        <stp>ACT_EST_MAPPING=PRECISE</stp>
        <stp>FS=MRC</stp>
        <stp>CURRENCY=USD</stp>
        <stp>XLFILL=b</stp>
        <tr r="AC14" s="2"/>
      </tp>
      <tp t="s">
        <v/>
        <stp/>
        <stp>##V3_BQLV12</stp>
        <stp>[MODL_CRM_US1.xlsx]Single Period!R94C56</stp>
        <stp>CRM US Equity</stp>
        <stp>IS_SH_FOR_DILUTED_EPS/1M</stp>
        <stp>FPR=2022Y</stp>
        <stp>FPT=A</stp>
        <stp>FA_ACT_EST_DATA=E, EST_SOURCE=DIR</stp>
        <stp>ACT_EST_MAPPING=PRECISE</stp>
        <stp>FS=MRC</stp>
        <stp>CURRENCY=USD</stp>
        <stp>XLFILL=b</stp>
        <tr r="BD94" s="2"/>
      </tp>
      <tp t="s">
        <v/>
        <stp/>
        <stp>##V3_BQLV12</stp>
        <stp>[MODL_CRM_US1.xlsx]Single Period!R73C47</stp>
        <stp>CRM US Equity</stp>
        <stp>IS_SH_FOR_DILUTED_EPS/1M</stp>
        <stp>FPR=2022Y</stp>
        <stp>FPT=A</stp>
        <stp>FA_ACT_EST_DATA=E, EST_SOURCE=WFT</stp>
        <stp>ACT_EST_MAPPING=PRECISE</stp>
        <stp>FS=MRC</stp>
        <stp>CURRENCY=USD</stp>
        <stp>XLFILL=b</stp>
        <tr r="AU73" s="2"/>
      </tp>
      <tp>
        <v>26396</v>
        <stp/>
        <stp>##V3_BQLV12</stp>
        <stp>[MODL_CRM_US1.xlsx]Single Period!R52C20</stp>
        <stp>CRM US Equity</stp>
        <stp>IS_COMP_SALES/1M</stp>
        <stp>FPR=2022Y</stp>
        <stp>FPT=A</stp>
        <stp>FA_ACT_EST_DATA=E, EST_SOURCE=JMP</stp>
        <stp>ACT_EST_MAPPING=PRECISE</stp>
        <stp>FS=MRC</stp>
        <stp>CURRENCY=USD</stp>
        <stp>XLFILL=b</stp>
        <tr r="T52" s="2"/>
      </tp>
      <tp t="s">
        <v/>
        <stp/>
        <stp>##V3_BQLV12</stp>
        <stp>[MODL_CRM_US1.xlsx]Single Period!R122C40</stp>
        <stp>CRM US Equity</stp>
        <stp>BS_GOODWILL/1M</stp>
        <stp>FPR=2022Y</stp>
        <stp>FPT=A</stp>
        <stp>FA_ACT_EST_DATA=E, EST_SOURCE=ACC</stp>
        <stp>ACT_EST_MAPPING=PRECISE</stp>
        <stp>FS=MRC</stp>
        <stp>CURRENCY=USD</stp>
        <stp>XLFILL=b</stp>
        <tr r="AN122" s="2"/>
      </tp>
      <tp>
        <v>1299</v>
        <stp/>
        <stp>##V3_BQLV12</stp>
        <stp>[MODL_CRM_US1.xlsx]Single Period!R68C30</stp>
        <stp>CRM US Equity</stp>
        <stp>IS_COMP_PTP_EX_STK_BASED_COMP/1M</stp>
        <stp>FPR=2022Y</stp>
        <stp>FPT=A</stp>
        <stp>FA_ACT_EST_DATA=E, EST_SOURCE=BAM</stp>
        <stp>ACT_EST_MAPPING=PRECISE</stp>
        <stp>FS=MRC</stp>
        <stp>CURRENCY=USD</stp>
        <stp>XLFILL=b</stp>
        <tr r="AD68" s="2"/>
      </tp>
      <tp t="s">
        <v/>
        <stp/>
        <stp>##V3_BQLV12</stp>
        <stp>[MODL_CRM_US1.xlsx]Single Period!R12C38</stp>
        <stp>CRM US Equity</stp>
        <stp>TOT_FUTURE_REV_UNDER_CONTRACT/1M</stp>
        <stp>FPR=2022Y</stp>
        <stp>FPT=A</stp>
        <stp>FA_ACT_EST_DATA=E, EST_SOURCE=MSR</stp>
        <stp>ACT_EST_MAPPING=PRECISE</stp>
        <stp>FS=MRC</stp>
        <stp>CURRENCY=USD</stp>
        <stp>XLFILL=b</stp>
        <tr r="AL12" s="2"/>
      </tp>
      <tp t="s">
        <v/>
        <stp/>
        <stp>##V3_BQLV12</stp>
        <stp>[MODL_CRM_US1.xlsx]Single Period!R132C50</stp>
        <stp>CRM US Equity</stp>
        <stp>BS_ADJ_TOTAL_LT_LIABILITIES/1M</stp>
        <stp>FPR=2022Y</stp>
        <stp>FPT=A</stp>
        <stp>FA_ACT_EST_DATA=E, EST_SOURCE=MZS</stp>
        <stp>ACT_EST_MAPPING=PRECISE</stp>
        <stp>FS=MRC</stp>
        <stp>CURRENCY=USD</stp>
        <stp>XLFILL=b</stp>
        <tr r="AX132" s="2"/>
      </tp>
      <tp t="s">
        <v/>
        <stp/>
        <stp>##V3_BQLV12</stp>
        <stp>[MODL_CRM_US1.xlsx]Single Period!R63C38</stp>
        <stp>CRM US Equity</stp>
        <stp>CF_DEPR_AMORT/1M</stp>
        <stp>FPR=2022Y</stp>
        <stp>FPT=A</stp>
        <stp>FA_ACT_EST_DATA=E, EST_SOURCE=MSR</stp>
        <stp>ACT_EST_MAPPING=PRECISE</stp>
        <stp>FS=MRC</stp>
        <stp>CURRENCY=USD</stp>
        <stp>XLFILL=b</stp>
        <tr r="AL63" s="2"/>
      </tp>
      <tp>
        <v>5723.1369999999988</v>
        <stp/>
        <stp>##V3_BQLV12</stp>
        <stp>[MODL_CRM_US1.xlsx]Single Period!R122C13</stp>
        <stp>CRM US Equity</stp>
        <stp>BS_GOODWILL/1M</stp>
        <stp>FPR=2022Y</stp>
        <stp>FPT=A</stp>
        <stp>FA_ACT_EST_DATA=E, EST_SOURCE=BCA</stp>
        <stp>ACT_EST_MAPPING=PRECISE</stp>
        <stp>FS=MRC</stp>
        <stp>CURRENCY=USD</stp>
        <stp>XLFILL=b</stp>
        <tr r="M122" s="2"/>
      </tp>
      <tp t="s">
        <v/>
        <stp/>
        <stp>##V3_BQLV12</stp>
        <stp>[MODL_CRM_US1.xlsx]Single Period!R122C19</stp>
        <stp>CRM US Equity</stp>
        <stp>BS_GOODWILL/1M</stp>
        <stp>FPR=2022Y</stp>
        <stp>FPT=A</stp>
        <stp>FA_ACT_EST_DATA=E, EST_SOURCE=SCB</stp>
        <stp>ACT_EST_MAPPING=PRECISE</stp>
        <stp>FS=MRC</stp>
        <stp>CURRENCY=USD</stp>
        <stp>XLFILL=b</stp>
        <tr r="S122" s="2"/>
      </tp>
      <tp t="s">
        <v/>
        <stp/>
        <stp>##V3_BQLV12</stp>
        <stp>[MODL_CRM_US1.xlsx]Single Period!R93C52</stp>
        <stp>CRM US Equity</stp>
        <stp>IS_AVG_NUM_SH_FOR_EPS/1M</stp>
        <stp>FPR=2022Y</stp>
        <stp>FPT=A</stp>
        <stp>FA_ACT_EST_DATA=E, EST_SOURCE=WFR</stp>
        <stp>ACT_EST_MAPPING=PRECISE</stp>
        <stp>FS=MRC</stp>
        <stp>CURRENCY=USD</stp>
        <stp>XLFILL=b</stp>
        <tr r="AZ93" s="2"/>
      </tp>
      <tp t="s">
        <v/>
        <stp/>
        <stp>##V3_BQLV12</stp>
        <stp>[MODL_CRM_US1.xlsx]Single Period!R98C39</stp>
        <stp>CRM US Equity</stp>
        <stp>IS_INC_TAX_EFFECT_NONGAAP_REC/1M</stp>
        <stp>FPR=2022Y</stp>
        <stp>FPT=A</stp>
        <stp>FA_ACT_EST_DATA=E, EST_SOURCE=KGI</stp>
        <stp>ACT_EST_MAPPING=PRECISE</stp>
        <stp>FS=MRC</stp>
        <stp>CURRENCY=USD</stp>
        <stp>XLFILL=b</stp>
        <tr r="AM98" s="2"/>
      </tp>
      <tp t="s">
        <v/>
        <stp/>
        <stp>##V3_BQLV12</stp>
        <stp>[MODL_CRM_US1.xlsx]Single Period!R137C56</stp>
        <stp>CRM US Equity</stp>
        <stp>BS_EQTY_BEFORE_MINORITY_INT/1M</stp>
        <stp>FPR=2022Y</stp>
        <stp>FPT=A</stp>
        <stp>FA_ACT_EST_DATA=E, EST_SOURCE=DIR</stp>
        <stp>ACT_EST_MAPPING=PRECISE</stp>
        <stp>FS=MRC</stp>
        <stp>CURRENCY=USD</stp>
        <stp>XLFILL=b</stp>
        <tr r="BD137" s="2"/>
      </tp>
      <tp>
        <v>5794</v>
        <stp/>
        <stp>##V3_BQLV12</stp>
        <stp>[MODL_CRM_US1.xlsx]Single Period!R68C34</stp>
        <stp>CRM US Equity</stp>
        <stp>IS_COMP_PTP_EX_STK_BASED_COMP/1M</stp>
        <stp>FPR=2022Y</stp>
        <stp>FPT=A</stp>
        <stp>FA_ACT_EST_DATA=E, EST_SOURCE=JEF</stp>
        <stp>ACT_EST_MAPPING=PRECISE</stp>
        <stp>FS=MRC</stp>
        <stp>CURRENCY=USD</stp>
        <stp>XLFILL=b</stp>
        <tr r="AH68" s="2"/>
      </tp>
      <tp t="s">
        <v/>
        <stp/>
        <stp>##V3_BQLV12</stp>
        <stp>[MODL_CRM_US1.xlsx]Single Period!R122C27</stp>
        <stp>CRM US Equity</stp>
        <stp>BS_GOODWILL/1M</stp>
        <stp>FPR=2022Y</stp>
        <stp>FPT=A</stp>
        <stp>FA_ACT_EST_DATA=E, EST_SOURCE=LCM</stp>
        <stp>ACT_EST_MAPPING=PRECISE</stp>
        <stp>FS=MRC</stp>
        <stp>CURRENCY=USD</stp>
        <stp>XLFILL=b</stp>
        <tr r="AA122" s="2"/>
      </tp>
      <tp t="s">
        <v/>
        <stp/>
        <stp>##V3_BQLV12</stp>
        <stp>[MODL_CRM_US1.xlsx]Single Period!R98C49</stp>
        <stp>CRM US Equity</stp>
        <stp>IS_INC_TAX_EFFECT_NONGAAP_REC/1M</stp>
        <stp>FPR=2022Y</stp>
        <stp>FPT=A</stp>
        <stp>FA_ACT_EST_DATA=E, EST_SOURCE=SGE</stp>
        <stp>ACT_EST_MAPPING=PRECISE</stp>
        <stp>FS=MRC</stp>
        <stp>CURRENCY=USD</stp>
        <stp>XLFILL=b</stp>
        <tr r="AW98" s="2"/>
      </tp>
      <tp t="s">
        <v/>
        <stp/>
        <stp>##V3_BQLV12</stp>
        <stp>[MODL_CRM_US1.xlsx]Single Period!R128C37</stp>
        <stp>CRM US Equity</stp>
        <stp>BS_CUR_LIAB/1M</stp>
        <stp>FPR=2022Y</stp>
        <stp>FPT=A</stp>
        <stp>FA_ACT_EST_DATA=E, EST_SOURCE=EVR</stp>
        <stp>ACT_EST_MAPPING=PRECISE</stp>
        <stp>FS=MRC</stp>
        <stp>CURRENCY=USD</stp>
        <stp>XLFILL=b</stp>
        <tr r="AK128" s="2"/>
      </tp>
      <tp t="s">
        <v/>
        <stp/>
        <stp>##V3_BQLV12</stp>
        <stp>[MODL_CRM_US1.xlsx]Single Period!R85C12</stp>
        <stp>CRM US Equity</stp>
        <stp>CB_IS_S_AND_M_EXPENSE/1M</stp>
        <stp>FPR=2022Y</stp>
        <stp>FPT=A</stp>
        <stp>FA_ACT_EST_DATA=E, EST_SOURCE=BMO</stp>
        <stp>ACT_EST_MAPPING=PRECISE</stp>
        <stp>FS=MRC</stp>
        <stp>CURRENCY=USD</stp>
        <stp>XLFILL=b</stp>
        <tr r="L85" s="2"/>
      </tp>
      <tp t="s">
        <v/>
        <stp/>
        <stp>##V3_BQLV12</stp>
        <stp>[MODL_CRM_US1.xlsx]Single Period!R185C37</stp>
        <stp>CRM US Equity</stp>
        <stp>CF_EFFECT_FOREIGN_EXCHANGES/1M</stp>
        <stp>FPR=2022Y</stp>
        <stp>FPT=A</stp>
        <stp>FA_ACT_EST_DATA=E, EST_SOURCE=EVR</stp>
        <stp>ACT_EST_MAPPING=PRECISE</stp>
        <stp>FS=MRC</stp>
        <stp>CURRENCY=USD</stp>
        <stp>XLFILL=b</stp>
        <tr r="AK185" s="2"/>
      </tp>
      <tp t="s">
        <v/>
        <stp/>
        <stp>##V3_BQLV12</stp>
        <stp>[MODL_CRM_US1.xlsx]Single Period!R14C36</stp>
        <stp>CRM US Equity</stp>
        <stp>NON_CURRENT_FUTURE_REV_UNDER_CONTRACT/1M</stp>
        <stp>FPR=2022Y</stp>
        <stp>FPT=A</stp>
        <stp>FA_ACT_EST_DATA=E, EST_SOURCE=MAC</stp>
        <stp>ACT_EST_MAPPING=PRECISE</stp>
        <stp>FS=MRC</stp>
        <stp>CURRENCY=USD</stp>
        <stp>XLFILL=b</stp>
        <tr r="AJ14" s="2"/>
      </tp>
      <tp>
        <v>2071.2640685640358</v>
        <stp/>
        <stp>##V3_BQLV12</stp>
        <stp>[MODL_CRM_US1.xlsx]Single Period!R119C13</stp>
        <stp>CRM US Equity</stp>
        <stp>CB_BS_OTHER_NONCURRENT_ASSETS/1M</stp>
        <stp>FPR=2022Y</stp>
        <stp>FPT=A</stp>
        <stp>FA_ACT_EST_DATA=E, EST_SOURCE=BCA</stp>
        <stp>ACT_EST_MAPPING=PRECISE</stp>
        <stp>FS=MRC</stp>
        <stp>CURRENCY=USD</stp>
        <stp>XLFILL=b</stp>
        <tr r="M119" s="2"/>
      </tp>
      <tp t="s">
        <v/>
        <stp/>
        <stp>##V3_BQLV12</stp>
        <stp>[MODL_CRM_US1.xlsx]Single Period!R140C34</stp>
        <stp>CRM US Equity</stp>
        <stp>BS_ACCUMULATED_OTHER_COMP_INC/1M</stp>
        <stp>FPR=2022Y</stp>
        <stp>FPT=A</stp>
        <stp>FA_ACT_EST_DATA=E, EST_SOURCE=JEF</stp>
        <stp>ACT_EST_MAPPING=PRECISE</stp>
        <stp>FS=MRC</stp>
        <stp>CURRENCY=USD</stp>
        <stp>XLFILL=b</stp>
        <tr r="AH140" s="2"/>
      </tp>
      <tp>
        <v>922</v>
        <stp/>
        <stp>##V3_BQLV12</stp>
        <stp>[MODL_CRM_US1.xlsx]Single Period!R101C16</stp>
        <stp>CRM US Equity</stp>
        <stp>IS_SBC_ATTRIBUTABLE_TO_R_AND_D_PRETX/1M</stp>
        <stp>FPR=2022Y</stp>
        <stp>FPT=A</stp>
        <stp>FA_ACT_EST_DATA=E, EST_SOURCE=DBG</stp>
        <stp>ACT_EST_MAPPING=PRECISE</stp>
        <stp>FS=MRC</stp>
        <stp>CURRENCY=USD</stp>
        <stp>XLFILL=b</stp>
        <tr r="P101" s="2"/>
      </tp>
      <tp t="s">
        <v/>
        <stp/>
        <stp>##V3_BQLV12</stp>
        <stp>[MODL_CRM_US1.xlsx]Single Period!R151C30</stp>
        <stp>CRM US Equity</stp>
        <stp>NON_CURRENT_FUTURE_REV_UNDER_CONTRACT/1M</stp>
        <stp>FPR=2022Y</stp>
        <stp>FPT=A</stp>
        <stp>FA_ACT_EST_DATA=E, EST_SOURCE=BAM</stp>
        <stp>ACT_EST_MAPPING=PRECISE</stp>
        <stp>FS=MRC</stp>
        <stp>CURRENCY=USD</stp>
        <stp>XLFILL=b</stp>
        <tr r="AD151" s="2"/>
      </tp>
      <tp t="s">
        <v/>
        <stp/>
        <stp>##V3_BQLV12</stp>
        <stp>[MODL_CRM_US1.xlsx]Single Period!R64C42</stp>
        <stp>CRM US Equity</stp>
        <stp>IS_COMPARABLE_EBITDA/1M</stp>
        <stp>FPR=2022Y</stp>
        <stp>FPT=A</stp>
        <stp>FA_ACT_EST_DATA=E, EST_SOURCE=PSG</stp>
        <stp>ACT_EST_MAPPING=PRECISE</stp>
        <stp>FS=MRC</stp>
        <stp>CURRENCY=USD</stp>
        <stp>XLFILL=b</stp>
        <tr r="AP64" s="2"/>
      </tp>
      <tp t="s">
        <v/>
        <stp/>
        <stp>##V3_BQLV12</stp>
        <stp>[MODL_CRM_US1.xlsx]Single Period!R24C38</stp>
        <stp>SEG0000269238 Segment</stp>
        <stp>SALES_REV_TURN/1M</stp>
        <stp>FPR=2022Y</stp>
        <stp>FPT=A</stp>
        <stp>FA_ACT_EST_DATA=E, EST_SOURCE=MSR</stp>
        <stp>ACT_EST_MAPPING=PRECISE</stp>
        <stp>FS=MRC</stp>
        <stp>CURRENCY=USD</stp>
        <stp>XLFILL=b</stp>
        <tr r="AL24" s="2"/>
      </tp>
      <tp t="s">
        <v/>
        <stp/>
        <stp>##V3_BQLV12</stp>
        <stp>[MODL_CRM_US1.xlsx]Single Period!R24C41</stp>
        <stp>SEG0000269238 Segment</stp>
        <stp>SALES_REV_TURN/1M</stp>
        <stp>FPR=2022Y</stp>
        <stp>FPT=A</stp>
        <stp>FA_ACT_EST_DATA=E, EST_SOURCE=GSR</stp>
        <stp>ACT_EST_MAPPING=PRECISE</stp>
        <stp>FS=MRC</stp>
        <stp>CURRENCY=USD</stp>
        <stp>XLFILL=b</stp>
        <tr r="AO24" s="2"/>
      </tp>
      <tp t="s">
        <v/>
        <stp/>
        <stp>##V3_BQLV12</stp>
        <stp>[MODL_CRM_US1.xlsx]Single Period!R156C50</stp>
        <stp>CRM US Equity</stp>
        <stp>CF_DEPR_AMORT/1M</stp>
        <stp>FPR=2022Y</stp>
        <stp>FPT=A</stp>
        <stp>FA_ACT_EST_DATA=E, EST_SOURCE=MZS</stp>
        <stp>ACT_EST_MAPPING=PRECISE</stp>
        <stp>FS=MRC</stp>
        <stp>CURRENCY=USD</stp>
        <stp>XLFILL=b</stp>
        <tr r="AX156" s="2"/>
      </tp>
      <tp t="s">
        <v/>
        <stp/>
        <stp>##V3_BQLV12</stp>
        <stp>[MODL_CRM_US1.xlsx]Single Period!R119C55</stp>
        <stp>CRM US Equity</stp>
        <stp>CB_BS_OTHER_NONCURRENT_ASSETS/1M</stp>
        <stp>FPR=2022Y</stp>
        <stp>FPT=A</stp>
        <stp>FA_ACT_EST_DATA=E, EST_SOURCE=RED</stp>
        <stp>ACT_EST_MAPPING=PRECISE</stp>
        <stp>FS=MRC</stp>
        <stp>CURRENCY=USD</stp>
        <stp>XLFILL=b</stp>
        <tr r="BC119" s="2"/>
      </tp>
      <tp t="s">
        <v/>
        <stp/>
        <stp>##V3_BQLV12</stp>
        <stp>[MODL_CRM_US1.xlsx]Single Period!R64C54</stp>
        <stp>CRM US Equity</stp>
        <stp>IS_COMPARABLE_EBITDA/1M</stp>
        <stp>FPR=2022Y</stp>
        <stp>FPT=A</stp>
        <stp>FA_ACT_EST_DATA=E, EST_SOURCE=ARE</stp>
        <stp>ACT_EST_MAPPING=PRECISE</stp>
        <stp>FS=MRC</stp>
        <stp>CURRENCY=USD</stp>
        <stp>XLFILL=b</stp>
        <tr r="BB64" s="2"/>
      </tp>
      <tp>
        <v>24649.947</v>
        <stp/>
        <stp>##V3_BQLV12</stp>
        <stp>[MODL_CRM_US1.xlsx]Single Period!R24C15</stp>
        <stp>SEG0000269238 Segment</stp>
        <stp>SALES_REV_TURN/1M</stp>
        <stp>FPR=2022Y</stp>
        <stp>FPT=A</stp>
        <stp>FA_ACT_EST_DATA=E, EST_SOURCE=MSV</stp>
        <stp>ACT_EST_MAPPING=PRECISE</stp>
        <stp>FS=MRC</stp>
        <stp>CURRENCY=USD</stp>
        <stp>XLFILL=b</stp>
        <tr r="O24" s="2"/>
      </tp>
      <tp t="s">
        <v/>
        <stp/>
        <stp>##V3_BQLV12</stp>
        <stp>[MODL_CRM_US1.xlsx]Single Period!R151C34</stp>
        <stp>CRM US Equity</stp>
        <stp>NON_CURRENT_FUTURE_REV_UNDER_CONTRACT/1M</stp>
        <stp>FPR=2022Y</stp>
        <stp>FPT=A</stp>
        <stp>FA_ACT_EST_DATA=E, EST_SOURCE=JEF</stp>
        <stp>ACT_EST_MAPPING=PRECISE</stp>
        <stp>FS=MRC</stp>
        <stp>CURRENCY=USD</stp>
        <stp>XLFILL=b</stp>
        <tr r="AH151" s="2"/>
      </tp>
      <tp t="s">
        <v/>
        <stp/>
        <stp>##V3_BQLV12</stp>
        <stp>[MODL_CRM_US1.xlsx]Single Period!R140C30</stp>
        <stp>CRM US Equity</stp>
        <stp>BS_ACCUMULATED_OTHER_COMP_INC/1M</stp>
        <stp>FPR=2022Y</stp>
        <stp>FPT=A</stp>
        <stp>FA_ACT_EST_DATA=E, EST_SOURCE=BAM</stp>
        <stp>ACT_EST_MAPPING=PRECISE</stp>
        <stp>FS=MRC</stp>
        <stp>CURRENCY=USD</stp>
        <stp>XLFILL=b</stp>
        <tr r="AD140" s="2"/>
      </tp>
      <tp t="s">
        <v/>
        <stp/>
        <stp>##V3_BQLV12</stp>
        <stp>[MODL_CRM_US1.xlsx]Single Period!R83C33</stp>
        <stp>CRM US Equity</stp>
        <stp>IS_OPEX_R_AND_D_GAAP/1M</stp>
        <stp>FPR=2022Y</stp>
        <stp>FPT=A</stp>
        <stp>FA_ACT_EST_DATA=E, EST_SOURCE=RHR</stp>
        <stp>ACT_EST_MAPPING=PRECISE</stp>
        <stp>FS=MRC</stp>
        <stp>CURRENCY=USD</stp>
        <stp>XLFILL=b</stp>
        <tr r="AG83" s="2"/>
      </tp>
      <tp t="s">
        <v/>
        <stp/>
        <stp>##V3_BQLV12</stp>
        <stp>[MODL_CRM_US1.xlsx]Single Period!R43C38</stp>
        <stp>SEG0000269240 Segment</stp>
        <stp>SALES_REV_TURN/1M</stp>
        <stp>FPR=2022Y</stp>
        <stp>FPT=A</stp>
        <stp>FA_ACT_EST_DATA=E, EST_SOURCE=MSR</stp>
        <stp>ACT_EST_MAPPING=PRECISE</stp>
        <stp>FS=MRC</stp>
        <stp>CURRENCY=USD</stp>
        <stp>XLFILL=b</stp>
        <tr r="AL43" s="2"/>
      </tp>
      <tp t="s">
        <v/>
        <stp/>
        <stp>##V3_BQLV12</stp>
        <stp>[MODL_CRM_US1.xlsx]Single Period!R65C48</stp>
        <stp>CRM US Equity</stp>
        <stp>IS_AMORT_OF_TOT_INTANG_PRETX/1M</stp>
        <stp>FPR=2022Y</stp>
        <stp>FPT=A</stp>
        <stp>FA_ACT_EST_DATA=E, EST_SOURCE=PJE</stp>
        <stp>ACT_EST_MAPPING=PRECISE</stp>
        <stp>FS=MRC</stp>
        <stp>CURRENCY=USD</stp>
        <stp>XLFILL=b</stp>
        <tr r="AV65" s="2"/>
      </tp>
      <tp t="s">
        <v/>
        <stp/>
        <stp>##V3_BQLV12</stp>
        <stp>[MODL_CRM_US1.xlsx]Single Period!R43C41</stp>
        <stp>SEG0000269240 Segment</stp>
        <stp>SALES_REV_TURN/1M</stp>
        <stp>FPR=2022Y</stp>
        <stp>FPT=A</stp>
        <stp>FA_ACT_EST_DATA=E, EST_SOURCE=GSR</stp>
        <stp>ACT_EST_MAPPING=PRECISE</stp>
        <stp>FS=MRC</stp>
        <stp>CURRENCY=USD</stp>
        <stp>XLFILL=b</stp>
        <tr r="AO43" s="2"/>
      </tp>
      <tp t="s">
        <v/>
        <stp/>
        <stp>##V3_BQLV12</stp>
        <stp>[MODL_CRM_US1.xlsx]Single Period!R26C37</stp>
        <stp>SEG0000269247 Segment</stp>
        <stp>SALES_REV_TURN/1M</stp>
        <stp>FPR=2022Y</stp>
        <stp>FPT=A</stp>
        <stp>FA_ACT_EST_DATA=E, EST_SOURCE=EVR</stp>
        <stp>ACT_EST_MAPPING=PRECISE</stp>
        <stp>FS=MRC</stp>
        <stp>CURRENCY=USD</stp>
        <stp>XLFILL=b</stp>
        <tr r="AK26" s="2"/>
      </tp>
      <tp t="s">
        <v/>
        <stp/>
        <stp>##V3_BQLV12</stp>
        <stp>[MODL_CRM_US1.xlsx]Single Period!R101C11</stp>
        <stp>CRM US Equity</stp>
        <stp>IS_SBC_ATTRIBUTABLE_TO_R_AND_D_PRETX/1M</stp>
        <stp>FPR=2022Y</stp>
        <stp>FPT=A</stp>
        <stp>FA_ACT_EST_DATA=E, EST_SOURCE=WBL</stp>
        <stp>ACT_EST_MAPPING=PRECISE</stp>
        <stp>FS=MRC</stp>
        <stp>CURRENCY=USD</stp>
        <stp>XLFILL=b</stp>
        <tr r="K101" s="2"/>
      </tp>
      <tp>
        <v>5009</v>
        <stp/>
        <stp>##V3_BQLV12</stp>
        <stp>[MODL_CRM_US1.xlsx]Single Period!R64C35</stp>
        <stp>CRM US Equity</stp>
        <stp>IS_COMPARABLE_EBITDA/1M</stp>
        <stp>FPR=2022Y</stp>
        <stp>FPT=A</stp>
        <stp>FA_ACT_EST_DATA=E, EST_SOURCE=ATL</stp>
        <stp>ACT_EST_MAPPING=PRECISE</stp>
        <stp>FS=MRC</stp>
        <stp>CURRENCY=USD</stp>
        <stp>XLFILL=b</stp>
        <tr r="AI64" s="2"/>
      </tp>
      <tp t="s">
        <v/>
        <stp/>
        <stp>##V3_BQLV12</stp>
        <stp>[MODL_CRM_US1.xlsx]Single Period!R101C49</stp>
        <stp>CRM US Equity</stp>
        <stp>IS_SBC_ATTRIBUTABLE_TO_R_AND_D_PRETX/1M</stp>
        <stp>FPR=2022Y</stp>
        <stp>FPT=A</stp>
        <stp>FA_ACT_EST_DATA=E, EST_SOURCE=SGE</stp>
        <stp>ACT_EST_MAPPING=PRECISE</stp>
        <stp>FS=MRC</stp>
        <stp>CURRENCY=USD</stp>
        <stp>XLFILL=b</stp>
        <tr r="AW101" s="2"/>
      </tp>
      <tp>
        <v>4299</v>
        <stp/>
        <stp>##V3_BQLV12</stp>
        <stp>[MODL_CRM_US1.xlsx]Single Period!R43C15</stp>
        <stp>SEG0000269240 Segment</stp>
        <stp>SALES_REV_TURN/1M</stp>
        <stp>FPR=2022Y</stp>
        <stp>FPT=A</stp>
        <stp>FA_ACT_EST_DATA=E, EST_SOURCE=MSV</stp>
        <stp>ACT_EST_MAPPING=PRECISE</stp>
        <stp>FS=MRC</stp>
        <stp>CURRENCY=USD</stp>
        <stp>XLFILL=b</stp>
        <tr r="O43" s="2"/>
      </tp>
      <tp t="s">
        <v/>
        <stp/>
        <stp>##V3_BQLV12</stp>
        <stp>[MODL_CRM_US1.xlsx]Single Period!R27C43</stp>
        <stp>SEG0000269241 Segment</stp>
        <stp>SALES_REV_TURN/1M</stp>
        <stp>FPR=2022Y</stp>
        <stp>FPT=A</stp>
        <stp>FA_ACT_EST_DATA=E, EST_SOURCE=DWI</stp>
        <stp>ACT_EST_MAPPING=PRECISE</stp>
        <stp>FS=MRC</stp>
        <stp>CURRENCY=USD</stp>
        <stp>XLFILL=b</stp>
        <tr r="AQ27" s="2"/>
      </tp>
      <tp t="s">
        <v/>
        <stp/>
        <stp>##V3_BQLV12</stp>
        <stp>[MODL_CRM_US1.xlsx]Single Period!R101C52</stp>
        <stp>CRM US Equity</stp>
        <stp>IS_SBC_ATTRIBUTABLE_TO_R_AND_D_PRETX/1M</stp>
        <stp>FPR=2022Y</stp>
        <stp>FPT=A</stp>
        <stp>FA_ACT_EST_DATA=E, EST_SOURCE=WFR</stp>
        <stp>ACT_EST_MAPPING=PRECISE</stp>
        <stp>FS=MRC</stp>
        <stp>CURRENCY=USD</stp>
        <stp>XLFILL=b</stp>
        <tr r="AZ101" s="2"/>
      </tp>
      <tp t="s">
        <v/>
        <stp/>
        <stp>##V3_BQLV12</stp>
        <stp>[MODL_CRM_US1.xlsx]Single Period!R119C32</stp>
        <stp>CRM US Equity</stp>
        <stp>CB_BS_OTHER_NONCURRENT_ASSETS/1M</stp>
        <stp>FPR=2022Y</stp>
        <stp>FPT=A</stp>
        <stp>FA_ACT_EST_DATA=E, EST_SOURCE=UBS</stp>
        <stp>ACT_EST_MAPPING=PRECISE</stp>
        <stp>FS=MRC</stp>
        <stp>CURRENCY=USD</stp>
        <stp>XLFILL=b</stp>
        <tr r="AF119" s="2"/>
      </tp>
      <tp t="s">
        <v/>
        <stp/>
        <stp>##V3_BQLV12</stp>
        <stp>[MODL_CRM_US1.xlsx]Single Period!R140C47</stp>
        <stp>CRM US Equity</stp>
        <stp>BS_ACCUMULATED_OTHER_COMP_INC/1M</stp>
        <stp>FPR=2022Y</stp>
        <stp>FPT=A</stp>
        <stp>FA_ACT_EST_DATA=E, EST_SOURCE=WFT</stp>
        <stp>ACT_EST_MAPPING=PRECISE</stp>
        <stp>FS=MRC</stp>
        <stp>CURRENCY=USD</stp>
        <stp>XLFILL=b</stp>
        <tr r="AU140" s="2"/>
      </tp>
      <tp t="s">
        <v/>
        <stp/>
        <stp>##V3_BQLV12</stp>
        <stp>[MODL_CRM_US1.xlsx]Single Period!R32C35</stp>
        <stp>SEG0000269227 Segment</stp>
        <stp>SALES_REV_TURN/1M</stp>
        <stp>FPR=2022Y</stp>
        <stp>FPT=A</stp>
        <stp>FA_ACT_EST_DATA=E, EST_SOURCE=ATL</stp>
        <stp>ACT_EST_MAPPING=PRECISE</stp>
        <stp>FS=MRC</stp>
        <stp>CURRENCY=USD</stp>
        <stp>XLFILL=b</stp>
        <tr r="AI32" s="2"/>
      </tp>
      <tp t="s">
        <v/>
        <stp/>
        <stp>##V3_BQLV12</stp>
        <stp>[MODL_CRM_US1.xlsx]Single Period!R10C44</stp>
        <stp>SEG0000269238 Segment</stp>
        <stp>SALES_REV_TURN/1M</stp>
        <stp>FPR=2022Y</stp>
        <stp>FPT=A</stp>
        <stp>FA_ACT_EST_DATA=E, EST_SOURCE=RWB</stp>
        <stp>ACT_EST_MAPPING=PRECISE</stp>
        <stp>FS=MRC</stp>
        <stp>CURRENCY=USD</stp>
        <stp>XLFILL=b</stp>
        <tr r="AR10" s="2"/>
      </tp>
      <tp t="s">
        <v/>
        <stp/>
        <stp>##V3_BQLV12</stp>
        <stp>[MODL_CRM_US1.xlsx]Single Period!R123C18</stp>
        <stp>CRM US Equity</stp>
        <stp>TOT_OPER_LEA_RT_OF_USE_ASSETS/1M</stp>
        <stp>FPR=2022Y</stp>
        <stp>FPT=A</stp>
        <stp>FA_ACT_EST_DATA=E, EST_SOURCE=CAN</stp>
        <stp>ACT_EST_MAPPING=PRECISE</stp>
        <stp>FS=MRC</stp>
        <stp>CURRENCY=USD</stp>
        <stp>XLFILL=b</stp>
        <tr r="R123" s="2"/>
      </tp>
      <tp t="s">
        <v/>
        <stp/>
        <stp>##V3_BQLV12</stp>
        <stp>[MODL_CRM_US1.xlsx]Single Period!R27C28</stp>
        <stp>SEG0000269241 Segment</stp>
        <stp>SALES_REV_TURN/1M</stp>
        <stp>FPR=2022Y</stp>
        <stp>FPT=A</stp>
        <stp>FA_ACT_EST_DATA=E, EST_SOURCE=CWN</stp>
        <stp>ACT_EST_MAPPING=PRECISE</stp>
        <stp>FS=MRC</stp>
        <stp>CURRENCY=USD</stp>
        <stp>XLFILL=b</stp>
        <tr r="AB27" s="2"/>
      </tp>
      <tp t="s">
        <v/>
        <stp/>
        <stp>##V3_BQLV12</stp>
        <stp>[MODL_CRM_US1.xlsx]Single Period!R24C42</stp>
        <stp>SEG0000269238 Segment</stp>
        <stp>SALES_REV_TURN/1M</stp>
        <stp>FPR=2022Y</stp>
        <stp>FPT=A</stp>
        <stp>FA_ACT_EST_DATA=E, EST_SOURCE=PSG</stp>
        <stp>ACT_EST_MAPPING=PRECISE</stp>
        <stp>FS=MRC</stp>
        <stp>CURRENCY=USD</stp>
        <stp>XLFILL=b</stp>
        <tr r="AP24" s="2"/>
      </tp>
      <tp t="s">
        <v/>
        <stp/>
        <stp>##V3_BQLV12</stp>
        <stp>[MODL_CRM_US1.xlsx]Single Period!R32C46</stp>
        <stp>SEG0000269227 Segment</stp>
        <stp>SALES_REV_TURN/1M</stp>
        <stp>FPR=2022Y</stp>
        <stp>FPT=A</stp>
        <stp>FA_ACT_EST_DATA=E, EST_SOURCE=CTI</stp>
        <stp>ACT_EST_MAPPING=PRECISE</stp>
        <stp>FS=MRC</stp>
        <stp>CURRENCY=USD</stp>
        <stp>XLFILL=b</stp>
        <tr r="AT32" s="2"/>
      </tp>
      <tp>
        <v>8087</v>
        <stp/>
        <stp>##V3_BQLV12</stp>
        <stp>[MODL_CRM_US1.xlsx]Single Period!R64C41</stp>
        <stp>CRM US Equity</stp>
        <stp>IS_COMPARABLE_EBITDA/1M</stp>
        <stp>FPR=2022Y</stp>
        <stp>FPT=A</stp>
        <stp>FA_ACT_EST_DATA=E, EST_SOURCE=GSR</stp>
        <stp>ACT_EST_MAPPING=PRECISE</stp>
        <stp>FS=MRC</stp>
        <stp>CURRENCY=USD</stp>
        <stp>XLFILL=b</stp>
        <tr r="AO64" s="2"/>
      </tp>
      <tp t="s">
        <v/>
        <stp/>
        <stp>##V3_BQLV12</stp>
        <stp>[MODL_CRM_US1.xlsx]Single Period!R151C47</stp>
        <stp>CRM US Equity</stp>
        <stp>NON_CURRENT_FUTURE_REV_UNDER_CONTRACT/1M</stp>
        <stp>FPR=2022Y</stp>
        <stp>FPT=A</stp>
        <stp>FA_ACT_EST_DATA=E, EST_SOURCE=WFT</stp>
        <stp>ACT_EST_MAPPING=PRECISE</stp>
        <stp>FS=MRC</stp>
        <stp>CURRENCY=USD</stp>
        <stp>XLFILL=b</stp>
        <tr r="AU151" s="2"/>
      </tp>
      <tp t="s">
        <v/>
        <stp/>
        <stp>##V3_BQLV12</stp>
        <stp>[MODL_CRM_US1.xlsx]Single Period!R10C43</stp>
        <stp>SEG0000269238 Segment</stp>
        <stp>SALES_REV_TURN/1M</stp>
        <stp>FPR=2022Y</stp>
        <stp>FPT=A</stp>
        <stp>FA_ACT_EST_DATA=E, EST_SOURCE=DWI</stp>
        <stp>ACT_EST_MAPPING=PRECISE</stp>
        <stp>FS=MRC</stp>
        <stp>CURRENCY=USD</stp>
        <stp>XLFILL=b</stp>
        <tr r="AQ10" s="2"/>
      </tp>
      <tp t="s">
        <v/>
        <stp/>
        <stp>##V3_BQLV12</stp>
        <stp>[MODL_CRM_US1.xlsx]Single Period!R27C44</stp>
        <stp>SEG0000269241 Segment</stp>
        <stp>SALES_REV_TURN/1M</stp>
        <stp>FPR=2022Y</stp>
        <stp>FPT=A</stp>
        <stp>FA_ACT_EST_DATA=E, EST_SOURCE=RWB</stp>
        <stp>ACT_EST_MAPPING=PRECISE</stp>
        <stp>FS=MRC</stp>
        <stp>CURRENCY=USD</stp>
        <stp>XLFILL=b</stp>
        <tr r="AR27" s="2"/>
      </tp>
      <tp t="s">
        <v/>
        <stp/>
        <stp>##V3_BQLV12</stp>
        <stp>[MODL_CRM_US1.xlsx]Single Period!R43C42</stp>
        <stp>SEG0000269240 Segment</stp>
        <stp>SALES_REV_TURN/1M</stp>
        <stp>FPR=2022Y</stp>
        <stp>FPT=A</stp>
        <stp>FA_ACT_EST_DATA=E, EST_SOURCE=PSG</stp>
        <stp>ACT_EST_MAPPING=PRECISE</stp>
        <stp>FS=MRC</stp>
        <stp>CURRENCY=USD</stp>
        <stp>XLFILL=b</stp>
        <tr r="AP43" s="2"/>
      </tp>
      <tp t="s">
        <v/>
        <stp/>
        <stp>##V3_BQLV12</stp>
        <stp>[MODL_CRM_US1.xlsx]Single Period!R10C28</stp>
        <stp>SEG0000269238 Segment</stp>
        <stp>SALES_REV_TURN/1M</stp>
        <stp>FPR=2022Y</stp>
        <stp>FPT=A</stp>
        <stp>FA_ACT_EST_DATA=E, EST_SOURCE=CWN</stp>
        <stp>ACT_EST_MAPPING=PRECISE</stp>
        <stp>FS=MRC</stp>
        <stp>CURRENCY=USD</stp>
        <stp>XLFILL=b</stp>
        <tr r="AB10" s="2"/>
      </tp>
      <tp t="s">
        <v>BMO Capital Markets</v>
        <stp/>
        <stp>##V3_BQLV12</stp>
        <stp>[MODL_CRM_US1.xlsx]Single Period!R3C12</stp>
        <stp>CRM US Equity</stp>
        <stp>LAST(IS_COMP_SALES(FA_ACT_EST_DATA=E, EST_SOURCE=BMO).firm_name)</stp>
        <stp>FPR=2022Y</stp>
        <stp>FPT=A</stp>
        <stp>ACT_EST_MAPPING=PRECISE</stp>
        <stp>FS=MRC</stp>
        <stp>CURRENCY=USD</stp>
        <stp>XLFILL=b</stp>
        <tr r="L3" s="2"/>
      </tp>
      <tp>
        <v>78.7</v>
        <stp/>
        <stp>##V3_BQLV12</stp>
        <stp>[MODL_CRM_US1.xlsx]Single Period!R56C28</stp>
        <stp>CRM US Equity</stp>
        <stp>IS_COMP_GROSS_MARGIN_PERCENTAGE</stp>
        <stp>FPR=2022Y</stp>
        <stp>FPT=A</stp>
        <stp>FA_ACT_EST_DATA=E, EST_SOURCE=CWN</stp>
        <stp>ACT_EST_MAPPING=PRECISE</stp>
        <stp>FS=MRC</stp>
        <stp>CURRENCY=USD</stp>
        <stp>XLFILL=b</stp>
        <tr r="AB56" s="2"/>
      </tp>
      <tp>
        <v>78.7</v>
        <stp/>
        <stp>##V3_BQLV12</stp>
        <stp>[MODL_CRM_US1.xlsx]Single Period!R17C28</stp>
        <stp>CRM US Equity</stp>
        <stp>IS_COMP_GROSS_MARGIN_PERCENTAGE</stp>
        <stp>FPR=2022Y</stp>
        <stp>FPT=A</stp>
        <stp>FA_ACT_EST_DATA=E, EST_SOURCE=CWN</stp>
        <stp>ACT_EST_MAPPING=PRECISE</stp>
        <stp>FS=MRC</stp>
        <stp>CURRENCY=USD</stp>
        <stp>XLFILL=b</stp>
        <tr r="AB17" s="2"/>
      </tp>
      <tp>
        <v>78.599999999999994</v>
        <stp/>
        <stp>##V3_BQLV12</stp>
        <stp>[MODL_CRM_US1.xlsx]Single Period!R56C37</stp>
        <stp>CRM US Equity</stp>
        <stp>IS_COMP_GROSS_MARGIN_PERCENTAGE</stp>
        <stp>FPR=2022Y</stp>
        <stp>FPT=A</stp>
        <stp>FA_ACT_EST_DATA=E, EST_SOURCE=EVR</stp>
        <stp>ACT_EST_MAPPING=PRECISE</stp>
        <stp>FS=MRC</stp>
        <stp>CURRENCY=USD</stp>
        <stp>XLFILL=b</stp>
        <tr r="AK56" s="2"/>
      </tp>
      <tp t="s">
        <v>JMP Securities</v>
        <stp/>
        <stp>##V3_BQLV12</stp>
        <stp>[MODL_CRM_US1.xlsx]Single Period!R3C20</stp>
        <stp>CRM US Equity</stp>
        <stp>LAST(IS_COMP_SALES(FA_ACT_EST_DATA=E, EST_SOURCE=JMP).firm_name)</stp>
        <stp>FPR=2022Y</stp>
        <stp>FPT=A</stp>
        <stp>ACT_EST_MAPPING=PRECISE</stp>
        <stp>FS=MRC</stp>
        <stp>CURRENCY=USD</stp>
        <stp>XLFILL=b</stp>
        <tr r="T3" s="2"/>
      </tp>
      <tp t="s">
        <v>Wedbush</v>
        <stp/>
        <stp>##V3_BQLV12</stp>
        <stp>[MODL_CRM_US1.xlsx]Single Period!R3C25</stp>
        <stp>CRM US Equity</stp>
        <stp>LAST(IS_COMP_SALES(FA_ACT_EST_DATA=E, EST_SOURCE=WMS).firm_name)</stp>
        <stp>FPR=2022Y</stp>
        <stp>FPT=A</stp>
        <stp>ACT_EST_MAPPING=PRECISE</stp>
        <stp>FS=MRC</stp>
        <stp>CURRENCY=USD</stp>
        <stp>XLFILL=b</stp>
        <tr r="Y3" s="2"/>
      </tp>
      <tp>
        <v>78.599999999999994</v>
        <stp/>
        <stp>##V3_BQLV12</stp>
        <stp>[MODL_CRM_US1.xlsx]Single Period!R17C37</stp>
        <stp>CRM US Equity</stp>
        <stp>IS_COMP_GROSS_MARGIN_PERCENTAGE</stp>
        <stp>FPR=2022Y</stp>
        <stp>FPT=A</stp>
        <stp>FA_ACT_EST_DATA=E, EST_SOURCE=EVR</stp>
        <stp>ACT_EST_MAPPING=PRECISE</stp>
        <stp>FS=MRC</stp>
        <stp>CURRENCY=USD</stp>
        <stp>XLFILL=b</stp>
        <tr r="AK17" s="2"/>
      </tp>
      <tp t="s">
        <v/>
        <stp/>
        <stp>##V3_BQLV12</stp>
        <stp>[MODL_CRM_US1.xlsx]Single Period!R105C44</stp>
        <stp>CRM US Equity</stp>
        <stp>IS_AMORT_ACQD_INTANGIBLES_COGS/1M</stp>
        <stp>FPR=2022Y</stp>
        <stp>FPT=A</stp>
        <stp>FA_ACT_EST_DATA=E, EST_SOURCE=RWB</stp>
        <stp>ACT_EST_MAPPING=PRECISE</stp>
        <stp>FS=MRC</stp>
        <stp>CURRENCY=USD</stp>
        <stp>XLFILL=b</stp>
        <tr r="AR105" s="2"/>
      </tp>
      <tp t="s">
        <v/>
        <stp/>
        <stp>##V3_BQLV12</stp>
        <stp>[MODL_CRM_US1.xlsx]Single Period!R105C28</stp>
        <stp>CRM US Equity</stp>
        <stp>IS_AMORT_ACQD_INTANGIBLES_COGS/1M</stp>
        <stp>FPR=2022Y</stp>
        <stp>FPT=A</stp>
        <stp>FA_ACT_EST_DATA=E, EST_SOURCE=CWN</stp>
        <stp>ACT_EST_MAPPING=PRECISE</stp>
        <stp>FS=MRC</stp>
        <stp>CURRENCY=USD</stp>
        <stp>XLFILL=b</stp>
        <tr r="AB105" s="2"/>
      </tp>
      <tp t="s">
        <v/>
        <stp/>
        <stp>##V3_BQLV12</stp>
        <stp>[MODL_CRM_US1.xlsx]Single Period!R95C51</stp>
        <stp>CRM US Equity</stp>
        <stp>IS_COMP_EPS_GAAP</stp>
        <stp>FPR=2022Y</stp>
        <stp>FPT=A</stp>
        <stp>FA_ACT_EST_DATA=E, EST_SOURCE=RCP</stp>
        <stp>ACT_EST_MAPPING=PRECISE</stp>
        <stp>FS=MRC</stp>
        <stp>CURRENCY=USD</stp>
        <stp>XLFILL=b</stp>
        <tr r="AY95" s="2"/>
      </tp>
      <tp t="s">
        <v/>
        <stp/>
        <stp>##V3_BQLV12</stp>
        <stp>[MODL_CRM_US1.xlsx]Single Period!R112C56</stp>
        <stp>CRM US Equity</stp>
        <stp>BS_CASH_NEAR_CASH_ITEM/1M</stp>
        <stp>FPR=2022Y</stp>
        <stp>FPT=A</stp>
        <stp>FA_ACT_EST_DATA=E, EST_SOURCE=DIR</stp>
        <stp>ACT_EST_MAPPING=PRECISE</stp>
        <stp>FS=MRC</stp>
        <stp>CURRENCY=USD</stp>
        <stp>XLFILL=b</stp>
        <tr r="BD112" s="2"/>
      </tp>
      <tp t="s">
        <v/>
        <stp/>
        <stp>##V3_BQLV12</stp>
        <stp>[MODL_CRM_US1.xlsx]Single Period!R165C23</stp>
        <stp>CRM US Equity</stp>
        <stp>CF_CHG_IN_DEFER_UNEARND_REV_ST/1M</stp>
        <stp>FPR=2022Y</stp>
        <stp>FPT=A</stp>
        <stp>FA_ACT_EST_DATA=E, EST_SOURCE=JPM</stp>
        <stp>ACT_EST_MAPPING=PRECISE</stp>
        <stp>FS=MRC</stp>
        <stp>CURRENCY=USD</stp>
        <stp>XLFILL=b</stp>
        <tr r="W165" s="2"/>
      </tp>
      <tp t="s">
        <v/>
        <stp/>
        <stp>##V3_BQLV12</stp>
        <stp>[MODL_CRM_US1.xlsx]Single Period!R188C51</stp>
        <stp>CRM US Equity</stp>
        <stp>BS_CASH_NEAR_CASH_ITEM/1M</stp>
        <stp>FPR=2022Y</stp>
        <stp>FPT=A</stp>
        <stp>FA_ACT_EST_DATA=E, EST_SOURCE=RCP</stp>
        <stp>ACT_EST_MAPPING=PRECISE</stp>
        <stp>FS=MRC</stp>
        <stp>CURRENCY=USD</stp>
        <stp>XLFILL=b</stp>
        <tr r="AY188" s="2"/>
      </tp>
      <tp t="s">
        <v/>
        <stp/>
        <stp>##V3_BQLV12</stp>
        <stp>[MODL_CRM_US1.xlsx]Single Period!R105C43</stp>
        <stp>CRM US Equity</stp>
        <stp>IS_AMORT_ACQD_INTANGIBLES_COGS/1M</stp>
        <stp>FPR=2022Y</stp>
        <stp>FPT=A</stp>
        <stp>FA_ACT_EST_DATA=E, EST_SOURCE=DWI</stp>
        <stp>ACT_EST_MAPPING=PRECISE</stp>
        <stp>FS=MRC</stp>
        <stp>CURRENCY=USD</stp>
        <stp>XLFILL=b</stp>
        <tr r="AQ105" s="2"/>
      </tp>
      <tp t="s">
        <v/>
        <stp/>
        <stp>##V3_BQLV12</stp>
        <stp>[MODL_CRM_US1.xlsx]Single Period!R188C27</stp>
        <stp>CRM US Equity</stp>
        <stp>BS_CASH_NEAR_CASH_ITEM/1M</stp>
        <stp>FPR=2022Y</stp>
        <stp>FPT=A</stp>
        <stp>FA_ACT_EST_DATA=E, EST_SOURCE=LCM</stp>
        <stp>ACT_EST_MAPPING=PRECISE</stp>
        <stp>FS=MRC</stp>
        <stp>CURRENCY=USD</stp>
        <stp>XLFILL=b</stp>
        <tr r="AA188" s="2"/>
      </tp>
      <tp t="s">
        <v/>
        <stp/>
        <stp>##V3_BQLV12</stp>
        <stp>[MODL_CRM_US1.xlsx]Single Period!R112C53</stp>
        <stp>CRM US Equity</stp>
        <stp>BS_CASH_NEAR_CASH_ITEM/1M</stp>
        <stp>FPR=2022Y</stp>
        <stp>FPT=A</stp>
        <stp>FA_ACT_EST_DATA=E, EST_SOURCE=NIK</stp>
        <stp>ACT_EST_MAPPING=PRECISE</stp>
        <stp>FS=MRC</stp>
        <stp>CURRENCY=USD</stp>
        <stp>XLFILL=b</stp>
        <tr r="BA112" s="2"/>
      </tp>
      <tp t="s">
        <v/>
        <stp/>
        <stp>##V3_BQLV12</stp>
        <stp>[MODL_CRM_US1.xlsx]Single Period!R165C22</stp>
        <stp>CRM US Equity</stp>
        <stp>CF_CHG_IN_DEFER_UNEARND_REV_ST/1M</stp>
        <stp>FPR=2022Y</stp>
        <stp>FPT=A</stp>
        <stp>FA_ACT_EST_DATA=E, EST_SOURCE=OPY</stp>
        <stp>ACT_EST_MAPPING=PRECISE</stp>
        <stp>FS=MRC</stp>
        <stp>CURRENCY=USD</stp>
        <stp>XLFILL=b</stp>
        <tr r="V165" s="2"/>
      </tp>
      <tp t="s">
        <v/>
        <stp/>
        <stp>##V3_BQLV12</stp>
        <stp>[MODL_CRM_US1.xlsx]Single Period!R189C46</stp>
        <stp>CRM US Equity</stp>
        <stp>CF_CASH_AND_CASH_EQUIV_BEG_BAL/1M</stp>
        <stp>FPR=2022Y</stp>
        <stp>FPT=A</stp>
        <stp>FA_ACT_EST_DATA=E, EST_SOURCE=CTI</stp>
        <stp>ACT_EST_MAPPING=PRECISE</stp>
        <stp>FS=MRC</stp>
        <stp>CURRENCY=USD</stp>
        <stp>XLFILL=b</stp>
        <tr r="AT189" s="2"/>
      </tp>
      <tp t="s">
        <v/>
        <stp/>
        <stp>##V3_BQLV12</stp>
        <stp>[MODL_CRM_US1.xlsx]Single Period!R188C19</stp>
        <stp>CRM US Equity</stp>
        <stp>BS_CASH_NEAR_CASH_ITEM/1M</stp>
        <stp>FPR=2022Y</stp>
        <stp>FPT=A</stp>
        <stp>FA_ACT_EST_DATA=E, EST_SOURCE=SCB</stp>
        <stp>ACT_EST_MAPPING=PRECISE</stp>
        <stp>FS=MRC</stp>
        <stp>CURRENCY=USD</stp>
        <stp>XLFILL=b</stp>
        <tr r="S188" s="2"/>
      </tp>
      <tp t="s">
        <v/>
        <stp/>
        <stp>##V3_BQLV12</stp>
        <stp>[MODL_CRM_US1.xlsx]Single Period!R188C40</stp>
        <stp>CRM US Equity</stp>
        <stp>BS_CASH_NEAR_CASH_ITEM/1M</stp>
        <stp>FPR=2022Y</stp>
        <stp>FPT=A</stp>
        <stp>FA_ACT_EST_DATA=E, EST_SOURCE=ACC</stp>
        <stp>ACT_EST_MAPPING=PRECISE</stp>
        <stp>FS=MRC</stp>
        <stp>CURRENCY=USD</stp>
        <stp>XLFILL=b</stp>
        <tr r="AN188" s="2"/>
      </tp>
      <tp t="s">
        <v/>
        <stp/>
        <stp>##V3_BQLV12</stp>
        <stp>[MODL_CRM_US1.xlsx]Single Period!R189C35</stp>
        <stp>CRM US Equity</stp>
        <stp>CF_CASH_AND_CASH_EQUIV_BEG_BAL/1M</stp>
        <stp>FPR=2022Y</stp>
        <stp>FPT=A</stp>
        <stp>FA_ACT_EST_DATA=E, EST_SOURCE=ATL</stp>
        <stp>ACT_EST_MAPPING=PRECISE</stp>
        <stp>FS=MRC</stp>
        <stp>CURRENCY=USD</stp>
        <stp>XLFILL=b</stp>
        <tr r="AI189" s="2"/>
      </tp>
      <tp>
        <v>6191.6802100140158</v>
        <stp/>
        <stp>##V3_BQLV12</stp>
        <stp>[MODL_CRM_US1.xlsx]Single Period!R188C13</stp>
        <stp>CRM US Equity</stp>
        <stp>BS_CASH_NEAR_CASH_ITEM/1M</stp>
        <stp>FPR=2022Y</stp>
        <stp>FPT=A</stp>
        <stp>FA_ACT_EST_DATA=E, EST_SOURCE=BCA</stp>
        <stp>ACT_EST_MAPPING=PRECISE</stp>
        <stp>FS=MRC</stp>
        <stp>CURRENCY=USD</stp>
        <stp>XLFILL=b</stp>
        <tr r="M188" s="2"/>
      </tp>
      <tp t="s">
        <v/>
        <stp/>
        <stp>##V3_BQLV12</stp>
        <stp>[MODL_CRM_US1.xlsx]Single Period!R95C48</stp>
        <stp>CRM US Equity</stp>
        <stp>IS_COMP_EPS_GAAP</stp>
        <stp>FPR=2022Y</stp>
        <stp>FPT=A</stp>
        <stp>FA_ACT_EST_DATA=E, EST_SOURCE=PJE</stp>
        <stp>ACT_EST_MAPPING=PRECISE</stp>
        <stp>FS=MRC</stp>
        <stp>CURRENCY=USD</stp>
        <stp>XLFILL=b</stp>
        <tr r="AV95" s="2"/>
      </tp>
      <tp t="s">
        <v/>
        <stp/>
        <stp>##V3_BQLV12</stp>
        <stp>[MODL_CRM_US1.xlsx]Single Period!R185C43</stp>
        <stp>CRM US Equity</stp>
        <stp>CF_EFFECT_FOREIGN_EXCHANGES/1M</stp>
        <stp>FPR=2022Y</stp>
        <stp>FPT=A</stp>
        <stp>FA_ACT_EST_DATA=E, EST_SOURCE=DWI</stp>
        <stp>ACT_EST_MAPPING=PRECISE</stp>
        <stp>FS=MRC</stp>
        <stp>CURRENCY=USD</stp>
        <stp>XLFILL=b</stp>
        <tr r="AQ185" s="2"/>
      </tp>
      <tp t="s">
        <v/>
        <stp/>
        <stp>##V3_BQLV12</stp>
        <stp>[MODL_CRM_US1.xlsx]Single Period!R73C55</stp>
        <stp>CRM US Equity</stp>
        <stp>IS_SH_FOR_DILUTED_EPS/1M</stp>
        <stp>FPR=2022Y</stp>
        <stp>FPT=A</stp>
        <stp>FA_ACT_EST_DATA=E, EST_SOURCE=RED</stp>
        <stp>ACT_EST_MAPPING=PRECISE</stp>
        <stp>FS=MRC</stp>
        <stp>CURRENCY=USD</stp>
        <stp>XLFILL=b</stp>
        <tr r="BC73" s="2"/>
      </tp>
      <tp t="s">
        <v/>
        <stp/>
        <stp>##V3_BQLV12</stp>
        <stp>[MODL_CRM_US1.xlsx]Single Period!R185C28</stp>
        <stp>CRM US Equity</stp>
        <stp>CF_EFFECT_FOREIGN_EXCHANGES/1M</stp>
        <stp>FPR=2022Y</stp>
        <stp>FPT=A</stp>
        <stp>FA_ACT_EST_DATA=E, EST_SOURCE=CWN</stp>
        <stp>ACT_EST_MAPPING=PRECISE</stp>
        <stp>FS=MRC</stp>
        <stp>CURRENCY=USD</stp>
        <stp>XLFILL=b</stp>
        <tr r="AB185" s="2"/>
      </tp>
      <tp>
        <v>976</v>
        <stp/>
        <stp>##V3_BQLV12</stp>
        <stp>[MODL_CRM_US1.xlsx]Single Period!R73C13</stp>
        <stp>CRM US Equity</stp>
        <stp>IS_SH_FOR_DILUTED_EPS/1M</stp>
        <stp>FPR=2022Y</stp>
        <stp>FPT=A</stp>
        <stp>FA_ACT_EST_DATA=E, EST_SOURCE=BCA</stp>
        <stp>ACT_EST_MAPPING=PRECISE</stp>
        <stp>FS=MRC</stp>
        <stp>CURRENCY=USD</stp>
        <stp>XLFILL=b</stp>
        <tr r="M73" s="2"/>
      </tp>
      <tp t="s">
        <v/>
        <stp/>
        <stp>##V3_BQLV12</stp>
        <stp>[MODL_CRM_US1.xlsx]Single Period!R122C32</stp>
        <stp>CRM US Equity</stp>
        <stp>BS_GOODWILL/1M</stp>
        <stp>FPR=2022Y</stp>
        <stp>FPT=A</stp>
        <stp>FA_ACT_EST_DATA=E, EST_SOURCE=UBS</stp>
        <stp>ACT_EST_MAPPING=PRECISE</stp>
        <stp>FS=MRC</stp>
        <stp>CURRENCY=USD</stp>
        <stp>XLFILL=b</stp>
        <tr r="AF122" s="2"/>
      </tp>
      <tp t="s">
        <v/>
        <stp/>
        <stp>##V3_BQLV12</stp>
        <stp>[MODL_CRM_US1.xlsx]Single Period!R128C28</stp>
        <stp>CRM US Equity</stp>
        <stp>BS_CUR_LIAB/1M</stp>
        <stp>FPR=2022Y</stp>
        <stp>FPT=A</stp>
        <stp>FA_ACT_EST_DATA=E, EST_SOURCE=CWN</stp>
        <stp>ACT_EST_MAPPING=PRECISE</stp>
        <stp>FS=MRC</stp>
        <stp>CURRENCY=USD</stp>
        <stp>XLFILL=b</stp>
        <tr r="AB128" s="2"/>
      </tp>
      <tp t="s">
        <v/>
        <stp/>
        <stp>##V3_BQLV12</stp>
        <stp>[MODL_CRM_US1.xlsx]Single Period!R146C12</stp>
        <stp>CRM US Equity</stp>
        <stp>CUR_RATIO</stp>
        <stp>FPR=2022Y</stp>
        <stp>FPT=A</stp>
        <stp>FA_ACT_EST_DATA=E, EST_SOURCE=BMO</stp>
        <stp>ACT_EST_MAPPING=PRECISE</stp>
        <stp>FS=MRC</stp>
        <stp>CURRENCY=USD</stp>
        <stp>XLFILL=b</stp>
        <tr r="L146" s="2"/>
      </tp>
      <tp t="s">
        <v/>
        <stp/>
        <stp>##V3_BQLV12</stp>
        <stp>[MODL_CRM_US1.xlsx]Single Period!R94C49</stp>
        <stp>CRM US Equity</stp>
        <stp>IS_SH_FOR_DILUTED_EPS/1M</stp>
        <stp>FPR=2022Y</stp>
        <stp>FPT=A</stp>
        <stp>FA_ACT_EST_DATA=E, EST_SOURCE=SGE</stp>
        <stp>ACT_EST_MAPPING=PRECISE</stp>
        <stp>FS=MRC</stp>
        <stp>CURRENCY=USD</stp>
        <stp>XLFILL=b</stp>
        <tr r="AW94" s="2"/>
      </tp>
      <tp t="s">
        <v/>
        <stp/>
        <stp>##V3_BQLV12</stp>
        <stp>[MODL_CRM_US1.xlsx]Single Period!R128C43</stp>
        <stp>CRM US Equity</stp>
        <stp>BS_CUR_LIAB/1M</stp>
        <stp>FPR=2022Y</stp>
        <stp>FPT=A</stp>
        <stp>FA_ACT_EST_DATA=E, EST_SOURCE=DWI</stp>
        <stp>ACT_EST_MAPPING=PRECISE</stp>
        <stp>FS=MRC</stp>
        <stp>CURRENCY=USD</stp>
        <stp>XLFILL=b</stp>
        <tr r="AQ128" s="2"/>
      </tp>
      <tp t="s">
        <v/>
        <stp/>
        <stp>##V3_BQLV12</stp>
        <stp>[MODL_CRM_US1.xlsx]Single Period!R94C39</stp>
        <stp>CRM US Equity</stp>
        <stp>IS_SH_FOR_DILUTED_EPS/1M</stp>
        <stp>FPR=2022Y</stp>
        <stp>FPT=A</stp>
        <stp>FA_ACT_EST_DATA=E, EST_SOURCE=KGI</stp>
        <stp>ACT_EST_MAPPING=PRECISE</stp>
        <stp>FS=MRC</stp>
        <stp>CURRENCY=USD</stp>
        <stp>XLFILL=b</stp>
        <tr r="AM94" s="2"/>
      </tp>
      <tp t="s">
        <v/>
        <stp/>
        <stp>##V3_BQLV12</stp>
        <stp>[MODL_CRM_US1.xlsx]Single Period!R185C44</stp>
        <stp>CRM US Equity</stp>
        <stp>CF_EFFECT_FOREIGN_EXCHANGES/1M</stp>
        <stp>FPR=2022Y</stp>
        <stp>FPT=A</stp>
        <stp>FA_ACT_EST_DATA=E, EST_SOURCE=RWB</stp>
        <stp>ACT_EST_MAPPING=PRECISE</stp>
        <stp>FS=MRC</stp>
        <stp>CURRENCY=USD</stp>
        <stp>XLFILL=b</stp>
        <tr r="AR185" s="2"/>
      </tp>
      <tp t="s">
        <v/>
        <stp/>
        <stp>##V3_BQLV12</stp>
        <stp>[MODL_CRM_US1.xlsx]Single Period!R98C56</stp>
        <stp>CRM US Equity</stp>
        <stp>IS_INC_TAX_EFFECT_NONGAAP_REC/1M</stp>
        <stp>FPR=2022Y</stp>
        <stp>FPT=A</stp>
        <stp>FA_ACT_EST_DATA=E, EST_SOURCE=DIR</stp>
        <stp>ACT_EST_MAPPING=PRECISE</stp>
        <stp>FS=MRC</stp>
        <stp>CURRENCY=USD</stp>
        <stp>XLFILL=b</stp>
        <tr r="BD98" s="2"/>
      </tp>
      <tp t="s">
        <v/>
        <stp/>
        <stp>##V3_BQLV12</stp>
        <stp>[MODL_CRM_US1.xlsx]Single Period!R128C44</stp>
        <stp>CRM US Equity</stp>
        <stp>BS_CUR_LIAB/1M</stp>
        <stp>FPR=2022Y</stp>
        <stp>FPT=A</stp>
        <stp>FA_ACT_EST_DATA=E, EST_SOURCE=RWB</stp>
        <stp>ACT_EST_MAPPING=PRECISE</stp>
        <stp>FS=MRC</stp>
        <stp>CURRENCY=USD</stp>
        <stp>XLFILL=b</stp>
        <tr r="AR128" s="2"/>
      </tp>
      <tp>
        <v>5846</v>
        <stp/>
        <stp>##V3_BQLV12</stp>
        <stp>[MODL_CRM_US1.xlsx]Single Period!R68C32</stp>
        <stp>CRM US Equity</stp>
        <stp>IS_COMP_PTP_EX_STK_BASED_COMP/1M</stp>
        <stp>FPR=2022Y</stp>
        <stp>FPT=A</stp>
        <stp>FA_ACT_EST_DATA=E, EST_SOURCE=UBS</stp>
        <stp>ACT_EST_MAPPING=PRECISE</stp>
        <stp>FS=MRC</stp>
        <stp>CURRENCY=USD</stp>
        <stp>XLFILL=b</stp>
        <tr r="AF68" s="2"/>
      </tp>
      <tp t="s">
        <v/>
        <stp/>
        <stp>##V3_BQLV12</stp>
        <stp>[MODL_CRM_US1.xlsx]Single Period!R98C12</stp>
        <stp>CRM US Equity</stp>
        <stp>IS_INC_TAX_EFFECT_NONGAAP_REC/1M</stp>
        <stp>FPR=2022Y</stp>
        <stp>FPT=A</stp>
        <stp>FA_ACT_EST_DATA=E, EST_SOURCE=BMO</stp>
        <stp>ACT_EST_MAPPING=PRECISE</stp>
        <stp>FS=MRC</stp>
        <stp>CURRENCY=USD</stp>
        <stp>XLFILL=b</stp>
        <tr r="L98" s="2"/>
      </tp>
      <tp t="s">
        <v/>
        <stp/>
        <stp>##V3_BQLV12</stp>
        <stp>[MODL_CRM_US1.xlsx]Single Period!R137C33</stp>
        <stp>CRM US Equity</stp>
        <stp>BS_EQTY_BEFORE_MINORITY_INT/1M</stp>
        <stp>FPR=2022Y</stp>
        <stp>FPT=A</stp>
        <stp>FA_ACT_EST_DATA=E, EST_SOURCE=RHR</stp>
        <stp>ACT_EST_MAPPING=PRECISE</stp>
        <stp>FS=MRC</stp>
        <stp>CURRENCY=USD</stp>
        <stp>XLFILL=b</stp>
        <tr r="AG137" s="2"/>
      </tp>
      <tp t="s">
        <v/>
        <stp/>
        <stp>##V3_BQLV12</stp>
        <stp>[MODL_CRM_US1.xlsx]Single Period!R12C50</stp>
        <stp>CRM US Equity</stp>
        <stp>TOT_FUTURE_REV_UNDER_CONTRACT/1M</stp>
        <stp>FPR=2022Y</stp>
        <stp>FPT=A</stp>
        <stp>FA_ACT_EST_DATA=E, EST_SOURCE=MZS</stp>
        <stp>ACT_EST_MAPPING=PRECISE</stp>
        <stp>FS=MRC</stp>
        <stp>CURRENCY=USD</stp>
        <stp>XLFILL=b</stp>
        <tr r="AX12" s="2"/>
      </tp>
      <tp>
        <v>47951</v>
        <stp/>
        <stp>##V3_BQLV12</stp>
        <stp>[MODL_CRM_US1.xlsx]Single Period!R122C16</stp>
        <stp>CRM US Equity</stp>
        <stp>BS_GOODWILL/1M</stp>
        <stp>FPR=2022Y</stp>
        <stp>FPT=A</stp>
        <stp>FA_ACT_EST_DATA=E, EST_SOURCE=DBG</stp>
        <stp>ACT_EST_MAPPING=PRECISE</stp>
        <stp>FS=MRC</stp>
        <stp>CURRENCY=USD</stp>
        <stp>XLFILL=b</stp>
        <tr r="P122" s="2"/>
      </tp>
      <tp t="s">
        <v/>
        <stp/>
        <stp>##V3_BQLV12</stp>
        <stp>[MODL_CRM_US1.xlsx]Single Period!R63C50</stp>
        <stp>CRM US Equity</stp>
        <stp>CF_DEPR_AMORT/1M</stp>
        <stp>FPR=2022Y</stp>
        <stp>FPT=A</stp>
        <stp>FA_ACT_EST_DATA=E, EST_SOURCE=MZS</stp>
        <stp>ACT_EST_MAPPING=PRECISE</stp>
        <stp>FS=MRC</stp>
        <stp>CURRENCY=USD</stp>
        <stp>XLFILL=b</stp>
        <tr r="AX63" s="2"/>
      </tp>
      <tp t="s">
        <v/>
        <stp/>
        <stp>##V3_BQLV12</stp>
        <stp>[MODL_CRM_US1.xlsx]Single Period!R110C18</stp>
        <stp>CRM US Equity</stp>
        <stp>BS_CUR_ASSET_REPORT/1M</stp>
        <stp>FPR=2022Y</stp>
        <stp>FPT=A</stp>
        <stp>FA_ACT_EST_DATA=E, EST_SOURCE=CAN</stp>
        <stp>ACT_EST_MAPPING=PRECISE</stp>
        <stp>FS=MRC</stp>
        <stp>CURRENCY=USD</stp>
        <stp>XLFILL=b</stp>
        <tr r="R110" s="2"/>
      </tp>
      <tp>
        <v>47465</v>
        <stp/>
        <stp>##V3_BQLV12</stp>
        <stp>[MODL_CRM_US1.xlsx]Single Period!R122C24</stp>
        <stp>CRM US Equity</stp>
        <stp>BS_GOODWILL/1M</stp>
        <stp>FPR=2022Y</stp>
        <stp>FPT=A</stp>
        <stp>FA_ACT_EST_DATA=E, EST_SOURCE=FBC</stp>
        <stp>ACT_EST_MAPPING=PRECISE</stp>
        <stp>FS=MRC</stp>
        <stp>CURRENCY=USD</stp>
        <stp>XLFILL=b</stp>
        <tr r="X122" s="2"/>
      </tp>
      <tp t="s">
        <v/>
        <stp/>
        <stp>##V3_BQLV12</stp>
        <stp>[MODL_CRM_US1.xlsx]Single Period!R110C30</stp>
        <stp>CRM US Equity</stp>
        <stp>BS_CUR_ASSET_REPORT/1M</stp>
        <stp>FPR=2022Y</stp>
        <stp>FPT=A</stp>
        <stp>FA_ACT_EST_DATA=E, EST_SOURCE=BAM</stp>
        <stp>ACT_EST_MAPPING=PRECISE</stp>
        <stp>FS=MRC</stp>
        <stp>CURRENCY=USD</stp>
        <stp>XLFILL=b</stp>
        <tr r="AD110" s="2"/>
      </tp>
      <tp t="s">
        <v/>
        <stp/>
        <stp>##V3_BQLV12</stp>
        <stp>[MODL_CRM_US1.xlsx]Single Period!R122C31</stp>
        <stp>CRM US Equity</stp>
        <stp>BS_GOODWILL/1M</stp>
        <stp>FPR=2022Y</stp>
        <stp>FPT=A</stp>
        <stp>FA_ACT_EST_DATA=E, EST_SOURCE=RBC</stp>
        <stp>ACT_EST_MAPPING=PRECISE</stp>
        <stp>FS=MRC</stp>
        <stp>CURRENCY=USD</stp>
        <stp>XLFILL=b</stp>
        <tr r="AE122" s="2"/>
      </tp>
      <tp t="s">
        <v/>
        <stp/>
        <stp>##V3_BQLV12</stp>
        <stp>[MODL_CRM_US1.xlsx]Single Period!R85C49</stp>
        <stp>CRM US Equity</stp>
        <stp>CB_IS_S_AND_M_EXPENSE/1M</stp>
        <stp>FPR=2022Y</stp>
        <stp>FPT=A</stp>
        <stp>FA_ACT_EST_DATA=E, EST_SOURCE=SGE</stp>
        <stp>ACT_EST_MAPPING=PRECISE</stp>
        <stp>FS=MRC</stp>
        <stp>CURRENCY=USD</stp>
        <stp>XLFILL=b</stp>
        <tr r="AW85" s="2"/>
      </tp>
      <tp t="s">
        <v/>
        <stp/>
        <stp>##V3_BQLV12</stp>
        <stp>[MODL_CRM_US1.xlsx]Single Period!R73C32</stp>
        <stp>CRM US Equity</stp>
        <stp>IS_SH_FOR_DILUTED_EPS/1M</stp>
        <stp>FPR=2022Y</stp>
        <stp>FPT=A</stp>
        <stp>FA_ACT_EST_DATA=E, EST_SOURCE=UBS</stp>
        <stp>ACT_EST_MAPPING=PRECISE</stp>
        <stp>FS=MRC</stp>
        <stp>CURRENCY=USD</stp>
        <stp>XLFILL=b</stp>
        <tr r="AF73" s="2"/>
      </tp>
      <tp t="s">
        <v/>
        <stp/>
        <stp>##V3_BQLV12</stp>
        <stp>[MODL_CRM_US1.xlsx]Single Period!R122C11</stp>
        <stp>CRM US Equity</stp>
        <stp>BS_GOODWILL/1M</stp>
        <stp>FPR=2022Y</stp>
        <stp>FPT=A</stp>
        <stp>FA_ACT_EST_DATA=E, EST_SOURCE=WBL</stp>
        <stp>ACT_EST_MAPPING=PRECISE</stp>
        <stp>FS=MRC</stp>
        <stp>CURRENCY=USD</stp>
        <stp>XLFILL=b</stp>
        <tr r="K122" s="2"/>
      </tp>
      <tp t="s">
        <v/>
        <stp/>
        <stp>##V3_BQLV12</stp>
        <stp>[MODL_CRM_US1.xlsx]Single Period!R100C46</stp>
        <stp>CRM US Equity</stp>
        <stp>IS_SBC_ATTRIB_TO_COGS_PRETX/1M</stp>
        <stp>FPR=2022Y</stp>
        <stp>FPT=A</stp>
        <stp>FA_ACT_EST_DATA=E, EST_SOURCE=CTI</stp>
        <stp>ACT_EST_MAPPING=PRECISE</stp>
        <stp>FS=MRC</stp>
        <stp>CURRENCY=USD</stp>
        <stp>XLFILL=b</stp>
        <tr r="AT100" s="2"/>
      </tp>
      <tp t="s">
        <v/>
        <stp/>
        <stp>##V3_BQLV12</stp>
        <stp>[MODL_CRM_US1.xlsx]Single Period!R146C20</stp>
        <stp>CRM US Equity</stp>
        <stp>CUR_RATIO</stp>
        <stp>FPR=2022Y</stp>
        <stp>FPT=A</stp>
        <stp>FA_ACT_EST_DATA=E, EST_SOURCE=JMP</stp>
        <stp>ACT_EST_MAPPING=PRECISE</stp>
        <stp>FS=MRC</stp>
        <stp>CURRENCY=USD</stp>
        <stp>XLFILL=b</stp>
        <tr r="T146" s="2"/>
      </tp>
      <tp t="s">
        <v/>
        <stp/>
        <stp>##V3_BQLV12</stp>
        <stp>[MODL_CRM_US1.xlsx]Single Period!R68C55</stp>
        <stp>CRM US Equity</stp>
        <stp>IS_COMP_PTP_EX_STK_BASED_COMP/1M</stp>
        <stp>FPR=2022Y</stp>
        <stp>FPT=A</stp>
        <stp>FA_ACT_EST_DATA=E, EST_SOURCE=RED</stp>
        <stp>ACT_EST_MAPPING=PRECISE</stp>
        <stp>FS=MRC</stp>
        <stp>CURRENCY=USD</stp>
        <stp>XLFILL=b</stp>
        <tr r="BC68" s="2"/>
      </tp>
      <tp t="s">
        <v/>
        <stp/>
        <stp>##V3_BQLV12</stp>
        <stp>[MODL_CRM_US1.xlsx]Single Period!R85C39</stp>
        <stp>CRM US Equity</stp>
        <stp>CB_IS_S_AND_M_EXPENSE/1M</stp>
        <stp>FPR=2022Y</stp>
        <stp>FPT=A</stp>
        <stp>FA_ACT_EST_DATA=E, EST_SOURCE=KGI</stp>
        <stp>ACT_EST_MAPPING=PRECISE</stp>
        <stp>FS=MRC</stp>
        <stp>CURRENCY=USD</stp>
        <stp>XLFILL=b</stp>
        <tr r="AM85" s="2"/>
      </tp>
      <tp t="s">
        <v/>
        <stp/>
        <stp>##V3_BQLV12</stp>
        <stp>[MODL_CRM_US1.xlsx]Single Period!R146C25</stp>
        <stp>CRM US Equity</stp>
        <stp>CUR_RATIO</stp>
        <stp>FPR=2022Y</stp>
        <stp>FPT=A</stp>
        <stp>FA_ACT_EST_DATA=E, EST_SOURCE=WMS</stp>
        <stp>ACT_EST_MAPPING=PRECISE</stp>
        <stp>FS=MRC</stp>
        <stp>CURRENCY=USD</stp>
        <stp>XLFILL=b</stp>
        <tr r="Y146" s="2"/>
      </tp>
      <tp t="s">
        <v/>
        <stp/>
        <stp>##V3_BQLV12</stp>
        <stp>[MODL_CRM_US1.xlsx]Single Period!R100C35</stp>
        <stp>CRM US Equity</stp>
        <stp>IS_SBC_ATTRIB_TO_COGS_PRETX/1M</stp>
        <stp>FPR=2022Y</stp>
        <stp>FPT=A</stp>
        <stp>FA_ACT_EST_DATA=E, EST_SOURCE=ATL</stp>
        <stp>ACT_EST_MAPPING=PRECISE</stp>
        <stp>FS=MRC</stp>
        <stp>CURRENCY=USD</stp>
        <stp>XLFILL=b</stp>
        <tr r="AI100" s="2"/>
      </tp>
      <tp t="s">
        <v/>
        <stp/>
        <stp>##V3_BQLV12</stp>
        <stp>[MODL_CRM_US1.xlsx]Single Period!R110C36</stp>
        <stp>CRM US Equity</stp>
        <stp>BS_CUR_ASSET_REPORT/1M</stp>
        <stp>FPR=2022Y</stp>
        <stp>FPT=A</stp>
        <stp>FA_ACT_EST_DATA=E, EST_SOURCE=MAC</stp>
        <stp>ACT_EST_MAPPING=PRECISE</stp>
        <stp>FS=MRC</stp>
        <stp>CURRENCY=USD</stp>
        <stp>XLFILL=b</stp>
        <tr r="AJ110" s="2"/>
      </tp>
      <tp t="s">
        <v/>
        <stp/>
        <stp>##V3_BQLV12</stp>
        <stp>[MODL_CRM_US1.xlsx]Single Period!R14C24</stp>
        <stp>CRM US Equity</stp>
        <stp>NON_CURRENT_FUTURE_REV_UNDER_CONTRACT/1M</stp>
        <stp>FPR=2022Y</stp>
        <stp>FPT=A</stp>
        <stp>FA_ACT_EST_DATA=E, EST_SOURCE=FBC</stp>
        <stp>ACT_EST_MAPPING=PRECISE</stp>
        <stp>FS=MRC</stp>
        <stp>CURRENCY=USD</stp>
        <stp>XLFILL=b</stp>
        <tr r="X14" s="2"/>
      </tp>
      <tp>
        <v>5823</v>
        <stp/>
        <stp>##V3_BQLV12</stp>
        <stp>[MODL_CRM_US1.xlsx]Single Period!R68C13</stp>
        <stp>CRM US Equity</stp>
        <stp>IS_COMP_PTP_EX_STK_BASED_COMP/1M</stp>
        <stp>FPR=2022Y</stp>
        <stp>FPT=A</stp>
        <stp>FA_ACT_EST_DATA=E, EST_SOURCE=BCA</stp>
        <stp>ACT_EST_MAPPING=PRECISE</stp>
        <stp>FS=MRC</stp>
        <stp>CURRENCY=USD</stp>
        <stp>XLFILL=b</stp>
        <tr r="M68" s="2"/>
      </tp>
      <tp t="s">
        <v/>
        <stp/>
        <stp>##V3_BQLV12</stp>
        <stp>[MODL_CRM_US1.xlsx]Single Period!R140C55</stp>
        <stp>CRM US Equity</stp>
        <stp>BS_ACCUMULATED_OTHER_COMP_INC/1M</stp>
        <stp>FPR=2022Y</stp>
        <stp>FPT=A</stp>
        <stp>FA_ACT_EST_DATA=E, EST_SOURCE=RED</stp>
        <stp>ACT_EST_MAPPING=PRECISE</stp>
        <stp>FS=MRC</stp>
        <stp>CURRENCY=USD</stp>
        <stp>XLFILL=b</stp>
        <tr r="BC140" s="2"/>
      </tp>
      <tp t="s">
        <v/>
        <stp/>
        <stp>##V3_BQLV12</stp>
        <stp>[MODL_CRM_US1.xlsx]Single Period!R10C37</stp>
        <stp>SEG0000269238 Segment</stp>
        <stp>SALES_REV_TURN/1M</stp>
        <stp>FPR=2022Y</stp>
        <stp>FPT=A</stp>
        <stp>FA_ACT_EST_DATA=E, EST_SOURCE=EVR</stp>
        <stp>ACT_EST_MAPPING=PRECISE</stp>
        <stp>FS=MRC</stp>
        <stp>CURRENCY=USD</stp>
        <stp>XLFILL=b</stp>
        <tr r="AK10" s="2"/>
      </tp>
      <tp>
        <v>936</v>
        <stp/>
        <stp>##V3_BQLV12</stp>
        <stp>[MODL_CRM_US1.xlsx]Single Period!R101C13</stp>
        <stp>CRM US Equity</stp>
        <stp>IS_SBC_ATTRIBUTABLE_TO_R_AND_D_PRETX/1M</stp>
        <stp>FPR=2022Y</stp>
        <stp>FPT=A</stp>
        <stp>FA_ACT_EST_DATA=E, EST_SOURCE=BCA</stp>
        <stp>ACT_EST_MAPPING=PRECISE</stp>
        <stp>FS=MRC</stp>
        <stp>CURRENCY=USD</stp>
        <stp>XLFILL=b</stp>
        <tr r="M101" s="2"/>
      </tp>
      <tp t="s">
        <v/>
        <stp/>
        <stp>##V3_BQLV12</stp>
        <stp>[MODL_CRM_US1.xlsx]Single Period!R101C36</stp>
        <stp>CRM US Equity</stp>
        <stp>IS_SBC_ATTRIBUTABLE_TO_R_AND_D_PRETX/1M</stp>
        <stp>FPR=2022Y</stp>
        <stp>FPT=A</stp>
        <stp>FA_ACT_EST_DATA=E, EST_SOURCE=MAC</stp>
        <stp>ACT_EST_MAPPING=PRECISE</stp>
        <stp>FS=MRC</stp>
        <stp>CURRENCY=USD</stp>
        <stp>XLFILL=b</stp>
        <tr r="AJ101" s="2"/>
      </tp>
      <tp t="s">
        <v/>
        <stp/>
        <stp>##V3_BQLV12</stp>
        <stp>[MODL_CRM_US1.xlsx]Single Period!R156C38</stp>
        <stp>CRM US Equity</stp>
        <stp>CF_DEPR_AMORT/1M</stp>
        <stp>FPR=2022Y</stp>
        <stp>FPT=A</stp>
        <stp>FA_ACT_EST_DATA=E, EST_SOURCE=MSR</stp>
        <stp>ACT_EST_MAPPING=PRECISE</stp>
        <stp>FS=MRC</stp>
        <stp>CURRENCY=USD</stp>
        <stp>XLFILL=b</stp>
        <tr r="AL156" s="2"/>
      </tp>
      <tp t="s">
        <v/>
        <stp/>
        <stp>##V3_BQLV12</stp>
        <stp>[MODL_CRM_US1.xlsx]Single Period!R64C45</stp>
        <stp>CRM US Equity</stp>
        <stp>IS_COMPARABLE_EBITDA/1M</stp>
        <stp>FPR=2022Y</stp>
        <stp>FPT=A</stp>
        <stp>FA_ACT_EST_DATA=E, EST_SOURCE=ARG</stp>
        <stp>ACT_EST_MAPPING=PRECISE</stp>
        <stp>FS=MRC</stp>
        <stp>CURRENCY=USD</stp>
        <stp>XLFILL=b</stp>
        <tr r="AS64" s="2"/>
      </tp>
      <tp t="s">
        <v/>
        <stp/>
        <stp>##V3_BQLV12</stp>
        <stp>[MODL_CRM_US1.xlsx]Single Period!R119C34</stp>
        <stp>CRM US Equity</stp>
        <stp>CB_BS_OTHER_NONCURRENT_ASSETS/1M</stp>
        <stp>FPR=2022Y</stp>
        <stp>FPT=A</stp>
        <stp>FA_ACT_EST_DATA=E, EST_SOURCE=JEF</stp>
        <stp>ACT_EST_MAPPING=PRECISE</stp>
        <stp>FS=MRC</stp>
        <stp>CURRENCY=USD</stp>
        <stp>XLFILL=b</stp>
        <tr r="AH119" s="2"/>
      </tp>
      <tp>
        <v>-122</v>
        <stp/>
        <stp>##V3_BQLV12</stp>
        <stp>[MODL_CRM_US1.xlsx]Single Period!R140C13</stp>
        <stp>CRM US Equity</stp>
        <stp>BS_ACCUMULATED_OTHER_COMP_INC/1M</stp>
        <stp>FPR=2022Y</stp>
        <stp>FPT=A</stp>
        <stp>FA_ACT_EST_DATA=E, EST_SOURCE=BCA</stp>
        <stp>ACT_EST_MAPPING=PRECISE</stp>
        <stp>FS=MRC</stp>
        <stp>CURRENCY=USD</stp>
        <stp>XLFILL=b</stp>
        <tr r="M140" s="2"/>
      </tp>
      <tp t="s">
        <v/>
        <stp/>
        <stp>##V3_BQLV12</stp>
        <stp>[MODL_CRM_US1.xlsx]Single Period!R151C55</stp>
        <stp>CRM US Equity</stp>
        <stp>NON_CURRENT_FUTURE_REV_UNDER_CONTRACT/1M</stp>
        <stp>FPR=2022Y</stp>
        <stp>FPT=A</stp>
        <stp>FA_ACT_EST_DATA=E, EST_SOURCE=RED</stp>
        <stp>ACT_EST_MAPPING=PRECISE</stp>
        <stp>FS=MRC</stp>
        <stp>CURRENCY=USD</stp>
        <stp>XLFILL=b</stp>
        <tr r="BC151" s="2"/>
      </tp>
      <tp>
        <v>955.25</v>
        <stp/>
        <stp>##V3_BQLV12</stp>
        <stp>[MODL_CRM_US1.xlsx]Single Period!R93C9</stp>
        <stp>CRM US Equity</stp>
        <stp>CONTRIBUTOR_STATS(IS_AVG_NUM_SH_FOR_EPS, MEDIAN)/1M</stp>
        <stp>FPR=2022Y</stp>
        <stp>FPT=A</stp>
        <stp>FA_ACT_EST_DATA=E</stp>
        <stp>ACT_EST_MAPPING=PRECISE</stp>
        <stp>FS=MRC</stp>
        <stp>CURRENCY=USD</stp>
        <stp>XLFILL=b</stp>
        <tr r="I93" s="2"/>
      </tp>
      <tp t="s">
        <v/>
        <stp/>
        <stp>##V3_BQLV12</stp>
        <stp>[MODL_CRM_US1.xlsx]Single Period!R27C37</stp>
        <stp>SEG0000269241 Segment</stp>
        <stp>SALES_REV_TURN/1M</stp>
        <stp>FPR=2022Y</stp>
        <stp>FPT=A</stp>
        <stp>FA_ACT_EST_DATA=E, EST_SOURCE=EVR</stp>
        <stp>ACT_EST_MAPPING=PRECISE</stp>
        <stp>FS=MRC</stp>
        <stp>CURRENCY=USD</stp>
        <stp>XLFILL=b</stp>
        <tr r="AK27" s="2"/>
      </tp>
      <tp t="s">
        <v/>
        <stp/>
        <stp>##V3_BQLV12</stp>
        <stp>[MODL_CRM_US1.xlsx]Single Period!R101C19</stp>
        <stp>CRM US Equity</stp>
        <stp>IS_SBC_ATTRIBUTABLE_TO_R_AND_D_PRETX/1M</stp>
        <stp>FPR=2022Y</stp>
        <stp>FPT=A</stp>
        <stp>FA_ACT_EST_DATA=E, EST_SOURCE=SCB</stp>
        <stp>ACT_EST_MAPPING=PRECISE</stp>
        <stp>FS=MRC</stp>
        <stp>CURRENCY=USD</stp>
        <stp>XLFILL=b</stp>
        <tr r="S101" s="2"/>
      </tp>
      <tp t="s">
        <v/>
        <stp/>
        <stp>##V3_BQLV12</stp>
        <stp>[MODL_CRM_US1.xlsx]Single Period!R123C25</stp>
        <stp>CRM US Equity</stp>
        <stp>TOT_OPER_LEA_RT_OF_USE_ASSETS/1M</stp>
        <stp>FPR=2022Y</stp>
        <stp>FPT=A</stp>
        <stp>FA_ACT_EST_DATA=E, EST_SOURCE=WMS</stp>
        <stp>ACT_EST_MAPPING=PRECISE</stp>
        <stp>FS=MRC</stp>
        <stp>CURRENCY=USD</stp>
        <stp>XLFILL=b</stp>
        <tr r="Y123" s="2"/>
      </tp>
      <tp t="s">
        <v/>
        <stp/>
        <stp>##V3_BQLV12</stp>
        <stp>[MODL_CRM_US1.xlsx]Single Period!R119C30</stp>
        <stp>CRM US Equity</stp>
        <stp>CB_BS_OTHER_NONCURRENT_ASSETS/1M</stp>
        <stp>FPR=2022Y</stp>
        <stp>FPT=A</stp>
        <stp>FA_ACT_EST_DATA=E, EST_SOURCE=BAM</stp>
        <stp>ACT_EST_MAPPING=PRECISE</stp>
        <stp>FS=MRC</stp>
        <stp>CURRENCY=USD</stp>
        <stp>XLFILL=b</stp>
        <tr r="AD119" s="2"/>
      </tp>
      <tp t="s">
        <v/>
        <stp/>
        <stp>##V3_BQLV12</stp>
        <stp>[MODL_CRM_US1.xlsx]Single Period!R101C30</stp>
        <stp>CRM US Equity</stp>
        <stp>IS_SBC_ATTRIBUTABLE_TO_R_AND_D_PRETX/1M</stp>
        <stp>FPR=2022Y</stp>
        <stp>FPT=A</stp>
        <stp>FA_ACT_EST_DATA=E, EST_SOURCE=BAM</stp>
        <stp>ACT_EST_MAPPING=PRECISE</stp>
        <stp>FS=MRC</stp>
        <stp>CURRENCY=USD</stp>
        <stp>XLFILL=b</stp>
        <tr r="AD101" s="2"/>
      </tp>
      <tp t="s">
        <v/>
        <stp/>
        <stp>##V3_BQLV12</stp>
        <stp>[MODL_CRM_US1.xlsx]Single Period!R151C13</stp>
        <stp>CRM US Equity</stp>
        <stp>NON_CURRENT_FUTURE_REV_UNDER_CONTRACT/1M</stp>
        <stp>FPR=2022Y</stp>
        <stp>FPT=A</stp>
        <stp>FA_ACT_EST_DATA=E, EST_SOURCE=BCA</stp>
        <stp>ACT_EST_MAPPING=PRECISE</stp>
        <stp>FS=MRC</stp>
        <stp>CURRENCY=USD</stp>
        <stp>XLFILL=b</stp>
        <tr r="M151" s="2"/>
      </tp>
      <tp>
        <v>1612</v>
        <stp/>
        <stp>##V3_BQLV12</stp>
        <stp>[MODL_CRM_US1.xlsx]Single Period!R65C14</stp>
        <stp>CRM US Equity</stp>
        <stp>IS_AMORT_OF_TOT_INTANG_PRETX/1M</stp>
        <stp>FPR=2022Y</stp>
        <stp>FPT=A</stp>
        <stp>FA_ACT_EST_DATA=E, EST_SOURCE=SNR</stp>
        <stp>ACT_EST_MAPPING=PRECISE</stp>
        <stp>FS=MRC</stp>
        <stp>CURRENCY=USD</stp>
        <stp>XLFILL=b</stp>
        <tr r="N65" s="2"/>
      </tp>
      <tp>
        <v>1563</v>
        <stp/>
        <stp>##V3_BQLV12</stp>
        <stp>[MODL_CRM_US1.xlsx]Single Period!R65C25</stp>
        <stp>CRM US Equity</stp>
        <stp>IS_AMORT_OF_TOT_INTANG_PRETX/1M</stp>
        <stp>FPR=2022Y</stp>
        <stp>FPT=A</stp>
        <stp>FA_ACT_EST_DATA=E, EST_SOURCE=WMS</stp>
        <stp>ACT_EST_MAPPING=PRECISE</stp>
        <stp>FS=MRC</stp>
        <stp>CURRENCY=USD</stp>
        <stp>XLFILL=b</stp>
        <tr r="Y65" s="2"/>
      </tp>
      <tp t="s">
        <v/>
        <stp/>
        <stp>##V3_BQLV12</stp>
        <stp>[MODL_CRM_US1.xlsx]Single Period!R26C28</stp>
        <stp>SEG0000269247 Segment</stp>
        <stp>SALES_REV_TURN/1M</stp>
        <stp>FPR=2022Y</stp>
        <stp>FPT=A</stp>
        <stp>FA_ACT_EST_DATA=E, EST_SOURCE=CWN</stp>
        <stp>ACT_EST_MAPPING=PRECISE</stp>
        <stp>FS=MRC</stp>
        <stp>CURRENCY=USD</stp>
        <stp>XLFILL=b</stp>
        <tr r="AB26" s="2"/>
      </tp>
      <tp t="s">
        <v/>
        <stp/>
        <stp>##V3_BQLV12</stp>
        <stp>[MODL_CRM_US1.xlsx]Single Period!R101C47</stp>
        <stp>CRM US Equity</stp>
        <stp>IS_SBC_ATTRIBUTABLE_TO_R_AND_D_PRETX/1M</stp>
        <stp>FPR=2022Y</stp>
        <stp>FPT=A</stp>
        <stp>FA_ACT_EST_DATA=E, EST_SOURCE=WFT</stp>
        <stp>ACT_EST_MAPPING=PRECISE</stp>
        <stp>FS=MRC</stp>
        <stp>CURRENCY=USD</stp>
        <stp>XLFILL=b</stp>
        <tr r="AU101" s="2"/>
      </tp>
      <tp t="s">
        <v/>
        <stp/>
        <stp>##V3_BQLV12</stp>
        <stp>[MODL_CRM_US1.xlsx]Single Period!R24C54</stp>
        <stp>SEG0000269238 Segment</stp>
        <stp>SALES_REV_TURN/1M</stp>
        <stp>FPR=2022Y</stp>
        <stp>FPT=A</stp>
        <stp>FA_ACT_EST_DATA=E, EST_SOURCE=ARE</stp>
        <stp>ACT_EST_MAPPING=PRECISE</stp>
        <stp>FS=MRC</stp>
        <stp>CURRENCY=USD</stp>
        <stp>XLFILL=b</stp>
        <tr r="BB24" s="2"/>
      </tp>
      <tp t="s">
        <v/>
        <stp/>
        <stp>##V3_BQLV12</stp>
        <stp>[MODL_CRM_US1.xlsx]Single Period!R119C47</stp>
        <stp>CRM US Equity</stp>
        <stp>CB_BS_OTHER_NONCURRENT_ASSETS/1M</stp>
        <stp>FPR=2022Y</stp>
        <stp>FPT=A</stp>
        <stp>FA_ACT_EST_DATA=E, EST_SOURCE=WFT</stp>
        <stp>ACT_EST_MAPPING=PRECISE</stp>
        <stp>FS=MRC</stp>
        <stp>CURRENCY=USD</stp>
        <stp>XLFILL=b</stp>
        <tr r="AU119" s="2"/>
      </tp>
      <tp t="s">
        <v/>
        <stp/>
        <stp>##V3_BQLV12</stp>
        <stp>[MODL_CRM_US1.xlsx]Single Period!R140C32</stp>
        <stp>CRM US Equity</stp>
        <stp>BS_ACCUMULATED_OTHER_COMP_INC/1M</stp>
        <stp>FPR=2022Y</stp>
        <stp>FPT=A</stp>
        <stp>FA_ACT_EST_DATA=E, EST_SOURCE=UBS</stp>
        <stp>ACT_EST_MAPPING=PRECISE</stp>
        <stp>FS=MRC</stp>
        <stp>CURRENCY=USD</stp>
        <stp>XLFILL=b</stp>
        <tr r="AF140" s="2"/>
      </tp>
      <tp>
        <v>1625</v>
        <stp/>
        <stp>##V3_BQLV12</stp>
        <stp>[MODL_CRM_US1.xlsx]Single Period!R65C20</stp>
        <stp>CRM US Equity</stp>
        <stp>IS_AMORT_OF_TOT_INTANG_PRETX/1M</stp>
        <stp>FPR=2022Y</stp>
        <stp>FPT=A</stp>
        <stp>FA_ACT_EST_DATA=E, EST_SOURCE=JMP</stp>
        <stp>ACT_EST_MAPPING=PRECISE</stp>
        <stp>FS=MRC</stp>
        <stp>CURRENCY=USD</stp>
        <stp>XLFILL=b</stp>
        <tr r="T65" s="2"/>
      </tp>
      <tp t="s">
        <v/>
        <stp/>
        <stp>##V3_BQLV12</stp>
        <stp>[MODL_CRM_US1.xlsx]Single Period!R24C45</stp>
        <stp>SEG0000269238 Segment</stp>
        <stp>SALES_REV_TURN/1M</stp>
        <stp>FPR=2022Y</stp>
        <stp>FPT=A</stp>
        <stp>FA_ACT_EST_DATA=E, EST_SOURCE=ARG</stp>
        <stp>ACT_EST_MAPPING=PRECISE</stp>
        <stp>FS=MRC</stp>
        <stp>CURRENCY=USD</stp>
        <stp>XLFILL=b</stp>
        <tr r="AS24" s="2"/>
      </tp>
      <tp t="s">
        <v/>
        <stp/>
        <stp>##V3_BQLV12</stp>
        <stp>[MODL_CRM_US1.xlsx]Single Period!R26C43</stp>
        <stp>SEG0000269247 Segment</stp>
        <stp>SALES_REV_TURN/1M</stp>
        <stp>FPR=2022Y</stp>
        <stp>FPT=A</stp>
        <stp>FA_ACT_EST_DATA=E, EST_SOURCE=DWI</stp>
        <stp>ACT_EST_MAPPING=PRECISE</stp>
        <stp>FS=MRC</stp>
        <stp>CURRENCY=USD</stp>
        <stp>XLFILL=b</stp>
        <tr r="AQ26" s="2"/>
      </tp>
      <tp>
        <v>976</v>
        <stp/>
        <stp>##V3_BQLV12</stp>
        <stp>[MODL_CRM_US1.xlsx]Single Period!R73C9</stp>
        <stp>CRM US Equity</stp>
        <stp>CONTRIBUTOR_STATS(IS_SH_FOR_DILUTED_EPS, MEDIAN)/1M</stp>
        <stp>FPR=2022Y</stp>
        <stp>FPT=A</stp>
        <stp>FA_ACT_EST_DATA=E</stp>
        <stp>ACT_EST_MAPPING=PRECISE</stp>
        <stp>FS=MRC</stp>
        <stp>CURRENCY=USD</stp>
        <stp>XLFILL=b</stp>
        <tr r="I73" s="2"/>
      </tp>
      <tp>
        <v>976</v>
        <stp/>
        <stp>##V3_BQLV12</stp>
        <stp>[MODL_CRM_US1.xlsx]Single Period!R94C9</stp>
        <stp>CRM US Equity</stp>
        <stp>CONTRIBUTOR_STATS(IS_SH_FOR_DILUTED_EPS, MEDIAN)/1M</stp>
        <stp>FPR=2022Y</stp>
        <stp>FPT=A</stp>
        <stp>FA_ACT_EST_DATA=E</stp>
        <stp>ACT_EST_MAPPING=PRECISE</stp>
        <stp>FS=MRC</stp>
        <stp>CURRENCY=USD</stp>
        <stp>XLFILL=b</stp>
        <tr r="I94" s="2"/>
      </tp>
      <tp t="s">
        <v/>
        <stp/>
        <stp>##V3_BQLV12</stp>
        <stp>[MODL_CRM_US1.xlsx]Single Period!R43C54</stp>
        <stp>SEG0000269240 Segment</stp>
        <stp>SALES_REV_TURN/1M</stp>
        <stp>FPR=2022Y</stp>
        <stp>FPT=A</stp>
        <stp>FA_ACT_EST_DATA=E, EST_SOURCE=ARE</stp>
        <stp>ACT_EST_MAPPING=PRECISE</stp>
        <stp>FS=MRC</stp>
        <stp>CURRENCY=USD</stp>
        <stp>XLFILL=b</stp>
        <tr r="BB43" s="2"/>
      </tp>
      <tp t="s">
        <v/>
        <stp/>
        <stp>##V3_BQLV12</stp>
        <stp>[MODL_CRM_US1.xlsx]Single Period!R26C44</stp>
        <stp>SEG0000269247 Segment</stp>
        <stp>SALES_REV_TURN/1M</stp>
        <stp>FPR=2022Y</stp>
        <stp>FPT=A</stp>
        <stp>FA_ACT_EST_DATA=E, EST_SOURCE=RWB</stp>
        <stp>ACT_EST_MAPPING=PRECISE</stp>
        <stp>FS=MRC</stp>
        <stp>CURRENCY=USD</stp>
        <stp>XLFILL=b</stp>
        <tr r="AR26" s="2"/>
      </tp>
      <tp t="s">
        <v/>
        <stp/>
        <stp>##V3_BQLV12</stp>
        <stp>[MODL_CRM_US1.xlsx]Single Period!R43C45</stp>
        <stp>SEG0000269240 Segment</stp>
        <stp>SALES_REV_TURN/1M</stp>
        <stp>FPR=2022Y</stp>
        <stp>FPT=A</stp>
        <stp>FA_ACT_EST_DATA=E, EST_SOURCE=ARG</stp>
        <stp>ACT_EST_MAPPING=PRECISE</stp>
        <stp>FS=MRC</stp>
        <stp>CURRENCY=USD</stp>
        <stp>XLFILL=b</stp>
        <tr r="AS43" s="2"/>
      </tp>
      <tp t="s">
        <v/>
        <stp/>
        <stp>##V3_BQLV12</stp>
        <stp>[MODL_CRM_US1.xlsx]Single Period!R151C32</stp>
        <stp>CRM US Equity</stp>
        <stp>NON_CURRENT_FUTURE_REV_UNDER_CONTRACT/1M</stp>
        <stp>FPR=2022Y</stp>
        <stp>FPT=A</stp>
        <stp>FA_ACT_EST_DATA=E, EST_SOURCE=UBS</stp>
        <stp>ACT_EST_MAPPING=PRECISE</stp>
        <stp>FS=MRC</stp>
        <stp>CURRENCY=USD</stp>
        <stp>XLFILL=b</stp>
        <tr r="AF151" s="2"/>
      </tp>
      <tp t="s">
        <v/>
        <stp/>
        <stp>##V3_BQLV12</stp>
        <stp>[MODL_CRM_US1.xlsx]Single Period!R82C41</stp>
        <stp>CRM US Equity</stp>
        <stp>OPERATING_EXPENSES_TO_NET_SALES</stp>
        <stp>FPR=2022Y</stp>
        <stp>FPT=A</stp>
        <stp>FA_ACT_EST_DATA=E, EST_SOURCE=GSR</stp>
        <stp>ACT_EST_MAPPING=PRECISE</stp>
        <stp>FS=MRC</stp>
        <stp>CURRENCY=USD</stp>
        <stp>XLFILL=b</stp>
        <tr r="AO82" s="2"/>
      </tp>
      <tp t="s">
        <v/>
        <stp/>
        <stp>##V3_BQLV12</stp>
        <stp>[MODL_CRM_US1.xlsx]Single Period!R17C45</stp>
        <stp>CRM US Equity</stp>
        <stp>IS_COMP_GROSS_MARGIN_PERCENTAGE</stp>
        <stp>FPR=2022Y</stp>
        <stp>FPT=A</stp>
        <stp>FA_ACT_EST_DATA=E, EST_SOURCE=ARG</stp>
        <stp>ACT_EST_MAPPING=PRECISE</stp>
        <stp>FS=MRC</stp>
        <stp>CURRENCY=USD</stp>
        <stp>XLFILL=b</stp>
        <tr r="AS17" s="2"/>
      </tp>
      <tp t="s">
        <v/>
        <stp/>
        <stp>##V3_BQLV12</stp>
        <stp>[MODL_CRM_US1.xlsx]Single Period!R56C45</stp>
        <stp>CRM US Equity</stp>
        <stp>IS_COMP_GROSS_MARGIN_PERCENTAGE</stp>
        <stp>FPR=2022Y</stp>
        <stp>FPT=A</stp>
        <stp>FA_ACT_EST_DATA=E, EST_SOURCE=ARG</stp>
        <stp>ACT_EST_MAPPING=PRECISE</stp>
        <stp>FS=MRC</stp>
        <stp>CURRENCY=USD</stp>
        <stp>XLFILL=b</stp>
        <tr r="AS56" s="2"/>
      </tp>
      <tp t="s">
        <v/>
        <stp/>
        <stp>##V3_BQLV12</stp>
        <stp>[MODL_CRM_US1.xlsx]Single Period!R183C28</stp>
        <stp>CRM US Equity</stp>
        <stp>CASH_FLOW_PER_SH</stp>
        <stp>FPR=2022Y</stp>
        <stp>FPT=A</stp>
        <stp>FA_ACT_EST_DATA=E, EST_SOURCE=CWN</stp>
        <stp>ACT_EST_MAPPING=PRECISE</stp>
        <stp>FS=MRC</stp>
        <stp>CURRENCY=USD</stp>
        <stp>XLFILL=b</stp>
        <tr r="AB183" s="2"/>
      </tp>
      <tp t="s">
        <v/>
        <stp/>
        <stp>##V3_BQLV12</stp>
        <stp>[MODL_CRM_US1.xlsx]Single Period!R82C42</stp>
        <stp>CRM US Equity</stp>
        <stp>OPERATING_EXPENSES_TO_NET_SALES</stp>
        <stp>FPR=2022Y</stp>
        <stp>FPT=A</stp>
        <stp>FA_ACT_EST_DATA=E, EST_SOURCE=PSG</stp>
        <stp>ACT_EST_MAPPING=PRECISE</stp>
        <stp>FS=MRC</stp>
        <stp>CURRENCY=USD</stp>
        <stp>XLFILL=b</stp>
        <tr r="AP82" s="2"/>
      </tp>
      <tp t="s">
        <v/>
        <stp/>
        <stp>##V3_BQLV12</stp>
        <stp>[MODL_CRM_US1.xlsx]Single Period!R82C54</stp>
        <stp>CRM US Equity</stp>
        <stp>OPERATING_EXPENSES_TO_NET_SALES</stp>
        <stp>FPR=2022Y</stp>
        <stp>FPT=A</stp>
        <stp>FA_ACT_EST_DATA=E, EST_SOURCE=ARE</stp>
        <stp>ACT_EST_MAPPING=PRECISE</stp>
        <stp>FS=MRC</stp>
        <stp>CURRENCY=USD</stp>
        <stp>XLFILL=b</stp>
        <tr r="BB82" s="2"/>
      </tp>
      <tp t="s">
        <v>Stifel</v>
        <stp/>
        <stp>##V3_BQLV12</stp>
        <stp>[MODL_CRM_US1.xlsx]Single Period!R3C14</stp>
        <stp>CRM US Equity</stp>
        <stp>LAST(IS_COMP_SALES(FA_ACT_EST_DATA=E, EST_SOURCE=SNR).firm_name)</stp>
        <stp>FPR=2022Y</stp>
        <stp>FPT=A</stp>
        <stp>ACT_EST_MAPPING=PRECISE</stp>
        <stp>FS=MRC</stp>
        <stp>CURRENCY=USD</stp>
        <stp>XLFILL=b</stp>
        <tr r="N3" s="2"/>
      </tp>
      <tp t="s">
        <v>FBN Securities</v>
        <stp/>
        <stp>##V3_BQLV12</stp>
        <stp>[MODL_CRM_US1.xlsx]Single Period!R3C29</stp>
        <stp>CRM US Equity</stp>
        <stp>LAST(IS_COMP_SALES(FA_ACT_EST_DATA=E, EST_SOURCE=BNS).firm_name)</stp>
        <stp>FPR=2022Y</stp>
        <stp>FPT=A</stp>
        <stp>ACT_EST_MAPPING=PRECISE</stp>
        <stp>FS=MRC</stp>
        <stp>CURRENCY=USD</stp>
        <stp>XLFILL=b</stp>
        <tr r="AC3" s="2"/>
      </tp>
      <tp t="s">
        <v/>
        <stp/>
        <stp>##V3_BQLV12</stp>
        <stp>[MODL_CRM_US1.xlsx]Single Period!R82C35</stp>
        <stp>CRM US Equity</stp>
        <stp>OPERATING_EXPENSES_TO_NET_SALES</stp>
        <stp>FPR=2022Y</stp>
        <stp>FPT=A</stp>
        <stp>FA_ACT_EST_DATA=E, EST_SOURCE=ATL</stp>
        <stp>ACT_EST_MAPPING=PRECISE</stp>
        <stp>FS=MRC</stp>
        <stp>CURRENCY=USD</stp>
        <stp>XLFILL=b</stp>
        <tr r="AI82" s="2"/>
      </tp>
      <tp t="s">
        <v/>
        <stp/>
        <stp>##V3_BQLV12</stp>
        <stp>[MODL_CRM_US1.xlsx]Single Period!R165C42</stp>
        <stp>CRM US Equity</stp>
        <stp>CF_CHG_IN_DEFER_UNEARND_REV_ST/1M</stp>
        <stp>FPR=2022Y</stp>
        <stp>FPT=A</stp>
        <stp>FA_ACT_EST_DATA=E, EST_SOURCE=PSG</stp>
        <stp>ACT_EST_MAPPING=PRECISE</stp>
        <stp>FS=MRC</stp>
        <stp>CURRENCY=USD</stp>
        <stp>XLFILL=b</stp>
        <tr r="AP165" s="2"/>
      </tp>
      <tp t="s">
        <v/>
        <stp/>
        <stp>##V3_BQLV12</stp>
        <stp>[MODL_CRM_US1.xlsx]Single Period!R105C35</stp>
        <stp>CRM US Equity</stp>
        <stp>IS_AMORT_ACQD_INTANGIBLES_COGS/1M</stp>
        <stp>FPR=2022Y</stp>
        <stp>FPT=A</stp>
        <stp>FA_ACT_EST_DATA=E, EST_SOURCE=ATL</stp>
        <stp>ACT_EST_MAPPING=PRECISE</stp>
        <stp>FS=MRC</stp>
        <stp>CURRENCY=USD</stp>
        <stp>XLFILL=b</stp>
        <tr r="AI105" s="2"/>
      </tp>
      <tp t="s">
        <v/>
        <stp/>
        <stp>##V3_BQLV12</stp>
        <stp>[MODL_CRM_US1.xlsx]Single Period!R95C47</stp>
        <stp>CRM US Equity</stp>
        <stp>IS_COMP_EPS_GAAP</stp>
        <stp>FPR=2022Y</stp>
        <stp>FPT=A</stp>
        <stp>FA_ACT_EST_DATA=E, EST_SOURCE=WFT</stp>
        <stp>ACT_EST_MAPPING=PRECISE</stp>
        <stp>FS=MRC</stp>
        <stp>CURRENCY=USD</stp>
        <stp>XLFILL=b</stp>
        <tr r="AU95" s="2"/>
      </tp>
      <tp t="s">
        <v/>
        <stp/>
        <stp>##V3_BQLV12</stp>
        <stp>[MODL_CRM_US1.xlsx]Single Period!R105C46</stp>
        <stp>CRM US Equity</stp>
        <stp>IS_AMORT_ACQD_INTANGIBLES_COGS/1M</stp>
        <stp>FPR=2022Y</stp>
        <stp>FPT=A</stp>
        <stp>FA_ACT_EST_DATA=E, EST_SOURCE=CTI</stp>
        <stp>ACT_EST_MAPPING=PRECISE</stp>
        <stp>FS=MRC</stp>
        <stp>CURRENCY=USD</stp>
        <stp>XLFILL=b</stp>
        <tr r="AT105" s="2"/>
      </tp>
      <tp t="s">
        <v/>
        <stp/>
        <stp>##V3_BQLV12</stp>
        <stp>[MODL_CRM_US1.xlsx]Single Period!R165C38</stp>
        <stp>CRM US Equity</stp>
        <stp>CF_CHG_IN_DEFER_UNEARND_REV_ST/1M</stp>
        <stp>FPR=2022Y</stp>
        <stp>FPT=A</stp>
        <stp>FA_ACT_EST_DATA=E, EST_SOURCE=MSR</stp>
        <stp>ACT_EST_MAPPING=PRECISE</stp>
        <stp>FS=MRC</stp>
        <stp>CURRENCY=USD</stp>
        <stp>XLFILL=b</stp>
        <tr r="AL165" s="2"/>
      </tp>
      <tp t="s">
        <v/>
        <stp/>
        <stp>##V3_BQLV12</stp>
        <stp>[MODL_CRM_US1.xlsx]Single Period!R165C41</stp>
        <stp>CRM US Equity</stp>
        <stp>CF_CHG_IN_DEFER_UNEARND_REV_ST/1M</stp>
        <stp>FPR=2022Y</stp>
        <stp>FPT=A</stp>
        <stp>FA_ACT_EST_DATA=E, EST_SOURCE=GSR</stp>
        <stp>ACT_EST_MAPPING=PRECISE</stp>
        <stp>FS=MRC</stp>
        <stp>CURRENCY=USD</stp>
        <stp>XLFILL=b</stp>
        <tr r="AO165" s="2"/>
      </tp>
      <tp t="s">
        <v/>
        <stp/>
        <stp>##V3_BQLV12</stp>
        <stp>[MODL_CRM_US1.xlsx]Single Period!R189C44</stp>
        <stp>CRM US Equity</stp>
        <stp>CF_CASH_AND_CASH_EQUIV_BEG_BAL/1M</stp>
        <stp>FPR=2022Y</stp>
        <stp>FPT=A</stp>
        <stp>FA_ACT_EST_DATA=E, EST_SOURCE=RWB</stp>
        <stp>ACT_EST_MAPPING=PRECISE</stp>
        <stp>FS=MRC</stp>
        <stp>CURRENCY=USD</stp>
        <stp>XLFILL=b</stp>
        <tr r="AR189" s="2"/>
      </tp>
      <tp>
        <v>2400.0893457599977</v>
        <stp/>
        <stp>##V3_BQLV12</stp>
        <stp>[MODL_CRM_US1.xlsx]Single Period!R165C15</stp>
        <stp>CRM US Equity</stp>
        <stp>CF_CHG_IN_DEFER_UNEARND_REV_ST/1M</stp>
        <stp>FPR=2022Y</stp>
        <stp>FPT=A</stp>
        <stp>FA_ACT_EST_DATA=E, EST_SOURCE=MSV</stp>
        <stp>ACT_EST_MAPPING=PRECISE</stp>
        <stp>FS=MRC</stp>
        <stp>CURRENCY=USD</stp>
        <stp>XLFILL=b</stp>
        <tr r="O165" s="2"/>
      </tp>
      <tp>
        <v>1.27</v>
        <stp/>
        <stp>##V3_BQLV12</stp>
        <stp>[MODL_CRM_US1.xlsx]Single Period!R95C30</stp>
        <stp>CRM US Equity</stp>
        <stp>IS_COMP_EPS_GAAP</stp>
        <stp>FPR=2022Y</stp>
        <stp>FPT=A</stp>
        <stp>FA_ACT_EST_DATA=E, EST_SOURCE=BAM</stp>
        <stp>ACT_EST_MAPPING=PRECISE</stp>
        <stp>FS=MRC</stp>
        <stp>CURRENCY=USD</stp>
        <stp>XLFILL=b</stp>
        <tr r="AD95" s="2"/>
      </tp>
      <tp t="s">
        <v/>
        <stp/>
        <stp>##V3_BQLV12</stp>
        <stp>[MODL_CRM_US1.xlsx]Single Period!R189C43</stp>
        <stp>CRM US Equity</stp>
        <stp>CF_CASH_AND_CASH_EQUIV_BEG_BAL/1M</stp>
        <stp>FPR=2022Y</stp>
        <stp>FPT=A</stp>
        <stp>FA_ACT_EST_DATA=E, EST_SOURCE=DWI</stp>
        <stp>ACT_EST_MAPPING=PRECISE</stp>
        <stp>FS=MRC</stp>
        <stp>CURRENCY=USD</stp>
        <stp>XLFILL=b</stp>
        <tr r="AQ189" s="2"/>
      </tp>
      <tp t="s">
        <v/>
        <stp/>
        <stp>##V3_BQLV12</stp>
        <stp>[MODL_CRM_US1.xlsx]Single Period!R112C48</stp>
        <stp>CRM US Equity</stp>
        <stp>BS_CASH_NEAR_CASH_ITEM/1M</stp>
        <stp>FPR=2022Y</stp>
        <stp>FPT=A</stp>
        <stp>FA_ACT_EST_DATA=E, EST_SOURCE=PJE</stp>
        <stp>ACT_EST_MAPPING=PRECISE</stp>
        <stp>FS=MRC</stp>
        <stp>CURRENCY=USD</stp>
        <stp>XLFILL=b</stp>
        <tr r="AV112" s="2"/>
      </tp>
      <tp>
        <v>0.24</v>
        <stp/>
        <stp>##V3_BQLV12</stp>
        <stp>[MODL_CRM_US1.xlsx]Single Period!R95C34</stp>
        <stp>CRM US Equity</stp>
        <stp>IS_COMP_EPS_GAAP</stp>
        <stp>FPR=2022Y</stp>
        <stp>FPT=A</stp>
        <stp>FA_ACT_EST_DATA=E, EST_SOURCE=JEF</stp>
        <stp>ACT_EST_MAPPING=PRECISE</stp>
        <stp>FS=MRC</stp>
        <stp>CURRENCY=USD</stp>
        <stp>XLFILL=b</stp>
        <tr r="AH95" s="2"/>
      </tp>
      <tp t="s">
        <v/>
        <stp/>
        <stp>##V3_BQLV12</stp>
        <stp>[MODL_CRM_US1.xlsx]Single Period!R112C21</stp>
        <stp>CRM US Equity</stp>
        <stp>BS_CASH_NEAR_CASH_ITEM/1M</stp>
        <stp>FPR=2022Y</stp>
        <stp>FPT=A</stp>
        <stp>FA_ACT_EST_DATA=E, EST_SOURCE=RJA</stp>
        <stp>ACT_EST_MAPPING=PRECISE</stp>
        <stp>FS=MRC</stp>
        <stp>CURRENCY=USD</stp>
        <stp>XLFILL=b</stp>
        <tr r="U112" s="2"/>
      </tp>
      <tp t="s">
        <v/>
        <stp/>
        <stp>##V3_BQLV12</stp>
        <stp>[MODL_CRM_US1.xlsx]Single Period!R189C28</stp>
        <stp>CRM US Equity</stp>
        <stp>CF_CASH_AND_CASH_EQUIV_BEG_BAL/1M</stp>
        <stp>FPR=2022Y</stp>
        <stp>FPT=A</stp>
        <stp>FA_ACT_EST_DATA=E, EST_SOURCE=CWN</stp>
        <stp>ACT_EST_MAPPING=PRECISE</stp>
        <stp>FS=MRC</stp>
        <stp>CURRENCY=USD</stp>
        <stp>XLFILL=b</stp>
        <tr r="AB189" s="2"/>
      </tp>
      <tp t="s">
        <v/>
        <stp/>
        <stp>##V3_BQLV12</stp>
        <stp>[MODL_CRM_US1.xlsx]Single Period!R185C46</stp>
        <stp>CRM US Equity</stp>
        <stp>CF_EFFECT_FOREIGN_EXCHANGES/1M</stp>
        <stp>FPR=2022Y</stp>
        <stp>FPT=A</stp>
        <stp>FA_ACT_EST_DATA=E, EST_SOURCE=CTI</stp>
        <stp>ACT_EST_MAPPING=PRECISE</stp>
        <stp>FS=MRC</stp>
        <stp>CURRENCY=USD</stp>
        <stp>XLFILL=b</stp>
        <tr r="AT185" s="2"/>
      </tp>
      <tp t="s">
        <v/>
        <stp/>
        <stp>##V3_BQLV12</stp>
        <stp>[MODL_CRM_US1.xlsx]Single Period!R185C35</stp>
        <stp>CRM US Equity</stp>
        <stp>CF_EFFECT_FOREIGN_EXCHANGES/1M</stp>
        <stp>FPR=2022Y</stp>
        <stp>FPT=A</stp>
        <stp>FA_ACT_EST_DATA=E, EST_SOURCE=ATL</stp>
        <stp>ACT_EST_MAPPING=PRECISE</stp>
        <stp>FS=MRC</stp>
        <stp>CURRENCY=USD</stp>
        <stp>XLFILL=b</stp>
        <tr r="AI185" s="2"/>
      </tp>
      <tp>
        <v>11832.48</v>
        <stp/>
        <stp>##V3_BQLV12</stp>
        <stp>[MODL_CRM_US1.xlsx]Single Period!R85C20</stp>
        <stp>CRM US Equity</stp>
        <stp>CB_IS_S_AND_M_EXPENSE/1M</stp>
        <stp>FPR=2022Y</stp>
        <stp>FPT=A</stp>
        <stp>FA_ACT_EST_DATA=E, EST_SOURCE=JMP</stp>
        <stp>ACT_EST_MAPPING=PRECISE</stp>
        <stp>FS=MRC</stp>
        <stp>CURRENCY=USD</stp>
        <stp>XLFILL=b</stp>
        <tr r="T85" s="2"/>
      </tp>
      <tp t="s">
        <v/>
        <stp/>
        <stp>##V3_BQLV12</stp>
        <stp>[MODL_CRM_US1.xlsx]Single Period!R128C35</stp>
        <stp>CRM US Equity</stp>
        <stp>BS_CUR_LIAB/1M</stp>
        <stp>FPR=2022Y</stp>
        <stp>FPT=A</stp>
        <stp>FA_ACT_EST_DATA=E, EST_SOURCE=ATL</stp>
        <stp>ACT_EST_MAPPING=PRECISE</stp>
        <stp>FS=MRC</stp>
        <stp>CURRENCY=USD</stp>
        <stp>XLFILL=b</stp>
        <tr r="AI128" s="2"/>
      </tp>
      <tp>
        <v>960.93437500000005</v>
        <stp/>
        <stp>##V3_BQLV12</stp>
        <stp>[MODL_CRM_US1.xlsx]Single Period!R93C24</stp>
        <stp>CRM US Equity</stp>
        <stp>IS_AVG_NUM_SH_FOR_EPS/1M</stp>
        <stp>FPR=2022Y</stp>
        <stp>FPT=A</stp>
        <stp>FA_ACT_EST_DATA=E, EST_SOURCE=FBC</stp>
        <stp>ACT_EST_MAPPING=PRECISE</stp>
        <stp>FS=MRC</stp>
        <stp>CURRENCY=USD</stp>
        <stp>XLFILL=b</stp>
        <tr r="X93" s="2"/>
      </tp>
      <tp t="s">
        <v/>
        <stp/>
        <stp>##V3_BQLV12</stp>
        <stp>[MODL_CRM_US1.xlsx]Single Period!R73C40</stp>
        <stp>CRM US Equity</stp>
        <stp>IS_SH_FOR_DILUTED_EPS/1M</stp>
        <stp>FPR=2022Y</stp>
        <stp>FPT=A</stp>
        <stp>FA_ACT_EST_DATA=E, EST_SOURCE=ACC</stp>
        <stp>ACT_EST_MAPPING=PRECISE</stp>
        <stp>FS=MRC</stp>
        <stp>CURRENCY=USD</stp>
        <stp>XLFILL=b</stp>
        <tr r="AN73" s="2"/>
      </tp>
      <tp t="s">
        <v/>
        <stp/>
        <stp>##V3_BQLV12</stp>
        <stp>[MODL_CRM_US1.xlsx]Single Period!R73C31</stp>
        <stp>CRM US Equity</stp>
        <stp>IS_SH_FOR_DILUTED_EPS/1M</stp>
        <stp>FPR=2022Y</stp>
        <stp>FPT=A</stp>
        <stp>FA_ACT_EST_DATA=E, EST_SOURCE=RBC</stp>
        <stp>ACT_EST_MAPPING=PRECISE</stp>
        <stp>FS=MRC</stp>
        <stp>CURRENCY=USD</stp>
        <stp>XLFILL=b</stp>
        <tr r="AE73" s="2"/>
      </tp>
      <tp>
        <v>5804</v>
        <stp/>
        <stp>##V3_BQLV12</stp>
        <stp>[MODL_CRM_US1.xlsx]Single Period!R68C26</stp>
        <stp>CRM US Equity</stp>
        <stp>IS_COMP_PTP_EX_STK_BASED_COMP/1M</stp>
        <stp>FPR=2022Y</stp>
        <stp>FPT=A</stp>
        <stp>FA_ACT_EST_DATA=E, EST_SOURCE=KEY</stp>
        <stp>ACT_EST_MAPPING=PRECISE</stp>
        <stp>FS=MRC</stp>
        <stp>CURRENCY=USD</stp>
        <stp>XLFILL=b</stp>
        <tr r="Z68" s="2"/>
      </tp>
      <tp t="s">
        <v/>
        <stp/>
        <stp>##V3_BQLV12</stp>
        <stp>[MODL_CRM_US1.xlsx]Single Period!R128C46</stp>
        <stp>CRM US Equity</stp>
        <stp>BS_CUR_LIAB/1M</stp>
        <stp>FPR=2022Y</stp>
        <stp>FPT=A</stp>
        <stp>FA_ACT_EST_DATA=E, EST_SOURCE=CTI</stp>
        <stp>ACT_EST_MAPPING=PRECISE</stp>
        <stp>FS=MRC</stp>
        <stp>CURRENCY=USD</stp>
        <stp>XLFILL=b</stp>
        <tr r="AT128" s="2"/>
      </tp>
      <tp t="s">
        <v/>
        <stp/>
        <stp>##V3_BQLV12</stp>
        <stp>[MODL_CRM_US1.xlsx]Single Period!R73C11</stp>
        <stp>CRM US Equity</stp>
        <stp>IS_SH_FOR_DILUTED_EPS/1M</stp>
        <stp>FPR=2022Y</stp>
        <stp>FPT=A</stp>
        <stp>FA_ACT_EST_DATA=E, EST_SOURCE=WBL</stp>
        <stp>ACT_EST_MAPPING=PRECISE</stp>
        <stp>FS=MRC</stp>
        <stp>CURRENCY=USD</stp>
        <stp>XLFILL=b</stp>
        <tr r="K73" s="2"/>
      </tp>
      <tp t="s">
        <v/>
        <stp/>
        <stp>##V3_BQLV12</stp>
        <stp>[MODL_CRM_US1.xlsx]Single Period!R110C32</stp>
        <stp>CRM US Equity</stp>
        <stp>BS_CUR_ASSET_REPORT/1M</stp>
        <stp>FPR=2022Y</stp>
        <stp>FPT=A</stp>
        <stp>FA_ACT_EST_DATA=E, EST_SOURCE=UBS</stp>
        <stp>ACT_EST_MAPPING=PRECISE</stp>
        <stp>FS=MRC</stp>
        <stp>CURRENCY=USD</stp>
        <stp>XLFILL=b</stp>
        <tr r="AF110" s="2"/>
      </tp>
      <tp>
        <v>26398</v>
        <stp/>
        <stp>##V3_BQLV12</stp>
        <stp>[MODL_CRM_US1.xlsx]Single Period!R52C12</stp>
        <stp>CRM US Equity</stp>
        <stp>IS_COMP_SALES/1M</stp>
        <stp>FPR=2022Y</stp>
        <stp>FPT=A</stp>
        <stp>FA_ACT_EST_DATA=E, EST_SOURCE=BMO</stp>
        <stp>ACT_EST_MAPPING=PRECISE</stp>
        <stp>FS=MRC</stp>
        <stp>CURRENCY=USD</stp>
        <stp>XLFILL=b</stp>
        <tr r="L52" s="2"/>
      </tp>
      <tp>
        <v>976</v>
        <stp/>
        <stp>##V3_BQLV12</stp>
        <stp>[MODL_CRM_US1.xlsx]Single Period!R73C17</stp>
        <stp>CRM US Equity</stp>
        <stp>IS_SH_FOR_DILUTED_EPS/1M</stp>
        <stp>FPR=2022Y</stp>
        <stp>FPT=A</stp>
        <stp>FA_ACT_EST_DATA=E, EST_SOURCE=NDH</stp>
        <stp>ACT_EST_MAPPING=PRECISE</stp>
        <stp>FS=MRC</stp>
        <stp>CURRENCY=USD</stp>
        <stp>XLFILL=b</stp>
        <tr r="Q73" s="2"/>
      </tp>
      <tp t="s">
        <v/>
        <stp/>
        <stp>##V3_BQLV12</stp>
        <stp>[MODL_CRM_US1.xlsx]Single Period!R52C56</stp>
        <stp>CRM US Equity</stp>
        <stp>IS_COMP_SALES/1M</stp>
        <stp>FPR=2022Y</stp>
        <stp>FPT=A</stp>
        <stp>FA_ACT_EST_DATA=E, EST_SOURCE=DIR</stp>
        <stp>ACT_EST_MAPPING=PRECISE</stp>
        <stp>FS=MRC</stp>
        <stp>CURRENCY=USD</stp>
        <stp>XLFILL=b</stp>
        <tr r="BD52" s="2"/>
      </tp>
      <tp t="s">
        <v/>
        <stp/>
        <stp>##V3_BQLV12</stp>
        <stp>[MODL_CRM_US1.xlsx]Single Period!R102C37</stp>
        <stp>CRM US Equity</stp>
        <stp>IS_SBC_ATT_TO_S_AND_M_PRETX/1M</stp>
        <stp>FPR=2022Y</stp>
        <stp>FPT=A</stp>
        <stp>FA_ACT_EST_DATA=E, EST_SOURCE=EVR</stp>
        <stp>ACT_EST_MAPPING=PRECISE</stp>
        <stp>FS=MRC</stp>
        <stp>CURRENCY=USD</stp>
        <stp>XLFILL=b</stp>
        <tr r="AK102" s="2"/>
      </tp>
      <tp>
        <v>5798</v>
        <stp/>
        <stp>##V3_BQLV12</stp>
        <stp>[MODL_CRM_US1.xlsx]Single Period!R68C11</stp>
        <stp>CRM US Equity</stp>
        <stp>IS_COMP_PTP_EX_STK_BASED_COMP/1M</stp>
        <stp>FPR=2022Y</stp>
        <stp>FPT=A</stp>
        <stp>FA_ACT_EST_DATA=E, EST_SOURCE=WBL</stp>
        <stp>ACT_EST_MAPPING=PRECISE</stp>
        <stp>FS=MRC</stp>
        <stp>CURRENCY=USD</stp>
        <stp>XLFILL=b</stp>
        <tr r="K68" s="2"/>
      </tp>
      <tp>
        <v>975</v>
        <stp/>
        <stp>##V3_BQLV12</stp>
        <stp>[MODL_CRM_US1.xlsx]Single Period!R94C20</stp>
        <stp>CRM US Equity</stp>
        <stp>IS_SH_FOR_DILUTED_EPS/1M</stp>
        <stp>FPR=2022Y</stp>
        <stp>FPT=A</stp>
        <stp>FA_ACT_EST_DATA=E, EST_SOURCE=JMP</stp>
        <stp>ACT_EST_MAPPING=PRECISE</stp>
        <stp>FS=MRC</stp>
        <stp>CURRENCY=USD</stp>
        <stp>XLFILL=b</stp>
        <tr r="T94" s="2"/>
      </tp>
      <tp t="s">
        <v/>
        <stp/>
        <stp>##V3_BQLV12</stp>
        <stp>[MODL_CRM_US1.xlsx]Single Period!R100C44</stp>
        <stp>CRM US Equity</stp>
        <stp>IS_SBC_ATTRIB_TO_COGS_PRETX/1M</stp>
        <stp>FPR=2022Y</stp>
        <stp>FPT=A</stp>
        <stp>FA_ACT_EST_DATA=E, EST_SOURCE=RWB</stp>
        <stp>ACT_EST_MAPPING=PRECISE</stp>
        <stp>FS=MRC</stp>
        <stp>CURRENCY=USD</stp>
        <stp>XLFILL=b</stp>
        <tr r="AR100" s="2"/>
      </tp>
      <tp t="s">
        <v/>
        <stp/>
        <stp>##V3_BQLV12</stp>
        <stp>[MODL_CRM_US1.xlsx]Single Period!R122C36</stp>
        <stp>CRM US Equity</stp>
        <stp>BS_GOODWILL/1M</stp>
        <stp>FPR=2022Y</stp>
        <stp>FPT=A</stp>
        <stp>FA_ACT_EST_DATA=E, EST_SOURCE=MAC</stp>
        <stp>ACT_EST_MAPPING=PRECISE</stp>
        <stp>FS=MRC</stp>
        <stp>CURRENCY=USD</stp>
        <stp>XLFILL=b</stp>
        <tr r="AJ122" s="2"/>
      </tp>
      <tp>
        <v>5817</v>
        <stp/>
        <stp>##V3_BQLV12</stp>
        <stp>[MODL_CRM_US1.xlsx]Single Period!R68C17</stp>
        <stp>CRM US Equity</stp>
        <stp>IS_COMP_PTP_EX_STK_BASED_COMP/1M</stp>
        <stp>FPR=2022Y</stp>
        <stp>FPT=A</stp>
        <stp>FA_ACT_EST_DATA=E, EST_SOURCE=NDH</stp>
        <stp>ACT_EST_MAPPING=PRECISE</stp>
        <stp>FS=MRC</stp>
        <stp>CURRENCY=USD</stp>
        <stp>XLFILL=b</stp>
        <tr r="Q68" s="2"/>
      </tp>
      <tp t="s">
        <v/>
        <stp/>
        <stp>##V3_BQLV12</stp>
        <stp>[MODL_CRM_US1.xlsx]Single Period!R110C11</stp>
        <stp>CRM US Equity</stp>
        <stp>BS_CUR_ASSET_REPORT/1M</stp>
        <stp>FPR=2022Y</stp>
        <stp>FPT=A</stp>
        <stp>FA_ACT_EST_DATA=E, EST_SOURCE=WBL</stp>
        <stp>ACT_EST_MAPPING=PRECISE</stp>
        <stp>FS=MRC</stp>
        <stp>CURRENCY=USD</stp>
        <stp>XLFILL=b</stp>
        <tr r="K110" s="2"/>
      </tp>
      <tp t="s">
        <v/>
        <stp/>
        <stp>##V3_BQLV12</stp>
        <stp>[MODL_CRM_US1.xlsx]Single Period!R100C28</stp>
        <stp>CRM US Equity</stp>
        <stp>IS_SBC_ATTRIB_TO_COGS_PRETX/1M</stp>
        <stp>FPR=2022Y</stp>
        <stp>FPT=A</stp>
        <stp>FA_ACT_EST_DATA=E, EST_SOURCE=CWN</stp>
        <stp>ACT_EST_MAPPING=PRECISE</stp>
        <stp>FS=MRC</stp>
        <stp>CURRENCY=USD</stp>
        <stp>XLFILL=b</stp>
        <tr r="AB100" s="2"/>
      </tp>
      <tp t="s">
        <v/>
        <stp/>
        <stp>##V3_BQLV12</stp>
        <stp>[MODL_CRM_US1.xlsx]Single Period!R100C43</stp>
        <stp>CRM US Equity</stp>
        <stp>IS_SBC_ATTRIB_TO_COGS_PRETX/1M</stp>
        <stp>FPR=2022Y</stp>
        <stp>FPT=A</stp>
        <stp>FA_ACT_EST_DATA=E, EST_SOURCE=DWI</stp>
        <stp>ACT_EST_MAPPING=PRECISE</stp>
        <stp>FS=MRC</stp>
        <stp>CURRENCY=USD</stp>
        <stp>XLFILL=b</stp>
        <tr r="AQ100" s="2"/>
      </tp>
      <tp>
        <v>22400.162499030732</v>
        <stp/>
        <stp>##V3_BQLV12</stp>
        <stp>[MODL_CRM_US1.xlsx]Single Period!R110C24</stp>
        <stp>CRM US Equity</stp>
        <stp>BS_CUR_ASSET_REPORT/1M</stp>
        <stp>FPR=2022Y</stp>
        <stp>FPT=A</stp>
        <stp>FA_ACT_EST_DATA=E, EST_SOURCE=FBC</stp>
        <stp>ACT_EST_MAPPING=PRECISE</stp>
        <stp>FS=MRC</stp>
        <stp>CURRENCY=USD</stp>
        <stp>XLFILL=b</stp>
        <tr r="X110" s="2"/>
      </tp>
      <tp t="s">
        <v/>
        <stp/>
        <stp>##V3_BQLV12</stp>
        <stp>[MODL_CRM_US1.xlsx]Single Period!R146C29</stp>
        <stp>CRM US Equity</stp>
        <stp>CUR_RATIO</stp>
        <stp>FPR=2022Y</stp>
        <stp>FPT=A</stp>
        <stp>FA_ACT_EST_DATA=E, EST_SOURCE=BNS</stp>
        <stp>ACT_EST_MAPPING=PRECISE</stp>
        <stp>FS=MRC</stp>
        <stp>CURRENCY=USD</stp>
        <stp>XLFILL=b</stp>
        <tr r="AC146" s="2"/>
      </tp>
      <tp t="s">
        <v/>
        <stp/>
        <stp>##V3_BQLV12</stp>
        <stp>[MODL_CRM_US1.xlsx]Single Period!R122C18</stp>
        <stp>CRM US Equity</stp>
        <stp>BS_GOODWILL/1M</stp>
        <stp>FPR=2022Y</stp>
        <stp>FPT=A</stp>
        <stp>FA_ACT_EST_DATA=E, EST_SOURCE=CAN</stp>
        <stp>ACT_EST_MAPPING=PRECISE</stp>
        <stp>FS=MRC</stp>
        <stp>CURRENCY=USD</stp>
        <stp>XLFILL=b</stp>
        <tr r="R122" s="2"/>
      </tp>
      <tp t="s">
        <v/>
        <stp/>
        <stp>##V3_BQLV12</stp>
        <stp>[MODL_CRM_US1.xlsx]Single Period!R110C31</stp>
        <stp>CRM US Equity</stp>
        <stp>BS_CUR_ASSET_REPORT/1M</stp>
        <stp>FPR=2022Y</stp>
        <stp>FPT=A</stp>
        <stp>FA_ACT_EST_DATA=E, EST_SOURCE=RBC</stp>
        <stp>ACT_EST_MAPPING=PRECISE</stp>
        <stp>FS=MRC</stp>
        <stp>CURRENCY=USD</stp>
        <stp>XLFILL=b</stp>
        <tr r="AE110" s="2"/>
      </tp>
      <tp t="s">
        <v/>
        <stp/>
        <stp>##V3_BQLV12</stp>
        <stp>[MODL_CRM_US1.xlsx]Single Period!R146C14</stp>
        <stp>CRM US Equity</stp>
        <stp>CUR_RATIO</stp>
        <stp>FPR=2022Y</stp>
        <stp>FPT=A</stp>
        <stp>FA_ACT_EST_DATA=E, EST_SOURCE=SNR</stp>
        <stp>ACT_EST_MAPPING=PRECISE</stp>
        <stp>FS=MRC</stp>
        <stp>CURRENCY=USD</stp>
        <stp>XLFILL=b</stp>
        <tr r="N146" s="2"/>
      </tp>
      <tp t="s">
        <v/>
        <stp/>
        <stp>##V3_BQLV12</stp>
        <stp>[MODL_CRM_US1.xlsx]Single Period!R122C30</stp>
        <stp>CRM US Equity</stp>
        <stp>BS_GOODWILL/1M</stp>
        <stp>FPR=2022Y</stp>
        <stp>FPT=A</stp>
        <stp>FA_ACT_EST_DATA=E, EST_SOURCE=BAM</stp>
        <stp>ACT_EST_MAPPING=PRECISE</stp>
        <stp>FS=MRC</stp>
        <stp>CURRENCY=USD</stp>
        <stp>XLFILL=b</stp>
        <tr r="AD122" s="2"/>
      </tp>
      <tp>
        <v>997.75631249999992</v>
        <stp/>
        <stp>##V3_BQLV12</stp>
        <stp>[MODL_CRM_US1.xlsx]Single Period!R73C26</stp>
        <stp>CRM US Equity</stp>
        <stp>IS_SH_FOR_DILUTED_EPS/1M</stp>
        <stp>FPR=2022Y</stp>
        <stp>FPT=A</stp>
        <stp>FA_ACT_EST_DATA=E, EST_SOURCE=KEY</stp>
        <stp>ACT_EST_MAPPING=PRECISE</stp>
        <stp>FS=MRC</stp>
        <stp>CURRENCY=USD</stp>
        <stp>XLFILL=b</stp>
        <tr r="Z73" s="2"/>
      </tp>
      <tp>
        <v>456</v>
        <stp/>
        <stp>##V3_BQLV12</stp>
        <stp>[MODL_CRM_US1.xlsx]Single Period!R68C40</stp>
        <stp>CRM US Equity</stp>
        <stp>IS_COMP_PTP_EX_STK_BASED_COMP/1M</stp>
        <stp>FPR=2022Y</stp>
        <stp>FPT=A</stp>
        <stp>FA_ACT_EST_DATA=E, EST_SOURCE=ACC</stp>
        <stp>ACT_EST_MAPPING=PRECISE</stp>
        <stp>FS=MRC</stp>
        <stp>CURRENCY=USD</stp>
        <stp>XLFILL=b</stp>
        <tr r="AN68" s="2"/>
      </tp>
      <tp>
        <v>5789</v>
        <stp/>
        <stp>##V3_BQLV12</stp>
        <stp>[MODL_CRM_US1.xlsx]Single Period!R68C31</stp>
        <stp>CRM US Equity</stp>
        <stp>IS_COMP_PTP_EX_STK_BASED_COMP/1M</stp>
        <stp>FPR=2022Y</stp>
        <stp>FPT=A</stp>
        <stp>FA_ACT_EST_DATA=E, EST_SOURCE=RBC</stp>
        <stp>ACT_EST_MAPPING=PRECISE</stp>
        <stp>FS=MRC</stp>
        <stp>CURRENCY=USD</stp>
        <stp>XLFILL=b</stp>
        <tr r="AE68" s="2"/>
      </tp>
      <tp>
        <v>22360.649085464749</v>
        <stp/>
        <stp>##V3_BQLV12</stp>
        <stp>[MODL_CRM_US1.xlsx]Single Period!R110C16</stp>
        <stp>CRM US Equity</stp>
        <stp>BS_CUR_ASSET_REPORT/1M</stp>
        <stp>FPR=2022Y</stp>
        <stp>FPT=A</stp>
        <stp>FA_ACT_EST_DATA=E, EST_SOURCE=DBG</stp>
        <stp>ACT_EST_MAPPING=PRECISE</stp>
        <stp>FS=MRC</stp>
        <stp>CURRENCY=USD</stp>
        <stp>XLFILL=b</stp>
        <tr r="P110" s="2"/>
      </tp>
      <tp t="s">
        <v/>
        <stp/>
        <stp>##V3_BQLV12</stp>
        <stp>[MODL_CRM_US1.xlsx]Single Period!R151C11</stp>
        <stp>CRM US Equity</stp>
        <stp>NON_CURRENT_FUTURE_REV_UNDER_CONTRACT/1M</stp>
        <stp>FPR=2022Y</stp>
        <stp>FPT=A</stp>
        <stp>FA_ACT_EST_DATA=E, EST_SOURCE=WBL</stp>
        <stp>ACT_EST_MAPPING=PRECISE</stp>
        <stp>FS=MRC</stp>
        <stp>CURRENCY=USD</stp>
        <stp>XLFILL=b</stp>
        <tr r="K151" s="2"/>
      </tp>
      <tp t="s">
        <v/>
        <stp/>
        <stp>##V3_BQLV12</stp>
        <stp>[MODL_CRM_US1.xlsx]Single Period!R64C28</stp>
        <stp>CRM US Equity</stp>
        <stp>IS_COMPARABLE_EBITDA/1M</stp>
        <stp>FPR=2022Y</stp>
        <stp>FPT=A</stp>
        <stp>FA_ACT_EST_DATA=E, EST_SOURCE=CWN</stp>
        <stp>ACT_EST_MAPPING=PRECISE</stp>
        <stp>FS=MRC</stp>
        <stp>CURRENCY=USD</stp>
        <stp>XLFILL=b</stp>
        <tr r="AB64" s="2"/>
      </tp>
      <tp t="s">
        <v/>
        <stp/>
        <stp>##V3_BQLV12</stp>
        <stp>[MODL_CRM_US1.xlsx]Single Period!R101C31</stp>
        <stp>CRM US Equity</stp>
        <stp>IS_SBC_ATTRIBUTABLE_TO_R_AND_D_PRETX/1M</stp>
        <stp>FPR=2022Y</stp>
        <stp>FPT=A</stp>
        <stp>FA_ACT_EST_DATA=E, EST_SOURCE=RBC</stp>
        <stp>ACT_EST_MAPPING=PRECISE</stp>
        <stp>FS=MRC</stp>
        <stp>CURRENCY=USD</stp>
        <stp>XLFILL=b</stp>
        <tr r="AE101" s="2"/>
      </tp>
      <tp t="s">
        <v/>
        <stp/>
        <stp>##V3_BQLV12</stp>
        <stp>[MODL_CRM_US1.xlsx]Single Period!R119C48</stp>
        <stp>CRM US Equity</stp>
        <stp>CB_BS_OTHER_NONCURRENT_ASSETS/1M</stp>
        <stp>FPR=2022Y</stp>
        <stp>FPT=A</stp>
        <stp>FA_ACT_EST_DATA=E, EST_SOURCE=PJE</stp>
        <stp>ACT_EST_MAPPING=PRECISE</stp>
        <stp>FS=MRC</stp>
        <stp>CURRENCY=USD</stp>
        <stp>XLFILL=b</stp>
        <tr r="AV119" s="2"/>
      </tp>
      <tp t="s">
        <v/>
        <stp/>
        <stp>##V3_BQLV12</stp>
        <stp>[MODL_CRM_US1.xlsx]Single Period!R151C17</stp>
        <stp>CRM US Equity</stp>
        <stp>NON_CURRENT_FUTURE_REV_UNDER_CONTRACT/1M</stp>
        <stp>FPR=2022Y</stp>
        <stp>FPT=A</stp>
        <stp>FA_ACT_EST_DATA=E, EST_SOURCE=NDH</stp>
        <stp>ACT_EST_MAPPING=PRECISE</stp>
        <stp>FS=MRC</stp>
        <stp>CURRENCY=USD</stp>
        <stp>XLFILL=b</stp>
        <tr r="Q151" s="2"/>
      </tp>
      <tp t="s">
        <v/>
        <stp/>
        <stp>##V3_BQLV12</stp>
        <stp>[MODL_CRM_US1.xlsx]Single Period!R140C40</stp>
        <stp>CRM US Equity</stp>
        <stp>BS_ACCUMULATED_OTHER_COMP_INC/1M</stp>
        <stp>FPR=2022Y</stp>
        <stp>FPT=A</stp>
        <stp>FA_ACT_EST_DATA=E, EST_SOURCE=ACC</stp>
        <stp>ACT_EST_MAPPING=PRECISE</stp>
        <stp>FS=MRC</stp>
        <stp>CURRENCY=USD</stp>
        <stp>XLFILL=b</stp>
        <tr r="AN140" s="2"/>
      </tp>
      <tp t="s">
        <v/>
        <stp/>
        <stp>##V3_BQLV12</stp>
        <stp>[MODL_CRM_US1.xlsx]Single Period!R140C31</stp>
        <stp>CRM US Equity</stp>
        <stp>BS_ACCUMULATED_OTHER_COMP_INC/1M</stp>
        <stp>FPR=2022Y</stp>
        <stp>FPT=A</stp>
        <stp>FA_ACT_EST_DATA=E, EST_SOURCE=RBC</stp>
        <stp>ACT_EST_MAPPING=PRECISE</stp>
        <stp>FS=MRC</stp>
        <stp>CURRENCY=USD</stp>
        <stp>XLFILL=b</stp>
        <tr r="AE140" s="2"/>
      </tp>
      <tp t="s">
        <v/>
        <stp/>
        <stp>##V3_BQLV12</stp>
        <stp>[MODL_CRM_US1.xlsx]Single Period!R28C50</stp>
        <stp>SEG0000269242 Segment</stp>
        <stp>SALES_REV_TURN/1M</stp>
        <stp>FPR=2022Y</stp>
        <stp>FPT=A</stp>
        <stp>FA_ACT_EST_DATA=E, EST_SOURCE=MZS</stp>
        <stp>ACT_EST_MAPPING=PRECISE</stp>
        <stp>FS=MRC</stp>
        <stp>CURRENCY=USD</stp>
        <stp>XLFILL=b</stp>
        <tr r="AX28" s="2"/>
      </tp>
      <tp t="s">
        <v/>
        <stp/>
        <stp>##V3_BQLV12</stp>
        <stp>[MODL_CRM_US1.xlsx]Single Period!R123C33</stp>
        <stp>CRM US Equity</stp>
        <stp>TOT_OPER_LEA_RT_OF_USE_ASSETS/1M</stp>
        <stp>FPR=2022Y</stp>
        <stp>FPT=A</stp>
        <stp>FA_ACT_EST_DATA=E, EST_SOURCE=RHR</stp>
        <stp>ACT_EST_MAPPING=PRECISE</stp>
        <stp>FS=MRC</stp>
        <stp>CURRENCY=USD</stp>
        <stp>XLFILL=b</stp>
        <tr r="AG123" s="2"/>
      </tp>
      <tp t="s">
        <v/>
        <stp/>
        <stp>##V3_BQLV12</stp>
        <stp>[MODL_CRM_US1.xlsx]Single Period!R140C11</stp>
        <stp>CRM US Equity</stp>
        <stp>BS_ACCUMULATED_OTHER_COMP_INC/1M</stp>
        <stp>FPR=2022Y</stp>
        <stp>FPT=A</stp>
        <stp>FA_ACT_EST_DATA=E, EST_SOURCE=WBL</stp>
        <stp>ACT_EST_MAPPING=PRECISE</stp>
        <stp>FS=MRC</stp>
        <stp>CURRENCY=USD</stp>
        <stp>XLFILL=b</stp>
        <tr r="K140" s="2"/>
      </tp>
      <tp>
        <v>1657.4255000000001</v>
        <stp/>
        <stp>##V3_BQLV12</stp>
        <stp>[MODL_CRM_US1.xlsx]Single Period!R65C12</stp>
        <stp>CRM US Equity</stp>
        <stp>IS_AMORT_OF_TOT_INTANG_PRETX/1M</stp>
        <stp>FPR=2022Y</stp>
        <stp>FPT=A</stp>
        <stp>FA_ACT_EST_DATA=E, EST_SOURCE=BMO</stp>
        <stp>ACT_EST_MAPPING=PRECISE</stp>
        <stp>FS=MRC</stp>
        <stp>CURRENCY=USD</stp>
        <stp>XLFILL=b</stp>
        <tr r="L65" s="2"/>
      </tp>
      <tp t="s">
        <v/>
        <stp/>
        <stp>##V3_BQLV12</stp>
        <stp>[MODL_CRM_US1.xlsx]Single Period!R101C27</stp>
        <stp>CRM US Equity</stp>
        <stp>IS_SBC_ATTRIBUTABLE_TO_R_AND_D_PRETX/1M</stp>
        <stp>FPR=2022Y</stp>
        <stp>FPT=A</stp>
        <stp>FA_ACT_EST_DATA=E, EST_SOURCE=LCM</stp>
        <stp>ACT_EST_MAPPING=PRECISE</stp>
        <stp>FS=MRC</stp>
        <stp>CURRENCY=USD</stp>
        <stp>XLFILL=b</stp>
        <tr r="AA101" s="2"/>
      </tp>
      <tp t="s">
        <v/>
        <stp/>
        <stp>##V3_BQLV12</stp>
        <stp>[MODL_CRM_US1.xlsx]Single Period!R32C37</stp>
        <stp>SEG0000269227 Segment</stp>
        <stp>SALES_REV_TURN/1M</stp>
        <stp>FPR=2022Y</stp>
        <stp>FPT=A</stp>
        <stp>FA_ACT_EST_DATA=E, EST_SOURCE=EVR</stp>
        <stp>ACT_EST_MAPPING=PRECISE</stp>
        <stp>FS=MRC</stp>
        <stp>CURRENCY=USD</stp>
        <stp>XLFILL=b</stp>
        <tr r="AK32" s="2"/>
      </tp>
      <tp t="s">
        <v/>
        <stp/>
        <stp>##V3_BQLV12</stp>
        <stp>[MODL_CRM_US1.xlsx]Single Period!R140C17</stp>
        <stp>CRM US Equity</stp>
        <stp>BS_ACCUMULATED_OTHER_COMP_INC/1M</stp>
        <stp>FPR=2022Y</stp>
        <stp>FPT=A</stp>
        <stp>FA_ACT_EST_DATA=E, EST_SOURCE=NDH</stp>
        <stp>ACT_EST_MAPPING=PRECISE</stp>
        <stp>FS=MRC</stp>
        <stp>CURRENCY=USD</stp>
        <stp>XLFILL=b</stp>
        <tr r="Q140" s="2"/>
      </tp>
      <tp t="s">
        <v/>
        <stp/>
        <stp>##V3_BQLV12</stp>
        <stp>[MODL_CRM_US1.xlsx]Single Period!R65C53</stp>
        <stp>CRM US Equity</stp>
        <stp>IS_AMORT_OF_TOT_INTANG_PRETX/1M</stp>
        <stp>FPR=2022Y</stp>
        <stp>FPT=A</stp>
        <stp>FA_ACT_EST_DATA=E, EST_SOURCE=NIK</stp>
        <stp>ACT_EST_MAPPING=PRECISE</stp>
        <stp>FS=MRC</stp>
        <stp>CURRENCY=USD</stp>
        <stp>XLFILL=b</stp>
        <tr r="BA65" s="2"/>
      </tp>
      <tp t="s">
        <v/>
        <stp/>
        <stp>##V3_BQLV12</stp>
        <stp>[MODL_CRM_US1.xlsx]Single Period!R151C31</stp>
        <stp>CRM US Equity</stp>
        <stp>NON_CURRENT_FUTURE_REV_UNDER_CONTRACT/1M</stp>
        <stp>FPR=2022Y</stp>
        <stp>FPT=A</stp>
        <stp>FA_ACT_EST_DATA=E, EST_SOURCE=RBC</stp>
        <stp>ACT_EST_MAPPING=PRECISE</stp>
        <stp>FS=MRC</stp>
        <stp>CURRENCY=USD</stp>
        <stp>XLFILL=b</stp>
        <tr r="AE151" s="2"/>
      </tp>
      <tp t="s">
        <v/>
        <stp/>
        <stp>##V3_BQLV12</stp>
        <stp>[MODL_CRM_US1.xlsx]Single Period!R151C40</stp>
        <stp>CRM US Equity</stp>
        <stp>NON_CURRENT_FUTURE_REV_UNDER_CONTRACT/1M</stp>
        <stp>FPR=2022Y</stp>
        <stp>FPT=A</stp>
        <stp>FA_ACT_EST_DATA=E, EST_SOURCE=ACC</stp>
        <stp>ACT_EST_MAPPING=PRECISE</stp>
        <stp>FS=MRC</stp>
        <stp>CURRENCY=USD</stp>
        <stp>XLFILL=b</stp>
        <tr r="AN151" s="2"/>
      </tp>
      <tp t="s">
        <v/>
        <stp/>
        <stp>##V3_BQLV12</stp>
        <stp>[MODL_CRM_US1.xlsx]Single Period!R101C32</stp>
        <stp>CRM US Equity</stp>
        <stp>IS_SBC_ATTRIBUTABLE_TO_R_AND_D_PRETX/1M</stp>
        <stp>FPR=2022Y</stp>
        <stp>FPT=A</stp>
        <stp>FA_ACT_EST_DATA=E, EST_SOURCE=UBS</stp>
        <stp>ACT_EST_MAPPING=PRECISE</stp>
        <stp>FS=MRC</stp>
        <stp>CURRENCY=USD</stp>
        <stp>XLFILL=b</stp>
        <tr r="AF101" s="2"/>
      </tp>
      <tp t="s">
        <v/>
        <stp/>
        <stp>##V3_BQLV12</stp>
        <stp>[MODL_CRM_US1.xlsx]Single Period!R119C51</stp>
        <stp>CRM US Equity</stp>
        <stp>CB_BS_OTHER_NONCURRENT_ASSETS/1M</stp>
        <stp>FPR=2022Y</stp>
        <stp>FPT=A</stp>
        <stp>FA_ACT_EST_DATA=E, EST_SOURCE=RCP</stp>
        <stp>ACT_EST_MAPPING=PRECISE</stp>
        <stp>FS=MRC</stp>
        <stp>CURRENCY=USD</stp>
        <stp>XLFILL=b</stp>
        <tr r="AY119" s="2"/>
      </tp>
      <tp t="s">
        <v/>
        <stp/>
        <stp>##V3_BQLV12</stp>
        <stp>[MODL_CRM_US1.xlsx]Single Period!R64C37</stp>
        <stp>CRM US Equity</stp>
        <stp>IS_COMPARABLE_EBITDA/1M</stp>
        <stp>FPR=2022Y</stp>
        <stp>FPT=A</stp>
        <stp>FA_ACT_EST_DATA=E, EST_SOURCE=EVR</stp>
        <stp>ACT_EST_MAPPING=PRECISE</stp>
        <stp>FS=MRC</stp>
        <stp>CURRENCY=USD</stp>
        <stp>XLFILL=b</stp>
        <tr r="AK64" s="2"/>
      </tp>
      <tp t="s">
        <v/>
        <stp/>
        <stp>##V3_BQLV12</stp>
        <stp>[MODL_CRM_US1.xlsx]Single Period!R26C35</stp>
        <stp>SEG0000269247 Segment</stp>
        <stp>SALES_REV_TURN/1M</stp>
        <stp>FPR=2022Y</stp>
        <stp>FPT=A</stp>
        <stp>FA_ACT_EST_DATA=E, EST_SOURCE=ATL</stp>
        <stp>ACT_EST_MAPPING=PRECISE</stp>
        <stp>FS=MRC</stp>
        <stp>CURRENCY=USD</stp>
        <stp>XLFILL=b</stp>
        <tr r="AI26" s="2"/>
      </tp>
      <tp t="s">
        <v/>
        <stp/>
        <stp>##V3_BQLV12</stp>
        <stp>[MODL_CRM_US1.xlsx]Single Period!R65C56</stp>
        <stp>CRM US Equity</stp>
        <stp>IS_AMORT_OF_TOT_INTANG_PRETX/1M</stp>
        <stp>FPR=2022Y</stp>
        <stp>FPT=A</stp>
        <stp>FA_ACT_EST_DATA=E, EST_SOURCE=DIR</stp>
        <stp>ACT_EST_MAPPING=PRECISE</stp>
        <stp>FS=MRC</stp>
        <stp>CURRENCY=USD</stp>
        <stp>XLFILL=b</stp>
        <tr r="BD65" s="2"/>
      </tp>
      <tp t="s">
        <v/>
        <stp/>
        <stp>##V3_BQLV12</stp>
        <stp>[MODL_CRM_US1.xlsx]Single Period!R151C26</stp>
        <stp>CRM US Equity</stp>
        <stp>NON_CURRENT_FUTURE_REV_UNDER_CONTRACT/1M</stp>
        <stp>FPR=2022Y</stp>
        <stp>FPT=A</stp>
        <stp>FA_ACT_EST_DATA=E, EST_SOURCE=KEY</stp>
        <stp>ACT_EST_MAPPING=PRECISE</stp>
        <stp>FS=MRC</stp>
        <stp>CURRENCY=USD</stp>
        <stp>XLFILL=b</stp>
        <tr r="Z151" s="2"/>
      </tp>
      <tp>
        <v>2599.2025085469681</v>
        <stp/>
        <stp>##V3_BQLV12</stp>
        <stp>[MODL_CRM_US1.xlsx]Single Period!R165C5</stp>
        <stp>CRM US Equity</stp>
        <stp>CF_CHG_IN_DEFER_UNEARND_REV_ST/1M</stp>
        <stp>FPR=2022Y</stp>
        <stp>FPT=A</stp>
        <stp>FA_ACT_EST_DATA=E</stp>
        <stp>ACT_EST_MAPPING=PRECISE</stp>
        <stp>FS=MRC</stp>
        <stp>CURRENCY=USD</stp>
        <stp>XLFILL=b</stp>
        <tr r="E165" s="2"/>
      </tp>
      <tp t="s">
        <v/>
        <stp/>
        <stp>##V3_BQLV12</stp>
        <stp>[MODL_CRM_US1.xlsx]Single Period!R26C46</stp>
        <stp>SEG0000269247 Segment</stp>
        <stp>SALES_REV_TURN/1M</stp>
        <stp>FPR=2022Y</stp>
        <stp>FPT=A</stp>
        <stp>FA_ACT_EST_DATA=E, EST_SOURCE=CTI</stp>
        <stp>ACT_EST_MAPPING=PRECISE</stp>
        <stp>FS=MRC</stp>
        <stp>CURRENCY=USD</stp>
        <stp>XLFILL=b</stp>
        <tr r="AT26" s="2"/>
      </tp>
      <tp t="s">
        <v/>
        <stp/>
        <stp>##V3_BQLV12</stp>
        <stp>[MODL_CRM_US1.xlsx]Single Period!R123C21</stp>
        <stp>CRM US Equity</stp>
        <stp>TOT_OPER_LEA_RT_OF_USE_ASSETS/1M</stp>
        <stp>FPR=2022Y</stp>
        <stp>FPT=A</stp>
        <stp>FA_ACT_EST_DATA=E, EST_SOURCE=RJA</stp>
        <stp>ACT_EST_MAPPING=PRECISE</stp>
        <stp>FS=MRC</stp>
        <stp>CURRENCY=USD</stp>
        <stp>XLFILL=b</stp>
        <tr r="U123" s="2"/>
      </tp>
      <tp t="s">
        <v/>
        <stp/>
        <stp>##V3_BQLV12</stp>
        <stp>[MODL_CRM_US1.xlsx]Single Period!R65C29</stp>
        <stp>CRM US Equity</stp>
        <stp>IS_AMORT_OF_TOT_INTANG_PRETX/1M</stp>
        <stp>FPR=2022Y</stp>
        <stp>FPT=A</stp>
        <stp>FA_ACT_EST_DATA=E, EST_SOURCE=BNS</stp>
        <stp>ACT_EST_MAPPING=PRECISE</stp>
        <stp>FS=MRC</stp>
        <stp>CURRENCY=USD</stp>
        <stp>XLFILL=b</stp>
        <tr r="AC65" s="2"/>
      </tp>
      <tp t="s">
        <v/>
        <stp/>
        <stp>##V3_BQLV12</stp>
        <stp>[MODL_CRM_US1.xlsx]Single Period!R140C26</stp>
        <stp>CRM US Equity</stp>
        <stp>BS_ACCUMULATED_OTHER_COMP_INC/1M</stp>
        <stp>FPR=2022Y</stp>
        <stp>FPT=A</stp>
        <stp>FA_ACT_EST_DATA=E, EST_SOURCE=KEY</stp>
        <stp>ACT_EST_MAPPING=PRECISE</stp>
        <stp>FS=MRC</stp>
        <stp>CURRENCY=USD</stp>
        <stp>XLFILL=b</stp>
        <tr r="Z140" s="2"/>
      </tp>
      <tp>
        <v>78.889667803762904</v>
        <stp/>
        <stp>##V3_BQLV12</stp>
        <stp>[MODL_CRM_US1.xlsx]Single Period!R17C35</stp>
        <stp>CRM US Equity</stp>
        <stp>IS_COMP_GROSS_MARGIN_PERCENTAGE</stp>
        <stp>FPR=2022Y</stp>
        <stp>FPT=A</stp>
        <stp>FA_ACT_EST_DATA=E, EST_SOURCE=ATL</stp>
        <stp>ACT_EST_MAPPING=PRECISE</stp>
        <stp>FS=MRC</stp>
        <stp>CURRENCY=USD</stp>
        <stp>XLFILL=b</stp>
        <tr r="AI17" s="2"/>
      </tp>
      <tp>
        <v>78.889667803762904</v>
        <stp/>
        <stp>##V3_BQLV12</stp>
        <stp>[MODL_CRM_US1.xlsx]Single Period!R56C35</stp>
        <stp>CRM US Equity</stp>
        <stp>IS_COMP_GROSS_MARGIN_PERCENTAGE</stp>
        <stp>FPR=2022Y</stp>
        <stp>FPT=A</stp>
        <stp>FA_ACT_EST_DATA=E, EST_SOURCE=ATL</stp>
        <stp>ACT_EST_MAPPING=PRECISE</stp>
        <stp>FS=MRC</stp>
        <stp>CURRENCY=USD</stp>
        <stp>XLFILL=b</stp>
        <tr r="AI56" s="2"/>
      </tp>
      <tp t="s">
        <v/>
        <stp/>
        <stp>##V3_BQLV12</stp>
        <stp>[MODL_CRM_US1.xlsx]Single Period!R17C54</stp>
        <stp>CRM US Equity</stp>
        <stp>IS_COMP_GROSS_MARGIN_PERCENTAGE</stp>
        <stp>FPR=2022Y</stp>
        <stp>FPT=A</stp>
        <stp>FA_ACT_EST_DATA=E, EST_SOURCE=ARE</stp>
        <stp>ACT_EST_MAPPING=PRECISE</stp>
        <stp>FS=MRC</stp>
        <stp>CURRENCY=USD</stp>
        <stp>XLFILL=b</stp>
        <tr r="BB17" s="2"/>
      </tp>
      <tp>
        <v>78.5</v>
        <stp/>
        <stp>##V3_BQLV12</stp>
        <stp>[MODL_CRM_US1.xlsx]Single Period!R56C42</stp>
        <stp>CRM US Equity</stp>
        <stp>IS_COMP_GROSS_MARGIN_PERCENTAGE</stp>
        <stp>FPR=2022Y</stp>
        <stp>FPT=A</stp>
        <stp>FA_ACT_EST_DATA=E, EST_SOURCE=PSG</stp>
        <stp>ACT_EST_MAPPING=PRECISE</stp>
        <stp>FS=MRC</stp>
        <stp>CURRENCY=USD</stp>
        <stp>XLFILL=b</stp>
        <tr r="AP56" s="2"/>
      </tp>
      <tp>
        <v>78.5</v>
        <stp/>
        <stp>##V3_BQLV12</stp>
        <stp>[MODL_CRM_US1.xlsx]Single Period!R17C42</stp>
        <stp>CRM US Equity</stp>
        <stp>IS_COMP_GROSS_MARGIN_PERCENTAGE</stp>
        <stp>FPR=2022Y</stp>
        <stp>FPT=A</stp>
        <stp>FA_ACT_EST_DATA=E, EST_SOURCE=PSG</stp>
        <stp>ACT_EST_MAPPING=PRECISE</stp>
        <stp>FS=MRC</stp>
        <stp>CURRENCY=USD</stp>
        <stp>XLFILL=b</stp>
        <tr r="AP17" s="2"/>
      </tp>
      <tp t="s">
        <v/>
        <stp/>
        <stp>##V3_BQLV12</stp>
        <stp>[MODL_CRM_US1.xlsx]Single Period!R56C54</stp>
        <stp>CRM US Equity</stp>
        <stp>IS_COMP_GROSS_MARGIN_PERCENTAGE</stp>
        <stp>FPR=2022Y</stp>
        <stp>FPT=A</stp>
        <stp>FA_ACT_EST_DATA=E, EST_SOURCE=ARE</stp>
        <stp>ACT_EST_MAPPING=PRECISE</stp>
        <stp>FS=MRC</stp>
        <stp>CURRENCY=USD</stp>
        <stp>XLFILL=b</stp>
        <tr r="BB56" s="2"/>
      </tp>
      <tp t="s">
        <v/>
        <stp/>
        <stp>##V3_BQLV12</stp>
        <stp>[MODL_CRM_US1.xlsx]Single Period!R82C45</stp>
        <stp>CRM US Equity</stp>
        <stp>OPERATING_EXPENSES_TO_NET_SALES</stp>
        <stp>FPR=2022Y</stp>
        <stp>FPT=A</stp>
        <stp>FA_ACT_EST_DATA=E, EST_SOURCE=ARG</stp>
        <stp>ACT_EST_MAPPING=PRECISE</stp>
        <stp>FS=MRC</stp>
        <stp>CURRENCY=USD</stp>
        <stp>XLFILL=b</stp>
        <tr r="AS82" s="2"/>
      </tp>
      <tp t="s">
        <v/>
        <stp/>
        <stp>##V3_BQLV12</stp>
        <stp>[MODL_CRM_US1.xlsx]Single Period!R17C41</stp>
        <stp>CRM US Equity</stp>
        <stp>IS_COMP_GROSS_MARGIN_PERCENTAGE</stp>
        <stp>FPR=2022Y</stp>
        <stp>FPT=A</stp>
        <stp>FA_ACT_EST_DATA=E, EST_SOURCE=GSR</stp>
        <stp>ACT_EST_MAPPING=PRECISE</stp>
        <stp>FS=MRC</stp>
        <stp>CURRENCY=USD</stp>
        <stp>XLFILL=b</stp>
        <tr r="AO17" s="2"/>
      </tp>
      <tp t="s">
        <v/>
        <stp/>
        <stp>##V3_BQLV12</stp>
        <stp>[MODL_CRM_US1.xlsx]Single Period!R56C41</stp>
        <stp>CRM US Equity</stp>
        <stp>IS_COMP_GROSS_MARGIN_PERCENTAGE</stp>
        <stp>FPR=2022Y</stp>
        <stp>FPT=A</stp>
        <stp>FA_ACT_EST_DATA=E, EST_SOURCE=GSR</stp>
        <stp>ACT_EST_MAPPING=PRECISE</stp>
        <stp>FS=MRC</stp>
        <stp>CURRENCY=USD</stp>
        <stp>XLFILL=b</stp>
        <tr r="AO56" s="2"/>
      </tp>
      <tp t="s">
        <v/>
        <stp/>
        <stp>##V3_BQLV12</stp>
        <stp>[MODL_CRM_US1.xlsx]Single Period!R189C37</stp>
        <stp>CRM US Equity</stp>
        <stp>CF_CASH_AND_CASH_EQUIV_BEG_BAL/1M</stp>
        <stp>FPR=2022Y</stp>
        <stp>FPT=A</stp>
        <stp>FA_ACT_EST_DATA=E, EST_SOURCE=EVR</stp>
        <stp>ACT_EST_MAPPING=PRECISE</stp>
        <stp>FS=MRC</stp>
        <stp>CURRENCY=USD</stp>
        <stp>XLFILL=b</stp>
        <tr r="AK189" s="2"/>
      </tp>
      <tp t="s">
        <v/>
        <stp/>
        <stp>##V3_BQLV12</stp>
        <stp>[MODL_CRM_US1.xlsx]Single Period!R165C54</stp>
        <stp>CRM US Equity</stp>
        <stp>CF_CHG_IN_DEFER_UNEARND_REV_ST/1M</stp>
        <stp>FPR=2022Y</stp>
        <stp>FPT=A</stp>
        <stp>FA_ACT_EST_DATA=E, EST_SOURCE=ARE</stp>
        <stp>ACT_EST_MAPPING=PRECISE</stp>
        <stp>FS=MRC</stp>
        <stp>CURRENCY=USD</stp>
        <stp>XLFILL=b</stp>
        <tr r="BB165" s="2"/>
      </tp>
      <tp t="s">
        <v/>
        <stp/>
        <stp>##V3_BQLV12</stp>
        <stp>[MODL_CRM_US1.xlsx]Single Period!R165C45</stp>
        <stp>CRM US Equity</stp>
        <stp>CF_CHG_IN_DEFER_UNEARND_REV_ST/1M</stp>
        <stp>FPR=2022Y</stp>
        <stp>FPT=A</stp>
        <stp>FA_ACT_EST_DATA=E, EST_SOURCE=ARG</stp>
        <stp>ACT_EST_MAPPING=PRECISE</stp>
        <stp>FS=MRC</stp>
        <stp>CURRENCY=USD</stp>
        <stp>XLFILL=b</stp>
        <tr r="AS165" s="2"/>
      </tp>
      <tp>
        <v>1.07</v>
        <stp/>
        <stp>##V3_BQLV12</stp>
        <stp>[MODL_CRM_US1.xlsx]Single Period!R95C32</stp>
        <stp>CRM US Equity</stp>
        <stp>IS_COMP_EPS_GAAP</stp>
        <stp>FPR=2022Y</stp>
        <stp>FPT=A</stp>
        <stp>FA_ACT_EST_DATA=E, EST_SOURCE=UBS</stp>
        <stp>ACT_EST_MAPPING=PRECISE</stp>
        <stp>FS=MRC</stp>
        <stp>CURRENCY=USD</stp>
        <stp>XLFILL=b</stp>
        <tr r="AF95" s="2"/>
      </tp>
      <tp t="s">
        <v/>
        <stp/>
        <stp>##V3_BQLV12</stp>
        <stp>[MODL_CRM_US1.xlsx]Single Period!R188C18</stp>
        <stp>CRM US Equity</stp>
        <stp>BS_CASH_NEAR_CASH_ITEM/1M</stp>
        <stp>FPR=2022Y</stp>
        <stp>FPT=A</stp>
        <stp>FA_ACT_EST_DATA=E, EST_SOURCE=CAN</stp>
        <stp>ACT_EST_MAPPING=PRECISE</stp>
        <stp>FS=MRC</stp>
        <stp>CURRENCY=USD</stp>
        <stp>XLFILL=b</stp>
        <tr r="R188" s="2"/>
      </tp>
      <tp t="s">
        <v/>
        <stp/>
        <stp>##V3_BQLV12</stp>
        <stp>[MODL_CRM_US1.xlsx]Single Period!R166C50</stp>
        <stp>CRM US Equity</stp>
        <stp>CF_CHANGE_IN_OPER_LEASE_LIBLTS/1M</stp>
        <stp>FPR=2022Y</stp>
        <stp>FPT=A</stp>
        <stp>FA_ACT_EST_DATA=E, EST_SOURCE=MZS</stp>
        <stp>ACT_EST_MAPPING=PRECISE</stp>
        <stp>FS=MRC</stp>
        <stp>CURRENCY=USD</stp>
        <stp>XLFILL=b</stp>
        <tr r="AX166" s="2"/>
      </tp>
      <tp t="s">
        <v/>
        <stp/>
        <stp>##V3_BQLV12</stp>
        <stp>[MODL_CRM_US1.xlsx]Single Period!R188C30</stp>
        <stp>CRM US Equity</stp>
        <stp>BS_CASH_NEAR_CASH_ITEM/1M</stp>
        <stp>FPR=2022Y</stp>
        <stp>FPT=A</stp>
        <stp>FA_ACT_EST_DATA=E, EST_SOURCE=BAM</stp>
        <stp>ACT_EST_MAPPING=PRECISE</stp>
        <stp>FS=MRC</stp>
        <stp>CURRENCY=USD</stp>
        <stp>XLFILL=b</stp>
        <tr r="AD188" s="2"/>
      </tp>
      <tp>
        <v>4.6900000000000004</v>
        <stp/>
        <stp>##V3_BQLV12</stp>
        <stp>[MODL_CRM_US1.xlsx]Single Period!R95C13</stp>
        <stp>CRM US Equity</stp>
        <stp>IS_COMP_EPS_GAAP</stp>
        <stp>FPR=2022Y</stp>
        <stp>FPT=A</stp>
        <stp>FA_ACT_EST_DATA=E, EST_SOURCE=BCA</stp>
        <stp>ACT_EST_MAPPING=PRECISE</stp>
        <stp>FS=MRC</stp>
        <stp>CURRENCY=USD</stp>
        <stp>XLFILL=b</stp>
        <tr r="M95" s="2"/>
      </tp>
      <tp t="s">
        <v/>
        <stp/>
        <stp>##V3_BQLV12</stp>
        <stp>[MODL_CRM_US1.xlsx]Single Period!R188C36</stp>
        <stp>CRM US Equity</stp>
        <stp>BS_CASH_NEAR_CASH_ITEM/1M</stp>
        <stp>FPR=2022Y</stp>
        <stp>FPT=A</stp>
        <stp>FA_ACT_EST_DATA=E, EST_SOURCE=MAC</stp>
        <stp>ACT_EST_MAPPING=PRECISE</stp>
        <stp>FS=MRC</stp>
        <stp>CURRENCY=USD</stp>
        <stp>XLFILL=b</stp>
        <tr r="AJ188" s="2"/>
      </tp>
      <tp t="s">
        <v/>
        <stp/>
        <stp>##V3_BQLV12</stp>
        <stp>[MODL_CRM_US1.xlsx]Single Period!R95C55</stp>
        <stp>CRM US Equity</stp>
        <stp>IS_COMP_EPS_GAAP</stp>
        <stp>FPR=2022Y</stp>
        <stp>FPT=A</stp>
        <stp>FA_ACT_EST_DATA=E, EST_SOURCE=RED</stp>
        <stp>ACT_EST_MAPPING=PRECISE</stp>
        <stp>FS=MRC</stp>
        <stp>CURRENCY=USD</stp>
        <stp>XLFILL=b</stp>
        <tr r="BC95" s="2"/>
      </tp>
      <tp t="s">
        <v/>
        <stp/>
        <stp>##V3_BQLV12</stp>
        <stp>[MODL_CRM_US1.xlsx]Single Period!R73C48</stp>
        <stp>CRM US Equity</stp>
        <stp>IS_SH_FOR_DILUTED_EPS/1M</stp>
        <stp>FPR=2022Y</stp>
        <stp>FPT=A</stp>
        <stp>FA_ACT_EST_DATA=E, EST_SOURCE=PJE</stp>
        <stp>ACT_EST_MAPPING=PRECISE</stp>
        <stp>FS=MRC</stp>
        <stp>CURRENCY=USD</stp>
        <stp>XLFILL=b</stp>
        <tr r="AV73" s="2"/>
      </tp>
      <tp t="s">
        <v/>
        <stp/>
        <stp>##V3_BQLV12</stp>
        <stp>[MODL_CRM_US1.xlsx]Single Period!R137C48</stp>
        <stp>CRM US Equity</stp>
        <stp>BS_EQTY_BEFORE_MINORITY_INT/1M</stp>
        <stp>FPR=2022Y</stp>
        <stp>FPT=A</stp>
        <stp>FA_ACT_EST_DATA=E, EST_SOURCE=PJE</stp>
        <stp>ACT_EST_MAPPING=PRECISE</stp>
        <stp>FS=MRC</stp>
        <stp>CURRENCY=USD</stp>
        <stp>XLFILL=b</stp>
        <tr r="AV137" s="2"/>
      </tp>
      <tp t="s">
        <v/>
        <stp/>
        <stp>##V3_BQLV12</stp>
        <stp>[MODL_CRM_US1.xlsx]Single Period!R137C21</stp>
        <stp>CRM US Equity</stp>
        <stp>BS_EQTY_BEFORE_MINORITY_INT/1M</stp>
        <stp>FPR=2022Y</stp>
        <stp>FPT=A</stp>
        <stp>FA_ACT_EST_DATA=E, EST_SOURCE=RJA</stp>
        <stp>ACT_EST_MAPPING=PRECISE</stp>
        <stp>FS=MRC</stp>
        <stp>CURRENCY=USD</stp>
        <stp>XLFILL=b</stp>
        <tr r="U137" s="2"/>
      </tp>
      <tp t="s">
        <v/>
        <stp/>
        <stp>##V3_BQLV12</stp>
        <stp>[MODL_CRM_US1.xlsx]Single Period!R100C37</stp>
        <stp>CRM US Equity</stp>
        <stp>IS_SBC_ATTRIB_TO_COGS_PRETX/1M</stp>
        <stp>FPR=2022Y</stp>
        <stp>FPT=A</stp>
        <stp>FA_ACT_EST_DATA=E, EST_SOURCE=EVR</stp>
        <stp>ACT_EST_MAPPING=PRECISE</stp>
        <stp>FS=MRC</stp>
        <stp>CURRENCY=USD</stp>
        <stp>XLFILL=b</stp>
        <tr r="AK100" s="2"/>
      </tp>
      <tp t="s">
        <v/>
        <stp/>
        <stp>##V3_BQLV12</stp>
        <stp>[MODL_CRM_US1.xlsx]Single Period!R93C36</stp>
        <stp>CRM US Equity</stp>
        <stp>IS_AVG_NUM_SH_FOR_EPS/1M</stp>
        <stp>FPR=2022Y</stp>
        <stp>FPT=A</stp>
        <stp>FA_ACT_EST_DATA=E, EST_SOURCE=MAC</stp>
        <stp>ACT_EST_MAPPING=PRECISE</stp>
        <stp>FS=MRC</stp>
        <stp>CURRENCY=USD</stp>
        <stp>XLFILL=b</stp>
        <tr r="AJ93" s="2"/>
      </tp>
      <tp t="s">
        <v/>
        <stp/>
        <stp>##V3_BQLV12</stp>
        <stp>[MODL_CRM_US1.xlsx]Single Period!R52C49</stp>
        <stp>CRM US Equity</stp>
        <stp>IS_COMP_SALES/1M</stp>
        <stp>FPR=2022Y</stp>
        <stp>FPT=A</stp>
        <stp>FA_ACT_EST_DATA=E, EST_SOURCE=SGE</stp>
        <stp>ACT_EST_MAPPING=PRECISE</stp>
        <stp>FS=MRC</stp>
        <stp>CURRENCY=USD</stp>
        <stp>XLFILL=b</stp>
        <tr r="AW52" s="2"/>
      </tp>
      <tp t="s">
        <v/>
        <stp/>
        <stp>##V3_BQLV12</stp>
        <stp>[MODL_CRM_US1.xlsx]Single Period!R131C50</stp>
        <stp>CRM US Equity</stp>
        <stp>ST_DEFERRED_REVENUE/1M</stp>
        <stp>FPR=2022Y</stp>
        <stp>FPT=A</stp>
        <stp>FA_ACT_EST_DATA=E, EST_SOURCE=MZS</stp>
        <stp>ACT_EST_MAPPING=PRECISE</stp>
        <stp>FS=MRC</stp>
        <stp>CURRENCY=USD</stp>
        <stp>XLFILL=b</stp>
        <tr r="AX131" s="2"/>
      </tp>
      <tp t="s">
        <v/>
        <stp/>
        <stp>##V3_BQLV12</stp>
        <stp>[MODL_CRM_US1.xlsx]Single Period!R102C44</stp>
        <stp>CRM US Equity</stp>
        <stp>IS_SBC_ATT_TO_S_AND_M_PRETX/1M</stp>
        <stp>FPR=2022Y</stp>
        <stp>FPT=A</stp>
        <stp>FA_ACT_EST_DATA=E, EST_SOURCE=RWB</stp>
        <stp>ACT_EST_MAPPING=PRECISE</stp>
        <stp>FS=MRC</stp>
        <stp>CURRENCY=USD</stp>
        <stp>XLFILL=b</stp>
        <tr r="AR102" s="2"/>
      </tp>
      <tp>
        <v>26358</v>
        <stp/>
        <stp>##V3_BQLV12</stp>
        <stp>[MODL_CRM_US1.xlsx]Single Period!R52C39</stp>
        <stp>CRM US Equity</stp>
        <stp>IS_COMP_SALES/1M</stp>
        <stp>FPR=2022Y</stp>
        <stp>FPT=A</stp>
        <stp>FA_ACT_EST_DATA=E, EST_SOURCE=KGI</stp>
        <stp>ACT_EST_MAPPING=PRECISE</stp>
        <stp>FS=MRC</stp>
        <stp>CURRENCY=USD</stp>
        <stp>XLFILL=b</stp>
        <tr r="AM52" s="2"/>
      </tp>
      <tp t="s">
        <v/>
        <stp/>
        <stp>##V3_BQLV12</stp>
        <stp>[MODL_CRM_US1.xlsx]Single Period!R102C43</stp>
        <stp>CRM US Equity</stp>
        <stp>IS_SBC_ATT_TO_S_AND_M_PRETX/1M</stp>
        <stp>FPR=2022Y</stp>
        <stp>FPT=A</stp>
        <stp>FA_ACT_EST_DATA=E, EST_SOURCE=DWI</stp>
        <stp>ACT_EST_MAPPING=PRECISE</stp>
        <stp>FS=MRC</stp>
        <stp>CURRENCY=USD</stp>
        <stp>XLFILL=b</stp>
        <tr r="AQ102" s="2"/>
      </tp>
      <tp t="s">
        <v/>
        <stp/>
        <stp>##V3_BQLV12</stp>
        <stp>[MODL_CRM_US1.xlsx]Single Period!R102C28</stp>
        <stp>CRM US Equity</stp>
        <stp>IS_SBC_ATT_TO_S_AND_M_PRETX/1M</stp>
        <stp>FPR=2022Y</stp>
        <stp>FPT=A</stp>
        <stp>FA_ACT_EST_DATA=E, EST_SOURCE=CWN</stp>
        <stp>ACT_EST_MAPPING=PRECISE</stp>
        <stp>FS=MRC</stp>
        <stp>CURRENCY=USD</stp>
        <stp>XLFILL=b</stp>
        <tr r="AB102" s="2"/>
      </tp>
      <tp t="s">
        <v/>
        <stp/>
        <stp>##V3_BQLV12</stp>
        <stp>[MODL_CRM_US1.xlsx]Single Period!R14C52</stp>
        <stp>CRM US Equity</stp>
        <stp>NON_CURRENT_FUTURE_REV_UNDER_CONTRACT/1M</stp>
        <stp>FPR=2022Y</stp>
        <stp>FPT=A</stp>
        <stp>FA_ACT_EST_DATA=E, EST_SOURCE=WFR</stp>
        <stp>ACT_EST_MAPPING=PRECISE</stp>
        <stp>FS=MRC</stp>
        <stp>CURRENCY=USD</stp>
        <stp>XLFILL=b</stp>
        <tr r="AZ14" s="2"/>
      </tp>
      <tp t="s">
        <v/>
        <stp/>
        <stp>##V3_BQLV12</stp>
        <stp>[MODL_CRM_US1.xlsx]Single Period!R68C51</stp>
        <stp>CRM US Equity</stp>
        <stp>IS_COMP_PTP_EX_STK_BASED_COMP/1M</stp>
        <stp>FPR=2022Y</stp>
        <stp>FPT=A</stp>
        <stp>FA_ACT_EST_DATA=E, EST_SOURCE=RCP</stp>
        <stp>ACT_EST_MAPPING=PRECISE</stp>
        <stp>FS=MRC</stp>
        <stp>CURRENCY=USD</stp>
        <stp>XLFILL=b</stp>
        <tr r="AY68" s="2"/>
      </tp>
      <tp>
        <v>-1118.3804</v>
        <stp/>
        <stp>##V3_BQLV12</stp>
        <stp>[MODL_CRM_US1.xlsx]Single Period!R98C20</stp>
        <stp>CRM US Equity</stp>
        <stp>IS_INC_TAX_EFFECT_NONGAAP_REC/1M</stp>
        <stp>FPR=2022Y</stp>
        <stp>FPT=A</stp>
        <stp>FA_ACT_EST_DATA=E, EST_SOURCE=JMP</stp>
        <stp>ACT_EST_MAPPING=PRECISE</stp>
        <stp>FS=MRC</stp>
        <stp>CURRENCY=USD</stp>
        <stp>XLFILL=b</stp>
        <tr r="T98" s="2"/>
      </tp>
      <tp t="s">
        <v/>
        <stp/>
        <stp>##V3_BQLV12</stp>
        <stp>[MODL_CRM_US1.xlsx]Single Period!R110C51</stp>
        <stp>CRM US Equity</stp>
        <stp>BS_CUR_ASSET_REPORT/1M</stp>
        <stp>FPR=2022Y</stp>
        <stp>FPT=A</stp>
        <stp>FA_ACT_EST_DATA=E, EST_SOURCE=RCP</stp>
        <stp>ACT_EST_MAPPING=PRECISE</stp>
        <stp>FS=MRC</stp>
        <stp>CURRENCY=USD</stp>
        <stp>XLFILL=b</stp>
        <tr r="AY110" s="2"/>
      </tp>
      <tp t="s">
        <v/>
        <stp/>
        <stp>##V3_BQLV12</stp>
        <stp>[MODL_CRM_US1.xlsx]Single Period!R14C27</stp>
        <stp>CRM US Equity</stp>
        <stp>NON_CURRENT_FUTURE_REV_UNDER_CONTRACT/1M</stp>
        <stp>FPR=2022Y</stp>
        <stp>FPT=A</stp>
        <stp>FA_ACT_EST_DATA=E, EST_SOURCE=LCM</stp>
        <stp>ACT_EST_MAPPING=PRECISE</stp>
        <stp>FS=MRC</stp>
        <stp>CURRENCY=USD</stp>
        <stp>XLFILL=b</stp>
        <tr r="AA14" s="2"/>
      </tp>
      <tp t="s">
        <v/>
        <stp/>
        <stp>##V3_BQLV12</stp>
        <stp>[MODL_CRM_US1.xlsx]Single Period!R110C27</stp>
        <stp>CRM US Equity</stp>
        <stp>BS_CUR_ASSET_REPORT/1M</stp>
        <stp>FPR=2022Y</stp>
        <stp>FPT=A</stp>
        <stp>FA_ACT_EST_DATA=E, EST_SOURCE=LCM</stp>
        <stp>ACT_EST_MAPPING=PRECISE</stp>
        <stp>FS=MRC</stp>
        <stp>CURRENCY=USD</stp>
        <stp>XLFILL=b</stp>
        <tr r="AA110" s="2"/>
      </tp>
      <tp t="s">
        <v/>
        <stp/>
        <stp>##V3_BQLV12</stp>
        <stp>[MODL_CRM_US1.xlsx]Single Period!R73C51</stp>
        <stp>CRM US Equity</stp>
        <stp>IS_SH_FOR_DILUTED_EPS/1M</stp>
        <stp>FPR=2022Y</stp>
        <stp>FPT=A</stp>
        <stp>FA_ACT_EST_DATA=E, EST_SOURCE=RCP</stp>
        <stp>ACT_EST_MAPPING=PRECISE</stp>
        <stp>FS=MRC</stp>
        <stp>CURRENCY=USD</stp>
        <stp>XLFILL=b</stp>
        <tr r="AY73" s="2"/>
      </tp>
      <tp t="s">
        <v/>
        <stp/>
        <stp>##V3_BQLV12</stp>
        <stp>[MODL_CRM_US1.xlsx]Single Period!R93C29</stp>
        <stp>CRM US Equity</stp>
        <stp>IS_AVG_NUM_SH_FOR_EPS/1M</stp>
        <stp>FPR=2022Y</stp>
        <stp>FPT=A</stp>
        <stp>FA_ACT_EST_DATA=E, EST_SOURCE=BNS</stp>
        <stp>ACT_EST_MAPPING=PRECISE</stp>
        <stp>FS=MRC</stp>
        <stp>CURRENCY=USD</stp>
        <stp>XLFILL=b</stp>
        <tr r="AC93" s="2"/>
      </tp>
      <tp t="s">
        <v/>
        <stp/>
        <stp>##V3_BQLV12</stp>
        <stp>[MODL_CRM_US1.xlsx]Single Period!R110C19</stp>
        <stp>CRM US Equity</stp>
        <stp>BS_CUR_ASSET_REPORT/1M</stp>
        <stp>FPR=2022Y</stp>
        <stp>FPT=A</stp>
        <stp>FA_ACT_EST_DATA=E, EST_SOURCE=SCB</stp>
        <stp>ACT_EST_MAPPING=PRECISE</stp>
        <stp>FS=MRC</stp>
        <stp>CURRENCY=USD</stp>
        <stp>XLFILL=b</stp>
        <tr r="S110" s="2"/>
      </tp>
      <tp t="s">
        <v/>
        <stp/>
        <stp>##V3_BQLV12</stp>
        <stp>[MODL_CRM_US1.xlsx]Single Period!R14C16</stp>
        <stp>CRM US Equity</stp>
        <stp>NON_CURRENT_FUTURE_REV_UNDER_CONTRACT/1M</stp>
        <stp>FPR=2022Y</stp>
        <stp>FPT=A</stp>
        <stp>FA_ACT_EST_DATA=E, EST_SOURCE=DBG</stp>
        <stp>ACT_EST_MAPPING=PRECISE</stp>
        <stp>FS=MRC</stp>
        <stp>CURRENCY=USD</stp>
        <stp>XLFILL=b</stp>
        <tr r="P14" s="2"/>
      </tp>
      <tp t="s">
        <v/>
        <stp/>
        <stp>##V3_BQLV12</stp>
        <stp>[MODL_CRM_US1.xlsx]Single Period!R68C48</stp>
        <stp>CRM US Equity</stp>
        <stp>IS_COMP_PTP_EX_STK_BASED_COMP/1M</stp>
        <stp>FPR=2022Y</stp>
        <stp>FPT=A</stp>
        <stp>FA_ACT_EST_DATA=E, EST_SOURCE=PJE</stp>
        <stp>ACT_EST_MAPPING=PRECISE</stp>
        <stp>FS=MRC</stp>
        <stp>CURRENCY=USD</stp>
        <stp>XLFILL=b</stp>
        <tr r="AV68" s="2"/>
      </tp>
      <tp>
        <v>23479.968883249141</v>
        <stp/>
        <stp>##V3_BQLV12</stp>
        <stp>[MODL_CRM_US1.xlsx]Single Period!R110C13</stp>
        <stp>CRM US Equity</stp>
        <stp>BS_CUR_ASSET_REPORT/1M</stp>
        <stp>FPR=2022Y</stp>
        <stp>FPT=A</stp>
        <stp>FA_ACT_EST_DATA=E, EST_SOURCE=BCA</stp>
        <stp>ACT_EST_MAPPING=PRECISE</stp>
        <stp>FS=MRC</stp>
        <stp>CURRENCY=USD</stp>
        <stp>XLFILL=b</stp>
        <tr r="M110" s="2"/>
      </tp>
      <tp t="s">
        <v/>
        <stp/>
        <stp>##V3_BQLV12</stp>
        <stp>[MODL_CRM_US1.xlsx]Single Period!R110C40</stp>
        <stp>CRM US Equity</stp>
        <stp>BS_CUR_ASSET_REPORT/1M</stp>
        <stp>FPR=2022Y</stp>
        <stp>FPT=A</stp>
        <stp>FA_ACT_EST_DATA=E, EST_SOURCE=ACC</stp>
        <stp>ACT_EST_MAPPING=PRECISE</stp>
        <stp>FS=MRC</stp>
        <stp>CURRENCY=USD</stp>
        <stp>XLFILL=b</stp>
        <tr r="AN110" s="2"/>
      </tp>
      <tp t="s">
        <v/>
        <stp/>
        <stp>##V3_BQLV12</stp>
        <stp>[MODL_CRM_US1.xlsx]Single Period!R43C22</stp>
        <stp>SEG0000269240 Segment</stp>
        <stp>SALES_REV_TURN/1M</stp>
        <stp>FPR=2022Y</stp>
        <stp>FPT=A</stp>
        <stp>FA_ACT_EST_DATA=E, EST_SOURCE=OPY</stp>
        <stp>ACT_EST_MAPPING=PRECISE</stp>
        <stp>FS=MRC</stp>
        <stp>CURRENCY=USD</stp>
        <stp>XLFILL=b</stp>
        <tr r="V43" s="2"/>
      </tp>
      <tp t="s">
        <v/>
        <stp/>
        <stp>##V3_BQLV12</stp>
        <stp>[MODL_CRM_US1.xlsx]Single Period!R101C55</stp>
        <stp>CRM US Equity</stp>
        <stp>IS_SBC_ATTRIBUTABLE_TO_R_AND_D_PRETX/1M</stp>
        <stp>FPR=2022Y</stp>
        <stp>FPT=A</stp>
        <stp>FA_ACT_EST_DATA=E, EST_SOURCE=RED</stp>
        <stp>ACT_EST_MAPPING=PRECISE</stp>
        <stp>FS=MRC</stp>
        <stp>CURRENCY=USD</stp>
        <stp>XLFILL=b</stp>
        <tr r="BC101" s="2"/>
      </tp>
      <tp t="s">
        <v/>
        <stp/>
        <stp>##V3_BQLV12</stp>
        <stp>[MODL_CRM_US1.xlsx]Single Period!R119C31</stp>
        <stp>CRM US Equity</stp>
        <stp>CB_BS_OTHER_NONCURRENT_ASSETS/1M</stp>
        <stp>FPR=2022Y</stp>
        <stp>FPT=A</stp>
        <stp>FA_ACT_EST_DATA=E, EST_SOURCE=RBC</stp>
        <stp>ACT_EST_MAPPING=PRECISE</stp>
        <stp>FS=MRC</stp>
        <stp>CURRENCY=USD</stp>
        <stp>XLFILL=b</stp>
        <tr r="AE119" s="2"/>
      </tp>
      <tp t="s">
        <v/>
        <stp/>
        <stp>##V3_BQLV12</stp>
        <stp>[MODL_CRM_US1.xlsx]Single Period!R119C40</stp>
        <stp>CRM US Equity</stp>
        <stp>CB_BS_OTHER_NONCURRENT_ASSETS/1M</stp>
        <stp>FPR=2022Y</stp>
        <stp>FPT=A</stp>
        <stp>FA_ACT_EST_DATA=E, EST_SOURCE=ACC</stp>
        <stp>ACT_EST_MAPPING=PRECISE</stp>
        <stp>FS=MRC</stp>
        <stp>CURRENCY=USD</stp>
        <stp>XLFILL=b</stp>
        <tr r="AN119" s="2"/>
      </tp>
      <tp t="s">
        <v/>
        <stp/>
        <stp>##V3_BQLV12</stp>
        <stp>[MODL_CRM_US1.xlsx]Single Period!R140C48</stp>
        <stp>CRM US Equity</stp>
        <stp>BS_ACCUMULATED_OTHER_COMP_INC/1M</stp>
        <stp>FPR=2022Y</stp>
        <stp>FPT=A</stp>
        <stp>FA_ACT_EST_DATA=E, EST_SOURCE=PJE</stp>
        <stp>ACT_EST_MAPPING=PRECISE</stp>
        <stp>FS=MRC</stp>
        <stp>CURRENCY=USD</stp>
        <stp>XLFILL=b</stp>
        <tr r="AV140" s="2"/>
      </tp>
      <tp>
        <v>845.22309999999993</v>
        <stp/>
        <stp>##V3_BQLV12</stp>
        <stp>[MODL_CRM_US1.xlsx]Single Period!R101C24</stp>
        <stp>CRM US Equity</stp>
        <stp>IS_SBC_ATTRIBUTABLE_TO_R_AND_D_PRETX/1M</stp>
        <stp>FPR=2022Y</stp>
        <stp>FPT=A</stp>
        <stp>FA_ACT_EST_DATA=E, EST_SOURCE=FBC</stp>
        <stp>ACT_EST_MAPPING=PRECISE</stp>
        <stp>FS=MRC</stp>
        <stp>CURRENCY=USD</stp>
        <stp>XLFILL=b</stp>
        <tr r="X101" s="2"/>
      </tp>
      <tp t="s">
        <v/>
        <stp/>
        <stp>##V3_BQLV12</stp>
        <stp>[MODL_CRM_US1.xlsx]Single Period!R101C18</stp>
        <stp>CRM US Equity</stp>
        <stp>IS_SBC_ATTRIBUTABLE_TO_R_AND_D_PRETX/1M</stp>
        <stp>FPR=2022Y</stp>
        <stp>FPT=A</stp>
        <stp>FA_ACT_EST_DATA=E, EST_SOURCE=CAN</stp>
        <stp>ACT_EST_MAPPING=PRECISE</stp>
        <stp>FS=MRC</stp>
        <stp>CURRENCY=USD</stp>
        <stp>XLFILL=b</stp>
        <tr r="R101" s="2"/>
      </tp>
      <tp t="s">
        <v/>
        <stp/>
        <stp>##V3_BQLV12</stp>
        <stp>[MODL_CRM_US1.xlsx]Single Period!R24C22</stp>
        <stp>SEG0000269238 Segment</stp>
        <stp>SALES_REV_TURN/1M</stp>
        <stp>FPR=2022Y</stp>
        <stp>FPT=A</stp>
        <stp>FA_ACT_EST_DATA=E, EST_SOURCE=OPY</stp>
        <stp>ACT_EST_MAPPING=PRECISE</stp>
        <stp>FS=MRC</stp>
        <stp>CURRENCY=USD</stp>
        <stp>XLFILL=b</stp>
        <tr r="V24" s="2"/>
      </tp>
      <tp>
        <v>1850</v>
        <stp/>
        <stp>##V3_BQLV12</stp>
        <stp>[MODL_CRM_US1.xlsx]Single Period!R119C17</stp>
        <stp>CRM US Equity</stp>
        <stp>CB_BS_OTHER_NONCURRENT_ASSETS/1M</stp>
        <stp>FPR=2022Y</stp>
        <stp>FPT=A</stp>
        <stp>FA_ACT_EST_DATA=E, EST_SOURCE=NDH</stp>
        <stp>ACT_EST_MAPPING=PRECISE</stp>
        <stp>FS=MRC</stp>
        <stp>CURRENCY=USD</stp>
        <stp>XLFILL=b</stp>
        <tr r="Q119" s="2"/>
      </tp>
      <tp t="s">
        <v/>
        <stp/>
        <stp>##V3_BQLV12</stp>
        <stp>[MODL_CRM_US1.xlsx]Single Period!R151C48</stp>
        <stp>CRM US Equity</stp>
        <stp>NON_CURRENT_FUTURE_REV_UNDER_CONTRACT/1M</stp>
        <stp>FPR=2022Y</stp>
        <stp>FPT=A</stp>
        <stp>FA_ACT_EST_DATA=E, EST_SOURCE=PJE</stp>
        <stp>ACT_EST_MAPPING=PRECISE</stp>
        <stp>FS=MRC</stp>
        <stp>CURRENCY=USD</stp>
        <stp>XLFILL=b</stp>
        <tr r="AV151" s="2"/>
      </tp>
      <tp t="s">
        <v/>
        <stp/>
        <stp>##V3_BQLV12</stp>
        <stp>[MODL_CRM_US1.xlsx]Single Period!R123C14</stp>
        <stp>CRM US Equity</stp>
        <stp>TOT_OPER_LEA_RT_OF_USE_ASSETS/1M</stp>
        <stp>FPR=2022Y</stp>
        <stp>FPT=A</stp>
        <stp>FA_ACT_EST_DATA=E, EST_SOURCE=SNR</stp>
        <stp>ACT_EST_MAPPING=PRECISE</stp>
        <stp>FS=MRC</stp>
        <stp>CURRENCY=USD</stp>
        <stp>XLFILL=b</stp>
        <tr r="N123" s="2"/>
      </tp>
      <tp t="s">
        <v/>
        <stp/>
        <stp>##V3_BQLV12</stp>
        <stp>[MODL_CRM_US1.xlsx]Single Period!R119C11</stp>
        <stp>CRM US Equity</stp>
        <stp>CB_BS_OTHER_NONCURRENT_ASSETS/1M</stp>
        <stp>FPR=2022Y</stp>
        <stp>FPT=A</stp>
        <stp>FA_ACT_EST_DATA=E, EST_SOURCE=WBL</stp>
        <stp>ACT_EST_MAPPING=PRECISE</stp>
        <stp>FS=MRC</stp>
        <stp>CURRENCY=USD</stp>
        <stp>XLFILL=b</stp>
        <tr r="K119" s="2"/>
      </tp>
      <tp t="s">
        <v/>
        <stp/>
        <stp>##V3_BQLV12</stp>
        <stp>[MODL_CRM_US1.xlsx]Single Period!R32C28</stp>
        <stp>SEG0000269227 Segment</stp>
        <stp>SALES_REV_TURN/1M</stp>
        <stp>FPR=2022Y</stp>
        <stp>FPT=A</stp>
        <stp>FA_ACT_EST_DATA=E, EST_SOURCE=CWN</stp>
        <stp>ACT_EST_MAPPING=PRECISE</stp>
        <stp>FS=MRC</stp>
        <stp>CURRENCY=USD</stp>
        <stp>XLFILL=b</stp>
        <tr r="AB32" s="2"/>
      </tp>
      <tp t="s">
        <v/>
        <stp/>
        <stp>##V3_BQLV12</stp>
        <stp>[MODL_CRM_US1.xlsx]Single Period!R149C28</stp>
        <stp>CRM US Equity</stp>
        <stp>TOT_FUTURE_REV_UNDER_CONTRACT/1M</stp>
        <stp>FPR=2022Y</stp>
        <stp>FPT=A</stp>
        <stp>FA_ACT_EST_DATA=E, EST_SOURCE=CWN</stp>
        <stp>ACT_EST_MAPPING=PRECISE</stp>
        <stp>FS=MRC</stp>
        <stp>CURRENCY=USD</stp>
        <stp>XLFILL=b</stp>
        <tr r="AB149" s="2"/>
      </tp>
      <tp t="s">
        <v/>
        <stp/>
        <stp>##V3_BQLV12</stp>
        <stp>[MODL_CRM_US1.xlsx]Single Period!R27C46</stp>
        <stp>SEG0000269241 Segment</stp>
        <stp>SALES_REV_TURN/1M</stp>
        <stp>FPR=2022Y</stp>
        <stp>FPT=A</stp>
        <stp>FA_ACT_EST_DATA=E, EST_SOURCE=CTI</stp>
        <stp>ACT_EST_MAPPING=PRECISE</stp>
        <stp>FS=MRC</stp>
        <stp>CURRENCY=USD</stp>
        <stp>XLFILL=b</stp>
        <tr r="AT27" s="2"/>
      </tp>
      <tp>
        <v>901.76661291076107</v>
        <stp/>
        <stp>##V3_BQLV12</stp>
        <stp>[MODL_CRM_US1.xlsx]Single Period!R105C5</stp>
        <stp>CRM US Equity</stp>
        <stp>IS_AMORT_ACQD_INTANGIBLES_COGS/1M</stp>
        <stp>FPR=2022Y</stp>
        <stp>FPT=A</stp>
        <stp>FA_ACT_EST_DATA=E</stp>
        <stp>ACT_EST_MAPPING=PRECISE</stp>
        <stp>FS=MRC</stp>
        <stp>CURRENCY=USD</stp>
        <stp>XLFILL=b</stp>
        <tr r="E105" s="2"/>
      </tp>
      <tp t="s">
        <v/>
        <stp/>
        <stp>##V3_BQLV12</stp>
        <stp>[MODL_CRM_US1.xlsx]Single Period!R123C53</stp>
        <stp>CRM US Equity</stp>
        <stp>TOT_OPER_LEA_RT_OF_USE_ASSETS/1M</stp>
        <stp>FPR=2022Y</stp>
        <stp>FPT=A</stp>
        <stp>FA_ACT_EST_DATA=E, EST_SOURCE=NIK</stp>
        <stp>ACT_EST_MAPPING=PRECISE</stp>
        <stp>FS=MRC</stp>
        <stp>CURRENCY=USD</stp>
        <stp>XLFILL=b</stp>
        <tr r="BA123" s="2"/>
      </tp>
      <tp t="s">
        <v/>
        <stp/>
        <stp>##V3_BQLV12</stp>
        <stp>[MODL_CRM_US1.xlsx]Single Period!R27C35</stp>
        <stp>SEG0000269241 Segment</stp>
        <stp>SALES_REV_TURN/1M</stp>
        <stp>FPR=2022Y</stp>
        <stp>FPT=A</stp>
        <stp>FA_ACT_EST_DATA=E, EST_SOURCE=ATL</stp>
        <stp>ACT_EST_MAPPING=PRECISE</stp>
        <stp>FS=MRC</stp>
        <stp>CURRENCY=USD</stp>
        <stp>XLFILL=b</stp>
        <tr r="AI27" s="2"/>
      </tp>
      <tp t="s">
        <v/>
        <stp/>
        <stp>##V3_BQLV12</stp>
        <stp>[MODL_CRM_US1.xlsx]Single Period!R43C23</stp>
        <stp>SEG0000269240 Segment</stp>
        <stp>SALES_REV_TURN/1M</stp>
        <stp>FPR=2022Y</stp>
        <stp>FPT=A</stp>
        <stp>FA_ACT_EST_DATA=E, EST_SOURCE=JPM</stp>
        <stp>ACT_EST_MAPPING=PRECISE</stp>
        <stp>FS=MRC</stp>
        <stp>CURRENCY=USD</stp>
        <stp>XLFILL=b</stp>
        <tr r="W43" s="2"/>
      </tp>
      <tp t="s">
        <v/>
        <stp/>
        <stp>##V3_BQLV12</stp>
        <stp>[MODL_CRM_US1.xlsx]Single Period!R140C51</stp>
        <stp>CRM US Equity</stp>
        <stp>BS_ACCUMULATED_OTHER_COMP_INC/1M</stp>
        <stp>FPR=2022Y</stp>
        <stp>FPT=A</stp>
        <stp>FA_ACT_EST_DATA=E, EST_SOURCE=RCP</stp>
        <stp>ACT_EST_MAPPING=PRECISE</stp>
        <stp>FS=MRC</stp>
        <stp>CURRENCY=USD</stp>
        <stp>XLFILL=b</stp>
        <tr r="AY140" s="2"/>
      </tp>
      <tp t="s">
        <v/>
        <stp/>
        <stp>##V3_BQLV12</stp>
        <stp>[MODL_CRM_US1.xlsx]Single Period!R32C43</stp>
        <stp>SEG0000269227 Segment</stp>
        <stp>SALES_REV_TURN/1M</stp>
        <stp>FPR=2022Y</stp>
        <stp>FPT=A</stp>
        <stp>FA_ACT_EST_DATA=E, EST_SOURCE=DWI</stp>
        <stp>ACT_EST_MAPPING=PRECISE</stp>
        <stp>FS=MRC</stp>
        <stp>CURRENCY=USD</stp>
        <stp>XLFILL=b</stp>
        <tr r="AQ32" s="2"/>
      </tp>
      <tp>
        <v>2276.463888916719</v>
        <stp/>
        <stp>##V3_BQLV12</stp>
        <stp>[MODL_CRM_US1.xlsx]Single Period!R119C26</stp>
        <stp>CRM US Equity</stp>
        <stp>CB_BS_OTHER_NONCURRENT_ASSETS/1M</stp>
        <stp>FPR=2022Y</stp>
        <stp>FPT=A</stp>
        <stp>FA_ACT_EST_DATA=E, EST_SOURCE=KEY</stp>
        <stp>ACT_EST_MAPPING=PRECISE</stp>
        <stp>FS=MRC</stp>
        <stp>CURRENCY=USD</stp>
        <stp>XLFILL=b</stp>
        <tr r="Z119" s="2"/>
      </tp>
      <tp t="s">
        <v/>
        <stp/>
        <stp>##V3_BQLV12</stp>
        <stp>[MODL_CRM_US1.xlsx]Single Period!R10C46</stp>
        <stp>SEG0000269238 Segment</stp>
        <stp>SALES_REV_TURN/1M</stp>
        <stp>FPR=2022Y</stp>
        <stp>FPT=A</stp>
        <stp>FA_ACT_EST_DATA=E, EST_SOURCE=CTI</stp>
        <stp>ACT_EST_MAPPING=PRECISE</stp>
        <stp>FS=MRC</stp>
        <stp>CURRENCY=USD</stp>
        <stp>XLFILL=b</stp>
        <tr r="AT10" s="2"/>
      </tp>
      <tp t="s">
        <v/>
        <stp/>
        <stp>##V3_BQLV12</stp>
        <stp>[MODL_CRM_US1.xlsx]Single Period!R123C19</stp>
        <stp>CRM US Equity</stp>
        <stp>TOT_OPER_LEA_RT_OF_USE_ASSETS/1M</stp>
        <stp>FPR=2022Y</stp>
        <stp>FPT=A</stp>
        <stp>FA_ACT_EST_DATA=E, EST_SOURCE=SCB</stp>
        <stp>ACT_EST_MAPPING=PRECISE</stp>
        <stp>FS=MRC</stp>
        <stp>CURRENCY=USD</stp>
        <stp>XLFILL=b</stp>
        <tr r="S123" s="2"/>
      </tp>
      <tp t="s">
        <v/>
        <stp/>
        <stp>##V3_BQLV12</stp>
        <stp>[MODL_CRM_US1.xlsx]Single Period!R83C21</stp>
        <stp>CRM US Equity</stp>
        <stp>IS_OPEX_R_AND_D_GAAP/1M</stp>
        <stp>FPR=2022Y</stp>
        <stp>FPT=A</stp>
        <stp>FA_ACT_EST_DATA=E, EST_SOURCE=RJA</stp>
        <stp>ACT_EST_MAPPING=PRECISE</stp>
        <stp>FS=MRC</stp>
        <stp>CURRENCY=USD</stp>
        <stp>XLFILL=b</stp>
        <tr r="U83" s="2"/>
      </tp>
      <tp t="s">
        <v/>
        <stp/>
        <stp>##V3_BQLV12</stp>
        <stp>[MODL_CRM_US1.xlsx]Single Period!R151C51</stp>
        <stp>CRM US Equity</stp>
        <stp>NON_CURRENT_FUTURE_REV_UNDER_CONTRACT/1M</stp>
        <stp>FPR=2022Y</stp>
        <stp>FPT=A</stp>
        <stp>FA_ACT_EST_DATA=E, EST_SOURCE=RCP</stp>
        <stp>ACT_EST_MAPPING=PRECISE</stp>
        <stp>FS=MRC</stp>
        <stp>CURRENCY=USD</stp>
        <stp>XLFILL=b</stp>
        <tr r="AY151" s="2"/>
      </tp>
      <tp>
        <v>24564.48</v>
        <stp/>
        <stp>##V3_BQLV12</stp>
        <stp>[MODL_CRM_US1.xlsx]Single Period!R24C23</stp>
        <stp>SEG0000269238 Segment</stp>
        <stp>SALES_REV_TURN/1M</stp>
        <stp>FPR=2022Y</stp>
        <stp>FPT=A</stp>
        <stp>FA_ACT_EST_DATA=E, EST_SOURCE=JPM</stp>
        <stp>ACT_EST_MAPPING=PRECISE</stp>
        <stp>FS=MRC</stp>
        <stp>CURRENCY=USD</stp>
        <stp>XLFILL=b</stp>
        <tr r="W24" s="2"/>
      </tp>
      <tp t="s">
        <v/>
        <stp/>
        <stp>##V3_BQLV12</stp>
        <stp>[MODL_CRM_US1.xlsx]Single Period!R32C44</stp>
        <stp>SEG0000269227 Segment</stp>
        <stp>SALES_REV_TURN/1M</stp>
        <stp>FPR=2022Y</stp>
        <stp>FPT=A</stp>
        <stp>FA_ACT_EST_DATA=E, EST_SOURCE=RWB</stp>
        <stp>ACT_EST_MAPPING=PRECISE</stp>
        <stp>FS=MRC</stp>
        <stp>CURRENCY=USD</stp>
        <stp>XLFILL=b</stp>
        <tr r="AR32" s="2"/>
      </tp>
      <tp t="s">
        <v/>
        <stp/>
        <stp>##V3_BQLV12</stp>
        <stp>[MODL_CRM_US1.xlsx]Single Period!R10C35</stp>
        <stp>SEG0000269238 Segment</stp>
        <stp>SALES_REV_TURN/1M</stp>
        <stp>FPR=2022Y</stp>
        <stp>FPT=A</stp>
        <stp>FA_ACT_EST_DATA=E, EST_SOURCE=ATL</stp>
        <stp>ACT_EST_MAPPING=PRECISE</stp>
        <stp>FS=MRC</stp>
        <stp>CURRENCY=USD</stp>
        <stp>XLFILL=b</stp>
        <tr r="AI10" s="2"/>
      </tp>
      <tp t="s">
        <v/>
        <stp/>
        <stp>##V3_BQLV12</stp>
        <stp>[MODL_CRM_US1.xlsx]Single Period!R56C46</stp>
        <stp>CRM US Equity</stp>
        <stp>IS_COMP_GROSS_MARGIN_PERCENTAGE</stp>
        <stp>FPR=2022Y</stp>
        <stp>FPT=A</stp>
        <stp>FA_ACT_EST_DATA=E, EST_SOURCE=CTI</stp>
        <stp>ACT_EST_MAPPING=PRECISE</stp>
        <stp>FS=MRC</stp>
        <stp>CURRENCY=USD</stp>
        <stp>XLFILL=b</stp>
        <tr r="AT56" s="2"/>
      </tp>
      <tp t="s">
        <v/>
        <stp/>
        <stp>##V3_BQLV12</stp>
        <stp>[MODL_CRM_US1.xlsx]Single Period!R17C46</stp>
        <stp>CRM US Equity</stp>
        <stp>IS_COMP_GROSS_MARGIN_PERCENTAGE</stp>
        <stp>FPR=2022Y</stp>
        <stp>FPT=A</stp>
        <stp>FA_ACT_EST_DATA=E, EST_SOURCE=CTI</stp>
        <stp>ACT_EST_MAPPING=PRECISE</stp>
        <stp>FS=MRC</stp>
        <stp>CURRENCY=USD</stp>
        <stp>XLFILL=b</stp>
        <tr r="AT17" s="2"/>
      </tp>
      <tp t="s">
        <v/>
        <stp/>
        <stp>##V3_BQLV12</stp>
        <stp>[MODL_CRM_US1.xlsx]Single Period!R17C38</stp>
        <stp>CRM US Equity</stp>
        <stp>IS_COMP_GROSS_MARGIN_PERCENTAGE</stp>
        <stp>FPR=2022Y</stp>
        <stp>FPT=A</stp>
        <stp>FA_ACT_EST_DATA=E, EST_SOURCE=MSR</stp>
        <stp>ACT_EST_MAPPING=PRECISE</stp>
        <stp>FS=MRC</stp>
        <stp>CURRENCY=USD</stp>
        <stp>XLFILL=b</stp>
        <tr r="AL17" s="2"/>
      </tp>
      <tp t="s">
        <v/>
        <stp/>
        <stp>##V3_BQLV12</stp>
        <stp>[MODL_CRM_US1.xlsx]Single Period!R56C38</stp>
        <stp>CRM US Equity</stp>
        <stp>IS_COMP_GROSS_MARGIN_PERCENTAGE</stp>
        <stp>FPR=2022Y</stp>
        <stp>FPT=A</stp>
        <stp>FA_ACT_EST_DATA=E, EST_SOURCE=MSR</stp>
        <stp>ACT_EST_MAPPING=PRECISE</stp>
        <stp>FS=MRC</stp>
        <stp>CURRENCY=USD</stp>
        <stp>XLFILL=b</stp>
        <tr r="AL56" s="2"/>
      </tp>
      <tp t="s">
        <v>Truist Securities</v>
        <stp/>
        <stp>##V3_BQLV12</stp>
        <stp>[MODL_CRM_US1.xlsx]Single Period!R3C33</stp>
        <stp>CRM US Equity</stp>
        <stp>LAST(IS_COMP_SALES(FA_ACT_EST_DATA=E, EST_SOURCE=RHR).firm_name)</stp>
        <stp>FPR=2022Y</stp>
        <stp>FPT=A</stp>
        <stp>ACT_EST_MAPPING=PRECISE</stp>
        <stp>FS=MRC</stp>
        <stp>CURRENCY=USD</stp>
        <stp>XLFILL=b</stp>
        <tr r="AG3" s="2"/>
      </tp>
      <tp t="s">
        <v/>
        <stp/>
        <stp>##V3_BQLV12</stp>
        <stp>[MODL_CRM_US1.xlsx]Single Period!R105C45</stp>
        <stp>CRM US Equity</stp>
        <stp>IS_AMORT_ACQD_INTANGIBLES_COGS/1M</stp>
        <stp>FPR=2022Y</stp>
        <stp>FPT=A</stp>
        <stp>FA_ACT_EST_DATA=E, EST_SOURCE=ARG</stp>
        <stp>ACT_EST_MAPPING=PRECISE</stp>
        <stp>FS=MRC</stp>
        <stp>CURRENCY=USD</stp>
        <stp>XLFILL=b</stp>
        <tr r="AS105" s="2"/>
      </tp>
      <tp t="s">
        <v/>
        <stp/>
        <stp>##V3_BQLV12</stp>
        <stp>[MODL_CRM_US1.xlsx]Single Period!R105C54</stp>
        <stp>CRM US Equity</stp>
        <stp>IS_AMORT_ACQD_INTANGIBLES_COGS/1M</stp>
        <stp>FPR=2022Y</stp>
        <stp>FPT=A</stp>
        <stp>FA_ACT_EST_DATA=E, EST_SOURCE=ARE</stp>
        <stp>ACT_EST_MAPPING=PRECISE</stp>
        <stp>FS=MRC</stp>
        <stp>CURRENCY=USD</stp>
        <stp>XLFILL=b</stp>
        <tr r="BB105" s="2"/>
      </tp>
      <tp>
        <v>1.25</v>
        <stp/>
        <stp>##V3_BQLV12</stp>
        <stp>[MODL_CRM_US1.xlsx]Single Period!R95C29</stp>
        <stp>CRM US Equity</stp>
        <stp>IS_COMP_EPS_GAAP</stp>
        <stp>FPR=2022Y</stp>
        <stp>FPT=A</stp>
        <stp>FA_ACT_EST_DATA=E, EST_SOURCE=BNS</stp>
        <stp>ACT_EST_MAPPING=PRECISE</stp>
        <stp>FS=MRC</stp>
        <stp>CURRENCY=USD</stp>
        <stp>XLFILL=b</stp>
        <tr r="AC95" s="2"/>
      </tp>
      <tp t="s">
        <v/>
        <stp/>
        <stp>##V3_BQLV12</stp>
        <stp>[MODL_CRM_US1.xlsx]Single Period!R188C47</stp>
        <stp>CRM US Equity</stp>
        <stp>BS_CASH_NEAR_CASH_ITEM/1M</stp>
        <stp>FPR=2022Y</stp>
        <stp>FPT=A</stp>
        <stp>FA_ACT_EST_DATA=E, EST_SOURCE=WFT</stp>
        <stp>ACT_EST_MAPPING=PRECISE</stp>
        <stp>FS=MRC</stp>
        <stp>CURRENCY=USD</stp>
        <stp>XLFILL=b</stp>
        <tr r="AU188" s="2"/>
      </tp>
      <tp t="s">
        <v/>
        <stp/>
        <stp>##V3_BQLV12</stp>
        <stp>[MODL_CRM_US1.xlsx]Single Period!R188C52</stp>
        <stp>CRM US Equity</stp>
        <stp>BS_CASH_NEAR_CASH_ITEM/1M</stp>
        <stp>FPR=2022Y</stp>
        <stp>FPT=A</stp>
        <stp>FA_ACT_EST_DATA=E, EST_SOURCE=WFR</stp>
        <stp>ACT_EST_MAPPING=PRECISE</stp>
        <stp>FS=MRC</stp>
        <stp>CURRENCY=USD</stp>
        <stp>XLFILL=b</stp>
        <tr r="AZ188" s="2"/>
      </tp>
      <tp>
        <v>21080.000000000051</v>
        <stp/>
        <stp>##V3_BQLV12</stp>
        <stp>[MODL_CRM_US1.xlsx]Single Period!R14C7</stp>
        <stp>CRM US Equity</stp>
        <stp>CONTRIBUTOR_STATS(NON_CURRENT_FUTURE_REV_UNDER_CONTRACT, MAX)/1M</stp>
        <stp>FPR=2022Y</stp>
        <stp>FPT=A</stp>
        <stp>FA_ACT_EST_DATA=E</stp>
        <stp>ACT_EST_MAPPING=PRECISE</stp>
        <stp>FS=MRC</stp>
        <stp>CURRENCY=USD</stp>
        <stp>XLFILL=b</stp>
        <tr r="G14" s="2"/>
      </tp>
      <tp t="s">
        <v/>
        <stp/>
        <stp>##V3_BQLV12</stp>
        <stp>[MODL_CRM_US1.xlsx]Single Period!R95C36</stp>
        <stp>CRM US Equity</stp>
        <stp>IS_COMP_EPS_GAAP</stp>
        <stp>FPR=2022Y</stp>
        <stp>FPT=A</stp>
        <stp>FA_ACT_EST_DATA=E, EST_SOURCE=MAC</stp>
        <stp>ACT_EST_MAPPING=PRECISE</stp>
        <stp>FS=MRC</stp>
        <stp>CURRENCY=USD</stp>
        <stp>XLFILL=b</stp>
        <tr r="AJ95" s="2"/>
      </tp>
      <tp t="s">
        <v/>
        <stp/>
        <stp>##V3_BQLV12</stp>
        <stp>[MODL_CRM_US1.xlsx]Single Period!R117C50</stp>
        <stp>CRM US Equity</stp>
        <stp>BS_TOTAL_NON_CURRENT_ASSETS/1M</stp>
        <stp>FPR=2022Y</stp>
        <stp>FPT=A</stp>
        <stp>FA_ACT_EST_DATA=E, EST_SOURCE=MZS</stp>
        <stp>ACT_EST_MAPPING=PRECISE</stp>
        <stp>FS=MRC</stp>
        <stp>CURRENCY=USD</stp>
        <stp>XLFILL=b</stp>
        <tr r="AX117" s="2"/>
      </tp>
      <tp t="s">
        <v/>
        <stp/>
        <stp>##V3_BQLV12</stp>
        <stp>[MODL_CRM_US1.xlsx]Single Period!R93C55</stp>
        <stp>CRM US Equity</stp>
        <stp>IS_AVG_NUM_SH_FOR_EPS/1M</stp>
        <stp>FPR=2022Y</stp>
        <stp>FPT=A</stp>
        <stp>FA_ACT_EST_DATA=E, EST_SOURCE=RED</stp>
        <stp>ACT_EST_MAPPING=PRECISE</stp>
        <stp>FS=MRC</stp>
        <stp>CURRENCY=USD</stp>
        <stp>XLFILL=b</stp>
        <tr r="BC93" s="2"/>
      </tp>
      <tp t="s">
        <v/>
        <stp/>
        <stp>##V3_BQLV12</stp>
        <stp>[MODL_CRM_US1.xlsx]Single Period!R85C33</stp>
        <stp>CRM US Equity</stp>
        <stp>CB_IS_S_AND_M_EXPENSE/1M</stp>
        <stp>FPR=2022Y</stp>
        <stp>FPT=A</stp>
        <stp>FA_ACT_EST_DATA=E, EST_SOURCE=RHR</stp>
        <stp>ACT_EST_MAPPING=PRECISE</stp>
        <stp>FS=MRC</stp>
        <stp>CURRENCY=USD</stp>
        <stp>XLFILL=b</stp>
        <tr r="AG85" s="2"/>
      </tp>
      <tp>
        <v>976</v>
        <stp/>
        <stp>##V3_BQLV12</stp>
        <stp>[MODL_CRM_US1.xlsx]Single Period!R94C21</stp>
        <stp>CRM US Equity</stp>
        <stp>IS_SH_FOR_DILUTED_EPS/1M</stp>
        <stp>FPR=2022Y</stp>
        <stp>FPT=A</stp>
        <stp>FA_ACT_EST_DATA=E, EST_SOURCE=RJA</stp>
        <stp>ACT_EST_MAPPING=PRECISE</stp>
        <stp>FS=MRC</stp>
        <stp>CURRENCY=USD</stp>
        <stp>XLFILL=b</stp>
        <tr r="U94" s="2"/>
      </tp>
      <tp>
        <v>955.25</v>
        <stp/>
        <stp>##V3_BQLV12</stp>
        <stp>[MODL_CRM_US1.xlsx]Single Period!R93C13</stp>
        <stp>CRM US Equity</stp>
        <stp>IS_AVG_NUM_SH_FOR_EPS/1M</stp>
        <stp>FPR=2022Y</stp>
        <stp>FPT=A</stp>
        <stp>FA_ACT_EST_DATA=E, EST_SOURCE=BCA</stp>
        <stp>ACT_EST_MAPPING=PRECISE</stp>
        <stp>FS=MRC</stp>
        <stp>CURRENCY=USD</stp>
        <stp>XLFILL=b</stp>
        <tr r="M93" s="2"/>
      </tp>
      <tp t="s">
        <v/>
        <stp/>
        <stp>##V3_BQLV12</stp>
        <stp>[MODL_CRM_US1.xlsx]Single Period!R14C26</stp>
        <stp>CRM US Equity</stp>
        <stp>NON_CURRENT_FUTURE_REV_UNDER_CONTRACT/1M</stp>
        <stp>FPR=2022Y</stp>
        <stp>FPT=A</stp>
        <stp>FA_ACT_EST_DATA=E, EST_SOURCE=KEY</stp>
        <stp>ACT_EST_MAPPING=PRECISE</stp>
        <stp>FS=MRC</stp>
        <stp>CURRENCY=USD</stp>
        <stp>XLFILL=b</stp>
        <tr r="Z14" s="2"/>
      </tp>
      <tp t="s">
        <v/>
        <stp/>
        <stp>##V3_BQLV12</stp>
        <stp>[MODL_CRM_US1.xlsx]Single Period!R63C28</stp>
        <stp>CRM US Equity</stp>
        <stp>CF_DEPR_AMORT/1M</stp>
        <stp>FPR=2022Y</stp>
        <stp>FPT=A</stp>
        <stp>FA_ACT_EST_DATA=E, EST_SOURCE=CWN</stp>
        <stp>ACT_EST_MAPPING=PRECISE</stp>
        <stp>FS=MRC</stp>
        <stp>CURRENCY=USD</stp>
        <stp>XLFILL=b</stp>
        <tr r="AB63" s="2"/>
      </tp>
      <tp t="s">
        <v/>
        <stp/>
        <stp>##V3_BQLV12</stp>
        <stp>[MODL_CRM_US1.xlsx]Single Period!R128C45</stp>
        <stp>CRM US Equity</stp>
        <stp>BS_CUR_LIAB/1M</stp>
        <stp>FPR=2022Y</stp>
        <stp>FPT=A</stp>
        <stp>FA_ACT_EST_DATA=E, EST_SOURCE=ARG</stp>
        <stp>ACT_EST_MAPPING=PRECISE</stp>
        <stp>FS=MRC</stp>
        <stp>CURRENCY=USD</stp>
        <stp>XLFILL=b</stp>
        <tr r="AS128" s="2"/>
      </tp>
      <tp t="s">
        <v/>
        <stp/>
        <stp>##V3_BQLV12</stp>
        <stp>[MODL_CRM_US1.xlsx]Single Period!R128C54</stp>
        <stp>CRM US Equity</stp>
        <stp>BS_CUR_LIAB/1M</stp>
        <stp>FPR=2022Y</stp>
        <stp>FPT=A</stp>
        <stp>FA_ACT_EST_DATA=E, EST_SOURCE=ARE</stp>
        <stp>ACT_EST_MAPPING=PRECISE</stp>
        <stp>FS=MRC</stp>
        <stp>CURRENCY=USD</stp>
        <stp>XLFILL=b</stp>
        <tr r="BB128" s="2"/>
      </tp>
      <tp>
        <v>26400</v>
        <stp/>
        <stp>##V3_BQLV12</stp>
        <stp>[MODL_CRM_US1.xlsx]Single Period!R52C18</stp>
        <stp>CRM US Equity</stp>
        <stp>IS_COMP_SALES/1M</stp>
        <stp>FPR=2022Y</stp>
        <stp>FPT=A</stp>
        <stp>FA_ACT_EST_DATA=E, EST_SOURCE=CAN</stp>
        <stp>ACT_EST_MAPPING=PRECISE</stp>
        <stp>FS=MRC</stp>
        <stp>CURRENCY=USD</stp>
        <stp>XLFILL=b</stp>
        <tr r="R52" s="2"/>
      </tp>
      <tp t="s">
        <v/>
        <stp/>
        <stp>##V3_BQLV12</stp>
        <stp>[MODL_CRM_US1.xlsx]Single Period!R98C14</stp>
        <stp>CRM US Equity</stp>
        <stp>IS_INC_TAX_EFFECT_NONGAAP_REC/1M</stp>
        <stp>FPR=2022Y</stp>
        <stp>FPT=A</stp>
        <stp>FA_ACT_EST_DATA=E, EST_SOURCE=SNR</stp>
        <stp>ACT_EST_MAPPING=PRECISE</stp>
        <stp>FS=MRC</stp>
        <stp>CURRENCY=USD</stp>
        <stp>XLFILL=b</stp>
        <tr r="N98" s="2"/>
      </tp>
      <tp t="s">
        <v/>
        <stp/>
        <stp>##V3_BQLV12</stp>
        <stp>[MODL_CRM_US1.xlsx]Single Period!R185C54</stp>
        <stp>CRM US Equity</stp>
        <stp>CF_EFFECT_FOREIGN_EXCHANGES/1M</stp>
        <stp>FPR=2022Y</stp>
        <stp>FPT=A</stp>
        <stp>FA_ACT_EST_DATA=E, EST_SOURCE=ARE</stp>
        <stp>ACT_EST_MAPPING=PRECISE</stp>
        <stp>FS=MRC</stp>
        <stp>CURRENCY=USD</stp>
        <stp>XLFILL=b</stp>
        <tr r="BB185" s="2"/>
      </tp>
      <tp t="s">
        <v/>
        <stp/>
        <stp>##V3_BQLV12</stp>
        <stp>[MODL_CRM_US1.xlsx]Single Period!R102C23</stp>
        <stp>CRM US Equity</stp>
        <stp>IS_SBC_ATT_TO_S_AND_M_PRETX/1M</stp>
        <stp>FPR=2022Y</stp>
        <stp>FPT=A</stp>
        <stp>FA_ACT_EST_DATA=E, EST_SOURCE=JPM</stp>
        <stp>ACT_EST_MAPPING=PRECISE</stp>
        <stp>FS=MRC</stp>
        <stp>CURRENCY=USD</stp>
        <stp>XLFILL=b</stp>
        <tr r="W102" s="2"/>
      </tp>
      <tp t="s">
        <v/>
        <stp/>
        <stp>##V3_BQLV12</stp>
        <stp>[MODL_CRM_US1.xlsx]Single Period!R185C45</stp>
        <stp>CRM US Equity</stp>
        <stp>CF_EFFECT_FOREIGN_EXCHANGES/1M</stp>
        <stp>FPR=2022Y</stp>
        <stp>FPT=A</stp>
        <stp>FA_ACT_EST_DATA=E, EST_SOURCE=ARG</stp>
        <stp>ACT_EST_MAPPING=PRECISE</stp>
        <stp>FS=MRC</stp>
        <stp>CURRENCY=USD</stp>
        <stp>XLFILL=b</stp>
        <tr r="AS185" s="2"/>
      </tp>
      <tp t="s">
        <v/>
        <stp/>
        <stp>##V3_BQLV12</stp>
        <stp>[MODL_CRM_US1.xlsx]Single Period!R137C12</stp>
        <stp>CRM US Equity</stp>
        <stp>BS_EQTY_BEFORE_MINORITY_INT/1M</stp>
        <stp>FPR=2022Y</stp>
        <stp>FPT=A</stp>
        <stp>FA_ACT_EST_DATA=E, EST_SOURCE=BMO</stp>
        <stp>ACT_EST_MAPPING=PRECISE</stp>
        <stp>FS=MRC</stp>
        <stp>CURRENCY=USD</stp>
        <stp>XLFILL=b</stp>
        <tr r="L137" s="2"/>
      </tp>
      <tp t="s">
        <v/>
        <stp/>
        <stp>##V3_BQLV12</stp>
        <stp>[MODL_CRM_US1.xlsx]Single Period!R12C28</stp>
        <stp>CRM US Equity</stp>
        <stp>TOT_FUTURE_REV_UNDER_CONTRACT/1M</stp>
        <stp>FPR=2022Y</stp>
        <stp>FPT=A</stp>
        <stp>FA_ACT_EST_DATA=E, EST_SOURCE=CWN</stp>
        <stp>ACT_EST_MAPPING=PRECISE</stp>
        <stp>FS=MRC</stp>
        <stp>CURRENCY=USD</stp>
        <stp>XLFILL=b</stp>
        <tr r="AB12" s="2"/>
      </tp>
      <tp t="s">
        <v/>
        <stp/>
        <stp>##V3_BQLV12</stp>
        <stp>[MODL_CRM_US1.xlsx]Single Period!R14C11</stp>
        <stp>CRM US Equity</stp>
        <stp>NON_CURRENT_FUTURE_REV_UNDER_CONTRACT/1M</stp>
        <stp>FPR=2022Y</stp>
        <stp>FPT=A</stp>
        <stp>FA_ACT_EST_DATA=E, EST_SOURCE=WBL</stp>
        <stp>ACT_EST_MAPPING=PRECISE</stp>
        <stp>FS=MRC</stp>
        <stp>CURRENCY=USD</stp>
        <stp>XLFILL=b</stp>
        <tr r="K14" s="2"/>
      </tp>
      <tp t="s">
        <v/>
        <stp/>
        <stp>##V3_BQLV12</stp>
        <stp>[MODL_CRM_US1.xlsx]Single Period!R94C33</stp>
        <stp>CRM US Equity</stp>
        <stp>IS_SH_FOR_DILUTED_EPS/1M</stp>
        <stp>FPR=2022Y</stp>
        <stp>FPT=A</stp>
        <stp>FA_ACT_EST_DATA=E, EST_SOURCE=RHR</stp>
        <stp>ACT_EST_MAPPING=PRECISE</stp>
        <stp>FS=MRC</stp>
        <stp>CURRENCY=USD</stp>
        <stp>XLFILL=b</stp>
        <tr r="AG94" s="2"/>
      </tp>
      <tp t="s">
        <v/>
        <stp/>
        <stp>##V3_BQLV12</stp>
        <stp>[MODL_CRM_US1.xlsx]Single Period!R150C10</stp>
        <stp>CRM US Equity</stp>
        <stp>CURRENT_FUTURE_REV_UNDER_CONTRACT/1M</stp>
        <stp>FPR=2022Y</stp>
        <stp>FPT=A</stp>
        <stp>FA_ACT_EST_DATA=E, EST_SOURCE=CMPY</stp>
        <stp>ACT_EST_MAPPING=PRECISE</stp>
        <stp>FS=MRC</stp>
        <stp>CURRENCY=USD</stp>
        <stp>XLFILL=b</stp>
        <tr r="J150" s="2"/>
      </tp>
      <tp t="s">
        <v/>
        <stp/>
        <stp>##V3_BQLV12</stp>
        <stp>[MODL_CRM_US1.xlsx]Single Period!R137C25</stp>
        <stp>CRM US Equity</stp>
        <stp>BS_EQTY_BEFORE_MINORITY_INT/1M</stp>
        <stp>FPR=2022Y</stp>
        <stp>FPT=A</stp>
        <stp>FA_ACT_EST_DATA=E, EST_SOURCE=WMS</stp>
        <stp>ACT_EST_MAPPING=PRECISE</stp>
        <stp>FS=MRC</stp>
        <stp>CURRENCY=USD</stp>
        <stp>XLFILL=b</stp>
        <tr r="Y137" s="2"/>
      </tp>
      <tp t="s">
        <v/>
        <stp/>
        <stp>##V3_BQLV12</stp>
        <stp>[MODL_CRM_US1.xlsx]Single Period!R85C21</stp>
        <stp>CRM US Equity</stp>
        <stp>CB_IS_S_AND_M_EXPENSE/1M</stp>
        <stp>FPR=2022Y</stp>
        <stp>FPT=A</stp>
        <stp>FA_ACT_EST_DATA=E, EST_SOURCE=RJA</stp>
        <stp>ACT_EST_MAPPING=PRECISE</stp>
        <stp>FS=MRC</stp>
        <stp>CURRENCY=USD</stp>
        <stp>XLFILL=b</stp>
        <tr r="U85" s="2"/>
      </tp>
      <tp>
        <v>24338.92715</v>
        <stp/>
        <stp>##V3_BQLV12</stp>
        <stp>[MODL_CRM_US1.xlsx]Single Period!R110C17</stp>
        <stp>CRM US Equity</stp>
        <stp>BS_CUR_ASSET_REPORT/1M</stp>
        <stp>FPR=2022Y</stp>
        <stp>FPT=A</stp>
        <stp>FA_ACT_EST_DATA=E, EST_SOURCE=NDH</stp>
        <stp>ACT_EST_MAPPING=PRECISE</stp>
        <stp>FS=MRC</stp>
        <stp>CURRENCY=USD</stp>
        <stp>XLFILL=b</stp>
        <tr r="Q110" s="2"/>
      </tp>
      <tp t="s">
        <v/>
        <stp/>
        <stp>##V3_BQLV12</stp>
        <stp>[MODL_CRM_US1.xlsx]Single Period!R137C20</stp>
        <stp>CRM US Equity</stp>
        <stp>BS_EQTY_BEFORE_MINORITY_INT/1M</stp>
        <stp>FPR=2022Y</stp>
        <stp>FPT=A</stp>
        <stp>FA_ACT_EST_DATA=E, EST_SOURCE=JMP</stp>
        <stp>ACT_EST_MAPPING=PRECISE</stp>
        <stp>FS=MRC</stp>
        <stp>CURRENCY=USD</stp>
        <stp>XLFILL=b</stp>
        <tr r="T137" s="2"/>
      </tp>
      <tp t="s">
        <v/>
        <stp/>
        <stp>##V3_BQLV12</stp>
        <stp>[MODL_CRM_US1.xlsx]Single Period!R14C17</stp>
        <stp>CRM US Equity</stp>
        <stp>NON_CURRENT_FUTURE_REV_UNDER_CONTRACT/1M</stp>
        <stp>FPR=2022Y</stp>
        <stp>FPT=A</stp>
        <stp>FA_ACT_EST_DATA=E, EST_SOURCE=NDH</stp>
        <stp>ACT_EST_MAPPING=PRECISE</stp>
        <stp>FS=MRC</stp>
        <stp>CURRENCY=USD</stp>
        <stp>XLFILL=b</stp>
        <tr r="Q14" s="2"/>
      </tp>
      <tp t="s">
        <v/>
        <stp/>
        <stp>##V3_BQLV12</stp>
        <stp>[MODL_CRM_US1.xlsx]Single Period!R122C49</stp>
        <stp>CRM US Equity</stp>
        <stp>BS_GOODWILL/1M</stp>
        <stp>FPR=2022Y</stp>
        <stp>FPT=A</stp>
        <stp>FA_ACT_EST_DATA=E, EST_SOURCE=SGE</stp>
        <stp>ACT_EST_MAPPING=PRECISE</stp>
        <stp>FS=MRC</stp>
        <stp>CURRENCY=USD</stp>
        <stp>XLFILL=b</stp>
        <tr r="AW122" s="2"/>
      </tp>
      <tp t="s">
        <v/>
        <stp/>
        <stp>##V3_BQLV12</stp>
        <stp>[MODL_CRM_US1.xlsx]Single Period!R98C53</stp>
        <stp>CRM US Equity</stp>
        <stp>IS_INC_TAX_EFFECT_NONGAAP_REC/1M</stp>
        <stp>FPR=2022Y</stp>
        <stp>FPT=A</stp>
        <stp>FA_ACT_EST_DATA=E, EST_SOURCE=NIK</stp>
        <stp>ACT_EST_MAPPING=PRECISE</stp>
        <stp>FS=MRC</stp>
        <stp>CURRENCY=USD</stp>
        <stp>XLFILL=b</stp>
        <tr r="BA98" s="2"/>
      </tp>
      <tp t="s">
        <v/>
        <stp/>
        <stp>##V3_BQLV12</stp>
        <stp>[MODL_CRM_US1.xlsx]Single Period!R93C32</stp>
        <stp>CRM US Equity</stp>
        <stp>IS_AVG_NUM_SH_FOR_EPS/1M</stp>
        <stp>FPR=2022Y</stp>
        <stp>FPT=A</stp>
        <stp>FA_ACT_EST_DATA=E, EST_SOURCE=UBS</stp>
        <stp>ACT_EST_MAPPING=PRECISE</stp>
        <stp>FS=MRC</stp>
        <stp>CURRENCY=USD</stp>
        <stp>XLFILL=b</stp>
        <tr r="AF93" s="2"/>
      </tp>
      <tp t="s">
        <v/>
        <stp/>
        <stp>##V3_BQLV12</stp>
        <stp>[MODL_CRM_US1.xlsx]Single Period!R102C22</stp>
        <stp>CRM US Equity</stp>
        <stp>IS_SBC_ATT_TO_S_AND_M_PRETX/1M</stp>
        <stp>FPR=2022Y</stp>
        <stp>FPT=A</stp>
        <stp>FA_ACT_EST_DATA=E, EST_SOURCE=OPY</stp>
        <stp>ACT_EST_MAPPING=PRECISE</stp>
        <stp>FS=MRC</stp>
        <stp>CURRENCY=USD</stp>
        <stp>XLFILL=b</stp>
        <tr r="V102" s="2"/>
      </tp>
      <tp t="s">
        <v/>
        <stp/>
        <stp>##V3_BQLV12</stp>
        <stp>[MODL_CRM_US1.xlsx]Single Period!R146C33</stp>
        <stp>CRM US Equity</stp>
        <stp>CUR_RATIO</stp>
        <stp>FPR=2022Y</stp>
        <stp>FPT=A</stp>
        <stp>FA_ACT_EST_DATA=E, EST_SOURCE=RHR</stp>
        <stp>ACT_EST_MAPPING=PRECISE</stp>
        <stp>FS=MRC</stp>
        <stp>CURRENCY=USD</stp>
        <stp>XLFILL=b</stp>
        <tr r="AG146" s="2"/>
      </tp>
      <tp t="s">
        <v/>
        <stp/>
        <stp>##V3_BQLV12</stp>
        <stp>[MODL_CRM_US1.xlsx]Single Period!R98C19</stp>
        <stp>CRM US Equity</stp>
        <stp>IS_INC_TAX_EFFECT_NONGAAP_REC/1M</stp>
        <stp>FPR=2022Y</stp>
        <stp>FPT=A</stp>
        <stp>FA_ACT_EST_DATA=E, EST_SOURCE=SCB</stp>
        <stp>ACT_EST_MAPPING=PRECISE</stp>
        <stp>FS=MRC</stp>
        <stp>CURRENCY=USD</stp>
        <stp>XLFILL=b</stp>
        <tr r="S98" s="2"/>
      </tp>
      <tp t="s">
        <v/>
        <stp/>
        <stp>##V3_BQLV12</stp>
        <stp>[MODL_CRM_US1.xlsx]Single Period!R14C40</stp>
        <stp>CRM US Equity</stp>
        <stp>NON_CURRENT_FUTURE_REV_UNDER_CONTRACT/1M</stp>
        <stp>FPR=2022Y</stp>
        <stp>FPT=A</stp>
        <stp>FA_ACT_EST_DATA=E, EST_SOURCE=ACC</stp>
        <stp>ACT_EST_MAPPING=PRECISE</stp>
        <stp>FS=MRC</stp>
        <stp>CURRENCY=USD</stp>
        <stp>XLFILL=b</stp>
        <tr r="AN14" s="2"/>
      </tp>
      <tp t="s">
        <v/>
        <stp/>
        <stp>##V3_BQLV12</stp>
        <stp>[MODL_CRM_US1.xlsx]Single Period!R14C31</stp>
        <stp>CRM US Equity</stp>
        <stp>NON_CURRENT_FUTURE_REV_UNDER_CONTRACT/1M</stp>
        <stp>FPR=2022Y</stp>
        <stp>FPT=A</stp>
        <stp>FA_ACT_EST_DATA=E, EST_SOURCE=RBC</stp>
        <stp>ACT_EST_MAPPING=PRECISE</stp>
        <stp>FS=MRC</stp>
        <stp>CURRENCY=USD</stp>
        <stp>XLFILL=b</stp>
        <tr r="AE14" s="2"/>
      </tp>
      <tp t="s">
        <v/>
        <stp/>
        <stp>##V3_BQLV12</stp>
        <stp>[MODL_CRM_US1.xlsx]Single Period!R122C39</stp>
        <stp>CRM US Equity</stp>
        <stp>BS_GOODWILL/1M</stp>
        <stp>FPR=2022Y</stp>
        <stp>FPT=A</stp>
        <stp>FA_ACT_EST_DATA=E, EST_SOURCE=KGI</stp>
        <stp>ACT_EST_MAPPING=PRECISE</stp>
        <stp>FS=MRC</stp>
        <stp>CURRENCY=USD</stp>
        <stp>XLFILL=b</stp>
        <tr r="AM122" s="2"/>
      </tp>
      <tp t="s">
        <v/>
        <stp/>
        <stp>##V3_BQLV12</stp>
        <stp>[MODL_CRM_US1.xlsx]Single Period!R38C50</stp>
        <stp>SEG0000269228 Segment</stp>
        <stp>SALES_REV_TURN/1M</stp>
        <stp>FPR=2022Y</stp>
        <stp>FPT=A</stp>
        <stp>FA_ACT_EST_DATA=E, EST_SOURCE=MZS</stp>
        <stp>ACT_EST_MAPPING=PRECISE</stp>
        <stp>FS=MRC</stp>
        <stp>CURRENCY=USD</stp>
        <stp>XLFILL=b</stp>
        <tr r="AX38" s="2"/>
      </tp>
      <tp>
        <v>3299</v>
        <stp/>
        <stp>##V3_BQLV12</stp>
        <stp>[MODL_CRM_US1.xlsx]Single Period!R64C44</stp>
        <stp>CRM US Equity</stp>
        <stp>IS_COMPARABLE_EBITDA/1M</stp>
        <stp>FPR=2022Y</stp>
        <stp>FPT=A</stp>
        <stp>FA_ACT_EST_DATA=E, EST_SOURCE=RWB</stp>
        <stp>ACT_EST_MAPPING=PRECISE</stp>
        <stp>FS=MRC</stp>
        <stp>CURRENCY=USD</stp>
        <stp>XLFILL=b</stp>
        <tr r="AR64" s="2"/>
      </tp>
      <tp t="s">
        <v/>
        <stp/>
        <stp>##V3_BQLV12</stp>
        <stp>[MODL_CRM_US1.xlsx]Single Period!R101C40</stp>
        <stp>CRM US Equity</stp>
        <stp>IS_SBC_ATTRIBUTABLE_TO_R_AND_D_PRETX/1M</stp>
        <stp>FPR=2022Y</stp>
        <stp>FPT=A</stp>
        <stp>FA_ACT_EST_DATA=E, EST_SOURCE=ACC</stp>
        <stp>ACT_EST_MAPPING=PRECISE</stp>
        <stp>FS=MRC</stp>
        <stp>CURRENCY=USD</stp>
        <stp>XLFILL=b</stp>
        <tr r="AN101" s="2"/>
      </tp>
      <tp t="s">
        <v/>
        <stp/>
        <stp>##V3_BQLV12</stp>
        <stp>[MODL_CRM_US1.xlsx]Single Period!R10C38</stp>
        <stp>SEG0000269238 Segment</stp>
        <stp>SALES_REV_TURN/1M</stp>
        <stp>FPR=2022Y</stp>
        <stp>FPT=A</stp>
        <stp>FA_ACT_EST_DATA=E, EST_SOURCE=MSR</stp>
        <stp>ACT_EST_MAPPING=PRECISE</stp>
        <stp>FS=MRC</stp>
        <stp>CURRENCY=USD</stp>
        <stp>XLFILL=b</stp>
        <tr r="AL10" s="2"/>
      </tp>
      <tp t="s">
        <v/>
        <stp/>
        <stp>##V3_BQLV12</stp>
        <stp>[MODL_CRM_US1.xlsx]Single Period!R48C50</stp>
        <stp>SEG0000269229 Segment</stp>
        <stp>SALES_REV_TURN/1M</stp>
        <stp>FPR=2022Y</stp>
        <stp>FPT=A</stp>
        <stp>FA_ACT_EST_DATA=E, EST_SOURCE=MZS</stp>
        <stp>ACT_EST_MAPPING=PRECISE</stp>
        <stp>FS=MRC</stp>
        <stp>CURRENCY=USD</stp>
        <stp>XLFILL=b</stp>
        <tr r="AX48" s="2"/>
      </tp>
      <tp t="s">
        <v/>
        <stp/>
        <stp>##V3_BQLV12</stp>
        <stp>[MODL_CRM_US1.xlsx]Single Period!R10C41</stp>
        <stp>SEG0000269238 Segment</stp>
        <stp>SALES_REV_TURN/1M</stp>
        <stp>FPR=2022Y</stp>
        <stp>FPT=A</stp>
        <stp>FA_ACT_EST_DATA=E, EST_SOURCE=GSR</stp>
        <stp>ACT_EST_MAPPING=PRECISE</stp>
        <stp>FS=MRC</stp>
        <stp>CURRENCY=USD</stp>
        <stp>XLFILL=b</stp>
        <tr r="AO10" s="2"/>
      </tp>
      <tp>
        <v>2025.0556980819472</v>
        <stp/>
        <stp>##V3_BQLV12</stp>
        <stp>[MODL_CRM_US1.xlsx]Single Period!R119C16</stp>
        <stp>CRM US Equity</stp>
        <stp>CB_BS_OTHER_NONCURRENT_ASSETS/1M</stp>
        <stp>FPR=2022Y</stp>
        <stp>FPT=A</stp>
        <stp>FA_ACT_EST_DATA=E, EST_SOURCE=DBG</stp>
        <stp>ACT_EST_MAPPING=PRECISE</stp>
        <stp>FS=MRC</stp>
        <stp>CURRENCY=USD</stp>
        <stp>XLFILL=b</stp>
        <tr r="P119" s="2"/>
      </tp>
      <tp>
        <v>24649.947</v>
        <stp/>
        <stp>##V3_BQLV12</stp>
        <stp>[MODL_CRM_US1.xlsx]Single Period!R10C15</stp>
        <stp>SEG0000269238 Segment</stp>
        <stp>SALES_REV_TURN/1M</stp>
        <stp>FPR=2022Y</stp>
        <stp>FPT=A</stp>
        <stp>FA_ACT_EST_DATA=E, EST_SOURCE=MSV</stp>
        <stp>ACT_EST_MAPPING=PRECISE</stp>
        <stp>FS=MRC</stp>
        <stp>CURRENCY=USD</stp>
        <stp>XLFILL=b</stp>
        <tr r="O10" s="2"/>
      </tp>
      <tp t="s">
        <v/>
        <stp/>
        <stp>##V3_BQLV12</stp>
        <stp>[MODL_CRM_US1.xlsx]Single Period!R32C22</stp>
        <stp>SEG0000269227 Segment</stp>
        <stp>SALES_REV_TURN/1M</stp>
        <stp>FPR=2022Y</stp>
        <stp>FPT=A</stp>
        <stp>FA_ACT_EST_DATA=E, EST_SOURCE=OPY</stp>
        <stp>ACT_EST_MAPPING=PRECISE</stp>
        <stp>FS=MRC</stp>
        <stp>CURRENCY=USD</stp>
        <stp>XLFILL=b</stp>
        <tr r="V32" s="2"/>
      </tp>
      <tp t="s">
        <v/>
        <stp/>
        <stp>##V3_BQLV12</stp>
        <stp>[MODL_CRM_US1.xlsx]Single Period!R123C20</stp>
        <stp>CRM US Equity</stp>
        <stp>TOT_OPER_LEA_RT_OF_USE_ASSETS/1M</stp>
        <stp>FPR=2022Y</stp>
        <stp>FPT=A</stp>
        <stp>FA_ACT_EST_DATA=E, EST_SOURCE=JMP</stp>
        <stp>ACT_EST_MAPPING=PRECISE</stp>
        <stp>FS=MRC</stp>
        <stp>CURRENCY=USD</stp>
        <stp>XLFILL=b</stp>
        <tr r="T123" s="2"/>
      </tp>
      <tp t="s">
        <v/>
        <stp/>
        <stp>##V3_BQLV12</stp>
        <stp>[MODL_CRM_US1.xlsx]Single Period!R29C50</stp>
        <stp>SEG0000269233 Segment</stp>
        <stp>SALES_REV_TURN/1M</stp>
        <stp>FPR=2022Y</stp>
        <stp>FPT=A</stp>
        <stp>FA_ACT_EST_DATA=E, EST_SOURCE=MZS</stp>
        <stp>ACT_EST_MAPPING=PRECISE</stp>
        <stp>FS=MRC</stp>
        <stp>CURRENCY=USD</stp>
        <stp>XLFILL=b</stp>
        <tr r="AX29" s="2"/>
      </tp>
      <tp>
        <v>6195.6180909090908</v>
        <stp/>
        <stp>##V3_BQLV12</stp>
        <stp>[MODL_CRM_US1.xlsx]Single Period!R189C5</stp>
        <stp>CRM US Equity</stp>
        <stp>CF_CASH_AND_CASH_EQUIV_BEG_BAL/1M</stp>
        <stp>FPR=2022Y</stp>
        <stp>FPT=A</stp>
        <stp>FA_ACT_EST_DATA=E</stp>
        <stp>ACT_EST_MAPPING=PRECISE</stp>
        <stp>FS=MRC</stp>
        <stp>CURRENCY=USD</stp>
        <stp>XLFILL=b</stp>
        <tr r="E189" s="2"/>
      </tp>
      <tp>
        <v>4475.3999999999996</v>
        <stp/>
        <stp>##V3_BQLV12</stp>
        <stp>[MODL_CRM_US1.xlsx]Single Period!R83C20</stp>
        <stp>CRM US Equity</stp>
        <stp>IS_OPEX_R_AND_D_GAAP/1M</stp>
        <stp>FPR=2022Y</stp>
        <stp>FPT=A</stp>
        <stp>FA_ACT_EST_DATA=E, EST_SOURCE=JMP</stp>
        <stp>ACT_EST_MAPPING=PRECISE</stp>
        <stp>FS=MRC</stp>
        <stp>CURRENCY=USD</stp>
        <stp>XLFILL=b</stp>
        <tr r="T83" s="2"/>
      </tp>
      <tp t="s">
        <v/>
        <stp/>
        <stp>##V3_BQLV12</stp>
        <stp>[MODL_CRM_US1.xlsx]Single Period!R27C38</stp>
        <stp>SEG0000269241 Segment</stp>
        <stp>SALES_REV_TURN/1M</stp>
        <stp>FPR=2022Y</stp>
        <stp>FPT=A</stp>
        <stp>FA_ACT_EST_DATA=E, EST_SOURCE=MSR</stp>
        <stp>ACT_EST_MAPPING=PRECISE</stp>
        <stp>FS=MRC</stp>
        <stp>CURRENCY=USD</stp>
        <stp>XLFILL=b</stp>
        <tr r="AL27" s="2"/>
      </tp>
      <tp t="s">
        <v/>
        <stp/>
        <stp>##V3_BQLV12</stp>
        <stp>[MODL_CRM_US1.xlsx]Single Period!R27C41</stp>
        <stp>SEG0000269241 Segment</stp>
        <stp>SALES_REV_TURN/1M</stp>
        <stp>FPR=2022Y</stp>
        <stp>FPT=A</stp>
        <stp>FA_ACT_EST_DATA=E, EST_SOURCE=GSR</stp>
        <stp>ACT_EST_MAPPING=PRECISE</stp>
        <stp>FS=MRC</stp>
        <stp>CURRENCY=USD</stp>
        <stp>XLFILL=b</stp>
        <tr r="AO27" s="2"/>
      </tp>
      <tp t="s">
        <v/>
        <stp/>
        <stp>##V3_BQLV12</stp>
        <stp>[MODL_CRM_US1.xlsx]Single Period!R119C27</stp>
        <stp>CRM US Equity</stp>
        <stp>CB_BS_OTHER_NONCURRENT_ASSETS/1M</stp>
        <stp>FPR=2022Y</stp>
        <stp>FPT=A</stp>
        <stp>FA_ACT_EST_DATA=E, EST_SOURCE=LCM</stp>
        <stp>ACT_EST_MAPPING=PRECISE</stp>
        <stp>FS=MRC</stp>
        <stp>CURRENCY=USD</stp>
        <stp>XLFILL=b</stp>
        <tr r="AA119" s="2"/>
      </tp>
      <tp t="s">
        <v/>
        <stp/>
        <stp>##V3_BQLV12</stp>
        <stp>[MODL_CRM_US1.xlsx]Single Period!R83C14</stp>
        <stp>CRM US Equity</stp>
        <stp>IS_OPEX_R_AND_D_GAAP/1M</stp>
        <stp>FPR=2022Y</stp>
        <stp>FPT=A</stp>
        <stp>FA_ACT_EST_DATA=E, EST_SOURCE=SNR</stp>
        <stp>ACT_EST_MAPPING=PRECISE</stp>
        <stp>FS=MRC</stp>
        <stp>CURRENCY=USD</stp>
        <stp>XLFILL=b</stp>
        <tr r="N83" s="2"/>
      </tp>
      <tp>
        <v>951</v>
        <stp/>
        <stp>##V3_BQLV12</stp>
        <stp>[MODL_CRM_US1.xlsx]Single Period!R83C25</stp>
        <stp>CRM US Equity</stp>
        <stp>IS_OPEX_R_AND_D_GAAP/1M</stp>
        <stp>FPR=2022Y</stp>
        <stp>FPT=A</stp>
        <stp>FA_ACT_EST_DATA=E, EST_SOURCE=WMS</stp>
        <stp>ACT_EST_MAPPING=PRECISE</stp>
        <stp>FS=MRC</stp>
        <stp>CURRENCY=USD</stp>
        <stp>XLFILL=b</stp>
        <tr r="Y83" s="2"/>
      </tp>
      <tp>
        <v>6510.768</v>
        <stp/>
        <stp>##V3_BQLV12</stp>
        <stp>[MODL_CRM_US1.xlsx]Single Period!R27C15</stp>
        <stp>SEG0000269241 Segment</stp>
        <stp>SALES_REV_TURN/1M</stp>
        <stp>FPR=2022Y</stp>
        <stp>FPT=A</stp>
        <stp>FA_ACT_EST_DATA=E, EST_SOURCE=MSV</stp>
        <stp>ACT_EST_MAPPING=PRECISE</stp>
        <stp>FS=MRC</stp>
        <stp>CURRENCY=USD</stp>
        <stp>XLFILL=b</stp>
        <tr r="O27" s="2"/>
      </tp>
      <tp t="s">
        <v/>
        <stp/>
        <stp>##V3_BQLV12</stp>
        <stp>[MODL_CRM_US1.xlsx]Single Period!R64C43</stp>
        <stp>CRM US Equity</stp>
        <stp>IS_COMPARABLE_EBITDA/1M</stp>
        <stp>FPR=2022Y</stp>
        <stp>FPT=A</stp>
        <stp>FA_ACT_EST_DATA=E, EST_SOURCE=DWI</stp>
        <stp>ACT_EST_MAPPING=PRECISE</stp>
        <stp>FS=MRC</stp>
        <stp>CURRENCY=USD</stp>
        <stp>XLFILL=b</stp>
        <tr r="AQ64" s="2"/>
      </tp>
      <tp t="s">
        <v/>
        <stp/>
        <stp>##V3_BQLV12</stp>
        <stp>[MODL_CRM_US1.xlsx]Single Period!R43C43</stp>
        <stp>SEG0000269240 Segment</stp>
        <stp>SALES_REV_TURN/1M</stp>
        <stp>FPR=2022Y</stp>
        <stp>FPT=A</stp>
        <stp>FA_ACT_EST_DATA=E, EST_SOURCE=DWI</stp>
        <stp>ACT_EST_MAPPING=PRECISE</stp>
        <stp>FS=MRC</stp>
        <stp>CURRENCY=USD</stp>
        <stp>XLFILL=b</stp>
        <tr r="AQ43" s="2"/>
      </tp>
      <tp t="s">
        <v/>
        <stp/>
        <stp>##V3_BQLV12</stp>
        <stp>[MODL_CRM_US1.xlsx]Single Period!R119C52</stp>
        <stp>CRM US Equity</stp>
        <stp>CB_BS_OTHER_NONCURRENT_ASSETS/1M</stp>
        <stp>FPR=2022Y</stp>
        <stp>FPT=A</stp>
        <stp>FA_ACT_EST_DATA=E, EST_SOURCE=WFR</stp>
        <stp>ACT_EST_MAPPING=PRECISE</stp>
        <stp>FS=MRC</stp>
        <stp>CURRENCY=USD</stp>
        <stp>XLFILL=b</stp>
        <tr r="AZ119" s="2"/>
      </tp>
      <tp>
        <v>1831.45</v>
        <stp/>
        <stp>##V3_BQLV12</stp>
        <stp>[MODL_CRM_US1.xlsx]Single Period!R32C23</stp>
        <stp>SEG0000269227 Segment</stp>
        <stp>SALES_REV_TURN/1M</stp>
        <stp>FPR=2022Y</stp>
        <stp>FPT=A</stp>
        <stp>FA_ACT_EST_DATA=E, EST_SOURCE=JPM</stp>
        <stp>ACT_EST_MAPPING=PRECISE</stp>
        <stp>FS=MRC</stp>
        <stp>CURRENCY=USD</stp>
        <stp>XLFILL=b</stp>
        <tr r="W32" s="2"/>
      </tp>
      <tp t="s">
        <v/>
        <stp/>
        <stp>##V3_BQLV12</stp>
        <stp>[MODL_CRM_US1.xlsx]Single Period!R24C44</stp>
        <stp>SEG0000269238 Segment</stp>
        <stp>SALES_REV_TURN/1M</stp>
        <stp>FPR=2022Y</stp>
        <stp>FPT=A</stp>
        <stp>FA_ACT_EST_DATA=E, EST_SOURCE=RWB</stp>
        <stp>ACT_EST_MAPPING=PRECISE</stp>
        <stp>FS=MRC</stp>
        <stp>CURRENCY=USD</stp>
        <stp>XLFILL=b</stp>
        <tr r="AR24" s="2"/>
      </tp>
      <tp t="s">
        <v/>
        <stp/>
        <stp>##V3_BQLV12</stp>
        <stp>[MODL_CRM_US1.xlsx]Single Period!R10C42</stp>
        <stp>SEG0000269238 Segment</stp>
        <stp>SALES_REV_TURN/1M</stp>
        <stp>FPR=2022Y</stp>
        <stp>FPT=A</stp>
        <stp>FA_ACT_EST_DATA=E, EST_SOURCE=PSG</stp>
        <stp>ACT_EST_MAPPING=PRECISE</stp>
        <stp>FS=MRC</stp>
        <stp>CURRENCY=USD</stp>
        <stp>XLFILL=b</stp>
        <tr r="AP10" s="2"/>
      </tp>
      <tp t="s">
        <v/>
        <stp/>
        <stp>##V3_BQLV12</stp>
        <stp>[MODL_CRM_US1.xlsx]Single Period!R43C28</stp>
        <stp>SEG0000269240 Segment</stp>
        <stp>SALES_REV_TURN/1M</stp>
        <stp>FPR=2022Y</stp>
        <stp>FPT=A</stp>
        <stp>FA_ACT_EST_DATA=E, EST_SOURCE=CWN</stp>
        <stp>ACT_EST_MAPPING=PRECISE</stp>
        <stp>FS=MRC</stp>
        <stp>CURRENCY=USD</stp>
        <stp>XLFILL=b</stp>
        <tr r="AB43" s="2"/>
      </tp>
      <tp t="s">
        <v/>
        <stp/>
        <stp>##V3_BQLV12</stp>
        <stp>[MODL_CRM_US1.xlsx]Single Period!R24C43</stp>
        <stp>SEG0000269238 Segment</stp>
        <stp>SALES_REV_TURN/1M</stp>
        <stp>FPR=2022Y</stp>
        <stp>FPT=A</stp>
        <stp>FA_ACT_EST_DATA=E, EST_SOURCE=DWI</stp>
        <stp>ACT_EST_MAPPING=PRECISE</stp>
        <stp>FS=MRC</stp>
        <stp>CURRENCY=USD</stp>
        <stp>XLFILL=b</stp>
        <tr r="AQ24" s="2"/>
      </tp>
      <tp t="s">
        <v/>
        <stp/>
        <stp>##V3_BQLV12</stp>
        <stp>[MODL_CRM_US1.xlsx]Single Period!R26C45</stp>
        <stp>SEG0000269247 Segment</stp>
        <stp>SALES_REV_TURN/1M</stp>
        <stp>FPR=2022Y</stp>
        <stp>FPT=A</stp>
        <stp>FA_ACT_EST_DATA=E, EST_SOURCE=ARG</stp>
        <stp>ACT_EST_MAPPING=PRECISE</stp>
        <stp>FS=MRC</stp>
        <stp>CURRENCY=USD</stp>
        <stp>XLFILL=b</stp>
        <tr r="AS26" s="2"/>
      </tp>
      <tp t="s">
        <v/>
        <stp/>
        <stp>##V3_BQLV12</stp>
        <stp>[MODL_CRM_US1.xlsx]Single Period!R26C54</stp>
        <stp>SEG0000269247 Segment</stp>
        <stp>SALES_REV_TURN/1M</stp>
        <stp>FPR=2022Y</stp>
        <stp>FPT=A</stp>
        <stp>FA_ACT_EST_DATA=E, EST_SOURCE=ARE</stp>
        <stp>ACT_EST_MAPPING=PRECISE</stp>
        <stp>FS=MRC</stp>
        <stp>CURRENCY=USD</stp>
        <stp>XLFILL=b</stp>
        <tr r="BB26" s="2"/>
      </tp>
      <tp t="s">
        <v/>
        <stp/>
        <stp>##V3_BQLV12</stp>
        <stp>[MODL_CRM_US1.xlsx]Single Period!R43C44</stp>
        <stp>SEG0000269240 Segment</stp>
        <stp>SALES_REV_TURN/1M</stp>
        <stp>FPR=2022Y</stp>
        <stp>FPT=A</stp>
        <stp>FA_ACT_EST_DATA=E, EST_SOURCE=RWB</stp>
        <stp>ACT_EST_MAPPING=PRECISE</stp>
        <stp>FS=MRC</stp>
        <stp>CURRENCY=USD</stp>
        <stp>XLFILL=b</stp>
        <tr r="AR43" s="2"/>
      </tp>
      <tp>
        <v>862.31724114242911</v>
        <stp/>
        <stp>##V3_BQLV12</stp>
        <stp>[MODL_CRM_US1.xlsx]Single Period!R101C26</stp>
        <stp>CRM US Equity</stp>
        <stp>IS_SBC_ATTRIBUTABLE_TO_R_AND_D_PRETX/1M</stp>
        <stp>FPR=2022Y</stp>
        <stp>FPT=A</stp>
        <stp>FA_ACT_EST_DATA=E, EST_SOURCE=KEY</stp>
        <stp>ACT_EST_MAPPING=PRECISE</stp>
        <stp>FS=MRC</stp>
        <stp>CURRENCY=USD</stp>
        <stp>XLFILL=b</stp>
        <tr r="Z101" s="2"/>
      </tp>
      <tp t="s">
        <v/>
        <stp/>
        <stp>##V3_BQLV12</stp>
        <stp>[MODL_CRM_US1.xlsx]Single Period!R24C28</stp>
        <stp>SEG0000269238 Segment</stp>
        <stp>SALES_REV_TURN/1M</stp>
        <stp>FPR=2022Y</stp>
        <stp>FPT=A</stp>
        <stp>FA_ACT_EST_DATA=E, EST_SOURCE=CWN</stp>
        <stp>ACT_EST_MAPPING=PRECISE</stp>
        <stp>FS=MRC</stp>
        <stp>CURRENCY=USD</stp>
        <stp>XLFILL=b</stp>
        <tr r="AB24" s="2"/>
      </tp>
      <tp t="s">
        <v/>
        <stp/>
        <stp>##V3_BQLV12</stp>
        <stp>[MODL_CRM_US1.xlsx]Single Period!R27C42</stp>
        <stp>SEG0000269241 Segment</stp>
        <stp>SALES_REV_TURN/1M</stp>
        <stp>FPR=2022Y</stp>
        <stp>FPT=A</stp>
        <stp>FA_ACT_EST_DATA=E, EST_SOURCE=PSG</stp>
        <stp>ACT_EST_MAPPING=PRECISE</stp>
        <stp>FS=MRC</stp>
        <stp>CURRENCY=USD</stp>
        <stp>XLFILL=b</stp>
        <tr r="AP27" s="2"/>
      </tp>
      <tp t="s">
        <v>SMBC Nikko</v>
        <stp/>
        <stp>##V3_BQLV12</stp>
        <stp>[MODL_CRM_US1.xlsx]Single Period!R3C53</stp>
        <stp>CRM US Equity</stp>
        <stp>LAST(IS_COMP_SALES(FA_ACT_EST_DATA=E, EST_SOURCE=NIK).firm_name)</stp>
        <stp>FPR=2022Y</stp>
        <stp>FPT=A</stp>
        <stp>ACT_EST_MAPPING=PRECISE</stp>
        <stp>FS=MRC</stp>
        <stp>CURRENCY=USD</stp>
        <stp>XLFILL=b</stp>
        <tr r="BA3" s="2"/>
      </tp>
      <tp t="s">
        <v/>
        <stp/>
        <stp>##V3_BQLV12</stp>
        <stp>[MODL_CRM_US1.xlsx]Single Period!R82C38</stp>
        <stp>CRM US Equity</stp>
        <stp>OPERATING_EXPENSES_TO_NET_SALES</stp>
        <stp>FPR=2022Y</stp>
        <stp>FPT=A</stp>
        <stp>FA_ACT_EST_DATA=E, EST_SOURCE=MSR</stp>
        <stp>ACT_EST_MAPPING=PRECISE</stp>
        <stp>FS=MRC</stp>
        <stp>CURRENCY=USD</stp>
        <stp>XLFILL=b</stp>
        <tr r="AL82" s="2"/>
      </tp>
      <tp t="s">
        <v/>
        <stp/>
        <stp>##V3_BQLV12</stp>
        <stp>[MODL_CRM_US1.xlsx]Single Period!R82C46</stp>
        <stp>CRM US Equity</stp>
        <stp>OPERATING_EXPENSES_TO_NET_SALES</stp>
        <stp>FPR=2022Y</stp>
        <stp>FPT=A</stp>
        <stp>FA_ACT_EST_DATA=E, EST_SOURCE=CTI</stp>
        <stp>ACT_EST_MAPPING=PRECISE</stp>
        <stp>FS=MRC</stp>
        <stp>CURRENCY=USD</stp>
        <stp>XLFILL=b</stp>
        <tr r="AT82" s="2"/>
      </tp>
      <tp t="s">
        <v/>
        <stp/>
        <stp>##V3_BQLV12</stp>
        <stp>[MODL_CRM_US1.xlsx]Single Period!R166C10</stp>
        <stp>CRM US Equity</stp>
        <stp>CF_CHANGE_IN_OPER_LEASE_LIBLTS/1M</stp>
        <stp>FPR=2022Y</stp>
        <stp>FPT=A</stp>
        <stp>FA_ACT_EST_DATA=E, EST_SOURCE=CMPY</stp>
        <stp>ACT_EST_MAPPING=PRECISE</stp>
        <stp>FS=MRC</stp>
        <stp>CURRENCY=USD</stp>
        <stp>XLFILL=b</stp>
        <tr r="J166" s="2"/>
      </tp>
      <tp t="s">
        <v>Daiwa Securities</v>
        <stp/>
        <stp>##V3_BQLV12</stp>
        <stp>[MODL_CRM_US1.xlsx]Single Period!R3C56</stp>
        <stp>CRM US Equity</stp>
        <stp>LAST(IS_COMP_SALES(FA_ACT_EST_DATA=E, EST_SOURCE=DIR).firm_name)</stp>
        <stp>FPR=2022Y</stp>
        <stp>FPT=A</stp>
        <stp>ACT_EST_MAPPING=PRECISE</stp>
        <stp>FS=MRC</stp>
        <stp>CURRENCY=USD</stp>
        <stp>XLFILL=b</stp>
        <tr r="BD3" s="2"/>
      </tp>
      <tp t="s">
        <v/>
        <stp/>
        <stp>##V3_BQLV12</stp>
        <stp>[MODL_CRM_US1.xlsx]Single Period!R105C42</stp>
        <stp>CRM US Equity</stp>
        <stp>IS_AMORT_ACQD_INTANGIBLES_COGS/1M</stp>
        <stp>FPR=2022Y</stp>
        <stp>FPT=A</stp>
        <stp>FA_ACT_EST_DATA=E, EST_SOURCE=PSG</stp>
        <stp>ACT_EST_MAPPING=PRECISE</stp>
        <stp>FS=MRC</stp>
        <stp>CURRENCY=USD</stp>
        <stp>XLFILL=b</stp>
        <tr r="AP105" s="2"/>
      </tp>
      <tp t="s">
        <v/>
        <stp/>
        <stp>##V3_BQLV12</stp>
        <stp>[MODL_CRM_US1.xlsx]Single Period!R165C46</stp>
        <stp>CRM US Equity</stp>
        <stp>CF_CHG_IN_DEFER_UNEARND_REV_ST/1M</stp>
        <stp>FPR=2022Y</stp>
        <stp>FPT=A</stp>
        <stp>FA_ACT_EST_DATA=E, EST_SOURCE=CTI</stp>
        <stp>ACT_EST_MAPPING=PRECISE</stp>
        <stp>FS=MRC</stp>
        <stp>CURRENCY=USD</stp>
        <stp>XLFILL=b</stp>
        <tr r="AT165" s="2"/>
      </tp>
      <tp t="s">
        <v/>
        <stp/>
        <stp>##V3_BQLV12</stp>
        <stp>[MODL_CRM_US1.xlsx]Single Period!R189C22</stp>
        <stp>CRM US Equity</stp>
        <stp>CF_CASH_AND_CASH_EQUIV_BEG_BAL/1M</stp>
        <stp>FPR=2022Y</stp>
        <stp>FPT=A</stp>
        <stp>FA_ACT_EST_DATA=E, EST_SOURCE=OPY</stp>
        <stp>ACT_EST_MAPPING=PRECISE</stp>
        <stp>FS=MRC</stp>
        <stp>CURRENCY=USD</stp>
        <stp>XLFILL=b</stp>
        <tr r="V189" s="2"/>
      </tp>
      <tp>
        <v>15118.43681415036</v>
        <stp/>
        <stp>##V3_BQLV12</stp>
        <stp>[MODL_CRM_US1.xlsx]Single Period!R112C25</stp>
        <stp>CRM US Equity</stp>
        <stp>BS_CASH_NEAR_CASH_ITEM/1M</stp>
        <stp>FPR=2022Y</stp>
        <stp>FPT=A</stp>
        <stp>FA_ACT_EST_DATA=E, EST_SOURCE=WMS</stp>
        <stp>ACT_EST_MAPPING=PRECISE</stp>
        <stp>FS=MRC</stp>
        <stp>CURRENCY=USD</stp>
        <stp>XLFILL=b</stp>
        <tr r="Y112" s="2"/>
      </tp>
      <tp t="s">
        <v/>
        <stp/>
        <stp>##V3_BQLV12</stp>
        <stp>[MODL_CRM_US1.xlsx]Single Period!R165C35</stp>
        <stp>CRM US Equity</stp>
        <stp>CF_CHG_IN_DEFER_UNEARND_REV_ST/1M</stp>
        <stp>FPR=2022Y</stp>
        <stp>FPT=A</stp>
        <stp>FA_ACT_EST_DATA=E, EST_SOURCE=ATL</stp>
        <stp>ACT_EST_MAPPING=PRECISE</stp>
        <stp>FS=MRC</stp>
        <stp>CURRENCY=USD</stp>
        <stp>XLFILL=b</stp>
        <tr r="AI165" s="2"/>
      </tp>
      <tp>
        <v>21000</v>
        <stp/>
        <stp>##V3_BQLV12</stp>
        <stp>[MODL_CRM_US1.xlsx]Single Period!R14C6</stp>
        <stp>CRM US Equity</stp>
        <stp>CONTRIBUTOR_STATS(NON_CURRENT_FUTURE_REV_UNDER_CONTRACT, MIN)/1M</stp>
        <stp>FPR=2022Y</stp>
        <stp>FPT=A</stp>
        <stp>FA_ACT_EST_DATA=E</stp>
        <stp>ACT_EST_MAPPING=PRECISE</stp>
        <stp>FS=MRC</stp>
        <stp>CURRENCY=USD</stp>
        <stp>XLFILL=b</stp>
        <tr r="F14" s="2"/>
      </tp>
      <tp t="s">
        <v/>
        <stp/>
        <stp>##V3_BQLV12</stp>
        <stp>[MODL_CRM_US1.xlsx]Single Period!R112C20</stp>
        <stp>CRM US Equity</stp>
        <stp>BS_CASH_NEAR_CASH_ITEM/1M</stp>
        <stp>FPR=2022Y</stp>
        <stp>FPT=A</stp>
        <stp>FA_ACT_EST_DATA=E, EST_SOURCE=JMP</stp>
        <stp>ACT_EST_MAPPING=PRECISE</stp>
        <stp>FS=MRC</stp>
        <stp>CURRENCY=USD</stp>
        <stp>XLFILL=b</stp>
        <tr r="T112" s="2"/>
      </tp>
      <tp>
        <v>919</v>
        <stp/>
        <stp>##V3_BQLV12</stp>
        <stp>[MODL_CRM_US1.xlsx]Single Period!R105C15</stp>
        <stp>CRM US Equity</stp>
        <stp>IS_AMORT_ACQD_INTANGIBLES_COGS/1M</stp>
        <stp>FPR=2022Y</stp>
        <stp>FPT=A</stp>
        <stp>FA_ACT_EST_DATA=E, EST_SOURCE=MSV</stp>
        <stp>ACT_EST_MAPPING=PRECISE</stp>
        <stp>FS=MRC</stp>
        <stp>CURRENCY=USD</stp>
        <stp>XLFILL=b</stp>
        <tr r="O105" s="2"/>
      </tp>
      <tp t="s">
        <v/>
        <stp/>
        <stp>##V3_BQLV12</stp>
        <stp>[MODL_CRM_US1.xlsx]Single Period!R112C12</stp>
        <stp>CRM US Equity</stp>
        <stp>BS_CASH_NEAR_CASH_ITEM/1M</stp>
        <stp>FPR=2022Y</stp>
        <stp>FPT=A</stp>
        <stp>FA_ACT_EST_DATA=E, EST_SOURCE=BMO</stp>
        <stp>ACT_EST_MAPPING=PRECISE</stp>
        <stp>FS=MRC</stp>
        <stp>CURRENCY=USD</stp>
        <stp>XLFILL=b</stp>
        <tr r="L112" s="2"/>
      </tp>
      <tp t="s">
        <v/>
        <stp/>
        <stp>##V3_BQLV12</stp>
        <stp>[MODL_CRM_US1.xlsx]Single Period!R105C41</stp>
        <stp>CRM US Equity</stp>
        <stp>IS_AMORT_ACQD_INTANGIBLES_COGS/1M</stp>
        <stp>FPR=2022Y</stp>
        <stp>FPT=A</stp>
        <stp>FA_ACT_EST_DATA=E, EST_SOURCE=GSR</stp>
        <stp>ACT_EST_MAPPING=PRECISE</stp>
        <stp>FS=MRC</stp>
        <stp>CURRENCY=USD</stp>
        <stp>XLFILL=b</stp>
        <tr r="AO105" s="2"/>
      </tp>
      <tp t="s">
        <v/>
        <stp/>
        <stp>##V3_BQLV12</stp>
        <stp>[MODL_CRM_US1.xlsx]Single Period!R105C38</stp>
        <stp>CRM US Equity</stp>
        <stp>IS_AMORT_ACQD_INTANGIBLES_COGS/1M</stp>
        <stp>FPR=2022Y</stp>
        <stp>FPT=A</stp>
        <stp>FA_ACT_EST_DATA=E, EST_SOURCE=MSR</stp>
        <stp>ACT_EST_MAPPING=PRECISE</stp>
        <stp>FS=MRC</stp>
        <stp>CURRENCY=USD</stp>
        <stp>XLFILL=b</stp>
        <tr r="AL105" s="2"/>
      </tp>
      <tp t="s">
        <v/>
        <stp/>
        <stp>##V3_BQLV12</stp>
        <stp>[MODL_CRM_US1.xlsx]Single Period!R188C39</stp>
        <stp>CRM US Equity</stp>
        <stp>BS_CASH_NEAR_CASH_ITEM/1M</stp>
        <stp>FPR=2022Y</stp>
        <stp>FPT=A</stp>
        <stp>FA_ACT_EST_DATA=E, EST_SOURCE=KGI</stp>
        <stp>ACT_EST_MAPPING=PRECISE</stp>
        <stp>FS=MRC</stp>
        <stp>CURRENCY=USD</stp>
        <stp>XLFILL=b</stp>
        <tr r="AM188" s="2"/>
      </tp>
      <tp>
        <v>4.42</v>
        <stp/>
        <stp>##V3_BQLV12</stp>
        <stp>[MODL_CRM_US1.xlsx]Single Period!R95C24</stp>
        <stp>CRM US Equity</stp>
        <stp>IS_COMP_EPS_GAAP</stp>
        <stp>FPR=2022Y</stp>
        <stp>FPT=A</stp>
        <stp>FA_ACT_EST_DATA=E, EST_SOURCE=FBC</stp>
        <stp>ACT_EST_MAPPING=PRECISE</stp>
        <stp>FS=MRC</stp>
        <stp>CURRENCY=USD</stp>
        <stp>XLFILL=b</stp>
        <tr r="X95" s="2"/>
      </tp>
      <tp t="s">
        <v/>
        <stp/>
        <stp>##V3_BQLV12</stp>
        <stp>[MODL_CRM_US1.xlsx]Single Period!R188C49</stp>
        <stp>CRM US Equity</stp>
        <stp>BS_CASH_NEAR_CASH_ITEM/1M</stp>
        <stp>FPR=2022Y</stp>
        <stp>FPT=A</stp>
        <stp>FA_ACT_EST_DATA=E, EST_SOURCE=SGE</stp>
        <stp>ACT_EST_MAPPING=PRECISE</stp>
        <stp>FS=MRC</stp>
        <stp>CURRENCY=USD</stp>
        <stp>XLFILL=b</stp>
        <tr r="AW188" s="2"/>
      </tp>
      <tp t="s">
        <v/>
        <stp/>
        <stp>##V3_BQLV12</stp>
        <stp>[MODL_CRM_US1.xlsx]Single Period!R189C23</stp>
        <stp>CRM US Equity</stp>
        <stp>CF_CASH_AND_CASH_EQUIV_BEG_BAL/1M</stp>
        <stp>FPR=2022Y</stp>
        <stp>FPT=A</stp>
        <stp>FA_ACT_EST_DATA=E, EST_SOURCE=JPM</stp>
        <stp>ACT_EST_MAPPING=PRECISE</stp>
        <stp>FS=MRC</stp>
        <stp>CURRENCY=USD</stp>
        <stp>XLFILL=b</stp>
        <tr r="W189" s="2"/>
      </tp>
      <tp t="s">
        <v/>
        <stp/>
        <stp>##V3_BQLV12</stp>
        <stp>[MODL_CRM_US1.xlsx]Single Period!R94C19</stp>
        <stp>CRM US Equity</stp>
        <stp>IS_SH_FOR_DILUTED_EPS/1M</stp>
        <stp>FPR=2022Y</stp>
        <stp>FPT=A</stp>
        <stp>FA_ACT_EST_DATA=E, EST_SOURCE=SCB</stp>
        <stp>ACT_EST_MAPPING=PRECISE</stp>
        <stp>FS=MRC</stp>
        <stp>CURRENCY=USD</stp>
        <stp>XLFILL=b</stp>
        <tr r="S94" s="2"/>
      </tp>
      <tp>
        <v>22887.999146020662</v>
        <stp/>
        <stp>##V3_BQLV12</stp>
        <stp>[MODL_CRM_US1.xlsx]Single Period!R110C26</stp>
        <stp>CRM US Equity</stp>
        <stp>BS_CUR_ASSET_REPORT/1M</stp>
        <stp>FPR=2022Y</stp>
        <stp>FPT=A</stp>
        <stp>FA_ACT_EST_DATA=E, EST_SOURCE=KEY</stp>
        <stp>ACT_EST_MAPPING=PRECISE</stp>
        <stp>FS=MRC</stp>
        <stp>CURRENCY=USD</stp>
        <stp>XLFILL=b</stp>
        <tr r="Z110" s="2"/>
      </tp>
      <tp t="s">
        <v/>
        <stp/>
        <stp>##V3_BQLV12</stp>
        <stp>[MODL_CRM_US1.xlsx]Single Period!R85C14</stp>
        <stp>CRM US Equity</stp>
        <stp>CB_IS_S_AND_M_EXPENSE/1M</stp>
        <stp>FPR=2022Y</stp>
        <stp>FPT=A</stp>
        <stp>FA_ACT_EST_DATA=E, EST_SOURCE=SNR</stp>
        <stp>ACT_EST_MAPPING=PRECISE</stp>
        <stp>FS=MRC</stp>
        <stp>CURRENCY=USD</stp>
        <stp>XLFILL=b</stp>
        <tr r="N85" s="2"/>
      </tp>
      <tp t="s">
        <v/>
        <stp/>
        <stp>##V3_BQLV12</stp>
        <stp>[MODL_CRM_US1.xlsx]Single Period!R73C16</stp>
        <stp>CRM US Equity</stp>
        <stp>IS_SH_FOR_DILUTED_EPS/1M</stp>
        <stp>FPR=2022Y</stp>
        <stp>FPT=A</stp>
        <stp>FA_ACT_EST_DATA=E, EST_SOURCE=DBG</stp>
        <stp>ACT_EST_MAPPING=PRECISE</stp>
        <stp>FS=MRC</stp>
        <stp>CURRENCY=USD</stp>
        <stp>XLFILL=b</stp>
        <tr r="P73" s="2"/>
      </tp>
      <tp t="s">
        <v/>
        <stp/>
        <stp>##V3_BQLV12</stp>
        <stp>[MODL_CRM_US1.xlsx]Single Period!R146C53</stp>
        <stp>CRM US Equity</stp>
        <stp>CUR_RATIO</stp>
        <stp>FPR=2022Y</stp>
        <stp>FPT=A</stp>
        <stp>FA_ACT_EST_DATA=E, EST_SOURCE=NIK</stp>
        <stp>ACT_EST_MAPPING=PRECISE</stp>
        <stp>FS=MRC</stp>
        <stp>CURRENCY=USD</stp>
        <stp>XLFILL=b</stp>
        <tr r="BA146" s="2"/>
      </tp>
      <tp t="s">
        <v/>
        <stp/>
        <stp>##V3_BQLV12</stp>
        <stp>[MODL_CRM_US1.xlsx]Single Period!R122C52</stp>
        <stp>CRM US Equity</stp>
        <stp>BS_GOODWILL/1M</stp>
        <stp>FPR=2022Y</stp>
        <stp>FPT=A</stp>
        <stp>FA_ACT_EST_DATA=E, EST_SOURCE=WFR</stp>
        <stp>ACT_EST_MAPPING=PRECISE</stp>
        <stp>FS=MRC</stp>
        <stp>CURRENCY=USD</stp>
        <stp>XLFILL=b</stp>
        <tr r="AZ122" s="2"/>
      </tp>
      <tp t="s">
        <v/>
        <stp/>
        <stp>##V3_BQLV12</stp>
        <stp>[MODL_CRM_US1.xlsx]Single Period!R93C34</stp>
        <stp>CRM US Equity</stp>
        <stp>IS_AVG_NUM_SH_FOR_EPS/1M</stp>
        <stp>FPR=2022Y</stp>
        <stp>FPT=A</stp>
        <stp>FA_ACT_EST_DATA=E, EST_SOURCE=JEF</stp>
        <stp>ACT_EST_MAPPING=PRECISE</stp>
        <stp>FS=MRC</stp>
        <stp>CURRENCY=USD</stp>
        <stp>XLFILL=b</stp>
        <tr r="AH93" s="2"/>
      </tp>
      <tp t="s">
        <v/>
        <stp/>
        <stp>##V3_BQLV12</stp>
        <stp>[MODL_CRM_US1.xlsx]Single Period!R122C47</stp>
        <stp>CRM US Equity</stp>
        <stp>BS_GOODWILL/1M</stp>
        <stp>FPR=2022Y</stp>
        <stp>FPT=A</stp>
        <stp>FA_ACT_EST_DATA=E, EST_SOURCE=WFT</stp>
        <stp>ACT_EST_MAPPING=PRECISE</stp>
        <stp>FS=MRC</stp>
        <stp>CURRENCY=USD</stp>
        <stp>XLFILL=b</stp>
        <tr r="AU122" s="2"/>
      </tp>
      <tp t="s">
        <v/>
        <stp/>
        <stp>##V3_BQLV12</stp>
        <stp>[MODL_CRM_US1.xlsx]Single Period!R93C30</stp>
        <stp>CRM US Equity</stp>
        <stp>IS_AVG_NUM_SH_FOR_EPS/1M</stp>
        <stp>FPR=2022Y</stp>
        <stp>FPT=A</stp>
        <stp>FA_ACT_EST_DATA=E, EST_SOURCE=BAM</stp>
        <stp>ACT_EST_MAPPING=PRECISE</stp>
        <stp>FS=MRC</stp>
        <stp>CURRENCY=USD</stp>
        <stp>XLFILL=b</stp>
        <tr r="AD93" s="2"/>
      </tp>
      <tp t="s">
        <v/>
        <stp/>
        <stp>##V3_BQLV12</stp>
        <stp>[MODL_CRM_US1.xlsx]Single Period!R73C27</stp>
        <stp>CRM US Equity</stp>
        <stp>IS_SH_FOR_DILUTED_EPS/1M</stp>
        <stp>FPR=2022Y</stp>
        <stp>FPT=A</stp>
        <stp>FA_ACT_EST_DATA=E, EST_SOURCE=LCM</stp>
        <stp>ACT_EST_MAPPING=PRECISE</stp>
        <stp>FS=MRC</stp>
        <stp>CURRENCY=USD</stp>
        <stp>XLFILL=b</stp>
        <tr r="AA73" s="2"/>
      </tp>
      <tp t="s">
        <v/>
        <stp/>
        <stp>##V3_BQLV12</stp>
        <stp>[MODL_CRM_US1.xlsx]Single Period!R94C53</stp>
        <stp>CRM US Equity</stp>
        <stp>IS_SH_FOR_DILUTED_EPS/1M</stp>
        <stp>FPR=2022Y</stp>
        <stp>FPT=A</stp>
        <stp>FA_ACT_EST_DATA=E, EST_SOURCE=NIK</stp>
        <stp>ACT_EST_MAPPING=PRECISE</stp>
        <stp>FS=MRC</stp>
        <stp>CURRENCY=USD</stp>
        <stp>XLFILL=b</stp>
        <tr r="BA94" s="2"/>
      </tp>
      <tp t="s">
        <v/>
        <stp/>
        <stp>##V3_BQLV12</stp>
        <stp>[MODL_CRM_US1.xlsx]Single Period!R128C42</stp>
        <stp>CRM US Equity</stp>
        <stp>BS_CUR_LIAB/1M</stp>
        <stp>FPR=2022Y</stp>
        <stp>FPT=A</stp>
        <stp>FA_ACT_EST_DATA=E, EST_SOURCE=PSG</stp>
        <stp>ACT_EST_MAPPING=PRECISE</stp>
        <stp>FS=MRC</stp>
        <stp>CURRENCY=USD</stp>
        <stp>XLFILL=b</stp>
        <tr r="AP128" s="2"/>
      </tp>
      <tp t="s">
        <v/>
        <stp/>
        <stp>##V3_BQLV12</stp>
        <stp>[MODL_CRM_US1.xlsx]Single Period!R14C51</stp>
        <stp>CRM US Equity</stp>
        <stp>NON_CURRENT_FUTURE_REV_UNDER_CONTRACT/1M</stp>
        <stp>FPR=2022Y</stp>
        <stp>FPT=A</stp>
        <stp>FA_ACT_EST_DATA=E, EST_SOURCE=RCP</stp>
        <stp>ACT_EST_MAPPING=PRECISE</stp>
        <stp>FS=MRC</stp>
        <stp>CURRENCY=USD</stp>
        <stp>XLFILL=b</stp>
        <tr r="AY14" s="2"/>
      </tp>
      <tp t="s">
        <v/>
        <stp/>
        <stp>##V3_BQLV12</stp>
        <stp>[MODL_CRM_US1.xlsx]Single Period!R68C52</stp>
        <stp>CRM US Equity</stp>
        <stp>IS_COMP_PTP_EX_STK_BASED_COMP/1M</stp>
        <stp>FPR=2022Y</stp>
        <stp>FPT=A</stp>
        <stp>FA_ACT_EST_DATA=E, EST_SOURCE=WFR</stp>
        <stp>ACT_EST_MAPPING=PRECISE</stp>
        <stp>FS=MRC</stp>
        <stp>CURRENCY=USD</stp>
        <stp>XLFILL=b</stp>
        <tr r="AZ68" s="2"/>
      </tp>
      <tp t="s">
        <v/>
        <stp/>
        <stp>##V3_BQLV12</stp>
        <stp>[MODL_CRM_US1.xlsx]Single Period!R98C33</stp>
        <stp>CRM US Equity</stp>
        <stp>IS_INC_TAX_EFFECT_NONGAAP_REC/1M</stp>
        <stp>FPR=2022Y</stp>
        <stp>FPT=A</stp>
        <stp>FA_ACT_EST_DATA=E, EST_SOURCE=RHR</stp>
        <stp>ACT_EST_MAPPING=PRECISE</stp>
        <stp>FS=MRC</stp>
        <stp>CURRENCY=USD</stp>
        <stp>XLFILL=b</stp>
        <tr r="AG98" s="2"/>
      </tp>
      <tp t="s">
        <v/>
        <stp/>
        <stp>##V3_BQLV12</stp>
        <stp>[MODL_CRM_US1.xlsx]Single Period!R185C42</stp>
        <stp>CRM US Equity</stp>
        <stp>CF_EFFECT_FOREIGN_EXCHANGES/1M</stp>
        <stp>FPR=2022Y</stp>
        <stp>FPT=A</stp>
        <stp>FA_ACT_EST_DATA=E, EST_SOURCE=PSG</stp>
        <stp>ACT_EST_MAPPING=PRECISE</stp>
        <stp>FS=MRC</stp>
        <stp>CURRENCY=USD</stp>
        <stp>XLFILL=b</stp>
        <tr r="AP185" s="2"/>
      </tp>
      <tp t="s">
        <v/>
        <stp/>
        <stp>##V3_BQLV12</stp>
        <stp>[MODL_CRM_US1.xlsx]Single Period!R100C22</stp>
        <stp>CRM US Equity</stp>
        <stp>IS_SBC_ATTRIB_TO_COGS_PRETX/1M</stp>
        <stp>FPR=2022Y</stp>
        <stp>FPT=A</stp>
        <stp>FA_ACT_EST_DATA=E, EST_SOURCE=OPY</stp>
        <stp>ACT_EST_MAPPING=PRECISE</stp>
        <stp>FS=MRC</stp>
        <stp>CURRENCY=USD</stp>
        <stp>XLFILL=b</stp>
        <tr r="V100" s="2"/>
      </tp>
      <tp t="s">
        <v/>
        <stp/>
        <stp>##V3_BQLV12</stp>
        <stp>[MODL_CRM_US1.xlsx]Single Period!R94C14</stp>
        <stp>CRM US Equity</stp>
        <stp>IS_SH_FOR_DILUTED_EPS/1M</stp>
        <stp>FPR=2022Y</stp>
        <stp>FPT=A</stp>
        <stp>FA_ACT_EST_DATA=E, EST_SOURCE=SNR</stp>
        <stp>ACT_EST_MAPPING=PRECISE</stp>
        <stp>FS=MRC</stp>
        <stp>CURRENCY=USD</stp>
        <stp>XLFILL=b</stp>
        <tr r="N94" s="2"/>
      </tp>
      <tp t="s">
        <v/>
        <stp/>
        <stp>##V3_BQLV12</stp>
        <stp>[MODL_CRM_US1.xlsx]Single Period!R93C47</stp>
        <stp>CRM US Equity</stp>
        <stp>IS_AVG_NUM_SH_FOR_EPS/1M</stp>
        <stp>FPR=2022Y</stp>
        <stp>FPT=A</stp>
        <stp>FA_ACT_EST_DATA=E, EST_SOURCE=WFT</stp>
        <stp>ACT_EST_MAPPING=PRECISE</stp>
        <stp>FS=MRC</stp>
        <stp>CURRENCY=USD</stp>
        <stp>XLFILL=b</stp>
        <tr r="AU93" s="2"/>
      </tp>
      <tp>
        <v>26397</v>
        <stp/>
        <stp>##V3_BQLV12</stp>
        <stp>[MODL_CRM_US1.xlsx]Single Period!R52C25</stp>
        <stp>CRM US Equity</stp>
        <stp>IS_COMP_SALES/1M</stp>
        <stp>FPR=2022Y</stp>
        <stp>FPT=A</stp>
        <stp>FA_ACT_EST_DATA=E, EST_SOURCE=WMS</stp>
        <stp>ACT_EST_MAPPING=PRECISE</stp>
        <stp>FS=MRC</stp>
        <stp>CURRENCY=USD</stp>
        <stp>XLFILL=b</stp>
        <tr r="Y52" s="2"/>
      </tp>
      <tp t="s">
        <v/>
        <stp/>
        <stp>##V3_BQLV12</stp>
        <stp>[MODL_CRM_US1.xlsx]Single Period!R85C19</stp>
        <stp>CRM US Equity</stp>
        <stp>CB_IS_S_AND_M_EXPENSE/1M</stp>
        <stp>FPR=2022Y</stp>
        <stp>FPT=A</stp>
        <stp>FA_ACT_EST_DATA=E, EST_SOURCE=SCB</stp>
        <stp>ACT_EST_MAPPING=PRECISE</stp>
        <stp>FS=MRC</stp>
        <stp>CURRENCY=USD</stp>
        <stp>XLFILL=b</stp>
        <tr r="S85" s="2"/>
      </tp>
      <tp>
        <v>5806</v>
        <stp/>
        <stp>##V3_BQLV12</stp>
        <stp>[MODL_CRM_US1.xlsx]Single Period!R68C27</stp>
        <stp>CRM US Equity</stp>
        <stp>IS_COMP_PTP_EX_STK_BASED_COMP/1M</stp>
        <stp>FPR=2022Y</stp>
        <stp>FPT=A</stp>
        <stp>FA_ACT_EST_DATA=E, EST_SOURCE=LCM</stp>
        <stp>ACT_EST_MAPPING=PRECISE</stp>
        <stp>FS=MRC</stp>
        <stp>CURRENCY=USD</stp>
        <stp>XLFILL=b</stp>
        <tr r="AA68" s="2"/>
      </tp>
      <tp t="s">
        <v/>
        <stp/>
        <stp>##V3_BQLV12</stp>
        <stp>[MODL_CRM_US1.xlsx]Single Period!R73C52</stp>
        <stp>CRM US Equity</stp>
        <stp>IS_SH_FOR_DILUTED_EPS/1M</stp>
        <stp>FPR=2022Y</stp>
        <stp>FPT=A</stp>
        <stp>FA_ACT_EST_DATA=E, EST_SOURCE=WFR</stp>
        <stp>ACT_EST_MAPPING=PRECISE</stp>
        <stp>FS=MRC</stp>
        <stp>CURRENCY=USD</stp>
        <stp>XLFILL=b</stp>
        <tr r="AZ73" s="2"/>
      </tp>
      <tp t="s">
        <v/>
        <stp/>
        <stp>##V3_BQLV12</stp>
        <stp>[MODL_CRM_US1.xlsx]Single Period!R85C53</stp>
        <stp>CRM US Equity</stp>
        <stp>CB_IS_S_AND_M_EXPENSE/1M</stp>
        <stp>FPR=2022Y</stp>
        <stp>FPT=A</stp>
        <stp>FA_ACT_EST_DATA=E, EST_SOURCE=NIK</stp>
        <stp>ACT_EST_MAPPING=PRECISE</stp>
        <stp>FS=MRC</stp>
        <stp>CURRENCY=USD</stp>
        <stp>XLFILL=b</stp>
        <tr r="BA85" s="2"/>
      </tp>
      <tp t="s">
        <v/>
        <stp/>
        <stp>##V3_BQLV12</stp>
        <stp>[MODL_CRM_US1.xlsx]Single Period!R14C48</stp>
        <stp>CRM US Equity</stp>
        <stp>NON_CURRENT_FUTURE_REV_UNDER_CONTRACT/1M</stp>
        <stp>FPR=2022Y</stp>
        <stp>FPT=A</stp>
        <stp>FA_ACT_EST_DATA=E, EST_SOURCE=PJE</stp>
        <stp>ACT_EST_MAPPING=PRECISE</stp>
        <stp>FS=MRC</stp>
        <stp>CURRENCY=USD</stp>
        <stp>XLFILL=b</stp>
        <tr r="AV14" s="2"/>
      </tp>
      <tp>
        <v>5846</v>
        <stp/>
        <stp>##V3_BQLV12</stp>
        <stp>[MODL_CRM_US1.xlsx]Single Period!R68C16</stp>
        <stp>CRM US Equity</stp>
        <stp>IS_COMP_PTP_EX_STK_BASED_COMP/1M</stp>
        <stp>FPR=2022Y</stp>
        <stp>FPT=A</stp>
        <stp>FA_ACT_EST_DATA=E, EST_SOURCE=DBG</stp>
        <stp>ACT_EST_MAPPING=PRECISE</stp>
        <stp>FS=MRC</stp>
        <stp>CURRENCY=USD</stp>
        <stp>XLFILL=b</stp>
        <tr r="P68" s="2"/>
      </tp>
      <tp t="s">
        <v/>
        <stp/>
        <stp>##V3_BQLV12</stp>
        <stp>[MODL_CRM_US1.xlsx]Single Period!R110C55</stp>
        <stp>CRM US Equity</stp>
        <stp>BS_CUR_ASSET_REPORT/1M</stp>
        <stp>FPR=2022Y</stp>
        <stp>FPT=A</stp>
        <stp>FA_ACT_EST_DATA=E, EST_SOURCE=RED</stp>
        <stp>ACT_EST_MAPPING=PRECISE</stp>
        <stp>FS=MRC</stp>
        <stp>CURRENCY=USD</stp>
        <stp>XLFILL=b</stp>
        <tr r="BC110" s="2"/>
      </tp>
      <tp>
        <v>-18</v>
        <stp/>
        <stp>##V3_BQLV12</stp>
        <stp>[MODL_CRM_US1.xlsx]Single Period!R185C15</stp>
        <stp>CRM US Equity</stp>
        <stp>CF_EFFECT_FOREIGN_EXCHANGES/1M</stp>
        <stp>FPR=2022Y</stp>
        <stp>FPT=A</stp>
        <stp>FA_ACT_EST_DATA=E, EST_SOURCE=MSV</stp>
        <stp>ACT_EST_MAPPING=PRECISE</stp>
        <stp>FS=MRC</stp>
        <stp>CURRENCY=USD</stp>
        <stp>XLFILL=b</stp>
        <tr r="O185" s="2"/>
      </tp>
      <tp t="s">
        <v/>
        <stp/>
        <stp>##V3_BQLV12</stp>
        <stp>[MODL_CRM_US1.xlsx]Single Period!R128C38</stp>
        <stp>CRM US Equity</stp>
        <stp>BS_CUR_LIAB/1M</stp>
        <stp>FPR=2022Y</stp>
        <stp>FPT=A</stp>
        <stp>FA_ACT_EST_DATA=E, EST_SOURCE=MSR</stp>
        <stp>ACT_EST_MAPPING=PRECISE</stp>
        <stp>FS=MRC</stp>
        <stp>CURRENCY=USD</stp>
        <stp>XLFILL=b</stp>
        <tr r="AL128" s="2"/>
      </tp>
      <tp t="s">
        <v/>
        <stp/>
        <stp>##V3_BQLV12</stp>
        <stp>[MODL_CRM_US1.xlsx]Single Period!R100C23</stp>
        <stp>CRM US Equity</stp>
        <stp>IS_SBC_ATTRIB_TO_COGS_PRETX/1M</stp>
        <stp>FPR=2022Y</stp>
        <stp>FPT=A</stp>
        <stp>FA_ACT_EST_DATA=E, EST_SOURCE=JPM</stp>
        <stp>ACT_EST_MAPPING=PRECISE</stp>
        <stp>FS=MRC</stp>
        <stp>CURRENCY=USD</stp>
        <stp>XLFILL=b</stp>
        <tr r="W100" s="2"/>
      </tp>
      <tp t="s">
        <v/>
        <stp/>
        <stp>##V3_BQLV12</stp>
        <stp>[MODL_CRM_US1.xlsx]Single Period!R146C56</stp>
        <stp>CRM US Equity</stp>
        <stp>CUR_RATIO</stp>
        <stp>FPR=2022Y</stp>
        <stp>FPT=A</stp>
        <stp>FA_ACT_EST_DATA=E, EST_SOURCE=DIR</stp>
        <stp>ACT_EST_MAPPING=PRECISE</stp>
        <stp>FS=MRC</stp>
        <stp>CURRENCY=USD</stp>
        <stp>XLFILL=b</stp>
        <tr r="BD146" s="2"/>
      </tp>
      <tp t="s">
        <v/>
        <stp/>
        <stp>##V3_BQLV12</stp>
        <stp>[MODL_CRM_US1.xlsx]Single Period!R185C41</stp>
        <stp>CRM US Equity</stp>
        <stp>CF_EFFECT_FOREIGN_EXCHANGES/1M</stp>
        <stp>FPR=2022Y</stp>
        <stp>FPT=A</stp>
        <stp>FA_ACT_EST_DATA=E, EST_SOURCE=GSR</stp>
        <stp>ACT_EST_MAPPING=PRECISE</stp>
        <stp>FS=MRC</stp>
        <stp>CURRENCY=USD</stp>
        <stp>XLFILL=b</stp>
        <tr r="AO185" s="2"/>
      </tp>
      <tp t="s">
        <v/>
        <stp/>
        <stp>##V3_BQLV12</stp>
        <stp>[MODL_CRM_US1.xlsx]Single Period!R128C41</stp>
        <stp>CRM US Equity</stp>
        <stp>BS_CUR_LIAB/1M</stp>
        <stp>FPR=2022Y</stp>
        <stp>FPT=A</stp>
        <stp>FA_ACT_EST_DATA=E, EST_SOURCE=GSR</stp>
        <stp>ACT_EST_MAPPING=PRECISE</stp>
        <stp>FS=MRC</stp>
        <stp>CURRENCY=USD</stp>
        <stp>XLFILL=b</stp>
        <tr r="AO128" s="2"/>
      </tp>
      <tp t="s">
        <v/>
        <stp/>
        <stp>##V3_BQLV12</stp>
        <stp>[MODL_CRM_US1.xlsx]Single Period!R185C38</stp>
        <stp>CRM US Equity</stp>
        <stp>CF_EFFECT_FOREIGN_EXCHANGES/1M</stp>
        <stp>FPR=2022Y</stp>
        <stp>FPT=A</stp>
        <stp>FA_ACT_EST_DATA=E, EST_SOURCE=MSR</stp>
        <stp>ACT_EST_MAPPING=PRECISE</stp>
        <stp>FS=MRC</stp>
        <stp>CURRENCY=USD</stp>
        <stp>XLFILL=b</stp>
        <tr r="AL185" s="2"/>
      </tp>
      <tp>
        <v>21376.30152355415</v>
        <stp/>
        <stp>##V3_BQLV12</stp>
        <stp>[MODL_CRM_US1.xlsx]Single Period!R128C15</stp>
        <stp>CRM US Equity</stp>
        <stp>BS_CUR_LIAB/1M</stp>
        <stp>FPR=2022Y</stp>
        <stp>FPT=A</stp>
        <stp>FA_ACT_EST_DATA=E, EST_SOURCE=MSV</stp>
        <stp>ACT_EST_MAPPING=PRECISE</stp>
        <stp>FS=MRC</stp>
        <stp>CURRENCY=USD</stp>
        <stp>XLFILL=b</stp>
        <tr r="O128" s="2"/>
      </tp>
      <tp t="s">
        <v/>
        <stp/>
        <stp>##V3_BQLV12</stp>
        <stp>[MODL_CRM_US1.xlsx]Single Period!R110C34</stp>
        <stp>CRM US Equity</stp>
        <stp>BS_CUR_ASSET_REPORT/1M</stp>
        <stp>FPR=2022Y</stp>
        <stp>FPT=A</stp>
        <stp>FA_ACT_EST_DATA=E, EST_SOURCE=JEF</stp>
        <stp>ACT_EST_MAPPING=PRECISE</stp>
        <stp>FS=MRC</stp>
        <stp>CURRENCY=USD</stp>
        <stp>XLFILL=b</stp>
        <tr r="AH110" s="2"/>
      </tp>
      <tp t="s">
        <v/>
        <stp/>
        <stp>##V3_BQLV12</stp>
        <stp>[MODL_CRM_US1.xlsx]Single Period!R98C21</stp>
        <stp>CRM US Equity</stp>
        <stp>IS_INC_TAX_EFFECT_NONGAAP_REC/1M</stp>
        <stp>FPR=2022Y</stp>
        <stp>FPT=A</stp>
        <stp>FA_ACT_EST_DATA=E, EST_SOURCE=RJA</stp>
        <stp>ACT_EST_MAPPING=PRECISE</stp>
        <stp>FS=MRC</stp>
        <stp>CURRENCY=USD</stp>
        <stp>XLFILL=b</stp>
        <tr r="U98" s="2"/>
      </tp>
      <tp t="s">
        <v/>
        <stp/>
        <stp>##V3_BQLV12</stp>
        <stp>[MODL_CRM_US1.xlsx]Single Period!R140C16</stp>
        <stp>CRM US Equity</stp>
        <stp>BS_ACCUMULATED_OTHER_COMP_INC/1M</stp>
        <stp>FPR=2022Y</stp>
        <stp>FPT=A</stp>
        <stp>FA_ACT_EST_DATA=E, EST_SOURCE=DBG</stp>
        <stp>ACT_EST_MAPPING=PRECISE</stp>
        <stp>FS=MRC</stp>
        <stp>CURRENCY=USD</stp>
        <stp>XLFILL=b</stp>
        <tr r="P140" s="2"/>
      </tp>
      <tp t="s">
        <v/>
        <stp/>
        <stp>##V3_BQLV12</stp>
        <stp>[MODL_CRM_US1.xlsx]Single Period!R151C27</stp>
        <stp>CRM US Equity</stp>
        <stp>NON_CURRENT_FUTURE_REV_UNDER_CONTRACT/1M</stp>
        <stp>FPR=2022Y</stp>
        <stp>FPT=A</stp>
        <stp>FA_ACT_EST_DATA=E, EST_SOURCE=LCM</stp>
        <stp>ACT_EST_MAPPING=PRECISE</stp>
        <stp>FS=MRC</stp>
        <stp>CURRENCY=USD</stp>
        <stp>XLFILL=b</stp>
        <tr r="AA151" s="2"/>
      </tp>
      <tp t="s">
        <v/>
        <stp/>
        <stp>##V3_BQLV12</stp>
        <stp>[MODL_CRM_US1.xlsx]Single Period!R24C37</stp>
        <stp>SEG0000269238 Segment</stp>
        <stp>SALES_REV_TURN/1M</stp>
        <stp>FPR=2022Y</stp>
        <stp>FPT=A</stp>
        <stp>FA_ACT_EST_DATA=E, EST_SOURCE=EVR</stp>
        <stp>ACT_EST_MAPPING=PRECISE</stp>
        <stp>FS=MRC</stp>
        <stp>CURRENCY=USD</stp>
        <stp>XLFILL=b</stp>
        <tr r="AK24" s="2"/>
      </tp>
      <tp t="s">
        <v/>
        <stp/>
        <stp>##V3_BQLV12</stp>
        <stp>[MODL_CRM_US1.xlsx]Single Period!R101C34</stp>
        <stp>CRM US Equity</stp>
        <stp>IS_SBC_ATTRIBUTABLE_TO_R_AND_D_PRETX/1M</stp>
        <stp>FPR=2022Y</stp>
        <stp>FPT=A</stp>
        <stp>FA_ACT_EST_DATA=E, EST_SOURCE=JEF</stp>
        <stp>ACT_EST_MAPPING=PRECISE</stp>
        <stp>FS=MRC</stp>
        <stp>CURRENCY=USD</stp>
        <stp>XLFILL=b</stp>
        <tr r="AH101" s="2"/>
      </tp>
      <tp>
        <v>5988.1639999999998</v>
        <stp/>
        <stp>##V3_BQLV12</stp>
        <stp>[MODL_CRM_US1.xlsx]Single Period!R26C15</stp>
        <stp>SEG0000269247 Segment</stp>
        <stp>SALES_REV_TURN/1M</stp>
        <stp>FPR=2022Y</stp>
        <stp>FPT=A</stp>
        <stp>FA_ACT_EST_DATA=E, EST_SOURCE=MSV</stp>
        <stp>ACT_EST_MAPPING=PRECISE</stp>
        <stp>FS=MRC</stp>
        <stp>CURRENCY=USD</stp>
        <stp>XLFILL=b</stp>
        <tr r="O26" s="2"/>
      </tp>
      <tp>
        <v>4904</v>
        <stp/>
        <stp>##V3_BQLV12</stp>
        <stp>[MODL_CRM_US1.xlsx]Single Period!R64C23</stp>
        <stp>CRM US Equity</stp>
        <stp>IS_COMPARABLE_EBITDA/1M</stp>
        <stp>FPR=2022Y</stp>
        <stp>FPT=A</stp>
        <stp>FA_ACT_EST_DATA=E, EST_SOURCE=JPM</stp>
        <stp>ACT_EST_MAPPING=PRECISE</stp>
        <stp>FS=MRC</stp>
        <stp>CURRENCY=USD</stp>
        <stp>XLFILL=b</stp>
        <tr r="W64" s="2"/>
      </tp>
      <tp t="s">
        <v/>
        <stp/>
        <stp>##V3_BQLV12</stp>
        <stp>[MODL_CRM_US1.xlsx]Single Period!R140C27</stp>
        <stp>CRM US Equity</stp>
        <stp>BS_ACCUMULATED_OTHER_COMP_INC/1M</stp>
        <stp>FPR=2022Y</stp>
        <stp>FPT=A</stp>
        <stp>FA_ACT_EST_DATA=E, EST_SOURCE=LCM</stp>
        <stp>ACT_EST_MAPPING=PRECISE</stp>
        <stp>FS=MRC</stp>
        <stp>CURRENCY=USD</stp>
        <stp>XLFILL=b</stp>
        <tr r="AA140" s="2"/>
      </tp>
      <tp t="s">
        <v/>
        <stp/>
        <stp>##V3_BQLV12</stp>
        <stp>[MODL_CRM_US1.xlsx]Single Period!R151C16</stp>
        <stp>CRM US Equity</stp>
        <stp>NON_CURRENT_FUTURE_REV_UNDER_CONTRACT/1M</stp>
        <stp>FPR=2022Y</stp>
        <stp>FPT=A</stp>
        <stp>FA_ACT_EST_DATA=E, EST_SOURCE=DBG</stp>
        <stp>ACT_EST_MAPPING=PRECISE</stp>
        <stp>FS=MRC</stp>
        <stp>CURRENCY=USD</stp>
        <stp>XLFILL=b</stp>
        <tr r="P151" s="2"/>
      </tp>
      <tp t="s">
        <v/>
        <stp/>
        <stp>##V3_BQLV12</stp>
        <stp>[MODL_CRM_US1.xlsx]Single Period!R43C37</stp>
        <stp>SEG0000269240 Segment</stp>
        <stp>SALES_REV_TURN/1M</stp>
        <stp>FPR=2022Y</stp>
        <stp>FPT=A</stp>
        <stp>FA_ACT_EST_DATA=E, EST_SOURCE=EVR</stp>
        <stp>ACT_EST_MAPPING=PRECISE</stp>
        <stp>FS=MRC</stp>
        <stp>CURRENCY=USD</stp>
        <stp>XLFILL=b</stp>
        <tr r="AK43" s="2"/>
      </tp>
      <tp t="s">
        <v/>
        <stp/>
        <stp>##V3_BQLV12</stp>
        <stp>[MODL_CRM_US1.xlsx]Single Period!R26C38</stp>
        <stp>SEG0000269247 Segment</stp>
        <stp>SALES_REV_TURN/1M</stp>
        <stp>FPR=2022Y</stp>
        <stp>FPT=A</stp>
        <stp>FA_ACT_EST_DATA=E, EST_SOURCE=MSR</stp>
        <stp>ACT_EST_MAPPING=PRECISE</stp>
        <stp>FS=MRC</stp>
        <stp>CURRENCY=USD</stp>
        <stp>XLFILL=b</stp>
        <tr r="AL26" s="2"/>
      </tp>
      <tp t="s">
        <v/>
        <stp/>
        <stp>##V3_BQLV12</stp>
        <stp>[MODL_CRM_US1.xlsx]Single Period!R26C41</stp>
        <stp>SEG0000269247 Segment</stp>
        <stp>SALES_REV_TURN/1M</stp>
        <stp>FPR=2022Y</stp>
        <stp>FPT=A</stp>
        <stp>FA_ACT_EST_DATA=E, EST_SOURCE=GSR</stp>
        <stp>ACT_EST_MAPPING=PRECISE</stp>
        <stp>FS=MRC</stp>
        <stp>CURRENCY=USD</stp>
        <stp>XLFILL=b</stp>
        <tr r="AO26" s="2"/>
      </tp>
      <tp t="s">
        <v/>
        <stp/>
        <stp>##V3_BQLV12</stp>
        <stp>[MODL_CRM_US1.xlsx]Single Period!R101C51</stp>
        <stp>CRM US Equity</stp>
        <stp>IS_SBC_ATTRIBUTABLE_TO_R_AND_D_PRETX/1M</stp>
        <stp>FPR=2022Y</stp>
        <stp>FPT=A</stp>
        <stp>FA_ACT_EST_DATA=E, EST_SOURCE=RCP</stp>
        <stp>ACT_EST_MAPPING=PRECISE</stp>
        <stp>FS=MRC</stp>
        <stp>CURRENCY=USD</stp>
        <stp>XLFILL=b</stp>
        <tr r="AY101" s="2"/>
      </tp>
      <tp t="s">
        <v/>
        <stp/>
        <stp>##V3_BQLV12</stp>
        <stp>[MODL_CRM_US1.xlsx]Single Period!R140C52</stp>
        <stp>CRM US Equity</stp>
        <stp>BS_ACCUMULATED_OTHER_COMP_INC/1M</stp>
        <stp>FPR=2022Y</stp>
        <stp>FPT=A</stp>
        <stp>FA_ACT_EST_DATA=E, EST_SOURCE=WFR</stp>
        <stp>ACT_EST_MAPPING=PRECISE</stp>
        <stp>FS=MRC</stp>
        <stp>CURRENCY=USD</stp>
        <stp>XLFILL=b</stp>
        <tr r="AZ140" s="2"/>
      </tp>
      <tp t="s">
        <v/>
        <stp/>
        <stp>##V3_BQLV12</stp>
        <stp>[MODL_CRM_US1.xlsx]Single Period!R10C54</stp>
        <stp>SEG0000269238 Segment</stp>
        <stp>SALES_REV_TURN/1M</stp>
        <stp>FPR=2022Y</stp>
        <stp>FPT=A</stp>
        <stp>FA_ACT_EST_DATA=E, EST_SOURCE=ARE</stp>
        <stp>ACT_EST_MAPPING=PRECISE</stp>
        <stp>FS=MRC</stp>
        <stp>CURRENCY=USD</stp>
        <stp>XLFILL=b</stp>
        <tr r="BB10" s="2"/>
      </tp>
      <tp t="s">
        <v/>
        <stp/>
        <stp>##V3_BQLV12</stp>
        <stp>[MODL_CRM_US1.xlsx]Single Period!R10C45</stp>
        <stp>SEG0000269238 Segment</stp>
        <stp>SALES_REV_TURN/1M</stp>
        <stp>FPR=2022Y</stp>
        <stp>FPT=A</stp>
        <stp>FA_ACT_EST_DATA=E, EST_SOURCE=ARG</stp>
        <stp>ACT_EST_MAPPING=PRECISE</stp>
        <stp>FS=MRC</stp>
        <stp>CURRENCY=USD</stp>
        <stp>XLFILL=b</stp>
        <tr r="AS10" s="2"/>
      </tp>
      <tp t="s">
        <v/>
        <stp/>
        <stp>##V3_BQLV12</stp>
        <stp>[MODL_CRM_US1.xlsx]Single Period!R83C48</stp>
        <stp>CRM US Equity</stp>
        <stp>IS_OPEX_R_AND_D_GAAP/1M</stp>
        <stp>FPR=2022Y</stp>
        <stp>FPT=A</stp>
        <stp>FA_ACT_EST_DATA=E, EST_SOURCE=PJE</stp>
        <stp>ACT_EST_MAPPING=PRECISE</stp>
        <stp>FS=MRC</stp>
        <stp>CURRENCY=USD</stp>
        <stp>XLFILL=b</stp>
        <tr r="AV83" s="2"/>
      </tp>
      <tp>
        <v>1485</v>
        <stp/>
        <stp>##V3_BQLV12</stp>
        <stp>[MODL_CRM_US1.xlsx]Single Period!R65C33</stp>
        <stp>CRM US Equity</stp>
        <stp>IS_AMORT_OF_TOT_INTANG_PRETX/1M</stp>
        <stp>FPR=2022Y</stp>
        <stp>FPT=A</stp>
        <stp>FA_ACT_EST_DATA=E, EST_SOURCE=RHR</stp>
        <stp>ACT_EST_MAPPING=PRECISE</stp>
        <stp>FS=MRC</stp>
        <stp>CURRENCY=USD</stp>
        <stp>XLFILL=b</stp>
        <tr r="AG65" s="2"/>
      </tp>
      <tp>
        <v>2535</v>
        <stp/>
        <stp>##V3_BQLV12</stp>
        <stp>[MODL_CRM_US1.xlsx]Single Period!R64C15</stp>
        <stp>CRM US Equity</stp>
        <stp>IS_COMPARABLE_EBITDA/1M</stp>
        <stp>FPR=2022Y</stp>
        <stp>FPT=A</stp>
        <stp>FA_ACT_EST_DATA=E, EST_SOURCE=MSV</stp>
        <stp>ACT_EST_MAPPING=PRECISE</stp>
        <stp>FS=MRC</stp>
        <stp>CURRENCY=USD</stp>
        <stp>XLFILL=b</stp>
        <tr r="O64" s="2"/>
      </tp>
      <tp t="s">
        <v/>
        <stp/>
        <stp>##V3_BQLV12</stp>
        <stp>[MODL_CRM_US1.xlsx]Single Period!R156C28</stp>
        <stp>CRM US Equity</stp>
        <stp>CF_DEPR_AMORT/1M</stp>
        <stp>FPR=2022Y</stp>
        <stp>FPT=A</stp>
        <stp>FA_ACT_EST_DATA=E, EST_SOURCE=CWN</stp>
        <stp>ACT_EST_MAPPING=PRECISE</stp>
        <stp>FS=MRC</stp>
        <stp>CURRENCY=USD</stp>
        <stp>XLFILL=b</stp>
        <tr r="AB156" s="2"/>
      </tp>
      <tp t="s">
        <v/>
        <stp/>
        <stp>##V3_BQLV12</stp>
        <stp>[MODL_CRM_US1.xlsx]Single Period!R26C42</stp>
        <stp>SEG0000269247 Segment</stp>
        <stp>SALES_REV_TURN/1M</stp>
        <stp>FPR=2022Y</stp>
        <stp>FPT=A</stp>
        <stp>FA_ACT_EST_DATA=E, EST_SOURCE=PSG</stp>
        <stp>ACT_EST_MAPPING=PRECISE</stp>
        <stp>FS=MRC</stp>
        <stp>CURRENCY=USD</stp>
        <stp>XLFILL=b</stp>
        <tr r="AP26" s="2"/>
      </tp>
      <tp t="s">
        <v/>
        <stp/>
        <stp>##V3_BQLV12</stp>
        <stp>[MODL_CRM_US1.xlsx]Single Period!R27C54</stp>
        <stp>SEG0000269241 Segment</stp>
        <stp>SALES_REV_TURN/1M</stp>
        <stp>FPR=2022Y</stp>
        <stp>FPT=A</stp>
        <stp>FA_ACT_EST_DATA=E, EST_SOURCE=ARE</stp>
        <stp>ACT_EST_MAPPING=PRECISE</stp>
        <stp>FS=MRC</stp>
        <stp>CURRENCY=USD</stp>
        <stp>XLFILL=b</stp>
        <tr r="BB27" s="2"/>
      </tp>
      <tp t="s">
        <v/>
        <stp/>
        <stp>##V3_BQLV12</stp>
        <stp>[MODL_CRM_US1.xlsx]Single Period!R151C52</stp>
        <stp>CRM US Equity</stp>
        <stp>NON_CURRENT_FUTURE_REV_UNDER_CONTRACT/1M</stp>
        <stp>FPR=2022Y</stp>
        <stp>FPT=A</stp>
        <stp>FA_ACT_EST_DATA=E, EST_SOURCE=WFR</stp>
        <stp>ACT_EST_MAPPING=PRECISE</stp>
        <stp>FS=MRC</stp>
        <stp>CURRENCY=USD</stp>
        <stp>XLFILL=b</stp>
        <tr r="AZ151" s="2"/>
      </tp>
      <tp t="s">
        <v/>
        <stp/>
        <stp>##V3_BQLV12</stp>
        <stp>[MODL_CRM_US1.xlsx]Single Period!R27C45</stp>
        <stp>SEG0000269241 Segment</stp>
        <stp>SALES_REV_TURN/1M</stp>
        <stp>FPR=2022Y</stp>
        <stp>FPT=A</stp>
        <stp>FA_ACT_EST_DATA=E, EST_SOURCE=ARG</stp>
        <stp>ACT_EST_MAPPING=PRECISE</stp>
        <stp>FS=MRC</stp>
        <stp>CURRENCY=USD</stp>
        <stp>XLFILL=b</stp>
        <tr r="AS27" s="2"/>
      </tp>
      <tp t="s">
        <v/>
        <stp/>
        <stp>##V3_BQLV12</stp>
        <stp>[MODL_CRM_US1.xlsx]Single Period!R64C22</stp>
        <stp>CRM US Equity</stp>
        <stp>IS_COMPARABLE_EBITDA/1M</stp>
        <stp>FPR=2022Y</stp>
        <stp>FPT=A</stp>
        <stp>FA_ACT_EST_DATA=E, EST_SOURCE=OPY</stp>
        <stp>ACT_EST_MAPPING=PRECISE</stp>
        <stp>FS=MRC</stp>
        <stp>CURRENCY=USD</stp>
        <stp>XLFILL=b</stp>
        <tr r="V64" s="2"/>
      </tp>
      <tp>
        <v>78.599999999999994</v>
        <stp/>
        <stp>##V3_BQLV12</stp>
        <stp>[MODL_CRM_US1.xlsx]Single Period!R56C23</stp>
        <stp>CRM US Equity</stp>
        <stp>IS_COMP_GROSS_MARGIN_PERCENTAGE</stp>
        <stp>FPR=2022Y</stp>
        <stp>FPT=A</stp>
        <stp>FA_ACT_EST_DATA=E, EST_SOURCE=JPM</stp>
        <stp>ACT_EST_MAPPING=PRECISE</stp>
        <stp>FS=MRC</stp>
        <stp>CURRENCY=USD</stp>
        <stp>XLFILL=b</stp>
        <tr r="W56" s="2"/>
      </tp>
      <tp>
        <v>78.599999999999994</v>
        <stp/>
        <stp>##V3_BQLV12</stp>
        <stp>[MODL_CRM_US1.xlsx]Single Period!R17C23</stp>
        <stp>CRM US Equity</stp>
        <stp>IS_COMP_GROSS_MARGIN_PERCENTAGE</stp>
        <stp>FPR=2022Y</stp>
        <stp>FPT=A</stp>
        <stp>FA_ACT_EST_DATA=E, EST_SOURCE=JPM</stp>
        <stp>ACT_EST_MAPPING=PRECISE</stp>
        <stp>FS=MRC</stp>
        <stp>CURRENCY=USD</stp>
        <stp>XLFILL=b</stp>
        <tr r="W17" s="2"/>
      </tp>
      <tp t="s">
        <v>Raymond James</v>
        <stp/>
        <stp>##V3_BQLV12</stp>
        <stp>[MODL_CRM_US1.xlsx]Single Period!R3C21</stp>
        <stp>CRM US Equity</stp>
        <stp>LAST(IS_COMP_SALES(FA_ACT_EST_DATA=E, EST_SOURCE=RJA).firm_name)</stp>
        <stp>FPR=2022Y</stp>
        <stp>FPT=A</stp>
        <stp>ACT_EST_MAPPING=PRECISE</stp>
        <stp>FS=MRC</stp>
        <stp>CURRENCY=USD</stp>
        <stp>XLFILL=b</stp>
        <tr r="U3" s="2"/>
      </tp>
      <tp t="s">
        <v>Piper Sandler &amp; Co</v>
        <stp/>
        <stp>##V3_BQLV12</stp>
        <stp>[MODL_CRM_US1.xlsx]Single Period!R3C48</stp>
        <stp>CRM US Equity</stp>
        <stp>LAST(IS_COMP_SALES(FA_ACT_EST_DATA=E, EST_SOURCE=PJE).firm_name)</stp>
        <stp>FPR=2022Y</stp>
        <stp>FPT=A</stp>
        <stp>ACT_EST_MAPPING=PRECISE</stp>
        <stp>FS=MRC</stp>
        <stp>CURRENCY=USD</stp>
        <stp>XLFILL=b</stp>
        <tr r="AV3" s="2"/>
      </tp>
      <tp t="s">
        <v/>
        <stp/>
        <stp>##V3_BQLV12</stp>
        <stp>[MODL_CRM_US1.xlsx]Single Period!R82C44</stp>
        <stp>CRM US Equity</stp>
        <stp>OPERATING_EXPENSES_TO_NET_SALES</stp>
        <stp>FPR=2022Y</stp>
        <stp>FPT=A</stp>
        <stp>FA_ACT_EST_DATA=E, EST_SOURCE=RWB</stp>
        <stp>ACT_EST_MAPPING=PRECISE</stp>
        <stp>FS=MRC</stp>
        <stp>CURRENCY=USD</stp>
        <stp>XLFILL=b</stp>
        <tr r="AR82" s="2"/>
      </tp>
      <tp>
        <v>78.400000000000006</v>
        <stp/>
        <stp>##V3_BQLV12</stp>
        <stp>[MODL_CRM_US1.xlsx]Single Period!R17C22</stp>
        <stp>CRM US Equity</stp>
        <stp>IS_COMP_GROSS_MARGIN_PERCENTAGE</stp>
        <stp>FPR=2022Y</stp>
        <stp>FPT=A</stp>
        <stp>FA_ACT_EST_DATA=E, EST_SOURCE=OPY</stp>
        <stp>ACT_EST_MAPPING=PRECISE</stp>
        <stp>FS=MRC</stp>
        <stp>CURRENCY=USD</stp>
        <stp>XLFILL=b</stp>
        <tr r="V17" s="2"/>
      </tp>
      <tp t="s">
        <v/>
        <stp/>
        <stp>##V3_BQLV12</stp>
        <stp>[MODL_CRM_US1.xlsx]Single Period!R183C38</stp>
        <stp>CRM US Equity</stp>
        <stp>CASH_FLOW_PER_SH</stp>
        <stp>FPR=2022Y</stp>
        <stp>FPT=A</stp>
        <stp>FA_ACT_EST_DATA=E, EST_SOURCE=MSR</stp>
        <stp>ACT_EST_MAPPING=PRECISE</stp>
        <stp>FS=MRC</stp>
        <stp>CURRENCY=USD</stp>
        <stp>XLFILL=b</stp>
        <tr r="AL183" s="2"/>
      </tp>
      <tp>
        <v>78.400000000000006</v>
        <stp/>
        <stp>##V3_BQLV12</stp>
        <stp>[MODL_CRM_US1.xlsx]Single Period!R56C22</stp>
        <stp>CRM US Equity</stp>
        <stp>IS_COMP_GROSS_MARGIN_PERCENTAGE</stp>
        <stp>FPR=2022Y</stp>
        <stp>FPT=A</stp>
        <stp>FA_ACT_EST_DATA=E, EST_SOURCE=OPY</stp>
        <stp>ACT_EST_MAPPING=PRECISE</stp>
        <stp>FS=MRC</stp>
        <stp>CURRENCY=USD</stp>
        <stp>XLFILL=b</stp>
        <tr r="V56" s="2"/>
      </tp>
      <tp>
        <v>79.069213087557301</v>
        <stp/>
        <stp>##V3_BQLV12</stp>
        <stp>[MODL_CRM_US1.xlsx]Single Period!R17C15</stp>
        <stp>CRM US Equity</stp>
        <stp>IS_COMP_GROSS_MARGIN_PERCENTAGE</stp>
        <stp>FPR=2022Y</stp>
        <stp>FPT=A</stp>
        <stp>FA_ACT_EST_DATA=E, EST_SOURCE=MSV</stp>
        <stp>ACT_EST_MAPPING=PRECISE</stp>
        <stp>FS=MRC</stp>
        <stp>CURRENCY=USD</stp>
        <stp>XLFILL=b</stp>
        <tr r="O17" s="2"/>
      </tp>
      <tp t="s">
        <v/>
        <stp/>
        <stp>##V3_BQLV12</stp>
        <stp>[MODL_CRM_US1.xlsx]Single Period!R82C43</stp>
        <stp>CRM US Equity</stp>
        <stp>OPERATING_EXPENSES_TO_NET_SALES</stp>
        <stp>FPR=2022Y</stp>
        <stp>FPT=A</stp>
        <stp>FA_ACT_EST_DATA=E, EST_SOURCE=DWI</stp>
        <stp>ACT_EST_MAPPING=PRECISE</stp>
        <stp>FS=MRC</stp>
        <stp>CURRENCY=USD</stp>
        <stp>XLFILL=b</stp>
        <tr r="AQ82" s="2"/>
      </tp>
      <tp>
        <v>79.069213087557301</v>
        <stp/>
        <stp>##V3_BQLV12</stp>
        <stp>[MODL_CRM_US1.xlsx]Single Period!R56C15</stp>
        <stp>CRM US Equity</stp>
        <stp>IS_COMP_GROSS_MARGIN_PERCENTAGE</stp>
        <stp>FPR=2022Y</stp>
        <stp>FPT=A</stp>
        <stp>FA_ACT_EST_DATA=E, EST_SOURCE=MSV</stp>
        <stp>ACT_EST_MAPPING=PRECISE</stp>
        <stp>FS=MRC</stp>
        <stp>CURRENCY=USD</stp>
        <stp>XLFILL=b</stp>
        <tr r="O56" s="2"/>
      </tp>
      <tp t="s">
        <v/>
        <stp/>
        <stp>##V3_BQLV12</stp>
        <stp>[MODL_CRM_US1.xlsx]Single Period!R165C44</stp>
        <stp>CRM US Equity</stp>
        <stp>CF_CHG_IN_DEFER_UNEARND_REV_ST/1M</stp>
        <stp>FPR=2022Y</stp>
        <stp>FPT=A</stp>
        <stp>FA_ACT_EST_DATA=E, EST_SOURCE=RWB</stp>
        <stp>ACT_EST_MAPPING=PRECISE</stp>
        <stp>FS=MRC</stp>
        <stp>CURRENCY=USD</stp>
        <stp>XLFILL=b</stp>
        <tr r="AR165" s="2"/>
      </tp>
      <tp t="s">
        <v/>
        <stp/>
        <stp>##V3_BQLV12</stp>
        <stp>[MODL_CRM_US1.xlsx]Single Period!R189C41</stp>
        <stp>CRM US Equity</stp>
        <stp>CF_CASH_AND_CASH_EQUIV_BEG_BAL/1M</stp>
        <stp>FPR=2022Y</stp>
        <stp>FPT=A</stp>
        <stp>FA_ACT_EST_DATA=E, EST_SOURCE=GSR</stp>
        <stp>ACT_EST_MAPPING=PRECISE</stp>
        <stp>FS=MRC</stp>
        <stp>CURRENCY=USD</stp>
        <stp>XLFILL=b</stp>
        <tr r="AO189" s="2"/>
      </tp>
      <tp t="s">
        <v/>
        <stp/>
        <stp>##V3_BQLV12</stp>
        <stp>[MODL_CRM_US1.xlsx]Single Period!R189C38</stp>
        <stp>CRM US Equity</stp>
        <stp>CF_CASH_AND_CASH_EQUIV_BEG_BAL/1M</stp>
        <stp>FPR=2022Y</stp>
        <stp>FPT=A</stp>
        <stp>FA_ACT_EST_DATA=E, EST_SOURCE=MSR</stp>
        <stp>ACT_EST_MAPPING=PRECISE</stp>
        <stp>FS=MRC</stp>
        <stp>CURRENCY=USD</stp>
        <stp>XLFILL=b</stp>
        <tr r="AL189" s="2"/>
      </tp>
      <tp>
        <v>6195</v>
        <stp/>
        <stp>##V3_BQLV12</stp>
        <stp>[MODL_CRM_US1.xlsx]Single Period!R189C15</stp>
        <stp>CRM US Equity</stp>
        <stp>CF_CASH_AND_CASH_EQUIV_BEG_BAL/1M</stp>
        <stp>FPR=2022Y</stp>
        <stp>FPT=A</stp>
        <stp>FA_ACT_EST_DATA=E, EST_SOURCE=MSV</stp>
        <stp>ACT_EST_MAPPING=PRECISE</stp>
        <stp>FS=MRC</stp>
        <stp>CURRENCY=USD</stp>
        <stp>XLFILL=b</stp>
        <tr r="O189" s="2"/>
      </tp>
      <tp t="s">
        <v/>
        <stp/>
        <stp>##V3_BQLV12</stp>
        <stp>[MODL_CRM_US1.xlsx]Single Period!R165C43</stp>
        <stp>CRM US Equity</stp>
        <stp>CF_CHG_IN_DEFER_UNEARND_REV_ST/1M</stp>
        <stp>FPR=2022Y</stp>
        <stp>FPT=A</stp>
        <stp>FA_ACT_EST_DATA=E, EST_SOURCE=DWI</stp>
        <stp>ACT_EST_MAPPING=PRECISE</stp>
        <stp>FS=MRC</stp>
        <stp>CURRENCY=USD</stp>
        <stp>XLFILL=b</stp>
        <tr r="AQ165" s="2"/>
      </tp>
      <tp t="s">
        <v/>
        <stp/>
        <stp>##V3_BQLV12</stp>
        <stp>[MODL_CRM_US1.xlsx]Single Period!R105C23</stp>
        <stp>CRM US Equity</stp>
        <stp>IS_AMORT_ACQD_INTANGIBLES_COGS/1M</stp>
        <stp>FPR=2022Y</stp>
        <stp>FPT=A</stp>
        <stp>FA_ACT_EST_DATA=E, EST_SOURCE=JPM</stp>
        <stp>ACT_EST_MAPPING=PRECISE</stp>
        <stp>FS=MRC</stp>
        <stp>CURRENCY=USD</stp>
        <stp>XLFILL=b</stp>
        <tr r="W105" s="2"/>
      </tp>
      <tp t="s">
        <v/>
        <stp/>
        <stp>##V3_BQLV12</stp>
        <stp>[MODL_CRM_US1.xlsx]Single Period!R112C14</stp>
        <stp>CRM US Equity</stp>
        <stp>BS_CASH_NEAR_CASH_ITEM/1M</stp>
        <stp>FPR=2022Y</stp>
        <stp>FPT=A</stp>
        <stp>FA_ACT_EST_DATA=E, EST_SOURCE=SNR</stp>
        <stp>ACT_EST_MAPPING=PRECISE</stp>
        <stp>FS=MRC</stp>
        <stp>CURRENCY=USD</stp>
        <stp>XLFILL=b</stp>
        <tr r="N112" s="2"/>
      </tp>
      <tp t="s">
        <v/>
        <stp/>
        <stp>##V3_BQLV12</stp>
        <stp>[MODL_CRM_US1.xlsx]Single Period!R112C29</stp>
        <stp>CRM US Equity</stp>
        <stp>BS_CASH_NEAR_CASH_ITEM/1M</stp>
        <stp>FPR=2022Y</stp>
        <stp>FPT=A</stp>
        <stp>FA_ACT_EST_DATA=E, EST_SOURCE=BNS</stp>
        <stp>ACT_EST_MAPPING=PRECISE</stp>
        <stp>FS=MRC</stp>
        <stp>CURRENCY=USD</stp>
        <stp>XLFILL=b</stp>
        <tr r="AC112" s="2"/>
      </tp>
      <tp>
        <v>6016</v>
        <stp/>
        <stp>##V3_BQLV12</stp>
        <stp>[MODL_CRM_US1.xlsx]Single Period!R68C7</stp>
        <stp>CRM US Equity</stp>
        <stp>CONTRIBUTOR_STATS(IS_COMP_PTP_EX_STK_BASED_COMP, MAX)/1M</stp>
        <stp>FPR=2022Y</stp>
        <stp>FPT=A</stp>
        <stp>FA_ACT_EST_DATA=E</stp>
        <stp>ACT_EST_MAPPING=PRECISE</stp>
        <stp>FS=MRC</stp>
        <stp>CURRENCY=USD</stp>
        <stp>XLFILL=b</stp>
        <tr r="G68" s="2"/>
      </tp>
      <tp t="s">
        <v/>
        <stp/>
        <stp>##V3_BQLV12</stp>
        <stp>[MODL_CRM_US1.xlsx]Single Period!R165C28</stp>
        <stp>CRM US Equity</stp>
        <stp>CF_CHG_IN_DEFER_UNEARND_REV_ST/1M</stp>
        <stp>FPR=2022Y</stp>
        <stp>FPT=A</stp>
        <stp>FA_ACT_EST_DATA=E, EST_SOURCE=CWN</stp>
        <stp>ACT_EST_MAPPING=PRECISE</stp>
        <stp>FS=MRC</stp>
        <stp>CURRENCY=USD</stp>
        <stp>XLFILL=b</stp>
        <tr r="AB165" s="2"/>
      </tp>
      <tp>
        <v>7844.6291499999998</v>
        <stp/>
        <stp>##V3_BQLV12</stp>
        <stp>[MODL_CRM_US1.xlsx]Single Period!R188C17</stp>
        <stp>CRM US Equity</stp>
        <stp>BS_CASH_NEAR_CASH_ITEM/1M</stp>
        <stp>FPR=2022Y</stp>
        <stp>FPT=A</stp>
        <stp>FA_ACT_EST_DATA=E, EST_SOURCE=NDH</stp>
        <stp>ACT_EST_MAPPING=PRECISE</stp>
        <stp>FS=MRC</stp>
        <stp>CURRENCY=USD</stp>
        <stp>XLFILL=b</stp>
        <tr r="Q188" s="2"/>
      </tp>
      <tp t="s">
        <v/>
        <stp/>
        <stp>##V3_BQLV12</stp>
        <stp>[MODL_CRM_US1.xlsx]Single Period!R189C42</stp>
        <stp>CRM US Equity</stp>
        <stp>CF_CASH_AND_CASH_EQUIV_BEG_BAL/1M</stp>
        <stp>FPR=2022Y</stp>
        <stp>FPT=A</stp>
        <stp>FA_ACT_EST_DATA=E, EST_SOURCE=PSG</stp>
        <stp>ACT_EST_MAPPING=PRECISE</stp>
        <stp>FS=MRC</stp>
        <stp>CURRENCY=USD</stp>
        <stp>XLFILL=b</stp>
        <tr r="AP189" s="2"/>
      </tp>
      <tp t="s">
        <v/>
        <stp/>
        <stp>##V3_BQLV12</stp>
        <stp>[MODL_CRM_US1.xlsx]Single Period!R105C22</stp>
        <stp>CRM US Equity</stp>
        <stp>IS_AMORT_ACQD_INTANGIBLES_COGS/1M</stp>
        <stp>FPR=2022Y</stp>
        <stp>FPT=A</stp>
        <stp>FA_ACT_EST_DATA=E, EST_SOURCE=OPY</stp>
        <stp>ACT_EST_MAPPING=PRECISE</stp>
        <stp>FS=MRC</stp>
        <stp>CURRENCY=USD</stp>
        <stp>XLFILL=b</stp>
        <tr r="V105" s="2"/>
      </tp>
      <tp t="s">
        <v/>
        <stp/>
        <stp>##V3_BQLV12</stp>
        <stp>[MODL_CRM_US1.xlsx]Single Period!R93C48</stp>
        <stp>CRM US Equity</stp>
        <stp>IS_AVG_NUM_SH_FOR_EPS/1M</stp>
        <stp>FPR=2022Y</stp>
        <stp>FPT=A</stp>
        <stp>FA_ACT_EST_DATA=E, EST_SOURCE=PJE</stp>
        <stp>ACT_EST_MAPPING=PRECISE</stp>
        <stp>FS=MRC</stp>
        <stp>CURRENCY=USD</stp>
        <stp>XLFILL=b</stp>
        <tr r="AV93" s="2"/>
      </tp>
      <tp t="s">
        <v/>
        <stp/>
        <stp>##V3_BQLV12</stp>
        <stp>[MODL_CRM_US1.xlsx]Single Period!R102C54</stp>
        <stp>CRM US Equity</stp>
        <stp>IS_SBC_ATT_TO_S_AND_M_PRETX/1M</stp>
        <stp>FPR=2022Y</stp>
        <stp>FPT=A</stp>
        <stp>FA_ACT_EST_DATA=E, EST_SOURCE=ARE</stp>
        <stp>ACT_EST_MAPPING=PRECISE</stp>
        <stp>FS=MRC</stp>
        <stp>CURRENCY=USD</stp>
        <stp>XLFILL=b</stp>
        <tr r="BB102" s="2"/>
      </tp>
      <tp t="s">
        <v/>
        <stp/>
        <stp>##V3_BQLV12</stp>
        <stp>[MODL_CRM_US1.xlsx]Single Period!R114C50</stp>
        <stp>CRM US Equity</stp>
        <stp>BS_ACCTS_REC_EXCL_NOTES_REC/1M</stp>
        <stp>FPR=2022Y</stp>
        <stp>FPT=A</stp>
        <stp>FA_ACT_EST_DATA=E, EST_SOURCE=MZS</stp>
        <stp>ACT_EST_MAPPING=PRECISE</stp>
        <stp>FS=MRC</stp>
        <stp>CURRENCY=USD</stp>
        <stp>XLFILL=b</stp>
        <tr r="AX114" s="2"/>
      </tp>
      <tp t="s">
        <v/>
        <stp/>
        <stp>##V3_BQLV12</stp>
        <stp>[MODL_CRM_US1.xlsx]Single Period!R100C41</stp>
        <stp>CRM US Equity</stp>
        <stp>IS_SBC_ATTRIB_TO_COGS_PRETX/1M</stp>
        <stp>FPR=2022Y</stp>
        <stp>FPT=A</stp>
        <stp>FA_ACT_EST_DATA=E, EST_SOURCE=GSR</stp>
        <stp>ACT_EST_MAPPING=PRECISE</stp>
        <stp>FS=MRC</stp>
        <stp>CURRENCY=USD</stp>
        <stp>XLFILL=b</stp>
        <tr r="AO100" s="2"/>
      </tp>
      <tp t="s">
        <v/>
        <stp/>
        <stp>##V3_BQLV12</stp>
        <stp>[MODL_CRM_US1.xlsx]Single Period!R102C45</stp>
        <stp>CRM US Equity</stp>
        <stp>IS_SBC_ATT_TO_S_AND_M_PRETX/1M</stp>
        <stp>FPR=2022Y</stp>
        <stp>FPT=A</stp>
        <stp>FA_ACT_EST_DATA=E, EST_SOURCE=ARG</stp>
        <stp>ACT_EST_MAPPING=PRECISE</stp>
        <stp>FS=MRC</stp>
        <stp>CURRENCY=USD</stp>
        <stp>XLFILL=b</stp>
        <tr r="AS102" s="2"/>
      </tp>
      <tp t="s">
        <v/>
        <stp/>
        <stp>##V3_BQLV12</stp>
        <stp>[MODL_CRM_US1.xlsx]Single Period!R185C23</stp>
        <stp>CRM US Equity</stp>
        <stp>CF_EFFECT_FOREIGN_EXCHANGES/1M</stp>
        <stp>FPR=2022Y</stp>
        <stp>FPT=A</stp>
        <stp>FA_ACT_EST_DATA=E, EST_SOURCE=JPM</stp>
        <stp>ACT_EST_MAPPING=PRECISE</stp>
        <stp>FS=MRC</stp>
        <stp>CURRENCY=USD</stp>
        <stp>XLFILL=b</stp>
        <tr r="W185" s="2"/>
      </tp>
      <tp>
        <v>26395</v>
        <stp/>
        <stp>##V3_BQLV12</stp>
        <stp>[MODL_CRM_US1.xlsx]Single Period!R52C21</stp>
        <stp>CRM US Equity</stp>
        <stp>IS_COMP_SALES/1M</stp>
        <stp>FPR=2022Y</stp>
        <stp>FPT=A</stp>
        <stp>FA_ACT_EST_DATA=E, EST_SOURCE=RJA</stp>
        <stp>ACT_EST_MAPPING=PRECISE</stp>
        <stp>FS=MRC</stp>
        <stp>CURRENCY=USD</stp>
        <stp>XLFILL=b</stp>
        <tr r="U52" s="2"/>
      </tp>
      <tp>
        <v>415</v>
        <stp/>
        <stp>##V3_BQLV12</stp>
        <stp>[MODL_CRM_US1.xlsx]Single Period!R100C15</stp>
        <stp>CRM US Equity</stp>
        <stp>IS_SBC_ATTRIB_TO_COGS_PRETX/1M</stp>
        <stp>FPR=2022Y</stp>
        <stp>FPT=A</stp>
        <stp>FA_ACT_EST_DATA=E, EST_SOURCE=MSV</stp>
        <stp>ACT_EST_MAPPING=PRECISE</stp>
        <stp>FS=MRC</stp>
        <stp>CURRENCY=USD</stp>
        <stp>XLFILL=b</stp>
        <tr r="O100" s="2"/>
      </tp>
      <tp t="s">
        <v/>
        <stp/>
        <stp>##V3_BQLV12</stp>
        <stp>[MODL_CRM_US1.xlsx]Single Period!R100C38</stp>
        <stp>CRM US Equity</stp>
        <stp>IS_SBC_ATTRIB_TO_COGS_PRETX/1M</stp>
        <stp>FPR=2022Y</stp>
        <stp>FPT=A</stp>
        <stp>FA_ACT_EST_DATA=E, EST_SOURCE=MSR</stp>
        <stp>ACT_EST_MAPPING=PRECISE</stp>
        <stp>FS=MRC</stp>
        <stp>CURRENCY=USD</stp>
        <stp>XLFILL=b</stp>
        <tr r="AL100" s="2"/>
      </tp>
      <tp t="s">
        <v/>
        <stp/>
        <stp>##V3_BQLV12</stp>
        <stp>[MODL_CRM_US1.xlsx]Single Period!R128C23</stp>
        <stp>CRM US Equity</stp>
        <stp>BS_CUR_LIAB/1M</stp>
        <stp>FPR=2022Y</stp>
        <stp>FPT=A</stp>
        <stp>FA_ACT_EST_DATA=E, EST_SOURCE=JPM</stp>
        <stp>ACT_EST_MAPPING=PRECISE</stp>
        <stp>FS=MRC</stp>
        <stp>CURRENCY=USD</stp>
        <stp>XLFILL=b</stp>
        <tr r="W128" s="2"/>
      </tp>
      <tp t="s">
        <v/>
        <stp/>
        <stp>##V3_BQLV12</stp>
        <stp>[MODL_CRM_US1.xlsx]Single Period!R73C36</stp>
        <stp>CRM US Equity</stp>
        <stp>IS_SH_FOR_DILUTED_EPS/1M</stp>
        <stp>FPR=2022Y</stp>
        <stp>FPT=A</stp>
        <stp>FA_ACT_EST_DATA=E, EST_SOURCE=MAC</stp>
        <stp>ACT_EST_MAPPING=PRECISE</stp>
        <stp>FS=MRC</stp>
        <stp>CURRENCY=USD</stp>
        <stp>XLFILL=b</stp>
        <tr r="AJ73" s="2"/>
      </tp>
      <tp t="s">
        <v/>
        <stp/>
        <stp>##V3_BQLV12</stp>
        <stp>[MODL_CRM_US1.xlsx]Single Period!R14C47</stp>
        <stp>CRM US Equity</stp>
        <stp>NON_CURRENT_FUTURE_REV_UNDER_CONTRACT/1M</stp>
        <stp>FPR=2022Y</stp>
        <stp>FPT=A</stp>
        <stp>FA_ACT_EST_DATA=E, EST_SOURCE=WFT</stp>
        <stp>ACT_EST_MAPPING=PRECISE</stp>
        <stp>FS=MRC</stp>
        <stp>CURRENCY=USD</stp>
        <stp>XLFILL=b</stp>
        <tr r="AU14" s="2"/>
      </tp>
      <tp t="s">
        <v/>
        <stp/>
        <stp>##V3_BQLV12</stp>
        <stp>[MODL_CRM_US1.xlsx]Single Period!R146C21</stp>
        <stp>CRM US Equity</stp>
        <stp>CUR_RATIO</stp>
        <stp>FPR=2022Y</stp>
        <stp>FPT=A</stp>
        <stp>FA_ACT_EST_DATA=E, EST_SOURCE=RJA</stp>
        <stp>ACT_EST_MAPPING=PRECISE</stp>
        <stp>FS=MRC</stp>
        <stp>CURRENCY=USD</stp>
        <stp>XLFILL=b</stp>
        <tr r="U146" s="2"/>
      </tp>
      <tp t="s">
        <v/>
        <stp/>
        <stp>##V3_BQLV12</stp>
        <stp>[MODL_CRM_US1.xlsx]Single Period!R110C47</stp>
        <stp>CRM US Equity</stp>
        <stp>BS_CUR_ASSET_REPORT/1M</stp>
        <stp>FPR=2022Y</stp>
        <stp>FPT=A</stp>
        <stp>FA_ACT_EST_DATA=E, EST_SOURCE=WFT</stp>
        <stp>ACT_EST_MAPPING=PRECISE</stp>
        <stp>FS=MRC</stp>
        <stp>CURRENCY=USD</stp>
        <stp>XLFILL=b</stp>
        <tr r="AU110" s="2"/>
      </tp>
      <tp t="s">
        <v/>
        <stp/>
        <stp>##V3_BQLV12</stp>
        <stp>[MODL_CRM_US1.xlsx]Single Period!R94C18</stp>
        <stp>CRM US Equity</stp>
        <stp>IS_SH_FOR_DILUTED_EPS/1M</stp>
        <stp>FPR=2022Y</stp>
        <stp>FPT=A</stp>
        <stp>FA_ACT_EST_DATA=E, EST_SOURCE=CAN</stp>
        <stp>ACT_EST_MAPPING=PRECISE</stp>
        <stp>FS=MRC</stp>
        <stp>CURRENCY=USD</stp>
        <stp>XLFILL=b</stp>
        <tr r="R94" s="2"/>
      </tp>
      <tp t="s">
        <v/>
        <stp/>
        <stp>##V3_BQLV12</stp>
        <stp>[MODL_CRM_US1.xlsx]Single Period!R110C52</stp>
        <stp>CRM US Equity</stp>
        <stp>BS_CUR_ASSET_REPORT/1M</stp>
        <stp>FPR=2022Y</stp>
        <stp>FPT=A</stp>
        <stp>FA_ACT_EST_DATA=E, EST_SOURCE=WFR</stp>
        <stp>ACT_EST_MAPPING=PRECISE</stp>
        <stp>FS=MRC</stp>
        <stp>CURRENCY=USD</stp>
        <stp>XLFILL=b</stp>
        <tr r="AZ110" s="2"/>
      </tp>
      <tp t="s">
        <v/>
        <stp/>
        <stp>##V3_BQLV12</stp>
        <stp>[MODL_CRM_US1.xlsx]Single Period!R146C48</stp>
        <stp>CRM US Equity</stp>
        <stp>CUR_RATIO</stp>
        <stp>FPR=2022Y</stp>
        <stp>FPT=A</stp>
        <stp>FA_ACT_EST_DATA=E, EST_SOURCE=PJE</stp>
        <stp>ACT_EST_MAPPING=PRECISE</stp>
        <stp>FS=MRC</stp>
        <stp>CURRENCY=USD</stp>
        <stp>XLFILL=b</stp>
        <tr r="AV146" s="2"/>
      </tp>
      <tp>
        <v>5771</v>
        <stp/>
        <stp>##V3_BQLV12</stp>
        <stp>[MODL_CRM_US1.xlsx]Single Period!R68C29</stp>
        <stp>CRM US Equity</stp>
        <stp>IS_COMP_PTP_EX_STK_BASED_COMP/1M</stp>
        <stp>FPR=2022Y</stp>
        <stp>FPT=A</stp>
        <stp>FA_ACT_EST_DATA=E, EST_SOURCE=BNS</stp>
        <stp>ACT_EST_MAPPING=PRECISE</stp>
        <stp>FS=MRC</stp>
        <stp>CURRENCY=USD</stp>
        <stp>XLFILL=b</stp>
        <tr r="AC68" s="2"/>
      </tp>
      <tp>
        <v>-255</v>
        <stp/>
        <stp>##V3_BQLV12</stp>
        <stp>[MODL_CRM_US1.xlsx]Single Period!R98C25</stp>
        <stp>CRM US Equity</stp>
        <stp>IS_INC_TAX_EFFECT_NONGAAP_REC/1M</stp>
        <stp>FPR=2022Y</stp>
        <stp>FPT=A</stp>
        <stp>FA_ACT_EST_DATA=E, EST_SOURCE=WMS</stp>
        <stp>ACT_EST_MAPPING=PRECISE</stp>
        <stp>FS=MRC</stp>
        <stp>CURRENCY=USD</stp>
        <stp>XLFILL=b</stp>
        <tr r="Y98" s="2"/>
      </tp>
      <tp t="s">
        <v/>
        <stp/>
        <stp>##V3_BQLV12</stp>
        <stp>[MODL_CRM_US1.xlsx]Single Period!R134C50</stp>
        <stp>CRM US Equity</stp>
        <stp>BS_LT_OPERATING_LEASE_LIABS/1M</stp>
        <stp>FPR=2022Y</stp>
        <stp>FPT=A</stp>
        <stp>FA_ACT_EST_DATA=E, EST_SOURCE=MZS</stp>
        <stp>ACT_EST_MAPPING=PRECISE</stp>
        <stp>FS=MRC</stp>
        <stp>CURRENCY=USD</stp>
        <stp>XLFILL=b</stp>
        <tr r="AX134" s="2"/>
      </tp>
      <tp>
        <v>48103</v>
        <stp/>
        <stp>##V3_BQLV12</stp>
        <stp>[MODL_CRM_US1.xlsx]Single Period!R122C26</stp>
        <stp>CRM US Equity</stp>
        <stp>BS_GOODWILL/1M</stp>
        <stp>FPR=2022Y</stp>
        <stp>FPT=A</stp>
        <stp>FA_ACT_EST_DATA=E, EST_SOURCE=KEY</stp>
        <stp>ACT_EST_MAPPING=PRECISE</stp>
        <stp>FS=MRC</stp>
        <stp>CURRENCY=USD</stp>
        <stp>XLFILL=b</stp>
        <tr r="Z122" s="2"/>
      </tp>
      <tp>
        <v>26395</v>
        <stp/>
        <stp>##V3_BQLV12</stp>
        <stp>[MODL_CRM_US1.xlsx]Single Period!R52C33</stp>
        <stp>CRM US Equity</stp>
        <stp>IS_COMP_SALES/1M</stp>
        <stp>FPR=2022Y</stp>
        <stp>FPT=A</stp>
        <stp>FA_ACT_EST_DATA=E, EST_SOURCE=RHR</stp>
        <stp>ACT_EST_MAPPING=PRECISE</stp>
        <stp>FS=MRC</stp>
        <stp>CURRENCY=USD</stp>
        <stp>XLFILL=b</stp>
        <tr r="AG52" s="2"/>
      </tp>
      <tp t="s">
        <v/>
        <stp/>
        <stp>##V3_BQLV12</stp>
        <stp>[MODL_CRM_US1.xlsx]Single Period!R122C34</stp>
        <stp>CRM US Equity</stp>
        <stp>BS_GOODWILL/1M</stp>
        <stp>FPR=2022Y</stp>
        <stp>FPT=A</stp>
        <stp>FA_ACT_EST_DATA=E, EST_SOURCE=JEF</stp>
        <stp>ACT_EST_MAPPING=PRECISE</stp>
        <stp>FS=MRC</stp>
        <stp>CURRENCY=USD</stp>
        <stp>XLFILL=b</stp>
        <tr r="AH122" s="2"/>
      </tp>
      <tp t="s">
        <v/>
        <stp/>
        <stp>##V3_BQLV12</stp>
        <stp>[MODL_CRM_US1.xlsx]Single Period!R14C30</stp>
        <stp>CRM US Equity</stp>
        <stp>NON_CURRENT_FUTURE_REV_UNDER_CONTRACT/1M</stp>
        <stp>FPR=2022Y</stp>
        <stp>FPT=A</stp>
        <stp>FA_ACT_EST_DATA=E, EST_SOURCE=BAM</stp>
        <stp>ACT_EST_MAPPING=PRECISE</stp>
        <stp>FS=MRC</stp>
        <stp>CURRENCY=USD</stp>
        <stp>XLFILL=b</stp>
        <tr r="AD14" s="2"/>
      </tp>
      <tp t="s">
        <v/>
        <stp/>
        <stp>##V3_BQLV12</stp>
        <stp>[MODL_CRM_US1.xlsx]Single Period!R130C50</stp>
        <stp>CRM US Equity</stp>
        <stp>BS_ST_OPERATING_LEASE_LIABS/1M</stp>
        <stp>FPR=2022Y</stp>
        <stp>FPT=A</stp>
        <stp>FA_ACT_EST_DATA=E, EST_SOURCE=MZS</stp>
        <stp>ACT_EST_MAPPING=PRECISE</stp>
        <stp>FS=MRC</stp>
        <stp>CURRENCY=USD</stp>
        <stp>XLFILL=b</stp>
        <tr r="AX130" s="2"/>
      </tp>
      <tp t="s">
        <v/>
        <stp/>
        <stp>##V3_BQLV12</stp>
        <stp>[MODL_CRM_US1.xlsx]Single Period!R128C22</stp>
        <stp>CRM US Equity</stp>
        <stp>BS_CUR_LIAB/1M</stp>
        <stp>FPR=2022Y</stp>
        <stp>FPT=A</stp>
        <stp>FA_ACT_EST_DATA=E, EST_SOURCE=OPY</stp>
        <stp>ACT_EST_MAPPING=PRECISE</stp>
        <stp>FS=MRC</stp>
        <stp>CURRENCY=USD</stp>
        <stp>XLFILL=b</stp>
        <tr r="V128" s="2"/>
      </tp>
      <tp>
        <v>2.9551025585391608</v>
        <stp/>
        <stp>##V3_BQLV12</stp>
        <stp>[MODL_CRM_US1.xlsx]Single Period!R172C9</stp>
        <stp>CRM US Equity</stp>
        <stp>CONTRIBUTOR_STATS(CAP_EXPEND_TO_SALES, MEDIAN)</stp>
        <stp>FPR=2022Y</stp>
        <stp>FPT=A</stp>
        <stp>FA_ACT_EST_DATA=E</stp>
        <stp>ACT_EST_MAPPING=PRECISE</stp>
        <stp>FS=MRC</stp>
        <stp>CURRENCY=USD</stp>
        <stp>XLFILL=b</stp>
        <tr r="I172" s="2"/>
      </tp>
      <tp t="s">
        <v/>
        <stp/>
        <stp>##V3_BQLV12</stp>
        <stp>[MODL_CRM_US1.xlsx]Single Period!R122C55</stp>
        <stp>CRM US Equity</stp>
        <stp>BS_GOODWILL/1M</stp>
        <stp>FPR=2022Y</stp>
        <stp>FPT=A</stp>
        <stp>FA_ACT_EST_DATA=E, EST_SOURCE=RED</stp>
        <stp>ACT_EST_MAPPING=PRECISE</stp>
        <stp>FS=MRC</stp>
        <stp>CURRENCY=USD</stp>
        <stp>XLFILL=b</stp>
        <tr r="BC122" s="2"/>
      </tp>
      <tp t="s">
        <v/>
        <stp/>
        <stp>##V3_BQLV12</stp>
        <stp>[MODL_CRM_US1.xlsx]Single Period!R93C51</stp>
        <stp>CRM US Equity</stp>
        <stp>IS_AVG_NUM_SH_FOR_EPS/1M</stp>
        <stp>FPR=2022Y</stp>
        <stp>FPT=A</stp>
        <stp>FA_ACT_EST_DATA=E, EST_SOURCE=RCP</stp>
        <stp>ACT_EST_MAPPING=PRECISE</stp>
        <stp>FS=MRC</stp>
        <stp>CURRENCY=USD</stp>
        <stp>XLFILL=b</stp>
        <tr r="AY93" s="2"/>
      </tp>
      <tp t="s">
        <v/>
        <stp/>
        <stp>##V3_BQLV12</stp>
        <stp>[MODL_CRM_US1.xlsx]Single Period!R73C29</stp>
        <stp>CRM US Equity</stp>
        <stp>IS_SH_FOR_DILUTED_EPS/1M</stp>
        <stp>FPR=2022Y</stp>
        <stp>FPT=A</stp>
        <stp>FA_ACT_EST_DATA=E, EST_SOURCE=BNS</stp>
        <stp>ACT_EST_MAPPING=PRECISE</stp>
        <stp>FS=MRC</stp>
        <stp>CURRENCY=USD</stp>
        <stp>XLFILL=b</stp>
        <tr r="AC73" s="2"/>
      </tp>
      <tp t="s">
        <v/>
        <stp/>
        <stp>##V3_BQLV12</stp>
        <stp>[MODL_CRM_US1.xlsx]Single Period!R185C22</stp>
        <stp>CRM US Equity</stp>
        <stp>CF_EFFECT_FOREIGN_EXCHANGES/1M</stp>
        <stp>FPR=2022Y</stp>
        <stp>FPT=A</stp>
        <stp>FA_ACT_EST_DATA=E, EST_SOURCE=OPY</stp>
        <stp>ACT_EST_MAPPING=PRECISE</stp>
        <stp>FS=MRC</stp>
        <stp>CURRENCY=USD</stp>
        <stp>XLFILL=b</stp>
        <tr r="V185" s="2"/>
      </tp>
      <tp t="s">
        <v/>
        <stp/>
        <stp>##V3_BQLV12</stp>
        <stp>[MODL_CRM_US1.xlsx]Single Period!R100C42</stp>
        <stp>CRM US Equity</stp>
        <stp>IS_SBC_ATTRIB_TO_COGS_PRETX/1M</stp>
        <stp>FPR=2022Y</stp>
        <stp>FPT=A</stp>
        <stp>FA_ACT_EST_DATA=E, EST_SOURCE=PSG</stp>
        <stp>ACT_EST_MAPPING=PRECISE</stp>
        <stp>FS=MRC</stp>
        <stp>CURRENCY=USD</stp>
        <stp>XLFILL=b</stp>
        <tr r="AP100" s="2"/>
      </tp>
      <tp t="s">
        <v/>
        <stp/>
        <stp>##V3_BQLV12</stp>
        <stp>[MODL_CRM_US1.xlsx]Single Period!R162C50</stp>
        <stp>CRM US Equity</stp>
        <stp>CF_CHANGE_IN_PREPAID_EXPNSS/1M</stp>
        <stp>FPR=2022Y</stp>
        <stp>FPT=A</stp>
        <stp>FA_ACT_EST_DATA=E, EST_SOURCE=MZS</stp>
        <stp>ACT_EST_MAPPING=PRECISE</stp>
        <stp>FS=MRC</stp>
        <stp>CURRENCY=USD</stp>
        <stp>XLFILL=b</stp>
        <tr r="AX162" s="2"/>
      </tp>
      <tp t="s">
        <v/>
        <stp/>
        <stp>##V3_BQLV12</stp>
        <stp>[MODL_CRM_US1.xlsx]Single Period!R14C34</stp>
        <stp>CRM US Equity</stp>
        <stp>NON_CURRENT_FUTURE_REV_UNDER_CONTRACT/1M</stp>
        <stp>FPR=2022Y</stp>
        <stp>FPT=A</stp>
        <stp>FA_ACT_EST_DATA=E, EST_SOURCE=JEF</stp>
        <stp>ACT_EST_MAPPING=PRECISE</stp>
        <stp>FS=MRC</stp>
        <stp>CURRENCY=USD</stp>
        <stp>XLFILL=b</stp>
        <tr r="AH14" s="2"/>
      </tp>
      <tp>
        <v>5807</v>
        <stp/>
        <stp>##V3_BQLV12</stp>
        <stp>[MODL_CRM_US1.xlsx]Single Period!R68C36</stp>
        <stp>CRM US Equity</stp>
        <stp>IS_COMP_PTP_EX_STK_BASED_COMP/1M</stp>
        <stp>FPR=2022Y</stp>
        <stp>FPT=A</stp>
        <stp>FA_ACT_EST_DATA=E, EST_SOURCE=MAC</stp>
        <stp>ACT_EST_MAPPING=PRECISE</stp>
        <stp>FS=MRC</stp>
        <stp>CURRENCY=USD</stp>
        <stp>XLFILL=b</stp>
        <tr r="AJ68" s="2"/>
      </tp>
      <tp t="s">
        <v/>
        <stp/>
        <stp>##V3_BQLV12</stp>
        <stp>[MODL_CRM_US1.xlsx]Single Period!R85C18</stp>
        <stp>CRM US Equity</stp>
        <stp>CB_IS_S_AND_M_EXPENSE/1M</stp>
        <stp>FPR=2022Y</stp>
        <stp>FPT=A</stp>
        <stp>FA_ACT_EST_DATA=E, EST_SOURCE=CAN</stp>
        <stp>ACT_EST_MAPPING=PRECISE</stp>
        <stp>FS=MRC</stp>
        <stp>CURRENCY=USD</stp>
        <stp>XLFILL=b</stp>
        <tr r="R85" s="2"/>
      </tp>
      <tp>
        <v>1587.1324028252279</v>
        <stp/>
        <stp>##V3_BQLV12</stp>
        <stp>[MODL_CRM_US1.xlsx]Single Period!R119C24</stp>
        <stp>CRM US Equity</stp>
        <stp>CB_BS_OTHER_NONCURRENT_ASSETS/1M</stp>
        <stp>FPR=2022Y</stp>
        <stp>FPT=A</stp>
        <stp>FA_ACT_EST_DATA=E, EST_SOURCE=FBC</stp>
        <stp>ACT_EST_MAPPING=PRECISE</stp>
        <stp>FS=MRC</stp>
        <stp>CURRENCY=USD</stp>
        <stp>XLFILL=b</stp>
        <tr r="X119" s="2"/>
      </tp>
      <tp t="s">
        <v/>
        <stp/>
        <stp>##V3_BQLV12</stp>
        <stp>[MODL_CRM_US1.xlsx]Single Period!R140C36</stp>
        <stp>CRM US Equity</stp>
        <stp>BS_ACCUMULATED_OTHER_COMP_INC/1M</stp>
        <stp>FPR=2022Y</stp>
        <stp>FPT=A</stp>
        <stp>FA_ACT_EST_DATA=E, EST_SOURCE=MAC</stp>
        <stp>ACT_EST_MAPPING=PRECISE</stp>
        <stp>FS=MRC</stp>
        <stp>CURRENCY=USD</stp>
        <stp>XLFILL=b</stp>
        <tr r="AJ140" s="2"/>
      </tp>
      <tp>
        <v>1621.5</v>
        <stp/>
        <stp>##V3_BQLV12</stp>
        <stp>[MODL_CRM_US1.xlsx]Single Period!R65C21</stp>
        <stp>CRM US Equity</stp>
        <stp>IS_AMORT_OF_TOT_INTANG_PRETX/1M</stp>
        <stp>FPR=2022Y</stp>
        <stp>FPT=A</stp>
        <stp>FA_ACT_EST_DATA=E, EST_SOURCE=RJA</stp>
        <stp>ACT_EST_MAPPING=PRECISE</stp>
        <stp>FS=MRC</stp>
        <stp>CURRENCY=USD</stp>
        <stp>XLFILL=b</stp>
        <tr r="U65" s="2"/>
      </tp>
      <tp t="s">
        <v/>
        <stp/>
        <stp>##V3_BQLV12</stp>
        <stp>[MODL_CRM_US1.xlsx]Single Period!R26C22</stp>
        <stp>SEG0000269247 Segment</stp>
        <stp>SALES_REV_TURN/1M</stp>
        <stp>FPR=2022Y</stp>
        <stp>FPT=A</stp>
        <stp>FA_ACT_EST_DATA=E, EST_SOURCE=OPY</stp>
        <stp>ACT_EST_MAPPING=PRECISE</stp>
        <stp>FS=MRC</stp>
        <stp>CURRENCY=USD</stp>
        <stp>XLFILL=b</stp>
        <tr r="V26" s="2"/>
      </tp>
      <tp t="s">
        <v/>
        <stp/>
        <stp>##V3_BQLV12</stp>
        <stp>[MODL_CRM_US1.xlsx]Single Period!R123C56</stp>
        <stp>CRM US Equity</stp>
        <stp>TOT_OPER_LEA_RT_OF_USE_ASSETS/1M</stp>
        <stp>FPR=2022Y</stp>
        <stp>FPT=A</stp>
        <stp>FA_ACT_EST_DATA=E, EST_SOURCE=DIR</stp>
        <stp>ACT_EST_MAPPING=PRECISE</stp>
        <stp>FS=MRC</stp>
        <stp>CURRENCY=USD</stp>
        <stp>XLFILL=b</stp>
        <tr r="BD123" s="2"/>
      </tp>
      <tp t="s">
        <v/>
        <stp/>
        <stp>##V3_BQLV12</stp>
        <stp>[MODL_CRM_US1.xlsx]Single Period!R149C50</stp>
        <stp>CRM US Equity</stp>
        <stp>TOT_FUTURE_REV_UNDER_CONTRACT/1M</stp>
        <stp>FPR=2022Y</stp>
        <stp>FPT=A</stp>
        <stp>FA_ACT_EST_DATA=E, EST_SOURCE=MZS</stp>
        <stp>ACT_EST_MAPPING=PRECISE</stp>
        <stp>FS=MRC</stp>
        <stp>CURRENCY=USD</stp>
        <stp>XLFILL=b</stp>
        <tr r="AX149" s="2"/>
      </tp>
      <tp t="s">
        <v/>
        <stp/>
        <stp>##V3_BQLV12</stp>
        <stp>[MODL_CRM_US1.xlsx]Single Period!R101C17</stp>
        <stp>CRM US Equity</stp>
        <stp>IS_SBC_ATTRIBUTABLE_TO_R_AND_D_PRETX/1M</stp>
        <stp>FPR=2022Y</stp>
        <stp>FPT=A</stp>
        <stp>FA_ACT_EST_DATA=E, EST_SOURCE=NDH</stp>
        <stp>ACT_EST_MAPPING=PRECISE</stp>
        <stp>FS=MRC</stp>
        <stp>CURRENCY=USD</stp>
        <stp>XLFILL=b</stp>
        <tr r="Q101" s="2"/>
      </tp>
      <tp t="s">
        <v/>
        <stp/>
        <stp>##V3_BQLV12</stp>
        <stp>[MODL_CRM_US1.xlsx]Single Period!R151C36</stp>
        <stp>CRM US Equity</stp>
        <stp>NON_CURRENT_FUTURE_REV_UNDER_CONTRACT/1M</stp>
        <stp>FPR=2022Y</stp>
        <stp>FPT=A</stp>
        <stp>FA_ACT_EST_DATA=E, EST_SOURCE=MAC</stp>
        <stp>ACT_EST_MAPPING=PRECISE</stp>
        <stp>FS=MRC</stp>
        <stp>CURRENCY=USD</stp>
        <stp>XLFILL=b</stp>
        <tr r="AJ151" s="2"/>
      </tp>
      <tp t="s">
        <v/>
        <stp/>
        <stp>##V3_BQLV12</stp>
        <stp>[MODL_CRM_US1.xlsx]Single Period!R26C23</stp>
        <stp>SEG0000269247 Segment</stp>
        <stp>SALES_REV_TURN/1M</stp>
        <stp>FPR=2022Y</stp>
        <stp>FPT=A</stp>
        <stp>FA_ACT_EST_DATA=E, EST_SOURCE=JPM</stp>
        <stp>ACT_EST_MAPPING=PRECISE</stp>
        <stp>FS=MRC</stp>
        <stp>CURRENCY=USD</stp>
        <stp>XLFILL=b</stp>
        <tr r="W26" s="2"/>
      </tp>
      <tp t="s">
        <v/>
        <stp/>
        <stp>##V3_BQLV12</stp>
        <stp>[MODL_CRM_US1.xlsx]Single Period!R140C29</stp>
        <stp>CRM US Equity</stp>
        <stp>BS_ACCUMULATED_OTHER_COMP_INC/1M</stp>
        <stp>FPR=2022Y</stp>
        <stp>FPT=A</stp>
        <stp>FA_ACT_EST_DATA=E, EST_SOURCE=BNS</stp>
        <stp>ACT_EST_MAPPING=PRECISE</stp>
        <stp>FS=MRC</stp>
        <stp>CURRENCY=USD</stp>
        <stp>XLFILL=b</stp>
        <tr r="AC140" s="2"/>
      </tp>
      <tp t="s">
        <v/>
        <stp/>
        <stp>##V3_BQLV12</stp>
        <stp>[MODL_CRM_US1.xlsx]Single Period!R123C12</stp>
        <stp>CRM US Equity</stp>
        <stp>TOT_OPER_LEA_RT_OF_USE_ASSETS/1M</stp>
        <stp>FPR=2022Y</stp>
        <stp>FPT=A</stp>
        <stp>FA_ACT_EST_DATA=E, EST_SOURCE=BMO</stp>
        <stp>ACT_EST_MAPPING=PRECISE</stp>
        <stp>FS=MRC</stp>
        <stp>CURRENCY=USD</stp>
        <stp>XLFILL=b</stp>
        <tr r="L123" s="2"/>
      </tp>
      <tp t="s">
        <v/>
        <stp/>
        <stp>##V3_BQLV12</stp>
        <stp>[MODL_CRM_US1.xlsx]Single Period!R32C45</stp>
        <stp>SEG0000269227 Segment</stp>
        <stp>SALES_REV_TURN/1M</stp>
        <stp>FPR=2022Y</stp>
        <stp>FPT=A</stp>
        <stp>FA_ACT_EST_DATA=E, EST_SOURCE=ARG</stp>
        <stp>ACT_EST_MAPPING=PRECISE</stp>
        <stp>FS=MRC</stp>
        <stp>CURRENCY=USD</stp>
        <stp>XLFILL=b</stp>
        <tr r="AS32" s="2"/>
      </tp>
      <tp t="s">
        <v/>
        <stp/>
        <stp>##V3_BQLV12</stp>
        <stp>[MODL_CRM_US1.xlsx]Single Period!R32C54</stp>
        <stp>SEG0000269227 Segment</stp>
        <stp>SALES_REV_TURN/1M</stp>
        <stp>FPR=2022Y</stp>
        <stp>FPT=A</stp>
        <stp>FA_ACT_EST_DATA=E, EST_SOURCE=ARE</stp>
        <stp>ACT_EST_MAPPING=PRECISE</stp>
        <stp>FS=MRC</stp>
        <stp>CURRENCY=USD</stp>
        <stp>XLFILL=b</stp>
        <tr r="BB32" s="2"/>
      </tp>
      <tp t="s">
        <v/>
        <stp/>
        <stp>##V3_BQLV12</stp>
        <stp>[MODL_CRM_US1.xlsx]Single Period!R151C29</stp>
        <stp>CRM US Equity</stp>
        <stp>NON_CURRENT_FUTURE_REV_UNDER_CONTRACT/1M</stp>
        <stp>FPR=2022Y</stp>
        <stp>FPT=A</stp>
        <stp>FA_ACT_EST_DATA=E, EST_SOURCE=BNS</stp>
        <stp>ACT_EST_MAPPING=PRECISE</stp>
        <stp>FS=MRC</stp>
        <stp>CURRENCY=USD</stp>
        <stp>XLFILL=b</stp>
        <tr r="AC151" s="2"/>
      </tp>
      <tp t="s">
        <v/>
        <stp/>
        <stp>##V3_BQLV12</stp>
        <stp>[MODL_CRM_US1.xlsx]Single Period!R17C43</stp>
        <stp>CRM US Equity</stp>
        <stp>IS_COMP_GROSS_MARGIN_PERCENTAGE</stp>
        <stp>FPR=2022Y</stp>
        <stp>FPT=A</stp>
        <stp>FA_ACT_EST_DATA=E, EST_SOURCE=DWI</stp>
        <stp>ACT_EST_MAPPING=PRECISE</stp>
        <stp>FS=MRC</stp>
        <stp>CURRENCY=USD</stp>
        <stp>XLFILL=b</stp>
        <tr r="AQ17" s="2"/>
      </tp>
      <tp>
        <v>72.411097378407476</v>
        <stp/>
        <stp>##V3_BQLV12</stp>
        <stp>[MODL_CRM_US1.xlsx]Single Period!R82C15</stp>
        <stp>CRM US Equity</stp>
        <stp>OPERATING_EXPENSES_TO_NET_SALES</stp>
        <stp>FPR=2022Y</stp>
        <stp>FPT=A</stp>
        <stp>FA_ACT_EST_DATA=E, EST_SOURCE=MSV</stp>
        <stp>ACT_EST_MAPPING=PRECISE</stp>
        <stp>FS=MRC</stp>
        <stp>CURRENCY=USD</stp>
        <stp>XLFILL=b</stp>
        <tr r="O82" s="2"/>
      </tp>
      <tp t="s">
        <v/>
        <stp/>
        <stp>##V3_BQLV12</stp>
        <stp>[MODL_CRM_US1.xlsx]Single Period!R56C43</stp>
        <stp>CRM US Equity</stp>
        <stp>IS_COMP_GROSS_MARGIN_PERCENTAGE</stp>
        <stp>FPR=2022Y</stp>
        <stp>FPT=A</stp>
        <stp>FA_ACT_EST_DATA=E, EST_SOURCE=DWI</stp>
        <stp>ACT_EST_MAPPING=PRECISE</stp>
        <stp>FS=MRC</stp>
        <stp>CURRENCY=USD</stp>
        <stp>XLFILL=b</stp>
        <tr r="AQ56" s="2"/>
      </tp>
      <tp>
        <v>78.3</v>
        <stp/>
        <stp>##V3_BQLV12</stp>
        <stp>[MODL_CRM_US1.xlsx]Single Period!R56C44</stp>
        <stp>CRM US Equity</stp>
        <stp>IS_COMP_GROSS_MARGIN_PERCENTAGE</stp>
        <stp>FPR=2022Y</stp>
        <stp>FPT=A</stp>
        <stp>FA_ACT_EST_DATA=E, EST_SOURCE=RWB</stp>
        <stp>ACT_EST_MAPPING=PRECISE</stp>
        <stp>FS=MRC</stp>
        <stp>CURRENCY=USD</stp>
        <stp>XLFILL=b</stp>
        <tr r="AR56" s="2"/>
      </tp>
      <tp t="s">
        <v/>
        <stp/>
        <stp>##V3_BQLV12</stp>
        <stp>[MODL_CRM_US1.xlsx]Single Period!R82C22</stp>
        <stp>CRM US Equity</stp>
        <stp>OPERATING_EXPENSES_TO_NET_SALES</stp>
        <stp>FPR=2022Y</stp>
        <stp>FPT=A</stp>
        <stp>FA_ACT_EST_DATA=E, EST_SOURCE=OPY</stp>
        <stp>ACT_EST_MAPPING=PRECISE</stp>
        <stp>FS=MRC</stp>
        <stp>CURRENCY=USD</stp>
        <stp>XLFILL=b</stp>
        <tr r="V82" s="2"/>
      </tp>
      <tp>
        <v>78.3</v>
        <stp/>
        <stp>##V3_BQLV12</stp>
        <stp>[MODL_CRM_US1.xlsx]Single Period!R17C44</stp>
        <stp>CRM US Equity</stp>
        <stp>IS_COMP_GROSS_MARGIN_PERCENTAGE</stp>
        <stp>FPR=2022Y</stp>
        <stp>FPT=A</stp>
        <stp>FA_ACT_EST_DATA=E, EST_SOURCE=RWB</stp>
        <stp>ACT_EST_MAPPING=PRECISE</stp>
        <stp>FS=MRC</stp>
        <stp>CURRENCY=USD</stp>
        <stp>XLFILL=b</stp>
        <tr r="AR17" s="2"/>
      </tp>
      <tp t="s">
        <v/>
        <stp/>
        <stp>##V3_BQLV12</stp>
        <stp>[MODL_CRM_US1.xlsx]Single Period!R165C10</stp>
        <stp>CRM US Equity</stp>
        <stp>CF_CHG_IN_DEFER_UNEARND_REV_ST/1M</stp>
        <stp>FPR=2022Y</stp>
        <stp>FPT=A</stp>
        <stp>FA_ACT_EST_DATA=E, EST_SOURCE=CMPY</stp>
        <stp>ACT_EST_MAPPING=PRECISE</stp>
        <stp>FS=MRC</stp>
        <stp>CURRENCY=USD</stp>
        <stp>XLFILL=b</stp>
        <tr r="J165" s="2"/>
      </tp>
      <tp t="s">
        <v/>
        <stp/>
        <stp>##V3_BQLV12</stp>
        <stp>[MODL_CRM_US1.xlsx]Single Period!R183C50</stp>
        <stp>CRM US Equity</stp>
        <stp>CASH_FLOW_PER_SH</stp>
        <stp>FPR=2022Y</stp>
        <stp>FPT=A</stp>
        <stp>FA_ACT_EST_DATA=E, EST_SOURCE=MZS</stp>
        <stp>ACT_EST_MAPPING=PRECISE</stp>
        <stp>FS=MRC</stp>
        <stp>CURRENCY=USD</stp>
        <stp>XLFILL=b</stp>
        <tr r="AX183" s="2"/>
      </tp>
      <tp t="s">
        <v/>
        <stp/>
        <stp>##V3_BQLV12</stp>
        <stp>[MODL_CRM_US1.xlsx]Single Period!R82C23</stp>
        <stp>CRM US Equity</stp>
        <stp>OPERATING_EXPENSES_TO_NET_SALES</stp>
        <stp>FPR=2022Y</stp>
        <stp>FPT=A</stp>
        <stp>FA_ACT_EST_DATA=E, EST_SOURCE=JPM</stp>
        <stp>ACT_EST_MAPPING=PRECISE</stp>
        <stp>FS=MRC</stp>
        <stp>CURRENCY=USD</stp>
        <stp>XLFILL=b</stp>
        <tr r="W82" s="2"/>
      </tp>
      <tp>
        <v>7841.494451247886</v>
        <stp/>
        <stp>##V3_BQLV12</stp>
        <stp>[MODL_CRM_US1.xlsx]Single Period!R188C26</stp>
        <stp>CRM US Equity</stp>
        <stp>BS_CASH_NEAR_CASH_ITEM/1M</stp>
        <stp>FPR=2022Y</stp>
        <stp>FPT=A</stp>
        <stp>FA_ACT_EST_DATA=E, EST_SOURCE=KEY</stp>
        <stp>ACT_EST_MAPPING=PRECISE</stp>
        <stp>FS=MRC</stp>
        <stp>CURRENCY=USD</stp>
        <stp>XLFILL=b</stp>
        <tr r="Z188" s="2"/>
      </tp>
      <tp t="s">
        <v/>
        <stp/>
        <stp>##V3_BQLV12</stp>
        <stp>[MODL_CRM_US1.xlsx]Single Period!R95C52</stp>
        <stp>CRM US Equity</stp>
        <stp>IS_COMP_EPS_GAAP</stp>
        <stp>FPR=2022Y</stp>
        <stp>FPT=A</stp>
        <stp>FA_ACT_EST_DATA=E, EST_SOURCE=WFR</stp>
        <stp>ACT_EST_MAPPING=PRECISE</stp>
        <stp>FS=MRC</stp>
        <stp>CURRENCY=USD</stp>
        <stp>XLFILL=b</stp>
        <tr r="AZ95" s="2"/>
      </tp>
      <tp>
        <v>5548</v>
        <stp/>
        <stp>##V3_BQLV12</stp>
        <stp>[MODL_CRM_US1.xlsx]Single Period!R68C6</stp>
        <stp>CRM US Equity</stp>
        <stp>CONTRIBUTOR_STATS(IS_COMP_PTP_EX_STK_BASED_COMP, MIN)/1M</stp>
        <stp>FPR=2022Y</stp>
        <stp>FPT=A</stp>
        <stp>FA_ACT_EST_DATA=E</stp>
        <stp>ACT_EST_MAPPING=PRECISE</stp>
        <stp>FS=MRC</stp>
        <stp>CURRENCY=USD</stp>
        <stp>XLFILL=b</stp>
        <tr r="F68" s="2"/>
      </tp>
      <tp t="s">
        <v/>
        <stp/>
        <stp>##V3_BQLV12</stp>
        <stp>[MODL_CRM_US1.xlsx]Single Period!R165C37</stp>
        <stp>CRM US Equity</stp>
        <stp>CF_CHG_IN_DEFER_UNEARND_REV_ST/1M</stp>
        <stp>FPR=2022Y</stp>
        <stp>FPT=A</stp>
        <stp>FA_ACT_EST_DATA=E, EST_SOURCE=EVR</stp>
        <stp>ACT_EST_MAPPING=PRECISE</stp>
        <stp>FS=MRC</stp>
        <stp>CURRENCY=USD</stp>
        <stp>XLFILL=b</stp>
        <tr r="AK165" s="2"/>
      </tp>
      <tp t="s">
        <v/>
        <stp/>
        <stp>##V3_BQLV12</stp>
        <stp>[MODL_CRM_US1.xlsx]Single Period!R189C54</stp>
        <stp>CRM US Equity</stp>
        <stp>CF_CASH_AND_CASH_EQUIV_BEG_BAL/1M</stp>
        <stp>FPR=2022Y</stp>
        <stp>FPT=A</stp>
        <stp>FA_ACT_EST_DATA=E, EST_SOURCE=ARE</stp>
        <stp>ACT_EST_MAPPING=PRECISE</stp>
        <stp>FS=MRC</stp>
        <stp>CURRENCY=USD</stp>
        <stp>XLFILL=b</stp>
        <tr r="BB189" s="2"/>
      </tp>
      <tp t="s">
        <v/>
        <stp/>
        <stp>##V3_BQLV12</stp>
        <stp>[MODL_CRM_US1.xlsx]Single Period!R189C45</stp>
        <stp>CRM US Equity</stp>
        <stp>CF_CASH_AND_CASH_EQUIV_BEG_BAL/1M</stp>
        <stp>FPR=2022Y</stp>
        <stp>FPT=A</stp>
        <stp>FA_ACT_EST_DATA=E, EST_SOURCE=ARG</stp>
        <stp>ACT_EST_MAPPING=PRECISE</stp>
        <stp>FS=MRC</stp>
        <stp>CURRENCY=USD</stp>
        <stp>XLFILL=b</stp>
        <tr r="AS189" s="2"/>
      </tp>
      <tp>
        <v>1.28</v>
        <stp/>
        <stp>##V3_BQLV12</stp>
        <stp>[MODL_CRM_US1.xlsx]Single Period!R95C27</stp>
        <stp>CRM US Equity</stp>
        <stp>IS_COMP_EPS_GAAP</stp>
        <stp>FPR=2022Y</stp>
        <stp>FPT=A</stp>
        <stp>FA_ACT_EST_DATA=E, EST_SOURCE=LCM</stp>
        <stp>ACT_EST_MAPPING=PRECISE</stp>
        <stp>FS=MRC</stp>
        <stp>CURRENCY=USD</stp>
        <stp>XLFILL=b</stp>
        <tr r="AA95" s="2"/>
      </tp>
      <tp t="s">
        <v/>
        <stp/>
        <stp>##V3_BQLV12</stp>
        <stp>[MODL_CRM_US1.xlsx]Single Period!R188C34</stp>
        <stp>CRM US Equity</stp>
        <stp>BS_CASH_NEAR_CASH_ITEM/1M</stp>
        <stp>FPR=2022Y</stp>
        <stp>FPT=A</stp>
        <stp>FA_ACT_EST_DATA=E, EST_SOURCE=JEF</stp>
        <stp>ACT_EST_MAPPING=PRECISE</stp>
        <stp>FS=MRC</stp>
        <stp>CURRENCY=USD</stp>
        <stp>XLFILL=b</stp>
        <tr r="AH188" s="2"/>
      </tp>
      <tp t="s">
        <v/>
        <stp/>
        <stp>##V3_BQLV12</stp>
        <stp>[MODL_CRM_US1.xlsx]Single Period!R188C55</stp>
        <stp>CRM US Equity</stp>
        <stp>BS_CASH_NEAR_CASH_ITEM/1M</stp>
        <stp>FPR=2022Y</stp>
        <stp>FPT=A</stp>
        <stp>FA_ACT_EST_DATA=E, EST_SOURCE=RED</stp>
        <stp>ACT_EST_MAPPING=PRECISE</stp>
        <stp>FS=MRC</stp>
        <stp>CURRENCY=USD</stp>
        <stp>XLFILL=b</stp>
        <tr r="BC188" s="2"/>
      </tp>
      <tp>
        <v>1.28</v>
        <stp/>
        <stp>##V3_BQLV12</stp>
        <stp>[MODL_CRM_US1.xlsx]Single Period!R95C16</stp>
        <stp>CRM US Equity</stp>
        <stp>IS_COMP_EPS_GAAP</stp>
        <stp>FPR=2022Y</stp>
        <stp>FPT=A</stp>
        <stp>FA_ACT_EST_DATA=E, EST_SOURCE=DBG</stp>
        <stp>ACT_EST_MAPPING=PRECISE</stp>
        <stp>FS=MRC</stp>
        <stp>CURRENCY=USD</stp>
        <stp>XLFILL=b</stp>
        <tr r="P95" s="2"/>
      </tp>
      <tp>
        <v>26497</v>
        <stp/>
        <stp>##V3_BQLV12</stp>
        <stp>[MODL_CRM_US1.xlsx]Single Period!R52C19</stp>
        <stp>CRM US Equity</stp>
        <stp>IS_COMP_SALES/1M</stp>
        <stp>FPR=2022Y</stp>
        <stp>FPT=A</stp>
        <stp>FA_ACT_EST_DATA=E, EST_SOURCE=SCB</stp>
        <stp>ACT_EST_MAPPING=PRECISE</stp>
        <stp>FS=MRC</stp>
        <stp>CURRENCY=USD</stp>
        <stp>XLFILL=b</stp>
        <tr r="S52" s="2"/>
      </tp>
      <tp>
        <v>2544</v>
        <stp/>
        <stp>##V3_BQLV12</stp>
        <stp>[MODL_CRM_US1.xlsx]Single Period!R85C25</stp>
        <stp>CRM US Equity</stp>
        <stp>CB_IS_S_AND_M_EXPENSE/1M</stp>
        <stp>FPR=2022Y</stp>
        <stp>FPT=A</stp>
        <stp>FA_ACT_EST_DATA=E, EST_SOURCE=WMS</stp>
        <stp>ACT_EST_MAPPING=PRECISE</stp>
        <stp>FS=MRC</stp>
        <stp>CURRENCY=USD</stp>
        <stp>XLFILL=b</stp>
        <tr r="Y85" s="2"/>
      </tp>
      <tp t="s">
        <v/>
        <stp/>
        <stp>##V3_BQLV12</stp>
        <stp>[MODL_CRM_US1.xlsx]Single Period!R102C42</stp>
        <stp>CRM US Equity</stp>
        <stp>IS_SBC_ATT_TO_S_AND_M_PRETX/1M</stp>
        <stp>FPR=2022Y</stp>
        <stp>FPT=A</stp>
        <stp>FA_ACT_EST_DATA=E, EST_SOURCE=PSG</stp>
        <stp>ACT_EST_MAPPING=PRECISE</stp>
        <stp>FS=MRC</stp>
        <stp>CURRENCY=USD</stp>
        <stp>XLFILL=b</stp>
        <tr r="AP102" s="2"/>
      </tp>
      <tp>
        <v>2.989148906427312</v>
        <stp/>
        <stp>##V3_BQLV12</stp>
        <stp>[MODL_CRM_US1.xlsx]Single Period!R172C5</stp>
        <stp>CRM US Equity</stp>
        <stp>CAP_EXPEND_TO_SALES</stp>
        <stp>FPR=2022Y</stp>
        <stp>FPT=A</stp>
        <stp>FA_ACT_EST_DATA=E</stp>
        <stp>ACT_EST_MAPPING=PRECISE</stp>
        <stp>FS=MRC</stp>
        <stp>CURRENCY=USD</stp>
        <stp>XLFILL=b</stp>
        <tr r="E172" s="2"/>
      </tp>
      <tp t="s">
        <v/>
        <stp/>
        <stp>##V3_BQLV12</stp>
        <stp>[MODL_CRM_US1.xlsx]Single Period!R93C40</stp>
        <stp>CRM US Equity</stp>
        <stp>IS_AVG_NUM_SH_FOR_EPS/1M</stp>
        <stp>FPR=2022Y</stp>
        <stp>FPT=A</stp>
        <stp>FA_ACT_EST_DATA=E, EST_SOURCE=ACC</stp>
        <stp>ACT_EST_MAPPING=PRECISE</stp>
        <stp>FS=MRC</stp>
        <stp>CURRENCY=USD</stp>
        <stp>XLFILL=b</stp>
        <tr r="AN93" s="2"/>
      </tp>
      <tp t="s">
        <v/>
        <stp/>
        <stp>##V3_BQLV12</stp>
        <stp>[MODL_CRM_US1.xlsx]Single Period!R93C31</stp>
        <stp>CRM US Equity</stp>
        <stp>IS_AVG_NUM_SH_FOR_EPS/1M</stp>
        <stp>FPR=2022Y</stp>
        <stp>FPT=A</stp>
        <stp>FA_ACT_EST_DATA=E, EST_SOURCE=RBC</stp>
        <stp>ACT_EST_MAPPING=PRECISE</stp>
        <stp>FS=MRC</stp>
        <stp>CURRENCY=USD</stp>
        <stp>XLFILL=b</stp>
        <tr r="AE93" s="2"/>
      </tp>
      <tp>
        <v>977.75</v>
        <stp/>
        <stp>##V3_BQLV12</stp>
        <stp>[MODL_CRM_US1.xlsx]Single Period!R73C24</stp>
        <stp>CRM US Equity</stp>
        <stp>IS_SH_FOR_DILUTED_EPS/1M</stp>
        <stp>FPR=2022Y</stp>
        <stp>FPT=A</stp>
        <stp>FA_ACT_EST_DATA=E, EST_SOURCE=FBC</stp>
        <stp>ACT_EST_MAPPING=PRECISE</stp>
        <stp>FS=MRC</stp>
        <stp>CURRENCY=USD</stp>
        <stp>XLFILL=b</stp>
        <tr r="X73" s="2"/>
      </tp>
      <tp t="s">
        <v/>
        <stp/>
        <stp>##V3_BQLV12</stp>
        <stp>[MODL_CRM_US1.xlsx]Single Period!R93C11</stp>
        <stp>CRM US Equity</stp>
        <stp>IS_AVG_NUM_SH_FOR_EPS/1M</stp>
        <stp>FPR=2022Y</stp>
        <stp>FPT=A</stp>
        <stp>FA_ACT_EST_DATA=E, EST_SOURCE=WBL</stp>
        <stp>ACT_EST_MAPPING=PRECISE</stp>
        <stp>FS=MRC</stp>
        <stp>CURRENCY=USD</stp>
        <stp>XLFILL=b</stp>
        <tr r="K93" s="2"/>
      </tp>
      <tp t="s">
        <v/>
        <stp/>
        <stp>##V3_BQLV12</stp>
        <stp>[MODL_CRM_US1.xlsx]Single Period!R52C53</stp>
        <stp>CRM US Equity</stp>
        <stp>IS_COMP_SALES/1M</stp>
        <stp>FPR=2022Y</stp>
        <stp>FPT=A</stp>
        <stp>FA_ACT_EST_DATA=E, EST_SOURCE=NIK</stp>
        <stp>ACT_EST_MAPPING=PRECISE</stp>
        <stp>FS=MRC</stp>
        <stp>CURRENCY=USD</stp>
        <stp>XLFILL=b</stp>
        <tr r="BA52" s="2"/>
      </tp>
      <tp>
        <v>955.25</v>
        <stp/>
        <stp>##V3_BQLV12</stp>
        <stp>[MODL_CRM_US1.xlsx]Single Period!R93C17</stp>
        <stp>CRM US Equity</stp>
        <stp>IS_AVG_NUM_SH_FOR_EPS/1M</stp>
        <stp>FPR=2022Y</stp>
        <stp>FPT=A</stp>
        <stp>FA_ACT_EST_DATA=E, EST_SOURCE=NDH</stp>
        <stp>ACT_EST_MAPPING=PRECISE</stp>
        <stp>FS=MRC</stp>
        <stp>CURRENCY=USD</stp>
        <stp>XLFILL=b</stp>
        <tr r="Q93" s="2"/>
      </tp>
      <tp t="s">
        <v/>
        <stp/>
        <stp>##V3_BQLV12</stp>
        <stp>[MODL_CRM_US1.xlsx]Single Period!R14C32</stp>
        <stp>CRM US Equity</stp>
        <stp>NON_CURRENT_FUTURE_REV_UNDER_CONTRACT/1M</stp>
        <stp>FPR=2022Y</stp>
        <stp>FPT=A</stp>
        <stp>FA_ACT_EST_DATA=E, EST_SOURCE=UBS</stp>
        <stp>ACT_EST_MAPPING=PRECISE</stp>
        <stp>FS=MRC</stp>
        <stp>CURRENCY=USD</stp>
        <stp>XLFILL=b</stp>
        <tr r="AF14" s="2"/>
      </tp>
      <tp>
        <v>26400</v>
        <stp/>
        <stp>##V3_BQLV12</stp>
        <stp>[MODL_CRM_US1.xlsx]Single Period!R52C14</stp>
        <stp>CRM US Equity</stp>
        <stp>IS_COMP_SALES/1M</stp>
        <stp>FPR=2022Y</stp>
        <stp>FPT=A</stp>
        <stp>FA_ACT_EST_DATA=E, EST_SOURCE=SNR</stp>
        <stp>ACT_EST_MAPPING=PRECISE</stp>
        <stp>FS=MRC</stp>
        <stp>CURRENCY=USD</stp>
        <stp>XLFILL=b</stp>
        <tr r="N52" s="2"/>
      </tp>
      <tp t="s">
        <v/>
        <stp/>
        <stp>##V3_BQLV12</stp>
        <stp>[MODL_CRM_US1.xlsx]Single Period!R98C18</stp>
        <stp>CRM US Equity</stp>
        <stp>IS_INC_TAX_EFFECT_NONGAAP_REC/1M</stp>
        <stp>FPR=2022Y</stp>
        <stp>FPT=A</stp>
        <stp>FA_ACT_EST_DATA=E, EST_SOURCE=CAN</stp>
        <stp>ACT_EST_MAPPING=PRECISE</stp>
        <stp>FS=MRC</stp>
        <stp>CURRENCY=USD</stp>
        <stp>XLFILL=b</stp>
        <tr r="R98" s="2"/>
      </tp>
      <tp t="s">
        <v/>
        <stp/>
        <stp>##V3_BQLV12</stp>
        <stp>[MODL_CRM_US1.xlsx]Single Period!R102C38</stp>
        <stp>CRM US Equity</stp>
        <stp>IS_SBC_ATT_TO_S_AND_M_PRETX/1M</stp>
        <stp>FPR=2022Y</stp>
        <stp>FPT=A</stp>
        <stp>FA_ACT_EST_DATA=E, EST_SOURCE=MSR</stp>
        <stp>ACT_EST_MAPPING=PRECISE</stp>
        <stp>FS=MRC</stp>
        <stp>CURRENCY=USD</stp>
        <stp>XLFILL=b</stp>
        <tr r="AL102" s="2"/>
      </tp>
      <tp>
        <v>955</v>
        <stp/>
        <stp>##V3_BQLV12</stp>
        <stp>[MODL_CRM_US1.xlsx]Single Period!R94C25</stp>
        <stp>CRM US Equity</stp>
        <stp>IS_SH_FOR_DILUTED_EPS/1M</stp>
        <stp>FPR=2022Y</stp>
        <stp>FPT=A</stp>
        <stp>FA_ACT_EST_DATA=E, EST_SOURCE=WMS</stp>
        <stp>ACT_EST_MAPPING=PRECISE</stp>
        <stp>FS=MRC</stp>
        <stp>CURRENCY=USD</stp>
        <stp>XLFILL=b</stp>
        <tr r="Y94" s="2"/>
      </tp>
      <tp t="s">
        <v/>
        <stp/>
        <stp>##V3_BQLV12</stp>
        <stp>[MODL_CRM_US1.xlsx]Single Period!R110C39</stp>
        <stp>CRM US Equity</stp>
        <stp>BS_CUR_ASSET_REPORT/1M</stp>
        <stp>FPR=2022Y</stp>
        <stp>FPT=A</stp>
        <stp>FA_ACT_EST_DATA=E, EST_SOURCE=KGI</stp>
        <stp>ACT_EST_MAPPING=PRECISE</stp>
        <stp>FS=MRC</stp>
        <stp>CURRENCY=USD</stp>
        <stp>XLFILL=b</stp>
        <tr r="AM110" s="2"/>
      </tp>
      <tp t="s">
        <v/>
        <stp/>
        <stp>##V3_BQLV12</stp>
        <stp>[MODL_CRM_US1.xlsx]Single Period!R137C29</stp>
        <stp>CRM US Equity</stp>
        <stp>BS_EQTY_BEFORE_MINORITY_INT/1M</stp>
        <stp>FPR=2022Y</stp>
        <stp>FPT=A</stp>
        <stp>FA_ACT_EST_DATA=E, EST_SOURCE=BNS</stp>
        <stp>ACT_EST_MAPPING=PRECISE</stp>
        <stp>FS=MRC</stp>
        <stp>CURRENCY=USD</stp>
        <stp>XLFILL=b</stp>
        <tr r="AC137" s="2"/>
      </tp>
      <tp t="s">
        <v/>
        <stp/>
        <stp>##V3_BQLV12</stp>
        <stp>[MODL_CRM_US1.xlsx]Single Period!R137C14</stp>
        <stp>CRM US Equity</stp>
        <stp>BS_EQTY_BEFORE_MINORITY_INT/1M</stp>
        <stp>FPR=2022Y</stp>
        <stp>FPT=A</stp>
        <stp>FA_ACT_EST_DATA=E, EST_SOURCE=SNR</stp>
        <stp>ACT_EST_MAPPING=PRECISE</stp>
        <stp>FS=MRC</stp>
        <stp>CURRENCY=USD</stp>
        <stp>XLFILL=b</stp>
        <tr r="N137" s="2"/>
      </tp>
      <tp t="s">
        <v/>
        <stp/>
        <stp>##V3_BQLV12</stp>
        <stp>[MODL_CRM_US1.xlsx]Single Period!R100C54</stp>
        <stp>CRM US Equity</stp>
        <stp>IS_SBC_ATTRIB_TO_COGS_PRETX/1M</stp>
        <stp>FPR=2022Y</stp>
        <stp>FPT=A</stp>
        <stp>FA_ACT_EST_DATA=E, EST_SOURCE=ARE</stp>
        <stp>ACT_EST_MAPPING=PRECISE</stp>
        <stp>FS=MRC</stp>
        <stp>CURRENCY=USD</stp>
        <stp>XLFILL=b</stp>
        <tr r="BB100" s="2"/>
      </tp>
      <tp>
        <v>731.29252543067673</v>
        <stp/>
        <stp>##V3_BQLV12</stp>
        <stp>[MODL_CRM_US1.xlsx]Single Period!R102C15</stp>
        <stp>CRM US Equity</stp>
        <stp>IS_SBC_ATT_TO_S_AND_M_PRETX/1M</stp>
        <stp>FPR=2022Y</stp>
        <stp>FPT=A</stp>
        <stp>FA_ACT_EST_DATA=E, EST_SOURCE=MSV</stp>
        <stp>ACT_EST_MAPPING=PRECISE</stp>
        <stp>FS=MRC</stp>
        <stp>CURRENCY=USD</stp>
        <stp>XLFILL=b</stp>
        <tr r="O102" s="2"/>
      </tp>
      <tp t="s">
        <v/>
        <stp/>
        <stp>##V3_BQLV12</stp>
        <stp>[MODL_CRM_US1.xlsx]Single Period!R100C45</stp>
        <stp>CRM US Equity</stp>
        <stp>IS_SBC_ATTRIB_TO_COGS_PRETX/1M</stp>
        <stp>FPR=2022Y</stp>
        <stp>FPT=A</stp>
        <stp>FA_ACT_EST_DATA=E, EST_SOURCE=ARG</stp>
        <stp>ACT_EST_MAPPING=PRECISE</stp>
        <stp>FS=MRC</stp>
        <stp>CURRENCY=USD</stp>
        <stp>XLFILL=b</stp>
        <tr r="AS100" s="2"/>
      </tp>
      <tp t="s">
        <v/>
        <stp/>
        <stp>##V3_BQLV12</stp>
        <stp>[MODL_CRM_US1.xlsx]Single Period!R102C41</stp>
        <stp>CRM US Equity</stp>
        <stp>IS_SBC_ATT_TO_S_AND_M_PRETX/1M</stp>
        <stp>FPR=2022Y</stp>
        <stp>FPT=A</stp>
        <stp>FA_ACT_EST_DATA=E, EST_SOURCE=GSR</stp>
        <stp>ACT_EST_MAPPING=PRECISE</stp>
        <stp>FS=MRC</stp>
        <stp>CURRENCY=USD</stp>
        <stp>XLFILL=b</stp>
        <tr r="AO102" s="2"/>
      </tp>
      <tp t="s">
        <v/>
        <stp/>
        <stp>##V3_BQLV12</stp>
        <stp>[MODL_CRM_US1.xlsx]Single Period!R14C55</stp>
        <stp>CRM US Equity</stp>
        <stp>NON_CURRENT_FUTURE_REV_UNDER_CONTRACT/1M</stp>
        <stp>FPR=2022Y</stp>
        <stp>FPT=A</stp>
        <stp>FA_ACT_EST_DATA=E, EST_SOURCE=RED</stp>
        <stp>ACT_EST_MAPPING=PRECISE</stp>
        <stp>FS=MRC</stp>
        <stp>CURRENCY=USD</stp>
        <stp>XLFILL=b</stp>
        <tr r="BC14" s="2"/>
      </tp>
      <tp t="s">
        <v/>
        <stp/>
        <stp>##V3_BQLV12</stp>
        <stp>[MODL_CRM_US1.xlsx]Single Period!R110C49</stp>
        <stp>CRM US Equity</stp>
        <stp>BS_CUR_ASSET_REPORT/1M</stp>
        <stp>FPR=2022Y</stp>
        <stp>FPT=A</stp>
        <stp>FA_ACT_EST_DATA=E, EST_SOURCE=SGE</stp>
        <stp>ACT_EST_MAPPING=PRECISE</stp>
        <stp>FS=MRC</stp>
        <stp>CURRENCY=USD</stp>
        <stp>XLFILL=b</stp>
        <tr r="AW110" s="2"/>
      </tp>
      <tp>
        <v>972.51262499999996</v>
        <stp/>
        <stp>##V3_BQLV12</stp>
        <stp>[MODL_CRM_US1.xlsx]Single Period!R93C26</stp>
        <stp>CRM US Equity</stp>
        <stp>IS_AVG_NUM_SH_FOR_EPS/1M</stp>
        <stp>FPR=2022Y</stp>
        <stp>FPT=A</stp>
        <stp>FA_ACT_EST_DATA=E, EST_SOURCE=KEY</stp>
        <stp>ACT_EST_MAPPING=PRECISE</stp>
        <stp>FS=MRC</stp>
        <stp>CURRENCY=USD</stp>
        <stp>XLFILL=b</stp>
        <tr r="Z93" s="2"/>
      </tp>
      <tp>
        <v>47951</v>
        <stp/>
        <stp>##V3_BQLV12</stp>
        <stp>[MODL_CRM_US1.xlsx]Single Period!R122C17</stp>
        <stp>CRM US Equity</stp>
        <stp>BS_GOODWILL/1M</stp>
        <stp>FPR=2022Y</stp>
        <stp>FPT=A</stp>
        <stp>FA_ACT_EST_DATA=E, EST_SOURCE=NDH</stp>
        <stp>ACT_EST_MAPPING=PRECISE</stp>
        <stp>FS=MRC</stp>
        <stp>CURRENCY=USD</stp>
        <stp>XLFILL=b</stp>
        <tr r="Q122" s="2"/>
      </tp>
      <tp t="s">
        <v/>
        <stp/>
        <stp>##V3_BQLV12</stp>
        <stp>[MODL_CRM_US1.xlsx]Single Period!R14C13</stp>
        <stp>CRM US Equity</stp>
        <stp>NON_CURRENT_FUTURE_REV_UNDER_CONTRACT/1M</stp>
        <stp>FPR=2022Y</stp>
        <stp>FPT=A</stp>
        <stp>FA_ACT_EST_DATA=E, EST_SOURCE=BCA</stp>
        <stp>ACT_EST_MAPPING=PRECISE</stp>
        <stp>FS=MRC</stp>
        <stp>CURRENCY=USD</stp>
        <stp>XLFILL=b</stp>
        <tr r="M14" s="2"/>
      </tp>
      <tp>
        <v>5803</v>
        <stp/>
        <stp>##V3_BQLV12</stp>
        <stp>[MODL_CRM_US1.xlsx]Single Period!R68C24</stp>
        <stp>CRM US Equity</stp>
        <stp>IS_COMP_PTP_EX_STK_BASED_COMP/1M</stp>
        <stp>FPR=2022Y</stp>
        <stp>FPT=A</stp>
        <stp>FA_ACT_EST_DATA=E, EST_SOURCE=FBC</stp>
        <stp>ACT_EST_MAPPING=PRECISE</stp>
        <stp>FS=MRC</stp>
        <stp>CURRENCY=USD</stp>
        <stp>XLFILL=b</stp>
        <tr r="X68" s="2"/>
      </tp>
      <tp t="s">
        <v/>
        <stp/>
        <stp>##V3_BQLV12</stp>
        <stp>[MODL_CRM_US1.xlsx]Single Period!R83C29</stp>
        <stp>CRM US Equity</stp>
        <stp>IS_OPEX_R_AND_D_GAAP/1M</stp>
        <stp>FPR=2022Y</stp>
        <stp>FPT=A</stp>
        <stp>FA_ACT_EST_DATA=E, EST_SOURCE=BNS</stp>
        <stp>ACT_EST_MAPPING=PRECISE</stp>
        <stp>FS=MRC</stp>
        <stp>CURRENCY=USD</stp>
        <stp>XLFILL=b</stp>
        <tr r="AC83" s="2"/>
      </tp>
      <tp t="s">
        <v/>
        <stp/>
        <stp>##V3_BQLV12</stp>
        <stp>[MODL_CRM_US1.xlsx]Single Period!R27C22</stp>
        <stp>SEG0000269241 Segment</stp>
        <stp>SALES_REV_TURN/1M</stp>
        <stp>FPR=2022Y</stp>
        <stp>FPT=A</stp>
        <stp>FA_ACT_EST_DATA=E, EST_SOURCE=OPY</stp>
        <stp>ACT_EST_MAPPING=PRECISE</stp>
        <stp>FS=MRC</stp>
        <stp>CURRENCY=USD</stp>
        <stp>XLFILL=b</stp>
        <tr r="V27" s="2"/>
      </tp>
      <tp t="s">
        <v/>
        <stp/>
        <stp>##V3_BQLV12</stp>
        <stp>[MODL_CRM_US1.xlsx]Single Period!R101C39</stp>
        <stp>CRM US Equity</stp>
        <stp>IS_SBC_ATTRIBUTABLE_TO_R_AND_D_PRETX/1M</stp>
        <stp>FPR=2022Y</stp>
        <stp>FPT=A</stp>
        <stp>FA_ACT_EST_DATA=E, EST_SOURCE=KGI</stp>
        <stp>ACT_EST_MAPPING=PRECISE</stp>
        <stp>FS=MRC</stp>
        <stp>CURRENCY=USD</stp>
        <stp>XLFILL=b</stp>
        <tr r="AM101" s="2"/>
      </tp>
      <tp t="s">
        <v/>
        <stp/>
        <stp>##V3_BQLV12</stp>
        <stp>[MODL_CRM_US1.xlsx]Single Period!R119C36</stp>
        <stp>CRM US Equity</stp>
        <stp>CB_BS_OTHER_NONCURRENT_ASSETS/1M</stp>
        <stp>FPR=2022Y</stp>
        <stp>FPT=A</stp>
        <stp>FA_ACT_EST_DATA=E, EST_SOURCE=MAC</stp>
        <stp>ACT_EST_MAPPING=PRECISE</stp>
        <stp>FS=MRC</stp>
        <stp>CURRENCY=USD</stp>
        <stp>XLFILL=b</stp>
        <tr r="AJ119" s="2"/>
      </tp>
      <tp t="s">
        <v/>
        <stp/>
        <stp>##V3_BQLV12</stp>
        <stp>[MODL_CRM_US1.xlsx]Single Period!R140C24</stp>
        <stp>CRM US Equity</stp>
        <stp>BS_ACCUMULATED_OTHER_COMP_INC/1M</stp>
        <stp>FPR=2022Y</stp>
        <stp>FPT=A</stp>
        <stp>FA_ACT_EST_DATA=E, EST_SOURCE=FBC</stp>
        <stp>ACT_EST_MAPPING=PRECISE</stp>
        <stp>FS=MRC</stp>
        <stp>CURRENCY=USD</stp>
        <stp>XLFILL=b</stp>
        <tr r="X140" s="2"/>
      </tp>
      <tp>
        <v>1759.84</v>
        <stp/>
        <stp>##V3_BQLV12</stp>
        <stp>[MODL_CRM_US1.xlsx]Single Period!R32C15</stp>
        <stp>SEG0000269227 Segment</stp>
        <stp>SALES_REV_TURN/1M</stp>
        <stp>FPR=2022Y</stp>
        <stp>FPT=A</stp>
        <stp>FA_ACT_EST_DATA=E, EST_SOURCE=MSV</stp>
        <stp>ACT_EST_MAPPING=PRECISE</stp>
        <stp>FS=MRC</stp>
        <stp>CURRENCY=USD</stp>
        <stp>XLFILL=b</stp>
        <tr r="O32" s="2"/>
      </tp>
      <tp t="s">
        <v/>
        <stp/>
        <stp>##V3_BQLV12</stp>
        <stp>[MODL_CRM_US1.xlsx]Single Period!R10C22</stp>
        <stp>SEG0000269238 Segment</stp>
        <stp>SALES_REV_TURN/1M</stp>
        <stp>FPR=2022Y</stp>
        <stp>FPT=A</stp>
        <stp>FA_ACT_EST_DATA=E, EST_SOURCE=OPY</stp>
        <stp>ACT_EST_MAPPING=PRECISE</stp>
        <stp>FS=MRC</stp>
        <stp>CURRENCY=USD</stp>
        <stp>XLFILL=b</stp>
        <tr r="V10" s="2"/>
      </tp>
      <tp t="s">
        <v/>
        <stp/>
        <stp>##V3_BQLV12</stp>
        <stp>[MODL_CRM_US1.xlsx]Single Period!R64C46</stp>
        <stp>CRM US Equity</stp>
        <stp>IS_COMPARABLE_EBITDA/1M</stp>
        <stp>FPR=2022Y</stp>
        <stp>FPT=A</stp>
        <stp>FA_ACT_EST_DATA=E, EST_SOURCE=CTI</stp>
        <stp>ACT_EST_MAPPING=PRECISE</stp>
        <stp>FS=MRC</stp>
        <stp>CURRENCY=USD</stp>
        <stp>XLFILL=b</stp>
        <tr r="AT64" s="2"/>
      </tp>
      <tp t="s">
        <v/>
        <stp/>
        <stp>##V3_BQLV12</stp>
        <stp>[MODL_CRM_US1.xlsx]Single Period!R32C38</stp>
        <stp>SEG0000269227 Segment</stp>
        <stp>SALES_REV_TURN/1M</stp>
        <stp>FPR=2022Y</stp>
        <stp>FPT=A</stp>
        <stp>FA_ACT_EST_DATA=E, EST_SOURCE=MSR</stp>
        <stp>ACT_EST_MAPPING=PRECISE</stp>
        <stp>FS=MRC</stp>
        <stp>CURRENCY=USD</stp>
        <stp>XLFILL=b</stp>
        <tr r="AL32" s="2"/>
      </tp>
      <tp t="s">
        <v/>
        <stp/>
        <stp>##V3_BQLV12</stp>
        <stp>[MODL_CRM_US1.xlsx]Single Period!R32C41</stp>
        <stp>SEG0000269227 Segment</stp>
        <stp>SALES_REV_TURN/1M</stp>
        <stp>FPR=2022Y</stp>
        <stp>FPT=A</stp>
        <stp>FA_ACT_EST_DATA=E, EST_SOURCE=GSR</stp>
        <stp>ACT_EST_MAPPING=PRECISE</stp>
        <stp>FS=MRC</stp>
        <stp>CURRENCY=USD</stp>
        <stp>XLFILL=b</stp>
        <tr r="AO32" s="2"/>
      </tp>
      <tp t="s">
        <v/>
        <stp/>
        <stp>##V3_BQLV12</stp>
        <stp>[MODL_CRM_US1.xlsx]Single Period!R149C38</stp>
        <stp>CRM US Equity</stp>
        <stp>TOT_FUTURE_REV_UNDER_CONTRACT/1M</stp>
        <stp>FPR=2022Y</stp>
        <stp>FPT=A</stp>
        <stp>FA_ACT_EST_DATA=E, EST_SOURCE=MSR</stp>
        <stp>ACT_EST_MAPPING=PRECISE</stp>
        <stp>FS=MRC</stp>
        <stp>CURRENCY=USD</stp>
        <stp>XLFILL=b</stp>
        <tr r="AL149" s="2"/>
      </tp>
      <tp t="s">
        <v/>
        <stp/>
        <stp>##V3_BQLV12</stp>
        <stp>[MODL_CRM_US1.xlsx]Single Period!R83C56</stp>
        <stp>CRM US Equity</stp>
        <stp>IS_OPEX_R_AND_D_GAAP/1M</stp>
        <stp>FPR=2022Y</stp>
        <stp>FPT=A</stp>
        <stp>FA_ACT_EST_DATA=E, EST_SOURCE=DIR</stp>
        <stp>ACT_EST_MAPPING=PRECISE</stp>
        <stp>FS=MRC</stp>
        <stp>CURRENCY=USD</stp>
        <stp>XLFILL=b</stp>
        <tr r="BD83" s="2"/>
      </tp>
      <tp t="s">
        <v/>
        <stp/>
        <stp>##V3_BQLV12</stp>
        <stp>[MODL_CRM_US1.xlsx]Single Period!R151C24</stp>
        <stp>CRM US Equity</stp>
        <stp>NON_CURRENT_FUTURE_REV_UNDER_CONTRACT/1M</stp>
        <stp>FPR=2022Y</stp>
        <stp>FPT=A</stp>
        <stp>FA_ACT_EST_DATA=E, EST_SOURCE=FBC</stp>
        <stp>ACT_EST_MAPPING=PRECISE</stp>
        <stp>FS=MRC</stp>
        <stp>CURRENCY=USD</stp>
        <stp>XLFILL=b</stp>
        <tr r="X151" s="2"/>
      </tp>
      <tp t="s">
        <v/>
        <stp/>
        <stp>##V3_BQLV12</stp>
        <stp>[MODL_CRM_US1.xlsx]Single Period!R43C46</stp>
        <stp>SEG0000269240 Segment</stp>
        <stp>SALES_REV_TURN/1M</stp>
        <stp>FPR=2022Y</stp>
        <stp>FPT=A</stp>
        <stp>FA_ACT_EST_DATA=E, EST_SOURCE=CTI</stp>
        <stp>ACT_EST_MAPPING=PRECISE</stp>
        <stp>FS=MRC</stp>
        <stp>CURRENCY=USD</stp>
        <stp>XLFILL=b</stp>
        <tr r="AT43" s="2"/>
      </tp>
      <tp t="s">
        <v/>
        <stp/>
        <stp>##V3_BQLV12</stp>
        <stp>[MODL_CRM_US1.xlsx]Single Period!R123C39</stp>
        <stp>CRM US Equity</stp>
        <stp>TOT_OPER_LEA_RT_OF_USE_ASSETS/1M</stp>
        <stp>FPR=2022Y</stp>
        <stp>FPT=A</stp>
        <stp>FA_ACT_EST_DATA=E, EST_SOURCE=KGI</stp>
        <stp>ACT_EST_MAPPING=PRECISE</stp>
        <stp>FS=MRC</stp>
        <stp>CURRENCY=USD</stp>
        <stp>XLFILL=b</stp>
        <tr r="AM123" s="2"/>
      </tp>
      <tp t="s">
        <v/>
        <stp/>
        <stp>##V3_BQLV12</stp>
        <stp>[MODL_CRM_US1.xlsx]Single Period!R119C29</stp>
        <stp>CRM US Equity</stp>
        <stp>CB_BS_OTHER_NONCURRENT_ASSETS/1M</stp>
        <stp>FPR=2022Y</stp>
        <stp>FPT=A</stp>
        <stp>FA_ACT_EST_DATA=E, EST_SOURCE=BNS</stp>
        <stp>ACT_EST_MAPPING=PRECISE</stp>
        <stp>FS=MRC</stp>
        <stp>CURRENCY=USD</stp>
        <stp>XLFILL=b</stp>
        <tr r="AC119" s="2"/>
      </tp>
      <tp t="s">
        <v/>
        <stp/>
        <stp>##V3_BQLV12</stp>
        <stp>[MODL_CRM_US1.xlsx]Single Period!R83C53</stp>
        <stp>CRM US Equity</stp>
        <stp>IS_OPEX_R_AND_D_GAAP/1M</stp>
        <stp>FPR=2022Y</stp>
        <stp>FPT=A</stp>
        <stp>FA_ACT_EST_DATA=E, EST_SOURCE=NIK</stp>
        <stp>ACT_EST_MAPPING=PRECISE</stp>
        <stp>FS=MRC</stp>
        <stp>CURRENCY=USD</stp>
        <stp>XLFILL=b</stp>
        <tr r="BA83" s="2"/>
      </tp>
      <tp t="s">
        <v/>
        <stp/>
        <stp>##V3_BQLV12</stp>
        <stp>[MODL_CRM_US1.xlsx]Single Period!R43C35</stp>
        <stp>SEG0000269240 Segment</stp>
        <stp>SALES_REV_TURN/1M</stp>
        <stp>FPR=2022Y</stp>
        <stp>FPT=A</stp>
        <stp>FA_ACT_EST_DATA=E, EST_SOURCE=ATL</stp>
        <stp>ACT_EST_MAPPING=PRECISE</stp>
        <stp>FS=MRC</stp>
        <stp>CURRENCY=USD</stp>
        <stp>XLFILL=b</stp>
        <tr r="AI43" s="2"/>
      </tp>
      <tp t="s">
        <v/>
        <stp/>
        <stp>##V3_BQLV12</stp>
        <stp>[MODL_CRM_US1.xlsx]Single Period!R27C23</stp>
        <stp>SEG0000269241 Segment</stp>
        <stp>SALES_REV_TURN/1M</stp>
        <stp>FPR=2022Y</stp>
        <stp>FPT=A</stp>
        <stp>FA_ACT_EST_DATA=E, EST_SOURCE=JPM</stp>
        <stp>ACT_EST_MAPPING=PRECISE</stp>
        <stp>FS=MRC</stp>
        <stp>CURRENCY=USD</stp>
        <stp>XLFILL=b</stp>
        <tr r="W27" s="2"/>
      </tp>
      <tp t="s">
        <v/>
        <stp/>
        <stp>##V3_BQLV12</stp>
        <stp>[MODL_CRM_US1.xlsx]Single Period!R83C12</stp>
        <stp>CRM US Equity</stp>
        <stp>IS_OPEX_R_AND_D_GAAP/1M</stp>
        <stp>FPR=2022Y</stp>
        <stp>FPT=A</stp>
        <stp>FA_ACT_EST_DATA=E, EST_SOURCE=BMO</stp>
        <stp>ACT_EST_MAPPING=PRECISE</stp>
        <stp>FS=MRC</stp>
        <stp>CURRENCY=USD</stp>
        <stp>XLFILL=b</stp>
        <tr r="L83" s="2"/>
      </tp>
      <tp t="s">
        <v/>
        <stp/>
        <stp>##V3_BQLV12</stp>
        <stp>[MODL_CRM_US1.xlsx]Single Period!R24C46</stp>
        <stp>SEG0000269238 Segment</stp>
        <stp>SALES_REV_TURN/1M</stp>
        <stp>FPR=2022Y</stp>
        <stp>FPT=A</stp>
        <stp>FA_ACT_EST_DATA=E, EST_SOURCE=CTI</stp>
        <stp>ACT_EST_MAPPING=PRECISE</stp>
        <stp>FS=MRC</stp>
        <stp>CURRENCY=USD</stp>
        <stp>XLFILL=b</stp>
        <tr r="AT24" s="2"/>
      </tp>
      <tp t="s">
        <v/>
        <stp/>
        <stp>##V3_BQLV12</stp>
        <stp>[MODL_CRM_US1.xlsx]Single Period!R32C42</stp>
        <stp>SEG0000269227 Segment</stp>
        <stp>SALES_REV_TURN/1M</stp>
        <stp>FPR=2022Y</stp>
        <stp>FPT=A</stp>
        <stp>FA_ACT_EST_DATA=E, EST_SOURCE=PSG</stp>
        <stp>ACT_EST_MAPPING=PRECISE</stp>
        <stp>FS=MRC</stp>
        <stp>CURRENCY=USD</stp>
        <stp>XLFILL=b</stp>
        <tr r="AP32" s="2"/>
      </tp>
      <tp>
        <v>24564.48</v>
        <stp/>
        <stp>##V3_BQLV12</stp>
        <stp>[MODL_CRM_US1.xlsx]Single Period!R10C23</stp>
        <stp>SEG0000269238 Segment</stp>
        <stp>SALES_REV_TURN/1M</stp>
        <stp>FPR=2022Y</stp>
        <stp>FPT=A</stp>
        <stp>FA_ACT_EST_DATA=E, EST_SOURCE=JPM</stp>
        <stp>ACT_EST_MAPPING=PRECISE</stp>
        <stp>FS=MRC</stp>
        <stp>CURRENCY=USD</stp>
        <stp>XLFILL=b</stp>
        <tr r="W10" s="2"/>
      </tp>
      <tp t="s">
        <v/>
        <stp/>
        <stp>##V3_BQLV12</stp>
        <stp>[MODL_CRM_US1.xlsx]Single Period!R123C49</stp>
        <stp>CRM US Equity</stp>
        <stp>TOT_OPER_LEA_RT_OF_USE_ASSETS/1M</stp>
        <stp>FPR=2022Y</stp>
        <stp>FPT=A</stp>
        <stp>FA_ACT_EST_DATA=E, EST_SOURCE=SGE</stp>
        <stp>ACT_EST_MAPPING=PRECISE</stp>
        <stp>FS=MRC</stp>
        <stp>CURRENCY=USD</stp>
        <stp>XLFILL=b</stp>
        <tr r="AW123" s="2"/>
      </tp>
      <tp t="s">
        <v/>
        <stp/>
        <stp>##V3_BQLV12</stp>
        <stp>[MODL_CRM_US1.xlsx]Single Period!R24C35</stp>
        <stp>SEG0000269238 Segment</stp>
        <stp>SALES_REV_TURN/1M</stp>
        <stp>FPR=2022Y</stp>
        <stp>FPT=A</stp>
        <stp>FA_ACT_EST_DATA=E, EST_SOURCE=ATL</stp>
        <stp>ACT_EST_MAPPING=PRECISE</stp>
        <stp>FS=MRC</stp>
        <stp>CURRENCY=USD</stp>
        <stp>XLFILL=b</stp>
        <tr r="AI24" s="2"/>
      </tp>
      <tp>
        <v>8343</v>
        <stp/>
        <stp>##V3_BQLV12</stp>
        <stp>[MODL_CRM_US1.xlsx]Single Period!R64C38</stp>
        <stp>CRM US Equity</stp>
        <stp>IS_COMPARABLE_EBITDA/1M</stp>
        <stp>FPR=2022Y</stp>
        <stp>FPT=A</stp>
        <stp>FA_ACT_EST_DATA=E, EST_SOURCE=MSR</stp>
        <stp>ACT_EST_MAPPING=PRECISE</stp>
        <stp>FS=MRC</stp>
        <stp>CURRENCY=USD</stp>
        <stp>XLFILL=b</stp>
        <tr r="AL64" s="2"/>
      </tp>
      <tp>
        <v>78.289501915650703</v>
        <stp/>
        <stp>##V3_BQLV12</stp>
        <stp>[MODL_CRM_US1.xlsx]Single Period!R56C12</stp>
        <stp>CRM US Equity</stp>
        <stp>IS_COMP_GROSS_MARGIN_PERCENTAGE</stp>
        <stp>FPR=2022Y</stp>
        <stp>FPT=A</stp>
        <stp>FA_ACT_EST_DATA=E, EST_SOURCE=BMO</stp>
        <stp>ACT_EST_MAPPING=PRECISE</stp>
        <stp>FS=MRC</stp>
        <stp>CURRENCY=USD</stp>
        <stp>XLFILL=b</stp>
        <tr r="L56" s="2"/>
      </tp>
      <tp t="s">
        <v/>
        <stp/>
        <stp>##V3_BQLV12</stp>
        <stp>[MODL_CRM_US1.xlsx]Single Period!R17C53</stp>
        <stp>CRM US Equity</stp>
        <stp>IS_COMP_GROSS_MARGIN_PERCENTAGE</stp>
        <stp>FPR=2022Y</stp>
        <stp>FPT=A</stp>
        <stp>FA_ACT_EST_DATA=E, EST_SOURCE=NIK</stp>
        <stp>ACT_EST_MAPPING=PRECISE</stp>
        <stp>FS=MRC</stp>
        <stp>CURRENCY=USD</stp>
        <stp>XLFILL=b</stp>
        <tr r="BA17" s="2"/>
      </tp>
      <tp>
        <v>78.289501915650703</v>
        <stp/>
        <stp>##V3_BQLV12</stp>
        <stp>[MODL_CRM_US1.xlsx]Single Period!R17C12</stp>
        <stp>CRM US Equity</stp>
        <stp>IS_COMP_GROSS_MARGIN_PERCENTAGE</stp>
        <stp>FPR=2022Y</stp>
        <stp>FPT=A</stp>
        <stp>FA_ACT_EST_DATA=E, EST_SOURCE=BMO</stp>
        <stp>ACT_EST_MAPPING=PRECISE</stp>
        <stp>FS=MRC</stp>
        <stp>CURRENCY=USD</stp>
        <stp>XLFILL=b</stp>
        <tr r="L17" s="2"/>
      </tp>
      <tp t="s">
        <v/>
        <stp/>
        <stp>##V3_BQLV12</stp>
        <stp>[MODL_CRM_US1.xlsx]Single Period!R56C53</stp>
        <stp>CRM US Equity</stp>
        <stp>IS_COMP_GROSS_MARGIN_PERCENTAGE</stp>
        <stp>FPR=2022Y</stp>
        <stp>FPT=A</stp>
        <stp>FA_ACT_EST_DATA=E, EST_SOURCE=NIK</stp>
        <stp>ACT_EST_MAPPING=PRECISE</stp>
        <stp>FS=MRC</stp>
        <stp>CURRENCY=USD</stp>
        <stp>XLFILL=b</stp>
        <tr r="BA56" s="2"/>
      </tp>
      <tp t="s">
        <v>Atlantic Equities</v>
        <stp/>
        <stp>##V3_BQLV12</stp>
        <stp>[MODL_CRM_US1.xlsx]Single Period!R3C35</stp>
        <stp>CRM US Equity</stp>
        <stp>LAST(IS_COMP_SALES(FA_ACT_EST_DATA=E, EST_SOURCE=ATL).firm_name)</stp>
        <stp>FPR=2022Y</stp>
        <stp>FPT=A</stp>
        <stp>ACT_EST_MAPPING=PRECISE</stp>
        <stp>FS=MRC</stp>
        <stp>CURRENCY=USD</stp>
        <stp>XLFILL=b</stp>
        <tr r="AI3" s="2"/>
      </tp>
      <tp t="s">
        <v>Citi</v>
        <stp/>
        <stp>##V3_BQLV12</stp>
        <stp>[MODL_CRM_US1.xlsx]Single Period!R3C46</stp>
        <stp>CRM US Equity</stp>
        <stp>LAST(IS_COMP_SALES(FA_ACT_EST_DATA=E, EST_SOURCE=CTI).firm_name)</stp>
        <stp>FPR=2022Y</stp>
        <stp>FPT=A</stp>
        <stp>ACT_EST_MAPPING=PRECISE</stp>
        <stp>FS=MRC</stp>
        <stp>CURRENCY=USD</stp>
        <stp>XLFILL=b</stp>
        <tr r="AT3" s="2"/>
      </tp>
      <tp>
        <v>78.7</v>
        <stp/>
        <stp>##V3_BQLV12</stp>
        <stp>[MODL_CRM_US1.xlsx]Single Period!R17C29</stp>
        <stp>CRM US Equity</stp>
        <stp>IS_COMP_GROSS_MARGIN_PERCENTAGE</stp>
        <stp>FPR=2022Y</stp>
        <stp>FPT=A</stp>
        <stp>FA_ACT_EST_DATA=E, EST_SOURCE=BNS</stp>
        <stp>ACT_EST_MAPPING=PRECISE</stp>
        <stp>FS=MRC</stp>
        <stp>CURRENCY=USD</stp>
        <stp>XLFILL=b</stp>
        <tr r="AC17" s="2"/>
      </tp>
      <tp>
        <v>78.7</v>
        <stp/>
        <stp>##V3_BQLV12</stp>
        <stp>[MODL_CRM_US1.xlsx]Single Period!R56C29</stp>
        <stp>CRM US Equity</stp>
        <stp>IS_COMP_GROSS_MARGIN_PERCENTAGE</stp>
        <stp>FPR=2022Y</stp>
        <stp>FPT=A</stp>
        <stp>FA_ACT_EST_DATA=E, EST_SOURCE=BNS</stp>
        <stp>ACT_EST_MAPPING=PRECISE</stp>
        <stp>FS=MRC</stp>
        <stp>CURRENCY=USD</stp>
        <stp>XLFILL=b</stp>
        <tr r="AC56" s="2"/>
      </tp>
      <tp t="s">
        <v/>
        <stp/>
        <stp>##V3_BQLV12</stp>
        <stp>[MODL_CRM_US1.xlsx]Single Period!R56C56</stp>
        <stp>CRM US Equity</stp>
        <stp>IS_COMP_GROSS_MARGIN_PERCENTAGE</stp>
        <stp>FPR=2022Y</stp>
        <stp>FPT=A</stp>
        <stp>FA_ACT_EST_DATA=E, EST_SOURCE=DIR</stp>
        <stp>ACT_EST_MAPPING=PRECISE</stp>
        <stp>FS=MRC</stp>
        <stp>CURRENCY=USD</stp>
        <stp>XLFILL=b</stp>
        <tr r="BD56" s="2"/>
      </tp>
      <tp t="s">
        <v/>
        <stp/>
        <stp>##V3_BQLV12</stp>
        <stp>[MODL_CRM_US1.xlsx]Single Period!R17C56</stp>
        <stp>CRM US Equity</stp>
        <stp>IS_COMP_GROSS_MARGIN_PERCENTAGE</stp>
        <stp>FPR=2022Y</stp>
        <stp>FPT=A</stp>
        <stp>FA_ACT_EST_DATA=E, EST_SOURCE=DIR</stp>
        <stp>ACT_EST_MAPPING=PRECISE</stp>
        <stp>FS=MRC</stp>
        <stp>CURRENCY=USD</stp>
        <stp>XLFILL=b</stp>
        <tr r="BD17" s="2"/>
      </tp>
      <tp t="s">
        <v/>
        <stp/>
        <stp>##V3_BQLV12</stp>
        <stp>[MODL_CRM_US1.xlsx]Single Period!R166C36</stp>
        <stp>CRM US Equity</stp>
        <stp>CF_CHANGE_IN_OPER_LEASE_LIBLTS/1M</stp>
        <stp>FPR=2022Y</stp>
        <stp>FPT=A</stp>
        <stp>FA_ACT_EST_DATA=E, EST_SOURCE=MAC</stp>
        <stp>ACT_EST_MAPPING=PRECISE</stp>
        <stp>FS=MRC</stp>
        <stp>CURRENCY=USD</stp>
        <stp>XLFILL=b</stp>
        <tr r="AJ166" s="2"/>
      </tp>
      <tp>
        <v>42500.000000000058</v>
        <stp/>
        <stp>##V3_BQLV12</stp>
        <stp>[MODL_CRM_US1.xlsx]Single Period!R12C7</stp>
        <stp>CRM US Equity</stp>
        <stp>CONTRIBUTOR_STATS(TOT_FUTURE_REV_UNDER_CONTRACT, MAX)/1M</stp>
        <stp>FPR=2022Y</stp>
        <stp>FPT=A</stp>
        <stp>FA_ACT_EST_DATA=E</stp>
        <stp>ACT_EST_MAPPING=PRECISE</stp>
        <stp>FS=MRC</stp>
        <stp>CURRENCY=USD</stp>
        <stp>XLFILL=b</stp>
        <tr r="G12" s="2"/>
      </tp>
      <tp t="s">
        <v/>
        <stp/>
        <stp>##V3_BQLV12</stp>
        <stp>[MODL_CRM_US1.xlsx]Single Period!R189C20</stp>
        <stp>CRM US Equity</stp>
        <stp>CF_CASH_AND_CASH_EQUIV_BEG_BAL/1M</stp>
        <stp>FPR=2022Y</stp>
        <stp>FPT=A</stp>
        <stp>FA_ACT_EST_DATA=E, EST_SOURCE=JMP</stp>
        <stp>ACT_EST_MAPPING=PRECISE</stp>
        <stp>FS=MRC</stp>
        <stp>CURRENCY=USD</stp>
        <stp>XLFILL=b</stp>
        <tr r="T189" s="2"/>
      </tp>
      <tp>
        <v>7643.7961207285334</v>
        <stp/>
        <stp>##V3_BQLV12</stp>
        <stp>[MODL_CRM_US1.xlsx]Single Period!R189C25</stp>
        <stp>CRM US Equity</stp>
        <stp>CF_CASH_AND_CASH_EQUIV_BEG_BAL/1M</stp>
        <stp>FPR=2022Y</stp>
        <stp>FPT=A</stp>
        <stp>FA_ACT_EST_DATA=E, EST_SOURCE=WMS</stp>
        <stp>ACT_EST_MAPPING=PRECISE</stp>
        <stp>FS=MRC</stp>
        <stp>CURRENCY=USD</stp>
        <stp>XLFILL=b</stp>
        <tr r="Y189" s="2"/>
      </tp>
      <tp t="s">
        <v/>
        <stp/>
        <stp>##V3_BQLV12</stp>
        <stp>[MODL_CRM_US1.xlsx]Single Period!R112C22</stp>
        <stp>CRM US Equity</stp>
        <stp>BS_CASH_NEAR_CASH_ITEM/1M</stp>
        <stp>FPR=2022Y</stp>
        <stp>FPT=A</stp>
        <stp>FA_ACT_EST_DATA=E, EST_SOURCE=OPY</stp>
        <stp>ACT_EST_MAPPING=PRECISE</stp>
        <stp>FS=MRC</stp>
        <stp>CURRENCY=USD</stp>
        <stp>XLFILL=b</stp>
        <tr r="V112" s="2"/>
      </tp>
      <tp t="s">
        <v/>
        <stp/>
        <stp>##V3_BQLV12</stp>
        <stp>[MODL_CRM_US1.xlsx]Single Period!R95C38</stp>
        <stp>CRM US Equity</stp>
        <stp>IS_COMP_EPS_GAAP</stp>
        <stp>FPR=2022Y</stp>
        <stp>FPT=A</stp>
        <stp>FA_ACT_EST_DATA=E, EST_SOURCE=MSR</stp>
        <stp>ACT_EST_MAPPING=PRECISE</stp>
        <stp>FS=MRC</stp>
        <stp>CURRENCY=USD</stp>
        <stp>XLFILL=b</stp>
        <tr r="AL95" s="2"/>
      </tp>
      <tp t="s">
        <v/>
        <stp/>
        <stp>##V3_BQLV12</stp>
        <stp>[MODL_CRM_US1.xlsx]Single Period!R165C53</stp>
        <stp>CRM US Equity</stp>
        <stp>CF_CHG_IN_DEFER_UNEARND_REV_ST/1M</stp>
        <stp>FPR=2022Y</stp>
        <stp>FPT=A</stp>
        <stp>FA_ACT_EST_DATA=E, EST_SOURCE=NIK</stp>
        <stp>ACT_EST_MAPPING=PRECISE</stp>
        <stp>FS=MRC</stp>
        <stp>CURRENCY=USD</stp>
        <stp>XLFILL=b</stp>
        <tr r="BA165" s="2"/>
      </tp>
      <tp t="s">
        <v/>
        <stp/>
        <stp>##V3_BQLV12</stp>
        <stp>[MODL_CRM_US1.xlsx]Single Period!R188C50</stp>
        <stp>CRM US Equity</stp>
        <stp>BS_CASH_NEAR_CASH_ITEM/1M</stp>
        <stp>FPR=2022Y</stp>
        <stp>FPT=A</stp>
        <stp>FA_ACT_EST_DATA=E, EST_SOURCE=MZS</stp>
        <stp>ACT_EST_MAPPING=PRECISE</stp>
        <stp>FS=MRC</stp>
        <stp>CURRENCY=USD</stp>
        <stp>XLFILL=b</stp>
        <tr r="AX188" s="2"/>
      </tp>
      <tp t="s">
        <v/>
        <stp/>
        <stp>##V3_BQLV12</stp>
        <stp>[MODL_CRM_US1.xlsx]Single Period!R166C18</stp>
        <stp>CRM US Equity</stp>
        <stp>CF_CHANGE_IN_OPER_LEASE_LIBLTS/1M</stp>
        <stp>FPR=2022Y</stp>
        <stp>FPT=A</stp>
        <stp>FA_ACT_EST_DATA=E, EST_SOURCE=CAN</stp>
        <stp>ACT_EST_MAPPING=PRECISE</stp>
        <stp>FS=MRC</stp>
        <stp>CURRENCY=USD</stp>
        <stp>XLFILL=b</stp>
        <tr r="R166" s="2"/>
      </tp>
      <tp>
        <v>4475.7046370899579</v>
        <stp/>
        <stp>##V3_BQLV12</stp>
        <stp>[MODL_CRM_US1.xlsx]Single Period!R83C9</stp>
        <stp>CRM US Equity</stp>
        <stp>CONTRIBUTOR_STATS(IS_OPEX_R_AND_D_GAAP, MEDIAN)/1M</stp>
        <stp>FPR=2022Y</stp>
        <stp>FPT=A</stp>
        <stp>FA_ACT_EST_DATA=E</stp>
        <stp>ACT_EST_MAPPING=PRECISE</stp>
        <stp>FS=MRC</stp>
        <stp>CURRENCY=USD</stp>
        <stp>XLFILL=b</stp>
        <tr r="I83" s="2"/>
      </tp>
      <tp t="s">
        <v/>
        <stp/>
        <stp>##V3_BQLV12</stp>
        <stp>[MODL_CRM_US1.xlsx]Single Period!R166C30</stp>
        <stp>CRM US Equity</stp>
        <stp>CF_CHANGE_IN_OPER_LEASE_LIBLTS/1M</stp>
        <stp>FPR=2022Y</stp>
        <stp>FPT=A</stp>
        <stp>FA_ACT_EST_DATA=E, EST_SOURCE=BAM</stp>
        <stp>ACT_EST_MAPPING=PRECISE</stp>
        <stp>FS=MRC</stp>
        <stp>CURRENCY=USD</stp>
        <stp>XLFILL=b</stp>
        <tr r="AD166" s="2"/>
      </tp>
      <tp t="s">
        <v/>
        <stp/>
        <stp>##V3_BQLV12</stp>
        <stp>[MODL_CRM_US1.xlsx]Single Period!R188C10</stp>
        <stp>CRM US Equity</stp>
        <stp>BS_CASH_NEAR_CASH_ITEM/1M</stp>
        <stp>FPR=2022Y</stp>
        <stp>FPT=A</stp>
        <stp>FA_ACT_EST_DATA=E, EST_SOURCE=CMPY</stp>
        <stp>ACT_EST_MAPPING=PRECISE</stp>
        <stp>FS=MRC</stp>
        <stp>CURRENCY=USD</stp>
        <stp>XLFILL=b</stp>
        <tr r="J188" s="2"/>
      </tp>
      <tp t="s">
        <v/>
        <stp/>
        <stp>##V3_BQLV12</stp>
        <stp>[MODL_CRM_US1.xlsx]Single Period!R112C10</stp>
        <stp>CRM US Equity</stp>
        <stp>BS_CASH_NEAR_CASH_ITEM/1M</stp>
        <stp>FPR=2022Y</stp>
        <stp>FPT=A</stp>
        <stp>FA_ACT_EST_DATA=E, EST_SOURCE=CMPY</stp>
        <stp>ACT_EST_MAPPING=PRECISE</stp>
        <stp>FS=MRC</stp>
        <stp>CURRENCY=USD</stp>
        <stp>XLFILL=b</stp>
        <tr r="J112" s="2"/>
      </tp>
      <tp t="s">
        <v/>
        <stp/>
        <stp>##V3_BQLV12</stp>
        <stp>[MODL_CRM_US1.xlsx]Single Period!R112C23</stp>
        <stp>CRM US Equity</stp>
        <stp>BS_CASH_NEAR_CASH_ITEM/1M</stp>
        <stp>FPR=2022Y</stp>
        <stp>FPT=A</stp>
        <stp>FA_ACT_EST_DATA=E, EST_SOURCE=JPM</stp>
        <stp>ACT_EST_MAPPING=PRECISE</stp>
        <stp>FS=MRC</stp>
        <stp>CURRENCY=USD</stp>
        <stp>XLFILL=b</stp>
        <tr r="W112" s="2"/>
      </tp>
      <tp t="s">
        <v/>
        <stp/>
        <stp>##V3_BQLV12</stp>
        <stp>[MODL_CRM_US1.xlsx]Single Period!R165C56</stp>
        <stp>CRM US Equity</stp>
        <stp>CF_CHG_IN_DEFER_UNEARND_REV_ST/1M</stp>
        <stp>FPR=2022Y</stp>
        <stp>FPT=A</stp>
        <stp>FA_ACT_EST_DATA=E, EST_SOURCE=DIR</stp>
        <stp>ACT_EST_MAPPING=PRECISE</stp>
        <stp>FS=MRC</stp>
        <stp>CURRENCY=USD</stp>
        <stp>XLFILL=b</stp>
        <tr r="BD165" s="2"/>
      </tp>
      <tp t="s">
        <v/>
        <stp/>
        <stp>##V3_BQLV12</stp>
        <stp>[MODL_CRM_US1.xlsx]Single Period!R105C14</stp>
        <stp>CRM US Equity</stp>
        <stp>IS_AMORT_ACQD_INTANGIBLES_COGS/1M</stp>
        <stp>FPR=2022Y</stp>
        <stp>FPT=A</stp>
        <stp>FA_ACT_EST_DATA=E, EST_SOURCE=SNR</stp>
        <stp>ACT_EST_MAPPING=PRECISE</stp>
        <stp>FS=MRC</stp>
        <stp>CURRENCY=USD</stp>
        <stp>XLFILL=b</stp>
        <tr r="N105" s="2"/>
      </tp>
      <tp t="s">
        <v/>
        <stp/>
        <stp>##V3_BQLV12</stp>
        <stp>[MODL_CRM_US1.xlsx]Single Period!R105C29</stp>
        <stp>CRM US Equity</stp>
        <stp>IS_AMORT_ACQD_INTANGIBLES_COGS/1M</stp>
        <stp>FPR=2022Y</stp>
        <stp>FPT=A</stp>
        <stp>FA_ACT_EST_DATA=E, EST_SOURCE=BNS</stp>
        <stp>ACT_EST_MAPPING=PRECISE</stp>
        <stp>FS=MRC</stp>
        <stp>CURRENCY=USD</stp>
        <stp>XLFILL=b</stp>
        <tr r="AC105" s="2"/>
      </tp>
      <tp t="s">
        <v/>
        <stp/>
        <stp>##V3_BQLV12</stp>
        <stp>[MODL_CRM_US1.xlsx]Single Period!R189C12</stp>
        <stp>CRM US Equity</stp>
        <stp>CF_CASH_AND_CASH_EQUIV_BEG_BAL/1M</stp>
        <stp>FPR=2022Y</stp>
        <stp>FPT=A</stp>
        <stp>FA_ACT_EST_DATA=E, EST_SOURCE=BMO</stp>
        <stp>ACT_EST_MAPPING=PRECISE</stp>
        <stp>FS=MRC</stp>
        <stp>CURRENCY=USD</stp>
        <stp>XLFILL=b</stp>
        <tr r="L189" s="2"/>
      </tp>
      <tp t="s">
        <v/>
        <stp/>
        <stp>##V3_BQLV12</stp>
        <stp>[MODL_CRM_US1.xlsx]Single Period!R146C46</stp>
        <stp>CRM US Equity</stp>
        <stp>CUR_RATIO</stp>
        <stp>FPR=2022Y</stp>
        <stp>FPT=A</stp>
        <stp>FA_ACT_EST_DATA=E, EST_SOURCE=CTI</stp>
        <stp>ACT_EST_MAPPING=PRECISE</stp>
        <stp>FS=MRC</stp>
        <stp>CURRENCY=USD</stp>
        <stp>XLFILL=b</stp>
        <tr r="AT146" s="2"/>
      </tp>
      <tp t="s">
        <v/>
        <stp/>
        <stp>##V3_BQLV12</stp>
        <stp>[MODL_CRM_US1.xlsx]Single Period!R117C52</stp>
        <stp>CRM US Equity</stp>
        <stp>BS_TOTAL_NON_CURRENT_ASSETS/1M</stp>
        <stp>FPR=2022Y</stp>
        <stp>FPT=A</stp>
        <stp>FA_ACT_EST_DATA=E, EST_SOURCE=WFR</stp>
        <stp>ACT_EST_MAPPING=PRECISE</stp>
        <stp>FS=MRC</stp>
        <stp>CURRENCY=USD</stp>
        <stp>XLFILL=b</stp>
        <tr r="AZ117" s="2"/>
      </tp>
      <tp t="s">
        <v/>
        <stp/>
        <stp>##V3_BQLV12</stp>
        <stp>[MODL_CRM_US1.xlsx]Single Period!R12C40</stp>
        <stp>CRM US Equity</stp>
        <stp>TOT_FUTURE_REV_UNDER_CONTRACT/1M</stp>
        <stp>FPR=2022Y</stp>
        <stp>FPT=A</stp>
        <stp>FA_ACT_EST_DATA=E, EST_SOURCE=ACC</stp>
        <stp>ACT_EST_MAPPING=PRECISE</stp>
        <stp>FS=MRC</stp>
        <stp>CURRENCY=USD</stp>
        <stp>XLFILL=b</stp>
        <tr r="AN12" s="2"/>
      </tp>
      <tp t="s">
        <v/>
        <stp/>
        <stp>##V3_BQLV12</stp>
        <stp>[MODL_CRM_US1.xlsx]Single Period!R12C31</stp>
        <stp>CRM US Equity</stp>
        <stp>TOT_FUTURE_REV_UNDER_CONTRACT/1M</stp>
        <stp>FPR=2022Y</stp>
        <stp>FPT=A</stp>
        <stp>FA_ACT_EST_DATA=E, EST_SOURCE=RBC</stp>
        <stp>ACT_EST_MAPPING=PRECISE</stp>
        <stp>FS=MRC</stp>
        <stp>CURRENCY=USD</stp>
        <stp>XLFILL=b</stp>
        <tr r="AE12" s="2"/>
      </tp>
      <tp t="s">
        <v/>
        <stp/>
        <stp>##V3_BQLV12</stp>
        <stp>[MODL_CRM_US1.xlsx]Single Period!R132C16</stp>
        <stp>CRM US Equity</stp>
        <stp>BS_ADJ_TOTAL_LT_LIABILITIES/1M</stp>
        <stp>FPR=2022Y</stp>
        <stp>FPT=A</stp>
        <stp>FA_ACT_EST_DATA=E, EST_SOURCE=DBG</stp>
        <stp>ACT_EST_MAPPING=PRECISE</stp>
        <stp>FS=MRC</stp>
        <stp>CURRENCY=USD</stp>
        <stp>XLFILL=b</stp>
        <tr r="P132" s="2"/>
      </tp>
      <tp t="s">
        <v/>
        <stp/>
        <stp>##V3_BQLV12</stp>
        <stp>[MODL_CRM_US1.xlsx]Single Period!R63C40</stp>
        <stp>CRM US Equity</stp>
        <stp>CF_DEPR_AMORT/1M</stp>
        <stp>FPR=2022Y</stp>
        <stp>FPT=A</stp>
        <stp>FA_ACT_EST_DATA=E, EST_SOURCE=ACC</stp>
        <stp>ACT_EST_MAPPING=PRECISE</stp>
        <stp>FS=MRC</stp>
        <stp>CURRENCY=USD</stp>
        <stp>XLFILL=b</stp>
        <tr r="AN63" s="2"/>
      </tp>
      <tp t="s">
        <v/>
        <stp/>
        <stp>##V3_BQLV12</stp>
        <stp>[MODL_CRM_US1.xlsx]Single Period!R63C31</stp>
        <stp>CRM US Equity</stp>
        <stp>CF_DEPR_AMORT/1M</stp>
        <stp>FPR=2022Y</stp>
        <stp>FPT=A</stp>
        <stp>FA_ACT_EST_DATA=E, EST_SOURCE=RBC</stp>
        <stp>ACT_EST_MAPPING=PRECISE</stp>
        <stp>FS=MRC</stp>
        <stp>CURRENCY=USD</stp>
        <stp>XLFILL=b</stp>
        <tr r="AE63" s="2"/>
      </tp>
      <tp>
        <v>15745</v>
        <stp/>
        <stp>##V3_BQLV12</stp>
        <stp>[MODL_CRM_US1.xlsx]Single Period!R132C24</stp>
        <stp>CRM US Equity</stp>
        <stp>BS_ADJ_TOTAL_LT_LIABILITIES/1M</stp>
        <stp>FPR=2022Y</stp>
        <stp>FPT=A</stp>
        <stp>FA_ACT_EST_DATA=E, EST_SOURCE=FBC</stp>
        <stp>ACT_EST_MAPPING=PRECISE</stp>
        <stp>FS=MRC</stp>
        <stp>CURRENCY=USD</stp>
        <stp>XLFILL=b</stp>
        <tr r="X132" s="2"/>
      </tp>
      <tp t="s">
        <v/>
        <stp/>
        <stp>##V3_BQLV12</stp>
        <stp>[MODL_CRM_US1.xlsx]Single Period!R94C45</stp>
        <stp>CRM US Equity</stp>
        <stp>IS_SH_FOR_DILUTED_EPS/1M</stp>
        <stp>FPR=2022Y</stp>
        <stp>FPT=A</stp>
        <stp>FA_ACT_EST_DATA=E, EST_SOURCE=ARG</stp>
        <stp>ACT_EST_MAPPING=PRECISE</stp>
        <stp>FS=MRC</stp>
        <stp>CURRENCY=USD</stp>
        <stp>XLFILL=b</stp>
        <tr r="AS94" s="2"/>
      </tp>
      <tp>
        <v>328</v>
        <stp/>
        <stp>##V3_BQLV12</stp>
        <stp>[MODL_CRM_US1.xlsx]Single Period!R100C25</stp>
        <stp>CRM US Equity</stp>
        <stp>IS_SBC_ATTRIB_TO_COGS_PRETX/1M</stp>
        <stp>FPR=2022Y</stp>
        <stp>FPT=A</stp>
        <stp>FA_ACT_EST_DATA=E, EST_SOURCE=WMS</stp>
        <stp>ACT_EST_MAPPING=PRECISE</stp>
        <stp>FS=MRC</stp>
        <stp>CURRENCY=USD</stp>
        <stp>XLFILL=b</stp>
        <tr r="Y100" s="2"/>
      </tp>
      <tp t="s">
        <v/>
        <stp/>
        <stp>##V3_BQLV12</stp>
        <stp>[MODL_CRM_US1.xlsx]Single Period!R132C31</stp>
        <stp>CRM US Equity</stp>
        <stp>BS_ADJ_TOTAL_LT_LIABILITIES/1M</stp>
        <stp>FPR=2022Y</stp>
        <stp>FPT=A</stp>
        <stp>FA_ACT_EST_DATA=E, EST_SOURCE=RBC</stp>
        <stp>ACT_EST_MAPPING=PRECISE</stp>
        <stp>FS=MRC</stp>
        <stp>CURRENCY=USD</stp>
        <stp>XLFILL=b</stp>
        <tr r="AE132" s="2"/>
      </tp>
      <tp t="s">
        <v/>
        <stp/>
        <stp>##V3_BQLV12</stp>
        <stp>[MODL_CRM_US1.xlsx]Single Period!R146C35</stp>
        <stp>CRM US Equity</stp>
        <stp>CUR_RATIO</stp>
        <stp>FPR=2022Y</stp>
        <stp>FPT=A</stp>
        <stp>FA_ACT_EST_DATA=E, EST_SOURCE=ATL</stp>
        <stp>ACT_EST_MAPPING=PRECISE</stp>
        <stp>FS=MRC</stp>
        <stp>CURRENCY=USD</stp>
        <stp>XLFILL=b</stp>
        <tr r="AI146" s="2"/>
      </tp>
      <tp>
        <v>400</v>
        <stp/>
        <stp>##V3_BQLV12</stp>
        <stp>[MODL_CRM_US1.xlsx]Single Period!R100C20</stp>
        <stp>CRM US Equity</stp>
        <stp>IS_SBC_ATTRIB_TO_COGS_PRETX/1M</stp>
        <stp>FPR=2022Y</stp>
        <stp>FPT=A</stp>
        <stp>FA_ACT_EST_DATA=E, EST_SOURCE=JMP</stp>
        <stp>ACT_EST_MAPPING=PRECISE</stp>
        <stp>FS=MRC</stp>
        <stp>CURRENCY=USD</stp>
        <stp>XLFILL=b</stp>
        <tr r="T100" s="2"/>
      </tp>
      <tp t="s">
        <v/>
        <stp/>
        <stp>##V3_BQLV12</stp>
        <stp>[MODL_CRM_US1.xlsx]Single Period!R117C47</stp>
        <stp>CRM US Equity</stp>
        <stp>BS_TOTAL_NON_CURRENT_ASSETS/1M</stp>
        <stp>FPR=2022Y</stp>
        <stp>FPT=A</stp>
        <stp>FA_ACT_EST_DATA=E, EST_SOURCE=WFT</stp>
        <stp>ACT_EST_MAPPING=PRECISE</stp>
        <stp>FS=MRC</stp>
        <stp>CURRENCY=USD</stp>
        <stp>XLFILL=b</stp>
        <tr r="AU117" s="2"/>
      </tp>
      <tp>
        <v>291.8769999999999</v>
        <stp/>
        <stp>##V3_BQLV12</stp>
        <stp>[MODL_CRM_US1.xlsx]Single Period!R162C17</stp>
        <stp>CRM US Equity</stp>
        <stp>CF_CHANGE_IN_PREPAID_EXPNSS/1M</stp>
        <stp>FPR=2022Y</stp>
        <stp>FPT=A</stp>
        <stp>FA_ACT_EST_DATA=E, EST_SOURCE=NDH</stp>
        <stp>ACT_EST_MAPPING=PRECISE</stp>
        <stp>FS=MRC</stp>
        <stp>CURRENCY=USD</stp>
        <stp>XLFILL=b</stp>
        <tr r="Q162" s="2"/>
      </tp>
      <tp>
        <v>-410.77468318014581</v>
        <stp/>
        <stp>##V3_BQLV12</stp>
        <stp>[MODL_CRM_US1.xlsx]Single Period!R98C15</stp>
        <stp>CRM US Equity</stp>
        <stp>IS_INC_TAX_EFFECT_NONGAAP_REC/1M</stp>
        <stp>FPR=2022Y</stp>
        <stp>FPT=A</stp>
        <stp>FA_ACT_EST_DATA=E, EST_SOURCE=MSV</stp>
        <stp>ACT_EST_MAPPING=PRECISE</stp>
        <stp>FS=MRC</stp>
        <stp>CURRENCY=USD</stp>
        <stp>XLFILL=b</stp>
        <tr r="O98" s="2"/>
      </tp>
      <tp t="s">
        <v/>
        <stp/>
        <stp>##V3_BQLV12</stp>
        <stp>[MODL_CRM_US1.xlsx]Single Period!R132C11</stp>
        <stp>CRM US Equity</stp>
        <stp>BS_ADJ_TOTAL_LT_LIABILITIES/1M</stp>
        <stp>FPR=2022Y</stp>
        <stp>FPT=A</stp>
        <stp>FA_ACT_EST_DATA=E, EST_SOURCE=WBL</stp>
        <stp>ACT_EST_MAPPING=PRECISE</stp>
        <stp>FS=MRC</stp>
        <stp>CURRENCY=USD</stp>
        <stp>XLFILL=b</stp>
        <tr r="K132" s="2"/>
      </tp>
      <tp t="s">
        <v/>
        <stp/>
        <stp>##V3_BQLV12</stp>
        <stp>[MODL_CRM_US1.xlsx]Single Period!R12C17</stp>
        <stp>CRM US Equity</stp>
        <stp>TOT_FUTURE_REV_UNDER_CONTRACT/1M</stp>
        <stp>FPR=2022Y</stp>
        <stp>FPT=A</stp>
        <stp>FA_ACT_EST_DATA=E, EST_SOURCE=NDH</stp>
        <stp>ACT_EST_MAPPING=PRECISE</stp>
        <stp>FS=MRC</stp>
        <stp>CURRENCY=USD</stp>
        <stp>XLFILL=b</stp>
        <tr r="Q12" s="2"/>
      </tp>
      <tp t="s">
        <v/>
        <stp/>
        <stp>##V3_BQLV12</stp>
        <stp>[MODL_CRM_US1.xlsx]Single Period!R63C11</stp>
        <stp>CRM US Equity</stp>
        <stp>CF_DEPR_AMORT/1M</stp>
        <stp>FPR=2022Y</stp>
        <stp>FPT=A</stp>
        <stp>FA_ACT_EST_DATA=E, EST_SOURCE=WBL</stp>
        <stp>ACT_EST_MAPPING=PRECISE</stp>
        <stp>FS=MRC</stp>
        <stp>CURRENCY=USD</stp>
        <stp>XLFILL=b</stp>
        <tr r="K63" s="2"/>
      </tp>
      <tp t="s">
        <v/>
        <stp/>
        <stp>##V3_BQLV12</stp>
        <stp>[MODL_CRM_US1.xlsx]Single Period!R12C11</stp>
        <stp>CRM US Equity</stp>
        <stp>TOT_FUTURE_REV_UNDER_CONTRACT/1M</stp>
        <stp>FPR=2022Y</stp>
        <stp>FPT=A</stp>
        <stp>FA_ACT_EST_DATA=E, EST_SOURCE=WBL</stp>
        <stp>ACT_EST_MAPPING=PRECISE</stp>
        <stp>FS=MRC</stp>
        <stp>CURRENCY=USD</stp>
        <stp>XLFILL=b</stp>
        <tr r="K12" s="2"/>
      </tp>
      <tp>
        <v>688</v>
        <stp/>
        <stp>##V3_BQLV12</stp>
        <stp>[MODL_CRM_US1.xlsx]Single Period!R130C17</stp>
        <stp>CRM US Equity</stp>
        <stp>BS_ST_OPERATING_LEASE_LIABS/1M</stp>
        <stp>FPR=2022Y</stp>
        <stp>FPT=A</stp>
        <stp>FA_ACT_EST_DATA=E, EST_SOURCE=NDH</stp>
        <stp>ACT_EST_MAPPING=PRECISE</stp>
        <stp>FS=MRC</stp>
        <stp>CURRENCY=USD</stp>
        <stp>XLFILL=b</stp>
        <tr r="Q130" s="2"/>
      </tp>
      <tp>
        <v>3166.12</v>
        <stp/>
        <stp>##V3_BQLV12</stp>
        <stp>[MODL_CRM_US1.xlsx]Single Period!R63C17</stp>
        <stp>CRM US Equity</stp>
        <stp>CF_DEPR_AMORT/1M</stp>
        <stp>FPR=2022Y</stp>
        <stp>FPT=A</stp>
        <stp>FA_ACT_EST_DATA=E, EST_SOURCE=NDH</stp>
        <stp>ACT_EST_MAPPING=PRECISE</stp>
        <stp>FS=MRC</stp>
        <stp>CURRENCY=USD</stp>
        <stp>XLFILL=b</stp>
        <tr r="Q63" s="2"/>
      </tp>
      <tp>
        <v>2722</v>
        <stp/>
        <stp>##V3_BQLV12</stp>
        <stp>[MODL_CRM_US1.xlsx]Single Period!R134C17</stp>
        <stp>CRM US Equity</stp>
        <stp>BS_LT_OPERATING_LEASE_LIABS/1M</stp>
        <stp>FPR=2022Y</stp>
        <stp>FPT=A</stp>
        <stp>FA_ACT_EST_DATA=E, EST_SOURCE=NDH</stp>
        <stp>ACT_EST_MAPPING=PRECISE</stp>
        <stp>FS=MRC</stp>
        <stp>CURRENCY=USD</stp>
        <stp>XLFILL=b</stp>
        <tr r="Q134" s="2"/>
      </tp>
      <tp t="s">
        <v/>
        <stp/>
        <stp>##V3_BQLV12</stp>
        <stp>[MODL_CRM_US1.xlsx]Single Period!R131C36</stp>
        <stp>CRM US Equity</stp>
        <stp>ST_DEFERRED_REVENUE/1M</stp>
        <stp>FPR=2022Y</stp>
        <stp>FPT=A</stp>
        <stp>FA_ACT_EST_DATA=E, EST_SOURCE=MAC</stp>
        <stp>ACT_EST_MAPPING=PRECISE</stp>
        <stp>FS=MRC</stp>
        <stp>CURRENCY=USD</stp>
        <stp>XLFILL=b</stp>
        <tr r="AJ131" s="2"/>
      </tp>
      <tp t="s">
        <v/>
        <stp/>
        <stp>##V3_BQLV12</stp>
        <stp>[MODL_CRM_US1.xlsx]Single Period!R14C28</stp>
        <stp>CRM US Equity</stp>
        <stp>NON_CURRENT_FUTURE_REV_UNDER_CONTRACT/1M</stp>
        <stp>FPR=2022Y</stp>
        <stp>FPT=A</stp>
        <stp>FA_ACT_EST_DATA=E, EST_SOURCE=CWN</stp>
        <stp>ACT_EST_MAPPING=PRECISE</stp>
        <stp>FS=MRC</stp>
        <stp>CURRENCY=USD</stp>
        <stp>XLFILL=b</stp>
        <tr r="AB14" s="2"/>
      </tp>
      <tp t="s">
        <v/>
        <stp/>
        <stp>##V3_BQLV12</stp>
        <stp>[MODL_CRM_US1.xlsx]Single Period!R85C45</stp>
        <stp>CRM US Equity</stp>
        <stp>CB_IS_S_AND_M_EXPENSE/1M</stp>
        <stp>FPR=2022Y</stp>
        <stp>FPT=A</stp>
        <stp>FA_ACT_EST_DATA=E, EST_SOURCE=ARG</stp>
        <stp>ACT_EST_MAPPING=PRECISE</stp>
        <stp>FS=MRC</stp>
        <stp>CURRENCY=USD</stp>
        <stp>XLFILL=b</stp>
        <tr r="AS85" s="2"/>
      </tp>
      <tp t="s">
        <v/>
        <stp/>
        <stp>##V3_BQLV12</stp>
        <stp>[MODL_CRM_US1.xlsx]Single Period!R132C32</stp>
        <stp>CRM US Equity</stp>
        <stp>BS_ADJ_TOTAL_LT_LIABILITIES/1M</stp>
        <stp>FPR=2022Y</stp>
        <stp>FPT=A</stp>
        <stp>FA_ACT_EST_DATA=E, EST_SOURCE=UBS</stp>
        <stp>ACT_EST_MAPPING=PRECISE</stp>
        <stp>FS=MRC</stp>
        <stp>CURRENCY=USD</stp>
        <stp>XLFILL=b</stp>
        <tr r="AF132" s="2"/>
      </tp>
      <tp>
        <v>41876</v>
        <stp/>
        <stp>##V3_BQLV12</stp>
        <stp>[MODL_CRM_US1.xlsx]Single Period!R12C26</stp>
        <stp>CRM US Equity</stp>
        <stp>TOT_FUTURE_REV_UNDER_CONTRACT/1M</stp>
        <stp>FPR=2022Y</stp>
        <stp>FPT=A</stp>
        <stp>FA_ACT_EST_DATA=E, EST_SOURCE=KEY</stp>
        <stp>ACT_EST_MAPPING=PRECISE</stp>
        <stp>FS=MRC</stp>
        <stp>CURRENCY=USD</stp>
        <stp>XLFILL=b</stp>
        <tr r="Z12" s="2"/>
      </tp>
      <tp t="s">
        <v/>
        <stp/>
        <stp>##V3_BQLV12</stp>
        <stp>[MODL_CRM_US1.xlsx]Single Period!R128C14</stp>
        <stp>CRM US Equity</stp>
        <stp>BS_CUR_LIAB/1M</stp>
        <stp>FPR=2022Y</stp>
        <stp>FPT=A</stp>
        <stp>FA_ACT_EST_DATA=E, EST_SOURCE=SNR</stp>
        <stp>ACT_EST_MAPPING=PRECISE</stp>
        <stp>FS=MRC</stp>
        <stp>CURRENCY=USD</stp>
        <stp>XLFILL=b</stp>
        <tr r="N128" s="2"/>
      </tp>
      <tp t="s">
        <v/>
        <stp/>
        <stp>##V3_BQLV12</stp>
        <stp>[MODL_CRM_US1.xlsx]Single Period!R100C12</stp>
        <stp>CRM US Equity</stp>
        <stp>IS_SBC_ATTRIB_TO_COGS_PRETX/1M</stp>
        <stp>FPR=2022Y</stp>
        <stp>FPT=A</stp>
        <stp>FA_ACT_EST_DATA=E, EST_SOURCE=BMO</stp>
        <stp>ACT_EST_MAPPING=PRECISE</stp>
        <stp>FS=MRC</stp>
        <stp>CURRENCY=USD</stp>
        <stp>XLFILL=b</stp>
        <tr r="L100" s="2"/>
      </tp>
      <tp t="s">
        <v/>
        <stp/>
        <stp>##V3_BQLV12</stp>
        <stp>[MODL_CRM_US1.xlsx]Single Period!R98C54</stp>
        <stp>CRM US Equity</stp>
        <stp>IS_INC_TAX_EFFECT_NONGAAP_REC/1M</stp>
        <stp>FPR=2022Y</stp>
        <stp>FPT=A</stp>
        <stp>FA_ACT_EST_DATA=E, EST_SOURCE=ARE</stp>
        <stp>ACT_EST_MAPPING=PRECISE</stp>
        <stp>FS=MRC</stp>
        <stp>CURRENCY=USD</stp>
        <stp>XLFILL=b</stp>
        <tr r="BB98" s="2"/>
      </tp>
      <tp t="s">
        <v/>
        <stp/>
        <stp>##V3_BQLV12</stp>
        <stp>[MODL_CRM_US1.xlsx]Single Period!R128C29</stp>
        <stp>CRM US Equity</stp>
        <stp>BS_CUR_LIAB/1M</stp>
        <stp>FPR=2022Y</stp>
        <stp>FPT=A</stp>
        <stp>FA_ACT_EST_DATA=E, EST_SOURCE=BNS</stp>
        <stp>ACT_EST_MAPPING=PRECISE</stp>
        <stp>FS=MRC</stp>
        <stp>CURRENCY=USD</stp>
        <stp>XLFILL=b</stp>
        <tr r="AC128" s="2"/>
      </tp>
      <tp t="s">
        <v/>
        <stp/>
        <stp>##V3_BQLV12</stp>
        <stp>[MODL_CRM_US1.xlsx]Single Period!R185C29</stp>
        <stp>CRM US Equity</stp>
        <stp>CF_EFFECT_FOREIGN_EXCHANGES/1M</stp>
        <stp>FPR=2022Y</stp>
        <stp>FPT=A</stp>
        <stp>FA_ACT_EST_DATA=E, EST_SOURCE=BNS</stp>
        <stp>ACT_EST_MAPPING=PRECISE</stp>
        <stp>FS=MRC</stp>
        <stp>CURRENCY=USD</stp>
        <stp>XLFILL=b</stp>
        <tr r="AC185" s="2"/>
      </tp>
      <tp>
        <v>2835.6001919583332</v>
        <stp/>
        <stp>##V3_BQLV12</stp>
        <stp>[MODL_CRM_US1.xlsx]Single Period!R63C26</stp>
        <stp>CRM US Equity</stp>
        <stp>CF_DEPR_AMORT/1M</stp>
        <stp>FPR=2022Y</stp>
        <stp>FPT=A</stp>
        <stp>FA_ACT_EST_DATA=E, EST_SOURCE=KEY</stp>
        <stp>ACT_EST_MAPPING=PRECISE</stp>
        <stp>FS=MRC</stp>
        <stp>CURRENCY=USD</stp>
        <stp>XLFILL=b</stp>
        <tr r="Z63" s="2"/>
      </tp>
      <tp t="s">
        <v/>
        <stp/>
        <stp>##V3_BQLV12</stp>
        <stp>[MODL_CRM_US1.xlsx]Single Period!R131C18</stp>
        <stp>CRM US Equity</stp>
        <stp>ST_DEFERRED_REVENUE/1M</stp>
        <stp>FPR=2022Y</stp>
        <stp>FPT=A</stp>
        <stp>FA_ACT_EST_DATA=E, EST_SOURCE=CAN</stp>
        <stp>ACT_EST_MAPPING=PRECISE</stp>
        <stp>FS=MRC</stp>
        <stp>CURRENCY=USD</stp>
        <stp>XLFILL=b</stp>
        <tr r="R131" s="2"/>
      </tp>
      <tp t="s">
        <v/>
        <stp/>
        <stp>##V3_BQLV12</stp>
        <stp>[MODL_CRM_US1.xlsx]Single Period!R185C14</stp>
        <stp>CRM US Equity</stp>
        <stp>CF_EFFECT_FOREIGN_EXCHANGES/1M</stp>
        <stp>FPR=2022Y</stp>
        <stp>FPT=A</stp>
        <stp>FA_ACT_EST_DATA=E, EST_SOURCE=SNR</stp>
        <stp>ACT_EST_MAPPING=PRECISE</stp>
        <stp>FS=MRC</stp>
        <stp>CURRENCY=USD</stp>
        <stp>XLFILL=b</stp>
        <tr r="N185" s="2"/>
      </tp>
      <tp>
        <v>9398.2849999999999</v>
        <stp/>
        <stp>##V3_BQLV12</stp>
        <stp>[MODL_CRM_US1.xlsx]Single Period!R114C17</stp>
        <stp>CRM US Equity</stp>
        <stp>BS_ACCTS_REC_EXCL_NOTES_REC/1M</stp>
        <stp>FPR=2022Y</stp>
        <stp>FPT=A</stp>
        <stp>FA_ACT_EST_DATA=E, EST_SOURCE=NDH</stp>
        <stp>ACT_EST_MAPPING=PRECISE</stp>
        <stp>FS=MRC</stp>
        <stp>CURRENCY=USD</stp>
        <stp>XLFILL=b</stp>
        <tr r="Q114" s="2"/>
      </tp>
      <tp t="s">
        <v/>
        <stp/>
        <stp>##V3_BQLV12</stp>
        <stp>[MODL_CRM_US1.xlsx]Single Period!R131C30</stp>
        <stp>CRM US Equity</stp>
        <stp>ST_DEFERRED_REVENUE/1M</stp>
        <stp>FPR=2022Y</stp>
        <stp>FPT=A</stp>
        <stp>FA_ACT_EST_DATA=E, EST_SOURCE=BAM</stp>
        <stp>ACT_EST_MAPPING=PRECISE</stp>
        <stp>FS=MRC</stp>
        <stp>CURRENCY=USD</stp>
        <stp>XLFILL=b</stp>
        <tr r="AD131" s="2"/>
      </tp>
      <tp t="s">
        <v/>
        <stp/>
        <stp>##V3_BQLV12</stp>
        <stp>[MODL_CRM_US1.xlsx]Single Period!R48C52</stp>
        <stp>SEG0000269229 Segment</stp>
        <stp>SALES_REV_TURN/1M</stp>
        <stp>FPR=2022Y</stp>
        <stp>FPT=A</stp>
        <stp>FA_ACT_EST_DATA=E, EST_SOURCE=WFR</stp>
        <stp>ACT_EST_MAPPING=PRECISE</stp>
        <stp>FS=MRC</stp>
        <stp>CURRENCY=USD</stp>
        <stp>XLFILL=b</stp>
        <tr r="AZ48" s="2"/>
      </tp>
      <tp t="s">
        <v/>
        <stp/>
        <stp>##V3_BQLV12</stp>
        <stp>[MODL_CRM_US1.xlsx]Single Period!R38C52</stp>
        <stp>SEG0000269228 Segment</stp>
        <stp>SALES_REV_TURN/1M</stp>
        <stp>FPR=2022Y</stp>
        <stp>FPT=A</stp>
        <stp>FA_ACT_EST_DATA=E, EST_SOURCE=WFR</stp>
        <stp>ACT_EST_MAPPING=PRECISE</stp>
        <stp>FS=MRC</stp>
        <stp>CURRENCY=USD</stp>
        <stp>XLFILL=b</stp>
        <tr r="AZ38" s="2"/>
      </tp>
      <tp t="s">
        <v/>
        <stp/>
        <stp>##V3_BQLV12</stp>
        <stp>[MODL_CRM_US1.xlsx]Single Period!R65C45</stp>
        <stp>CRM US Equity</stp>
        <stp>IS_AMORT_OF_TOT_INTANG_PRETX/1M</stp>
        <stp>FPR=2022Y</stp>
        <stp>FPT=A</stp>
        <stp>FA_ACT_EST_DATA=E, EST_SOURCE=ARG</stp>
        <stp>ACT_EST_MAPPING=PRECISE</stp>
        <stp>FS=MRC</stp>
        <stp>CURRENCY=USD</stp>
        <stp>XLFILL=b</stp>
        <tr r="AS65" s="2"/>
      </tp>
      <tp t="s">
        <v/>
        <stp/>
        <stp>##V3_BQLV12</stp>
        <stp>[MODL_CRM_US1.xlsx]Single Period!R48C47</stp>
        <stp>SEG0000269229 Segment</stp>
        <stp>SALES_REV_TURN/1M</stp>
        <stp>FPR=2022Y</stp>
        <stp>FPT=A</stp>
        <stp>FA_ACT_EST_DATA=E, EST_SOURCE=WFT</stp>
        <stp>ACT_EST_MAPPING=PRECISE</stp>
        <stp>FS=MRC</stp>
        <stp>CURRENCY=USD</stp>
        <stp>XLFILL=b</stp>
        <tr r="AU48" s="2"/>
      </tp>
      <tp t="s">
        <v/>
        <stp/>
        <stp>##V3_BQLV12</stp>
        <stp>[MODL_CRM_US1.xlsx]Single Period!R38C47</stp>
        <stp>SEG0000269228 Segment</stp>
        <stp>SALES_REV_TURN/1M</stp>
        <stp>FPR=2022Y</stp>
        <stp>FPT=A</stp>
        <stp>FA_ACT_EST_DATA=E, EST_SOURCE=WFT</stp>
        <stp>ACT_EST_MAPPING=PRECISE</stp>
        <stp>FS=MRC</stp>
        <stp>CURRENCY=USD</stp>
        <stp>XLFILL=b</stp>
        <tr r="AU38" s="2"/>
      </tp>
      <tp t="s">
        <v/>
        <stp/>
        <stp>##V3_BQLV12</stp>
        <stp>[MODL_CRM_US1.xlsx]Single Period!R156C51</stp>
        <stp>CRM US Equity</stp>
        <stp>CF_DEPR_AMORT/1M</stp>
        <stp>FPR=2022Y</stp>
        <stp>FPT=A</stp>
        <stp>FA_ACT_EST_DATA=E, EST_SOURCE=RCP</stp>
        <stp>ACT_EST_MAPPING=PRECISE</stp>
        <stp>FS=MRC</stp>
        <stp>CURRENCY=USD</stp>
        <stp>XLFILL=b</stp>
        <tr r="AY156" s="2"/>
      </tp>
      <tp t="s">
        <v/>
        <stp/>
        <stp>##V3_BQLV12</stp>
        <stp>[MODL_CRM_US1.xlsx]Single Period!R29C52</stp>
        <stp>SEG0000269233 Segment</stp>
        <stp>SALES_REV_TURN/1M</stp>
        <stp>FPR=2022Y</stp>
        <stp>FPT=A</stp>
        <stp>FA_ACT_EST_DATA=E, EST_SOURCE=WFR</stp>
        <stp>ACT_EST_MAPPING=PRECISE</stp>
        <stp>FS=MRC</stp>
        <stp>CURRENCY=USD</stp>
        <stp>XLFILL=b</stp>
        <tr r="AZ29" s="2"/>
      </tp>
      <tp t="s">
        <v/>
        <stp/>
        <stp>##V3_BQLV12</stp>
        <stp>[MODL_CRM_US1.xlsx]Single Period!R123C37</stp>
        <stp>CRM US Equity</stp>
        <stp>TOT_OPER_LEA_RT_OF_USE_ASSETS/1M</stp>
        <stp>FPR=2022Y</stp>
        <stp>FPT=A</stp>
        <stp>FA_ACT_EST_DATA=E, EST_SOURCE=EVR</stp>
        <stp>ACT_EST_MAPPING=PRECISE</stp>
        <stp>FS=MRC</stp>
        <stp>CURRENCY=USD</stp>
        <stp>XLFILL=b</stp>
        <tr r="AK123" s="2"/>
      </tp>
      <tp t="s">
        <v/>
        <stp/>
        <stp>##V3_BQLV12</stp>
        <stp>[MODL_CRM_US1.xlsx]Single Period!R26C14</stp>
        <stp>SEG0000269247 Segment</stp>
        <stp>SALES_REV_TURN/1M</stp>
        <stp>FPR=2022Y</stp>
        <stp>FPT=A</stp>
        <stp>FA_ACT_EST_DATA=E, EST_SOURCE=SNR</stp>
        <stp>ACT_EST_MAPPING=PRECISE</stp>
        <stp>FS=MRC</stp>
        <stp>CURRENCY=USD</stp>
        <stp>XLFILL=b</stp>
        <tr r="N26" s="2"/>
      </tp>
      <tp t="s">
        <v/>
        <stp/>
        <stp>##V3_BQLV12</stp>
        <stp>[MODL_CRM_US1.xlsx]Single Period!R149C52</stp>
        <stp>CRM US Equity</stp>
        <stp>TOT_FUTURE_REV_UNDER_CONTRACT/1M</stp>
        <stp>FPR=2022Y</stp>
        <stp>FPT=A</stp>
        <stp>FA_ACT_EST_DATA=E, EST_SOURCE=WFR</stp>
        <stp>ACT_EST_MAPPING=PRECISE</stp>
        <stp>FS=MRC</stp>
        <stp>CURRENCY=USD</stp>
        <stp>XLFILL=b</stp>
        <tr r="AZ149" s="2"/>
      </tp>
      <tp t="s">
        <v/>
        <stp/>
        <stp>##V3_BQLV12</stp>
        <stp>[MODL_CRM_US1.xlsx]Single Period!R26C29</stp>
        <stp>SEG0000269247 Segment</stp>
        <stp>SALES_REV_TURN/1M</stp>
        <stp>FPR=2022Y</stp>
        <stp>FPT=A</stp>
        <stp>FA_ACT_EST_DATA=E, EST_SOURCE=BNS</stp>
        <stp>ACT_EST_MAPPING=PRECISE</stp>
        <stp>FS=MRC</stp>
        <stp>CURRENCY=USD</stp>
        <stp>XLFILL=b</stp>
        <tr r="AC26" s="2"/>
      </tp>
      <tp t="s">
        <v/>
        <stp/>
        <stp>##V3_BQLV12</stp>
        <stp>[MODL_CRM_US1.xlsx]Single Period!R29C47</stp>
        <stp>SEG0000269233 Segment</stp>
        <stp>SALES_REV_TURN/1M</stp>
        <stp>FPR=2022Y</stp>
        <stp>FPT=A</stp>
        <stp>FA_ACT_EST_DATA=E, EST_SOURCE=WFT</stp>
        <stp>ACT_EST_MAPPING=PRECISE</stp>
        <stp>FS=MRC</stp>
        <stp>CURRENCY=USD</stp>
        <stp>XLFILL=b</stp>
        <tr r="AU29" s="2"/>
      </tp>
      <tp t="s">
        <v/>
        <stp/>
        <stp>##V3_BQLV12</stp>
        <stp>[MODL_CRM_US1.xlsx]Single Period!R83C43</stp>
        <stp>CRM US Equity</stp>
        <stp>IS_OPEX_R_AND_D_GAAP/1M</stp>
        <stp>FPR=2022Y</stp>
        <stp>FPT=A</stp>
        <stp>FA_ACT_EST_DATA=E, EST_SOURCE=DWI</stp>
        <stp>ACT_EST_MAPPING=PRECISE</stp>
        <stp>FS=MRC</stp>
        <stp>CURRENCY=USD</stp>
        <stp>XLFILL=b</stp>
        <tr r="AQ83" s="2"/>
      </tp>
      <tp t="s">
        <v/>
        <stp/>
        <stp>##V3_BQLV12</stp>
        <stp>[MODL_CRM_US1.xlsx]Single Period!R149C27</stp>
        <stp>CRM US Equity</stp>
        <stp>TOT_FUTURE_REV_UNDER_CONTRACT/1M</stp>
        <stp>FPR=2022Y</stp>
        <stp>FPT=A</stp>
        <stp>FA_ACT_EST_DATA=E, EST_SOURCE=LCM</stp>
        <stp>ACT_EST_MAPPING=PRECISE</stp>
        <stp>FS=MRC</stp>
        <stp>CURRENCY=USD</stp>
        <stp>XLFILL=b</stp>
        <tr r="AA149" s="2"/>
      </tp>
      <tp t="s">
        <v/>
        <stp/>
        <stp>##V3_BQLV12</stp>
        <stp>[MODL_CRM_US1.xlsx]Single Period!R156C48</stp>
        <stp>CRM US Equity</stp>
        <stp>CF_DEPR_AMORT/1M</stp>
        <stp>FPR=2022Y</stp>
        <stp>FPT=A</stp>
        <stp>FA_ACT_EST_DATA=E, EST_SOURCE=PJE</stp>
        <stp>ACT_EST_MAPPING=PRECISE</stp>
        <stp>FS=MRC</stp>
        <stp>CURRENCY=USD</stp>
        <stp>XLFILL=b</stp>
        <tr r="AV156" s="2"/>
      </tp>
      <tp>
        <v>2640</v>
        <stp/>
        <stp>##V3_BQLV12</stp>
        <stp>[MODL_CRM_US1.xlsx]Single Period!R64C25</stp>
        <stp>CRM US Equity</stp>
        <stp>IS_COMPARABLE_EBITDA/1M</stp>
        <stp>FPR=2022Y</stp>
        <stp>FPT=A</stp>
        <stp>FA_ACT_EST_DATA=E, EST_SOURCE=WMS</stp>
        <stp>ACT_EST_MAPPING=PRECISE</stp>
        <stp>FS=MRC</stp>
        <stp>CURRENCY=USD</stp>
        <stp>XLFILL=b</stp>
        <tr r="Y64" s="2"/>
      </tp>
      <tp t="s">
        <v/>
        <stp/>
        <stp>##V3_BQLV12</stp>
        <stp>[MODL_CRM_US1.xlsx]Single Period!R64C14</stp>
        <stp>CRM US Equity</stp>
        <stp>IS_COMPARABLE_EBITDA/1M</stp>
        <stp>FPR=2022Y</stp>
        <stp>FPT=A</stp>
        <stp>FA_ACT_EST_DATA=E, EST_SOURCE=SNR</stp>
        <stp>ACT_EST_MAPPING=PRECISE</stp>
        <stp>FS=MRC</stp>
        <stp>CURRENCY=USD</stp>
        <stp>XLFILL=b</stp>
        <tr r="N64" s="2"/>
      </tp>
      <tp t="s">
        <v/>
        <stp/>
        <stp>##V3_BQLV12</stp>
        <stp>[MODL_CRM_US1.xlsx]Single Period!R123C35</stp>
        <stp>CRM US Equity</stp>
        <stp>TOT_OPER_LEA_RT_OF_USE_ASSETS/1M</stp>
        <stp>FPR=2022Y</stp>
        <stp>FPT=A</stp>
        <stp>FA_ACT_EST_DATA=E, EST_SOURCE=ATL</stp>
        <stp>ACT_EST_MAPPING=PRECISE</stp>
        <stp>FS=MRC</stp>
        <stp>CURRENCY=USD</stp>
        <stp>XLFILL=b</stp>
        <tr r="AI123" s="2"/>
      </tp>
      <tp t="s">
        <v/>
        <stp/>
        <stp>##V3_BQLV12</stp>
        <stp>[MODL_CRM_US1.xlsx]Single Period!R64C20</stp>
        <stp>CRM US Equity</stp>
        <stp>IS_COMPARABLE_EBITDA/1M</stp>
        <stp>FPR=2022Y</stp>
        <stp>FPT=A</stp>
        <stp>FA_ACT_EST_DATA=E, EST_SOURCE=JMP</stp>
        <stp>ACT_EST_MAPPING=PRECISE</stp>
        <stp>FS=MRC</stp>
        <stp>CURRENCY=USD</stp>
        <stp>XLFILL=b</stp>
        <tr r="T64" s="2"/>
      </tp>
      <tp t="s">
        <v/>
        <stp/>
        <stp>##V3_BQLV12</stp>
        <stp>[MODL_CRM_US1.xlsx]Single Period!R149C16</stp>
        <stp>CRM US Equity</stp>
        <stp>TOT_FUTURE_REV_UNDER_CONTRACT/1M</stp>
        <stp>FPR=2022Y</stp>
        <stp>FPT=A</stp>
        <stp>FA_ACT_EST_DATA=E, EST_SOURCE=DBG</stp>
        <stp>ACT_EST_MAPPING=PRECISE</stp>
        <stp>FS=MRC</stp>
        <stp>CURRENCY=USD</stp>
        <stp>XLFILL=b</stp>
        <tr r="P149" s="2"/>
      </tp>
      <tp t="s">
        <v/>
        <stp/>
        <stp>##V3_BQLV12</stp>
        <stp>[MODL_CRM_US1.xlsx]Single Period!R83C44</stp>
        <stp>CRM US Equity</stp>
        <stp>IS_OPEX_R_AND_D_GAAP/1M</stp>
        <stp>FPR=2022Y</stp>
        <stp>FPT=A</stp>
        <stp>FA_ACT_EST_DATA=E, EST_SOURCE=RWB</stp>
        <stp>ACT_EST_MAPPING=PRECISE</stp>
        <stp>FS=MRC</stp>
        <stp>CURRENCY=USD</stp>
        <stp>XLFILL=b</stp>
        <tr r="AR83" s="2"/>
      </tp>
      <tp t="s">
        <v/>
        <stp/>
        <stp>##V3_BQLV12</stp>
        <stp>[MODL_CRM_US1.xlsx]Single Period!R123C42</stp>
        <stp>CRM US Equity</stp>
        <stp>TOT_OPER_LEA_RT_OF_USE_ASSETS/1M</stp>
        <stp>FPR=2022Y</stp>
        <stp>FPT=A</stp>
        <stp>FA_ACT_EST_DATA=E, EST_SOURCE=PSG</stp>
        <stp>ACT_EST_MAPPING=PRECISE</stp>
        <stp>FS=MRC</stp>
        <stp>CURRENCY=USD</stp>
        <stp>XLFILL=b</stp>
        <tr r="AP123" s="2"/>
      </tp>
      <tp t="s">
        <v/>
        <stp/>
        <stp>##V3_BQLV12</stp>
        <stp>[MODL_CRM_US1.xlsx]Single Period!R82C56</stp>
        <stp>CRM US Equity</stp>
        <stp>OPERATING_EXPENSES_TO_NET_SALES</stp>
        <stp>FPR=2022Y</stp>
        <stp>FPT=A</stp>
        <stp>FA_ACT_EST_DATA=E, EST_SOURCE=DIR</stp>
        <stp>ACT_EST_MAPPING=PRECISE</stp>
        <stp>FS=MRC</stp>
        <stp>CURRENCY=USD</stp>
        <stp>XLFILL=b</stp>
        <tr r="BD82" s="2"/>
      </tp>
      <tp t="s">
        <v/>
        <stp/>
        <stp>##V3_BQLV12</stp>
        <stp>[MODL_CRM_US1.xlsx]Single Period!R183C16</stp>
        <stp>CRM US Equity</stp>
        <stp>CASH_FLOW_PER_SH</stp>
        <stp>FPR=2022Y</stp>
        <stp>FPT=A</stp>
        <stp>FA_ACT_EST_DATA=E, EST_SOURCE=DBG</stp>
        <stp>ACT_EST_MAPPING=PRECISE</stp>
        <stp>FS=MRC</stp>
        <stp>CURRENCY=USD</stp>
        <stp>XLFILL=b</stp>
        <tr r="P183" s="2"/>
      </tp>
      <tp t="s">
        <v/>
        <stp/>
        <stp>##V3_BQLV12</stp>
        <stp>[MODL_CRM_US1.xlsx]Single Period!R82C29</stp>
        <stp>CRM US Equity</stp>
        <stp>OPERATING_EXPENSES_TO_NET_SALES</stp>
        <stp>FPR=2022Y</stp>
        <stp>FPT=A</stp>
        <stp>FA_ACT_EST_DATA=E, EST_SOURCE=BNS</stp>
        <stp>ACT_EST_MAPPING=PRECISE</stp>
        <stp>FS=MRC</stp>
        <stp>CURRENCY=USD</stp>
        <stp>XLFILL=b</stp>
        <tr r="AC82" s="2"/>
      </tp>
      <tp t="s">
        <v/>
        <stp/>
        <stp>##V3_BQLV12</stp>
        <stp>[MODL_CRM_US1.xlsx]Single Period!R183C27</stp>
        <stp>CRM US Equity</stp>
        <stp>CASH_FLOW_PER_SH</stp>
        <stp>FPR=2022Y</stp>
        <stp>FPT=A</stp>
        <stp>FA_ACT_EST_DATA=E, EST_SOURCE=LCM</stp>
        <stp>ACT_EST_MAPPING=PRECISE</stp>
        <stp>FS=MRC</stp>
        <stp>CURRENCY=USD</stp>
        <stp>XLFILL=b</stp>
        <tr r="AA183" s="2"/>
      </tp>
      <tp t="s">
        <v/>
        <stp/>
        <stp>##V3_BQLV12</stp>
        <stp>[MODL_CRM_US1.xlsx]Single Period!R183C52</stp>
        <stp>CRM US Equity</stp>
        <stp>CASH_FLOW_PER_SH</stp>
        <stp>FPR=2022Y</stp>
        <stp>FPT=A</stp>
        <stp>FA_ACT_EST_DATA=E, EST_SOURCE=WFR</stp>
        <stp>ACT_EST_MAPPING=PRECISE</stp>
        <stp>FS=MRC</stp>
        <stp>CURRENCY=USD</stp>
        <stp>XLFILL=b</stp>
        <tr r="AZ183" s="2"/>
      </tp>
      <tp t="s">
        <v/>
        <stp/>
        <stp>##V3_BQLV12</stp>
        <stp>[MODL_CRM_US1.xlsx]Single Period!R82C12</stp>
        <stp>CRM US Equity</stp>
        <stp>OPERATING_EXPENSES_TO_NET_SALES</stp>
        <stp>FPR=2022Y</stp>
        <stp>FPT=A</stp>
        <stp>FA_ACT_EST_DATA=E, EST_SOURCE=BMO</stp>
        <stp>ACT_EST_MAPPING=PRECISE</stp>
        <stp>FS=MRC</stp>
        <stp>CURRENCY=USD</stp>
        <stp>XLFILL=b</stp>
        <tr r="L82" s="2"/>
      </tp>
      <tp t="s">
        <v/>
        <stp/>
        <stp>##V3_BQLV12</stp>
        <stp>[MODL_CRM_US1.xlsx]Single Period!R82C53</stp>
        <stp>CRM US Equity</stp>
        <stp>OPERATING_EXPENSES_TO_NET_SALES</stp>
        <stp>FPR=2022Y</stp>
        <stp>FPT=A</stp>
        <stp>FA_ACT_EST_DATA=E, EST_SOURCE=NIK</stp>
        <stp>ACT_EST_MAPPING=PRECISE</stp>
        <stp>FS=MRC</stp>
        <stp>CURRENCY=USD</stp>
        <stp>XLFILL=b</stp>
        <tr r="BA82" s="2"/>
      </tp>
      <tp>
        <v>41876</v>
        <stp/>
        <stp>##V3_BQLV12</stp>
        <stp>[MODL_CRM_US1.xlsx]Single Period!R12C6</stp>
        <stp>CRM US Equity</stp>
        <stp>CONTRIBUTOR_STATS(TOT_FUTURE_REV_UNDER_CONTRACT, MIN)/1M</stp>
        <stp>FPR=2022Y</stp>
        <stp>FPT=A</stp>
        <stp>FA_ACT_EST_DATA=E</stp>
        <stp>ACT_EST_MAPPING=PRECISE</stp>
        <stp>FS=MRC</stp>
        <stp>CURRENCY=USD</stp>
        <stp>XLFILL=b</stp>
        <tr r="F12" s="2"/>
      </tp>
      <tp>
        <v>1.247391304347826</v>
        <stp/>
        <stp>##V3_BQLV12</stp>
        <stp>[MODL_CRM_US1.xlsx]Single Period!R95C5</stp>
        <stp>CRM US Equity</stp>
        <stp>IS_COMP_EPS_GAAP</stp>
        <stp>FPR=2022Y</stp>
        <stp>FPT=A</stp>
        <stp>FA_ACT_EST_DATA=E</stp>
        <stp>ACT_EST_MAPPING=PRECISE</stp>
        <stp>FS=MRC</stp>
        <stp>CURRENCY=USD</stp>
        <stp>XLFILL=b</stp>
        <tr r="E95" s="2"/>
      </tp>
      <tp t="s">
        <v/>
        <stp/>
        <stp>##V3_BQLV12</stp>
        <stp>[MODL_CRM_US1.xlsx]Single Period!R95C50</stp>
        <stp>CRM US Equity</stp>
        <stp>IS_COMP_EPS_GAAP</stp>
        <stp>FPR=2022Y</stp>
        <stp>FPT=A</stp>
        <stp>FA_ACT_EST_DATA=E, EST_SOURCE=MZS</stp>
        <stp>ACT_EST_MAPPING=PRECISE</stp>
        <stp>FS=MRC</stp>
        <stp>CURRENCY=USD</stp>
        <stp>XLFILL=b</stp>
        <tr r="AX95" s="2"/>
      </tp>
      <tp t="s">
        <v/>
        <stp/>
        <stp>##V3_BQLV12</stp>
        <stp>[MODL_CRM_US1.xlsx]Single Period!R165C33</stp>
        <stp>CRM US Equity</stp>
        <stp>CF_CHG_IN_DEFER_UNEARND_REV_ST/1M</stp>
        <stp>FPR=2022Y</stp>
        <stp>FPT=A</stp>
        <stp>FA_ACT_EST_DATA=E, EST_SOURCE=RHR</stp>
        <stp>ACT_EST_MAPPING=PRECISE</stp>
        <stp>FS=MRC</stp>
        <stp>CURRENCY=USD</stp>
        <stp>XLFILL=b</stp>
        <tr r="AG165" s="2"/>
      </tp>
      <tp t="s">
        <v/>
        <stp/>
        <stp>##V3_BQLV12</stp>
        <stp>[MODL_CRM_US1.xlsx]Single Period!R63C48</stp>
        <stp>CRM US Equity</stp>
        <stp>CF_DEPR_AMORT/1M</stp>
        <stp>FPR=2022Y</stp>
        <stp>FPT=A</stp>
        <stp>FA_ACT_EST_DATA=E, EST_SOURCE=PJE</stp>
        <stp>ACT_EST_MAPPING=PRECISE</stp>
        <stp>FS=MRC</stp>
        <stp>CURRENCY=USD</stp>
        <stp>XLFILL=b</stp>
        <tr r="AV63" s="2"/>
      </tp>
      <tp t="s">
        <v/>
        <stp/>
        <stp>##V3_BQLV12</stp>
        <stp>[MODL_CRM_US1.xlsx]Single Period!R130C34</stp>
        <stp>CRM US Equity</stp>
        <stp>BS_ST_OPERATING_LEASE_LIABS/1M</stp>
        <stp>FPR=2022Y</stp>
        <stp>FPT=A</stp>
        <stp>FA_ACT_EST_DATA=E, EST_SOURCE=JEF</stp>
        <stp>ACT_EST_MAPPING=PRECISE</stp>
        <stp>FS=MRC</stp>
        <stp>CURRENCY=USD</stp>
        <stp>XLFILL=b</stp>
        <tr r="AH130" s="2"/>
      </tp>
      <tp t="s">
        <v/>
        <stp/>
        <stp>##V3_BQLV12</stp>
        <stp>[MODL_CRM_US1.xlsx]Single Period!R132C40</stp>
        <stp>CRM US Equity</stp>
        <stp>BS_ADJ_TOTAL_LT_LIABILITIES/1M</stp>
        <stp>FPR=2022Y</stp>
        <stp>FPT=A</stp>
        <stp>FA_ACT_EST_DATA=E, EST_SOURCE=ACC</stp>
        <stp>ACT_EST_MAPPING=PRECISE</stp>
        <stp>FS=MRC</stp>
        <stp>CURRENCY=USD</stp>
        <stp>XLFILL=b</stp>
        <tr r="AN132" s="2"/>
      </tp>
      <tp>
        <v>2878</v>
        <stp/>
        <stp>##V3_BQLV12</stp>
        <stp>[MODL_CRM_US1.xlsx]Single Period!R134C26</stp>
        <stp>CRM US Equity</stp>
        <stp>BS_LT_OPERATING_LEASE_LIABS/1M</stp>
        <stp>FPR=2022Y</stp>
        <stp>FPT=A</stp>
        <stp>FA_ACT_EST_DATA=E, EST_SOURCE=KEY</stp>
        <stp>ACT_EST_MAPPING=PRECISE</stp>
        <stp>FS=MRC</stp>
        <stp>CURRENCY=USD</stp>
        <stp>XLFILL=b</stp>
        <tr r="Z134" s="2"/>
      </tp>
      <tp t="s">
        <v/>
        <stp/>
        <stp>##V3_BQLV12</stp>
        <stp>[MODL_CRM_US1.xlsx]Single Period!R122C50</stp>
        <stp>CRM US Equity</stp>
        <stp>BS_GOODWILL/1M</stp>
        <stp>FPR=2022Y</stp>
        <stp>FPT=A</stp>
        <stp>FA_ACT_EST_DATA=E, EST_SOURCE=MZS</stp>
        <stp>ACT_EST_MAPPING=PRECISE</stp>
        <stp>FS=MRC</stp>
        <stp>CURRENCY=USD</stp>
        <stp>XLFILL=b</stp>
        <tr r="AX122" s="2"/>
      </tp>
      <tp t="s">
        <v/>
        <stp/>
        <stp>##V3_BQLV12</stp>
        <stp>[MODL_CRM_US1.xlsx]Single Period!R12C48</stp>
        <stp>CRM US Equity</stp>
        <stp>TOT_FUTURE_REV_UNDER_CONTRACT/1M</stp>
        <stp>FPR=2022Y</stp>
        <stp>FPT=A</stp>
        <stp>FA_ACT_EST_DATA=E, EST_SOURCE=PJE</stp>
        <stp>ACT_EST_MAPPING=PRECISE</stp>
        <stp>FS=MRC</stp>
        <stp>CURRENCY=USD</stp>
        <stp>XLFILL=b</stp>
        <tr r="AV12" s="2"/>
      </tp>
      <tp>
        <v>11889.749121000001</v>
        <stp/>
        <stp>##V3_BQLV12</stp>
        <stp>[MODL_CRM_US1.xlsx]Single Period!R85C15</stp>
        <stp>CRM US Equity</stp>
        <stp>CB_IS_S_AND_M_EXPENSE/1M</stp>
        <stp>FPR=2022Y</stp>
        <stp>FPT=A</stp>
        <stp>FA_ACT_EST_DATA=E, EST_SOURCE=MSV</stp>
        <stp>ACT_EST_MAPPING=PRECISE</stp>
        <stp>FS=MRC</stp>
        <stp>CURRENCY=USD</stp>
        <stp>XLFILL=b</stp>
        <tr r="O85" s="2"/>
      </tp>
      <tp>
        <v>15347</v>
        <stp/>
        <stp>##V3_BQLV12</stp>
        <stp>[MODL_CRM_US1.xlsx]Single Period!R132C13</stp>
        <stp>CRM US Equity</stp>
        <stp>BS_ADJ_TOTAL_LT_LIABILITIES/1M</stp>
        <stp>FPR=2022Y</stp>
        <stp>FPT=A</stp>
        <stp>FA_ACT_EST_DATA=E, EST_SOURCE=BCA</stp>
        <stp>ACT_EST_MAPPING=PRECISE</stp>
        <stp>FS=MRC</stp>
        <stp>CURRENCY=USD</stp>
        <stp>XLFILL=b</stp>
        <tr r="M132" s="2"/>
      </tp>
      <tp t="s">
        <v/>
        <stp/>
        <stp>##V3_BQLV12</stp>
        <stp>[MODL_CRM_US1.xlsx]Single Period!R132C19</stp>
        <stp>CRM US Equity</stp>
        <stp>BS_ADJ_TOTAL_LT_LIABILITIES/1M</stp>
        <stp>FPR=2022Y</stp>
        <stp>FPT=A</stp>
        <stp>FA_ACT_EST_DATA=E, EST_SOURCE=SCB</stp>
        <stp>ACT_EST_MAPPING=PRECISE</stp>
        <stp>FS=MRC</stp>
        <stp>CURRENCY=USD</stp>
        <stp>XLFILL=b</stp>
        <tr r="S132" s="2"/>
      </tp>
      <tp t="s">
        <v/>
        <stp/>
        <stp>##V3_BQLV12</stp>
        <stp>[MODL_CRM_US1.xlsx]Single Period!R130C55</stp>
        <stp>CRM US Equity</stp>
        <stp>BS_ST_OPERATING_LEASE_LIABS/1M</stp>
        <stp>FPR=2022Y</stp>
        <stp>FPT=A</stp>
        <stp>FA_ACT_EST_DATA=E, EST_SOURCE=RED</stp>
        <stp>ACT_EST_MAPPING=PRECISE</stp>
        <stp>FS=MRC</stp>
        <stp>CURRENCY=USD</stp>
        <stp>XLFILL=b</stp>
        <tr r="BC130" s="2"/>
      </tp>
      <tp t="s">
        <v/>
        <stp/>
        <stp>##V3_BQLV12</stp>
        <stp>[MODL_CRM_US1.xlsx]Single Period!R94C54</stp>
        <stp>CRM US Equity</stp>
        <stp>IS_SH_FOR_DILUTED_EPS/1M</stp>
        <stp>FPR=2022Y</stp>
        <stp>FPT=A</stp>
        <stp>FA_ACT_EST_DATA=E, EST_SOURCE=ARE</stp>
        <stp>ACT_EST_MAPPING=PRECISE</stp>
        <stp>FS=MRC</stp>
        <stp>CURRENCY=USD</stp>
        <stp>XLFILL=b</stp>
        <tr r="BB94" s="2"/>
      </tp>
      <tp t="s">
        <v/>
        <stp/>
        <stp>##V3_BQLV12</stp>
        <stp>[MODL_CRM_US1.xlsx]Single Period!R132C27</stp>
        <stp>CRM US Equity</stp>
        <stp>BS_ADJ_TOTAL_LT_LIABILITIES/1M</stp>
        <stp>FPR=2022Y</stp>
        <stp>FPT=A</stp>
        <stp>FA_ACT_EST_DATA=E, EST_SOURCE=LCM</stp>
        <stp>ACT_EST_MAPPING=PRECISE</stp>
        <stp>FS=MRC</stp>
        <stp>CURRENCY=USD</stp>
        <stp>XLFILL=b</stp>
        <tr r="AA132" s="2"/>
      </tp>
      <tp>
        <v>26300</v>
        <stp/>
        <stp>##V3_BQLV12</stp>
        <stp>[MODL_CRM_US1.xlsx]Single Period!R52C43</stp>
        <stp>CRM US Equity</stp>
        <stp>IS_COMP_SALES/1M</stp>
        <stp>FPR=2022Y</stp>
        <stp>FPT=A</stp>
        <stp>FA_ACT_EST_DATA=E, EST_SOURCE=DWI</stp>
        <stp>ACT_EST_MAPPING=PRECISE</stp>
        <stp>FS=MRC</stp>
        <stp>CURRENCY=USD</stp>
        <stp>XLFILL=b</stp>
        <tr r="AQ52" s="2"/>
      </tp>
      <tp t="s">
        <v/>
        <stp/>
        <stp>##V3_BQLV12</stp>
        <stp>[MODL_CRM_US1.xlsx]Single Period!R162C34</stp>
        <stp>CRM US Equity</stp>
        <stp>CF_CHANGE_IN_PREPAID_EXPNSS/1M</stp>
        <stp>FPR=2022Y</stp>
        <stp>FPT=A</stp>
        <stp>FA_ACT_EST_DATA=E, EST_SOURCE=JEF</stp>
        <stp>ACT_EST_MAPPING=PRECISE</stp>
        <stp>FS=MRC</stp>
        <stp>CURRENCY=USD</stp>
        <stp>XLFILL=b</stp>
        <tr r="AH162" s="2"/>
      </tp>
      <tp>
        <v>9054.4058566378662</v>
        <stp/>
        <stp>##V3_BQLV12</stp>
        <stp>[MODL_CRM_US1.xlsx]Single Period!R114C26</stp>
        <stp>CRM US Equity</stp>
        <stp>BS_ACCTS_REC_EXCL_NOTES_REC/1M</stp>
        <stp>FPR=2022Y</stp>
        <stp>FPT=A</stp>
        <stp>FA_ACT_EST_DATA=E, EST_SOURCE=KEY</stp>
        <stp>ACT_EST_MAPPING=PRECISE</stp>
        <stp>FS=MRC</stp>
        <stp>CURRENCY=USD</stp>
        <stp>XLFILL=b</stp>
        <tr r="Z114" s="2"/>
      </tp>
      <tp t="s">
        <v/>
        <stp/>
        <stp>##V3_BQLV12</stp>
        <stp>[MODL_CRM_US1.xlsx]Single Period!R162C55</stp>
        <stp>CRM US Equity</stp>
        <stp>CF_CHANGE_IN_PREPAID_EXPNSS/1M</stp>
        <stp>FPR=2022Y</stp>
        <stp>FPT=A</stp>
        <stp>FA_ACT_EST_DATA=E, EST_SOURCE=RED</stp>
        <stp>ACT_EST_MAPPING=PRECISE</stp>
        <stp>FS=MRC</stp>
        <stp>CURRENCY=USD</stp>
        <stp>XLFILL=b</stp>
        <tr r="BC162" s="2"/>
      </tp>
      <tp t="s">
        <v/>
        <stp/>
        <stp>##V3_BQLV12</stp>
        <stp>[MODL_CRM_US1.xlsx]Single Period!R102C12</stp>
        <stp>CRM US Equity</stp>
        <stp>IS_SBC_ATT_TO_S_AND_M_PRETX/1M</stp>
        <stp>FPR=2022Y</stp>
        <stp>FPT=A</stp>
        <stp>FA_ACT_EST_DATA=E, EST_SOURCE=BMO</stp>
        <stp>ACT_EST_MAPPING=PRECISE</stp>
        <stp>FS=MRC</stp>
        <stp>CURRENCY=USD</stp>
        <stp>XLFILL=b</stp>
        <tr r="L102" s="2"/>
      </tp>
      <tp t="s">
        <v/>
        <stp/>
        <stp>##V3_BQLV12</stp>
        <stp>[MODL_CRM_US1.xlsx]Single Period!R137C23</stp>
        <stp>CRM US Equity</stp>
        <stp>BS_EQTY_BEFORE_MINORITY_INT/1M</stp>
        <stp>FPR=2022Y</stp>
        <stp>FPT=A</stp>
        <stp>FA_ACT_EST_DATA=E, EST_SOURCE=JPM</stp>
        <stp>ACT_EST_MAPPING=PRECISE</stp>
        <stp>FS=MRC</stp>
        <stp>CURRENCY=USD</stp>
        <stp>XLFILL=b</stp>
        <tr r="W137" s="2"/>
      </tp>
      <tp>
        <v>6910.4803870687228</v>
        <stp/>
        <stp>##V3_BQLV12</stp>
        <stp>[MODL_CRM_US1.xlsx]Single Period!R77C9</stp>
        <stp>CRM US Equity</stp>
        <stp>CONTRIBUTOR_STATS(IS_COGS_TO_FE_AND_PP_AND_G, MEDIAN)/1M</stp>
        <stp>FPR=2022Y</stp>
        <stp>FPT=A</stp>
        <stp>FA_ACT_EST_DATA=E</stp>
        <stp>ACT_EST_MAPPING=PRECISE</stp>
        <stp>FS=MRC</stp>
        <stp>CURRENCY=USD</stp>
        <stp>XLFILL=b</stp>
        <tr r="I77" s="2"/>
      </tp>
      <tp t="s">
        <v/>
        <stp/>
        <stp>##V3_BQLV12</stp>
        <stp>[MODL_CRM_US1.xlsx]Single Period!R132C51</stp>
        <stp>CRM US Equity</stp>
        <stp>BS_ADJ_TOTAL_LT_LIABILITIES/1M</stp>
        <stp>FPR=2022Y</stp>
        <stp>FPT=A</stp>
        <stp>FA_ACT_EST_DATA=E, EST_SOURCE=RCP</stp>
        <stp>ACT_EST_MAPPING=PRECISE</stp>
        <stp>FS=MRC</stp>
        <stp>CURRENCY=USD</stp>
        <stp>XLFILL=b</stp>
        <tr r="AY132" s="2"/>
      </tp>
      <tp t="s">
        <v/>
        <stp/>
        <stp>##V3_BQLV12</stp>
        <stp>[MODL_CRM_US1.xlsx]Single Period!R102C25</stp>
        <stp>CRM US Equity</stp>
        <stp>IS_SBC_ATT_TO_S_AND_M_PRETX/1M</stp>
        <stp>FPR=2022Y</stp>
        <stp>FPT=A</stp>
        <stp>FA_ACT_EST_DATA=E, EST_SOURCE=WMS</stp>
        <stp>ACT_EST_MAPPING=PRECISE</stp>
        <stp>FS=MRC</stp>
        <stp>CURRENCY=USD</stp>
        <stp>XLFILL=b</stp>
        <tr r="Y102" s="2"/>
      </tp>
      <tp t="s">
        <v/>
        <stp/>
        <stp>##V3_BQLV12</stp>
        <stp>[MODL_CRM_US1.xlsx]Single Period!R12C51</stp>
        <stp>CRM US Equity</stp>
        <stp>TOT_FUTURE_REV_UNDER_CONTRACT/1M</stp>
        <stp>FPR=2022Y</stp>
        <stp>FPT=A</stp>
        <stp>FA_ACT_EST_DATA=E, EST_SOURCE=RCP</stp>
        <stp>ACT_EST_MAPPING=PRECISE</stp>
        <stp>FS=MRC</stp>
        <stp>CURRENCY=USD</stp>
        <stp>XLFILL=b</stp>
        <tr r="AY12" s="2"/>
      </tp>
      <tp t="s">
        <v/>
        <stp/>
        <stp>##V3_BQLV12</stp>
        <stp>[MODL_CRM_US1.xlsx]Single Period!R114C34</stp>
        <stp>CRM US Equity</stp>
        <stp>BS_ACCTS_REC_EXCL_NOTES_REC/1M</stp>
        <stp>FPR=2022Y</stp>
        <stp>FPT=A</stp>
        <stp>FA_ACT_EST_DATA=E, EST_SOURCE=JEF</stp>
        <stp>ACT_EST_MAPPING=PRECISE</stp>
        <stp>FS=MRC</stp>
        <stp>CURRENCY=USD</stp>
        <stp>XLFILL=b</stp>
        <tr r="AH114" s="2"/>
      </tp>
      <tp>
        <v>1112</v>
        <stp/>
        <stp>##V3_BQLV12</stp>
        <stp>[MODL_CRM_US1.xlsx]Single Period!R102C20</stp>
        <stp>CRM US Equity</stp>
        <stp>IS_SBC_ATT_TO_S_AND_M_PRETX/1M</stp>
        <stp>FPR=2022Y</stp>
        <stp>FPT=A</stp>
        <stp>FA_ACT_EST_DATA=E, EST_SOURCE=JMP</stp>
        <stp>ACT_EST_MAPPING=PRECISE</stp>
        <stp>FS=MRC</stp>
        <stp>CURRENCY=USD</stp>
        <stp>XLFILL=b</stp>
        <tr r="T102" s="2"/>
      </tp>
      <tp>
        <v>976</v>
        <stp/>
        <stp>##V3_BQLV12</stp>
        <stp>[MODL_CRM_US1.xlsx]Single Period!R94C15</stp>
        <stp>CRM US Equity</stp>
        <stp>IS_SH_FOR_DILUTED_EPS/1M</stp>
        <stp>FPR=2022Y</stp>
        <stp>FPT=A</stp>
        <stp>FA_ACT_EST_DATA=E, EST_SOURCE=MSV</stp>
        <stp>ACT_EST_MAPPING=PRECISE</stp>
        <stp>FS=MRC</stp>
        <stp>CURRENCY=USD</stp>
        <stp>XLFILL=b</stp>
        <tr r="O94" s="2"/>
      </tp>
      <tp>
        <v>-430.21482535199704</v>
        <stp/>
        <stp>##V3_BQLV12</stp>
        <stp>[MODL_CRM_US1.xlsx]Single Period!R162C26</stp>
        <stp>CRM US Equity</stp>
        <stp>CF_CHANGE_IN_PREPAID_EXPNSS/1M</stp>
        <stp>FPR=2022Y</stp>
        <stp>FPT=A</stp>
        <stp>FA_ACT_EST_DATA=E, EST_SOURCE=KEY</stp>
        <stp>ACT_EST_MAPPING=PRECISE</stp>
        <stp>FS=MRC</stp>
        <stp>CURRENCY=USD</stp>
        <stp>XLFILL=b</stp>
        <tr r="Z162" s="2"/>
      </tp>
      <tp t="s">
        <v/>
        <stp/>
        <stp>##V3_BQLV12</stp>
        <stp>[MODL_CRM_US1.xlsx]Single Period!R85C54</stp>
        <stp>CRM US Equity</stp>
        <stp>CB_IS_S_AND_M_EXPENSE/1M</stp>
        <stp>FPR=2022Y</stp>
        <stp>FPT=A</stp>
        <stp>FA_ACT_EST_DATA=E, EST_SOURCE=ARE</stp>
        <stp>ACT_EST_MAPPING=PRECISE</stp>
        <stp>FS=MRC</stp>
        <stp>CURRENCY=USD</stp>
        <stp>XLFILL=b</stp>
        <tr r="BB85" s="2"/>
      </tp>
      <tp t="s">
        <v/>
        <stp/>
        <stp>##V3_BQLV12</stp>
        <stp>[MODL_CRM_US1.xlsx]Single Period!R114C55</stp>
        <stp>CRM US Equity</stp>
        <stp>BS_ACCTS_REC_EXCL_NOTES_REC/1M</stp>
        <stp>FPR=2022Y</stp>
        <stp>FPT=A</stp>
        <stp>FA_ACT_EST_DATA=E, EST_SOURCE=RED</stp>
        <stp>ACT_EST_MAPPING=PRECISE</stp>
        <stp>FS=MRC</stp>
        <stp>CURRENCY=USD</stp>
        <stp>XLFILL=b</stp>
        <tr r="BC114" s="2"/>
      </tp>
      <tp t="s">
        <v/>
        <stp/>
        <stp>##V3_BQLV12</stp>
        <stp>[MODL_CRM_US1.xlsx]Single Period!R63C51</stp>
        <stp>CRM US Equity</stp>
        <stp>CF_DEPR_AMORT/1M</stp>
        <stp>FPR=2022Y</stp>
        <stp>FPT=A</stp>
        <stp>FA_ACT_EST_DATA=E, EST_SOURCE=RCP</stp>
        <stp>ACT_EST_MAPPING=PRECISE</stp>
        <stp>FS=MRC</stp>
        <stp>CURRENCY=USD</stp>
        <stp>XLFILL=b</stp>
        <tr r="AY63" s="2"/>
      </tp>
      <tp t="s">
        <v/>
        <stp/>
        <stp>##V3_BQLV12</stp>
        <stp>[MODL_CRM_US1.xlsx]Single Period!R117C49</stp>
        <stp>CRM US Equity</stp>
        <stp>BS_TOTAL_NON_CURRENT_ASSETS/1M</stp>
        <stp>FPR=2022Y</stp>
        <stp>FPT=A</stp>
        <stp>FA_ACT_EST_DATA=E, EST_SOURCE=SGE</stp>
        <stp>ACT_EST_MAPPING=PRECISE</stp>
        <stp>FS=MRC</stp>
        <stp>CURRENCY=USD</stp>
        <stp>XLFILL=b</stp>
        <tr r="AW117" s="2"/>
      </tp>
      <tp t="s">
        <v/>
        <stp/>
        <stp>##V3_BQLV12</stp>
        <stp>[MODL_CRM_US1.xlsx]Single Period!R98C45</stp>
        <stp>CRM US Equity</stp>
        <stp>IS_INC_TAX_EFFECT_NONGAAP_REC/1M</stp>
        <stp>FPR=2022Y</stp>
        <stp>FPT=A</stp>
        <stp>FA_ACT_EST_DATA=E, EST_SOURCE=ARG</stp>
        <stp>ACT_EST_MAPPING=PRECISE</stp>
        <stp>FS=MRC</stp>
        <stp>CURRENCY=USD</stp>
        <stp>XLFILL=b</stp>
        <tr r="AS98" s="2"/>
      </tp>
      <tp t="s">
        <v/>
        <stp/>
        <stp>##V3_BQLV12</stp>
        <stp>[MODL_CRM_US1.xlsx]Single Period!R134C55</stp>
        <stp>CRM US Equity</stp>
        <stp>BS_LT_OPERATING_LEASE_LIABS/1M</stp>
        <stp>FPR=2022Y</stp>
        <stp>FPT=A</stp>
        <stp>FA_ACT_EST_DATA=E, EST_SOURCE=RED</stp>
        <stp>ACT_EST_MAPPING=PRECISE</stp>
        <stp>FS=MRC</stp>
        <stp>CURRENCY=USD</stp>
        <stp>XLFILL=b</stp>
        <tr r="BC134" s="2"/>
      </tp>
      <tp t="s">
        <v/>
        <stp/>
        <stp>##V3_BQLV12</stp>
        <stp>[MODL_CRM_US1.xlsx]Single Period!R137C22</stp>
        <stp>CRM US Equity</stp>
        <stp>BS_EQTY_BEFORE_MINORITY_INT/1M</stp>
        <stp>FPR=2022Y</stp>
        <stp>FPT=A</stp>
        <stp>FA_ACT_EST_DATA=E, EST_SOURCE=OPY</stp>
        <stp>ACT_EST_MAPPING=PRECISE</stp>
        <stp>FS=MRC</stp>
        <stp>CURRENCY=USD</stp>
        <stp>XLFILL=b</stp>
        <tr r="V137" s="2"/>
      </tp>
      <tp>
        <v>713</v>
        <stp/>
        <stp>##V3_BQLV12</stp>
        <stp>[MODL_CRM_US1.xlsx]Single Period!R130C26</stp>
        <stp>CRM US Equity</stp>
        <stp>BS_ST_OPERATING_LEASE_LIABS/1M</stp>
        <stp>FPR=2022Y</stp>
        <stp>FPT=A</stp>
        <stp>FA_ACT_EST_DATA=E, EST_SOURCE=KEY</stp>
        <stp>ACT_EST_MAPPING=PRECISE</stp>
        <stp>FS=MRC</stp>
        <stp>CURRENCY=USD</stp>
        <stp>XLFILL=b</stp>
        <tr r="Z130" s="2"/>
      </tp>
      <tp t="s">
        <v/>
        <stp/>
        <stp>##V3_BQLV12</stp>
        <stp>[MODL_CRM_US1.xlsx]Single Period!R117C39</stp>
        <stp>CRM US Equity</stp>
        <stp>BS_TOTAL_NON_CURRENT_ASSETS/1M</stp>
        <stp>FPR=2022Y</stp>
        <stp>FPT=A</stp>
        <stp>FA_ACT_EST_DATA=E, EST_SOURCE=KGI</stp>
        <stp>ACT_EST_MAPPING=PRECISE</stp>
        <stp>FS=MRC</stp>
        <stp>CURRENCY=USD</stp>
        <stp>XLFILL=b</stp>
        <tr r="AM117" s="2"/>
      </tp>
      <tp t="s">
        <v/>
        <stp/>
        <stp>##V3_BQLV12</stp>
        <stp>[MODL_CRM_US1.xlsx]Single Period!R134C34</stp>
        <stp>CRM US Equity</stp>
        <stp>BS_LT_OPERATING_LEASE_LIABS/1M</stp>
        <stp>FPR=2022Y</stp>
        <stp>FPT=A</stp>
        <stp>FA_ACT_EST_DATA=E, EST_SOURCE=JEF</stp>
        <stp>ACT_EST_MAPPING=PRECISE</stp>
        <stp>FS=MRC</stp>
        <stp>CURRENCY=USD</stp>
        <stp>XLFILL=b</stp>
        <tr r="AH134" s="2"/>
      </tp>
      <tp>
        <v>5806</v>
        <stp/>
        <stp>##V3_BQLV12</stp>
        <stp>[MODL_CRM_US1.xlsx]Single Period!R68C9</stp>
        <stp>CRM US Equity</stp>
        <stp>CONTRIBUTOR_STATS(IS_COMP_PTP_EX_STK_BASED_COMP, MEDIAN)/1M</stp>
        <stp>FPR=2022Y</stp>
        <stp>FPT=A</stp>
        <stp>FA_ACT_EST_DATA=E</stp>
        <stp>ACT_EST_MAPPING=PRECISE</stp>
        <stp>FS=MRC</stp>
        <stp>CURRENCY=USD</stp>
        <stp>XLFILL=b</stp>
        <tr r="I68" s="2"/>
      </tp>
      <tp t="s">
        <v/>
        <stp/>
        <stp>##V3_BQLV12</stp>
        <stp>[MODL_CRM_US1.xlsx]Single Period!R83C22</stp>
        <stp>CRM US Equity</stp>
        <stp>IS_OPEX_R_AND_D_GAAP/1M</stp>
        <stp>FPR=2022Y</stp>
        <stp>FPT=A</stp>
        <stp>FA_ACT_EST_DATA=E, EST_SOURCE=OPY</stp>
        <stp>ACT_EST_MAPPING=PRECISE</stp>
        <stp>FS=MRC</stp>
        <stp>CURRENCY=USD</stp>
        <stp>XLFILL=b</stp>
        <tr r="V83" s="2"/>
      </tp>
      <tp t="s">
        <v/>
        <stp/>
        <stp>##V3_BQLV12</stp>
        <stp>[MODL_CRM_US1.xlsx]Single Period!R10C29</stp>
        <stp>SEG0000269238 Segment</stp>
        <stp>SALES_REV_TURN/1M</stp>
        <stp>FPR=2022Y</stp>
        <stp>FPT=A</stp>
        <stp>FA_ACT_EST_DATA=E, EST_SOURCE=BNS</stp>
        <stp>ACT_EST_MAPPING=PRECISE</stp>
        <stp>FS=MRC</stp>
        <stp>CURRENCY=USD</stp>
        <stp>XLFILL=b</stp>
        <tr r="AC10" s="2"/>
      </tp>
      <tp t="s">
        <v/>
        <stp/>
        <stp>##V3_BQLV12</stp>
        <stp>[MODL_CRM_US1.xlsx]Single Period!R10C14</stp>
        <stp>SEG0000269238 Segment</stp>
        <stp>SALES_REV_TURN/1M</stp>
        <stp>FPR=2022Y</stp>
        <stp>FPT=A</stp>
        <stp>FA_ACT_EST_DATA=E, EST_SOURCE=SNR</stp>
        <stp>ACT_EST_MAPPING=PRECISE</stp>
        <stp>FS=MRC</stp>
        <stp>CURRENCY=USD</stp>
        <stp>XLFILL=b</stp>
        <tr r="N10" s="2"/>
      </tp>
      <tp t="s">
        <v/>
        <stp/>
        <stp>##V3_BQLV12</stp>
        <stp>[MODL_CRM_US1.xlsx]Single Period!R65C42</stp>
        <stp>CRM US Equity</stp>
        <stp>IS_AMORT_OF_TOT_INTANG_PRETX/1M</stp>
        <stp>FPR=2022Y</stp>
        <stp>FPT=A</stp>
        <stp>FA_ACT_EST_DATA=E, EST_SOURCE=PSG</stp>
        <stp>ACT_EST_MAPPING=PRECISE</stp>
        <stp>FS=MRC</stp>
        <stp>CURRENCY=USD</stp>
        <stp>XLFILL=b</stp>
        <tr r="AP65" s="2"/>
      </tp>
      <tp t="s">
        <v/>
        <stp/>
        <stp>##V3_BQLV12</stp>
        <stp>[MODL_CRM_US1.xlsx]Single Period!R65C54</stp>
        <stp>CRM US Equity</stp>
        <stp>IS_AMORT_OF_TOT_INTANG_PRETX/1M</stp>
        <stp>FPR=2022Y</stp>
        <stp>FPT=A</stp>
        <stp>FA_ACT_EST_DATA=E, EST_SOURCE=ARE</stp>
        <stp>ACT_EST_MAPPING=PRECISE</stp>
        <stp>FS=MRC</stp>
        <stp>CURRENCY=USD</stp>
        <stp>XLFILL=b</stp>
        <tr r="BB65" s="2"/>
      </tp>
      <tp>
        <v>4583.2387704271132</v>
        <stp/>
        <stp>##V3_BQLV12</stp>
        <stp>[MODL_CRM_US1.xlsx]Single Period!R83C15</stp>
        <stp>CRM US Equity</stp>
        <stp>IS_OPEX_R_AND_D_GAAP/1M</stp>
        <stp>FPR=2022Y</stp>
        <stp>FPT=A</stp>
        <stp>FA_ACT_EST_DATA=E, EST_SOURCE=MSV</stp>
        <stp>ACT_EST_MAPPING=PRECISE</stp>
        <stp>FS=MRC</stp>
        <stp>CURRENCY=USD</stp>
        <stp>XLFILL=b</stp>
        <tr r="O83" s="2"/>
      </tp>
      <tp t="s">
        <v/>
        <stp/>
        <stp>##V3_BQLV12</stp>
        <stp>[MODL_CRM_US1.xlsx]Single Period!R64C48</stp>
        <stp>CRM US Equity</stp>
        <stp>IS_COMPARABLE_EBITDA/1M</stp>
        <stp>FPR=2022Y</stp>
        <stp>FPT=A</stp>
        <stp>FA_ACT_EST_DATA=E, EST_SOURCE=PJE</stp>
        <stp>ACT_EST_MAPPING=PRECISE</stp>
        <stp>FS=MRC</stp>
        <stp>CURRENCY=USD</stp>
        <stp>XLFILL=b</stp>
        <tr r="AV64" s="2"/>
      </tp>
      <tp t="s">
        <v/>
        <stp/>
        <stp>##V3_BQLV12</stp>
        <stp>[MODL_CRM_US1.xlsx]Single Period!R27C14</stp>
        <stp>SEG0000269241 Segment</stp>
        <stp>SALES_REV_TURN/1M</stp>
        <stp>FPR=2022Y</stp>
        <stp>FPT=A</stp>
        <stp>FA_ACT_EST_DATA=E, EST_SOURCE=SNR</stp>
        <stp>ACT_EST_MAPPING=PRECISE</stp>
        <stp>FS=MRC</stp>
        <stp>CURRENCY=USD</stp>
        <stp>XLFILL=b</stp>
        <tr r="N27" s="2"/>
      </tp>
      <tp t="s">
        <v/>
        <stp/>
        <stp>##V3_BQLV12</stp>
        <stp>[MODL_CRM_US1.xlsx]Single Period!R27C29</stp>
        <stp>SEG0000269241 Segment</stp>
        <stp>SALES_REV_TURN/1M</stp>
        <stp>FPR=2022Y</stp>
        <stp>FPT=A</stp>
        <stp>FA_ACT_EST_DATA=E, EST_SOURCE=BNS</stp>
        <stp>ACT_EST_MAPPING=PRECISE</stp>
        <stp>FS=MRC</stp>
        <stp>CURRENCY=USD</stp>
        <stp>XLFILL=b</stp>
        <tr r="AC27" s="2"/>
      </tp>
      <tp>
        <v>1583.0229999999999</v>
        <stp/>
        <stp>##V3_BQLV12</stp>
        <stp>[MODL_CRM_US1.xlsx]Single Period!R32C25</stp>
        <stp>SEG0000269227 Segment</stp>
        <stp>SALES_REV_TURN/1M</stp>
        <stp>FPR=2022Y</stp>
        <stp>FPT=A</stp>
        <stp>FA_ACT_EST_DATA=E, EST_SOURCE=WMS</stp>
        <stp>ACT_EST_MAPPING=PRECISE</stp>
        <stp>FS=MRC</stp>
        <stp>CURRENCY=USD</stp>
        <stp>XLFILL=b</stp>
        <tr r="Y32" s="2"/>
      </tp>
      <tp>
        <v>2835.6001919583332</v>
        <stp/>
        <stp>##V3_BQLV12</stp>
        <stp>[MODL_CRM_US1.xlsx]Single Period!R156C26</stp>
        <stp>CRM US Equity</stp>
        <stp>CF_DEPR_AMORT/1M</stp>
        <stp>FPR=2022Y</stp>
        <stp>FPT=A</stp>
        <stp>FA_ACT_EST_DATA=E, EST_SOURCE=KEY</stp>
        <stp>ACT_EST_MAPPING=PRECISE</stp>
        <stp>FS=MRC</stp>
        <stp>CURRENCY=USD</stp>
        <stp>XLFILL=b</stp>
        <tr r="Z156" s="2"/>
      </tp>
      <tp>
        <v>1792</v>
        <stp/>
        <stp>##V3_BQLV12</stp>
        <stp>[MODL_CRM_US1.xlsx]Single Period!R32C20</stp>
        <stp>SEG0000269227 Segment</stp>
        <stp>SALES_REV_TURN/1M</stp>
        <stp>FPR=2022Y</stp>
        <stp>FPT=A</stp>
        <stp>FA_ACT_EST_DATA=E, EST_SOURCE=JMP</stp>
        <stp>ACT_EST_MAPPING=PRECISE</stp>
        <stp>FS=MRC</stp>
        <stp>CURRENCY=USD</stp>
        <stp>XLFILL=b</stp>
        <tr r="T32" s="2"/>
      </tp>
      <tp>
        <v>1323.4355</v>
        <stp/>
        <stp>##V3_BQLV12</stp>
        <stp>[MODL_CRM_US1.xlsx]Single Period!R65C35</stp>
        <stp>CRM US Equity</stp>
        <stp>IS_AMORT_OF_TOT_INTANG_PRETX/1M</stp>
        <stp>FPR=2022Y</stp>
        <stp>FPT=A</stp>
        <stp>FA_ACT_EST_DATA=E, EST_SOURCE=ATL</stp>
        <stp>ACT_EST_MAPPING=PRECISE</stp>
        <stp>FS=MRC</stp>
        <stp>CURRENCY=USD</stp>
        <stp>XLFILL=b</stp>
        <tr r="AI65" s="2"/>
      </tp>
      <tp>
        <v>24571.602999999999</v>
        <stp/>
        <stp>##V3_BQLV12</stp>
        <stp>[MODL_CRM_US1.xlsx]Single Period!R24C21</stp>
        <stp>SEG0000269238 Segment</stp>
        <stp>SALES_REV_TURN/1M</stp>
        <stp>FPR=2022Y</stp>
        <stp>FPT=A</stp>
        <stp>FA_ACT_EST_DATA=E, EST_SOURCE=RJA</stp>
        <stp>ACT_EST_MAPPING=PRECISE</stp>
        <stp>FS=MRC</stp>
        <stp>CURRENCY=USD</stp>
        <stp>XLFILL=b</stp>
        <tr r="U24" s="2"/>
      </tp>
      <tp t="s">
        <v/>
        <stp/>
        <stp>##V3_BQLV12</stp>
        <stp>[MODL_CRM_US1.xlsx]Single Period!R32C12</stp>
        <stp>SEG0000269227 Segment</stp>
        <stp>SALES_REV_TURN/1M</stp>
        <stp>FPR=2022Y</stp>
        <stp>FPT=A</stp>
        <stp>FA_ACT_EST_DATA=E, EST_SOURCE=BMO</stp>
        <stp>ACT_EST_MAPPING=PRECISE</stp>
        <stp>FS=MRC</stp>
        <stp>CURRENCY=USD</stp>
        <stp>XLFILL=b</stp>
        <tr r="L32" s="2"/>
      </tp>
      <tp>
        <v>-1102</v>
        <stp/>
        <stp>##V3_BQLV12</stp>
        <stp>[MODL_CRM_US1.xlsx]Single Period!R98C9</stp>
        <stp>CRM US Equity</stp>
        <stp>CONTRIBUTOR_STATS(IS_INC_TAX_EFFECT_NONGAAP_REC, MEDIAN)/1M</stp>
        <stp>FPR=2022Y</stp>
        <stp>FPT=A</stp>
        <stp>FA_ACT_EST_DATA=E</stp>
        <stp>ACT_EST_MAPPING=PRECISE</stp>
        <stp>FS=MRC</stp>
        <stp>CURRENCY=USD</stp>
        <stp>XLFILL=b</stp>
        <tr r="I98" s="2"/>
      </tp>
      <tp t="s">
        <v/>
        <stp/>
        <stp>##V3_BQLV12</stp>
        <stp>[MODL_CRM_US1.xlsx]Single Period!R29C39</stp>
        <stp>SEG0000269233 Segment</stp>
        <stp>SALES_REV_TURN/1M</stp>
        <stp>FPR=2022Y</stp>
        <stp>FPT=A</stp>
        <stp>FA_ACT_EST_DATA=E, EST_SOURCE=KGI</stp>
        <stp>ACT_EST_MAPPING=PRECISE</stp>
        <stp>FS=MRC</stp>
        <stp>CURRENCY=USD</stp>
        <stp>XLFILL=b</stp>
        <tr r="AM29" s="2"/>
      </tp>
      <tp t="s">
        <v/>
        <stp/>
        <stp>##V3_BQLV12</stp>
        <stp>[MODL_CRM_US1.xlsx]Single Period!R156C31</stp>
        <stp>CRM US Equity</stp>
        <stp>CF_DEPR_AMORT/1M</stp>
        <stp>FPR=2022Y</stp>
        <stp>FPT=A</stp>
        <stp>FA_ACT_EST_DATA=E, EST_SOURCE=RBC</stp>
        <stp>ACT_EST_MAPPING=PRECISE</stp>
        <stp>FS=MRC</stp>
        <stp>CURRENCY=USD</stp>
        <stp>XLFILL=b</stp>
        <tr r="AE156" s="2"/>
      </tp>
      <tp t="s">
        <v/>
        <stp/>
        <stp>##V3_BQLV12</stp>
        <stp>[MODL_CRM_US1.xlsx]Single Period!R156C40</stp>
        <stp>CRM US Equity</stp>
        <stp>CF_DEPR_AMORT/1M</stp>
        <stp>FPR=2022Y</stp>
        <stp>FPT=A</stp>
        <stp>FA_ACT_EST_DATA=E, EST_SOURCE=ACC</stp>
        <stp>ACT_EST_MAPPING=PRECISE</stp>
        <stp>FS=MRC</stp>
        <stp>CURRENCY=USD</stp>
        <stp>XLFILL=b</stp>
        <tr r="AN156" s="2"/>
      </tp>
      <tp t="s">
        <v/>
        <stp/>
        <stp>##V3_BQLV12</stp>
        <stp>[MODL_CRM_US1.xlsx]Single Period!R83C23</stp>
        <stp>CRM US Equity</stp>
        <stp>IS_OPEX_R_AND_D_GAAP/1M</stp>
        <stp>FPR=2022Y</stp>
        <stp>FPT=A</stp>
        <stp>FA_ACT_EST_DATA=E, EST_SOURCE=JPM</stp>
        <stp>ACT_EST_MAPPING=PRECISE</stp>
        <stp>FS=MRC</stp>
        <stp>CURRENCY=USD</stp>
        <stp>XLFILL=b</stp>
        <tr r="W83" s="2"/>
      </tp>
      <tp t="s">
        <v/>
        <stp/>
        <stp>##V3_BQLV12</stp>
        <stp>[MODL_CRM_US1.xlsx]Single Period!R38C49</stp>
        <stp>SEG0000269228 Segment</stp>
        <stp>SALES_REV_TURN/1M</stp>
        <stp>FPR=2022Y</stp>
        <stp>FPT=A</stp>
        <stp>FA_ACT_EST_DATA=E, EST_SOURCE=SGE</stp>
        <stp>ACT_EST_MAPPING=PRECISE</stp>
        <stp>FS=MRC</stp>
        <stp>CURRENCY=USD</stp>
        <stp>XLFILL=b</stp>
        <tr r="AW38" s="2"/>
      </tp>
      <tp t="s">
        <v/>
        <stp/>
        <stp>##V3_BQLV12</stp>
        <stp>[MODL_CRM_US1.xlsx]Single Period!R24C48</stp>
        <stp>SEG0000269238 Segment</stp>
        <stp>SALES_REV_TURN/1M</stp>
        <stp>FPR=2022Y</stp>
        <stp>FPT=A</stp>
        <stp>FA_ACT_EST_DATA=E, EST_SOURCE=PJE</stp>
        <stp>ACT_EST_MAPPING=PRECISE</stp>
        <stp>FS=MRC</stp>
        <stp>CURRENCY=USD</stp>
        <stp>XLFILL=b</stp>
        <tr r="AV24" s="2"/>
      </tp>
      <tp t="s">
        <v/>
        <stp/>
        <stp>##V3_BQLV12</stp>
        <stp>[MODL_CRM_US1.xlsx]Single Period!R28C18</stp>
        <stp>SEG0000269242 Segment</stp>
        <stp>SALES_REV_TURN/1M</stp>
        <stp>FPR=2022Y</stp>
        <stp>FPT=A</stp>
        <stp>FA_ACT_EST_DATA=E, EST_SOURCE=CAN</stp>
        <stp>ACT_EST_MAPPING=PRECISE</stp>
        <stp>FS=MRC</stp>
        <stp>CURRENCY=USD</stp>
        <stp>XLFILL=b</stp>
        <tr r="R28" s="2"/>
      </tp>
      <tp t="s">
        <v/>
        <stp/>
        <stp>##V3_BQLV12</stp>
        <stp>[MODL_CRM_US1.xlsx]Single Period!R65C41</stp>
        <stp>CRM US Equity</stp>
        <stp>IS_AMORT_OF_TOT_INTANG_PRETX/1M</stp>
        <stp>FPR=2022Y</stp>
        <stp>FPT=A</stp>
        <stp>FA_ACT_EST_DATA=E, EST_SOURCE=GSR</stp>
        <stp>ACT_EST_MAPPING=PRECISE</stp>
        <stp>FS=MRC</stp>
        <stp>CURRENCY=USD</stp>
        <stp>XLFILL=b</stp>
        <tr r="AO65" s="2"/>
      </tp>
      <tp t="s">
        <v/>
        <stp/>
        <stp>##V3_BQLV12</stp>
        <stp>[MODL_CRM_US1.xlsx]Single Period!R48C49</stp>
        <stp>SEG0000269229 Segment</stp>
        <stp>SALES_REV_TURN/1M</stp>
        <stp>FPR=2022Y</stp>
        <stp>FPT=A</stp>
        <stp>FA_ACT_EST_DATA=E, EST_SOURCE=SGE</stp>
        <stp>ACT_EST_MAPPING=PRECISE</stp>
        <stp>FS=MRC</stp>
        <stp>CURRENCY=USD</stp>
        <stp>XLFILL=b</stp>
        <tr r="AW48" s="2"/>
      </tp>
      <tp t="s">
        <v/>
        <stp/>
        <stp>##V3_BQLV12</stp>
        <stp>[MODL_CRM_US1.xlsx]Single Period!R28C30</stp>
        <stp>SEG0000269242 Segment</stp>
        <stp>SALES_REV_TURN/1M</stp>
        <stp>FPR=2022Y</stp>
        <stp>FPT=A</stp>
        <stp>FA_ACT_EST_DATA=E, EST_SOURCE=BAM</stp>
        <stp>ACT_EST_MAPPING=PRECISE</stp>
        <stp>FS=MRC</stp>
        <stp>CURRENCY=USD</stp>
        <stp>XLFILL=b</stp>
        <tr r="AD28" s="2"/>
      </tp>
      <tp t="s">
        <v/>
        <stp/>
        <stp>##V3_BQLV12</stp>
        <stp>[MODL_CRM_US1.xlsx]Single Period!R28C36</stp>
        <stp>SEG0000269242 Segment</stp>
        <stp>SALES_REV_TURN/1M</stp>
        <stp>FPR=2022Y</stp>
        <stp>FPT=A</stp>
        <stp>FA_ACT_EST_DATA=E, EST_SOURCE=MAC</stp>
        <stp>ACT_EST_MAPPING=PRECISE</stp>
        <stp>FS=MRC</stp>
        <stp>CURRENCY=USD</stp>
        <stp>XLFILL=b</stp>
        <tr r="AJ28" s="2"/>
      </tp>
      <tp t="s">
        <v/>
        <stp/>
        <stp>##V3_BQLV12</stp>
        <stp>[MODL_CRM_US1.xlsx]Single Period!R38C39</stp>
        <stp>SEG0000269228 Segment</stp>
        <stp>SALES_REV_TURN/1M</stp>
        <stp>FPR=2022Y</stp>
        <stp>FPT=A</stp>
        <stp>FA_ACT_EST_DATA=E, EST_SOURCE=KGI</stp>
        <stp>ACT_EST_MAPPING=PRECISE</stp>
        <stp>FS=MRC</stp>
        <stp>CURRENCY=USD</stp>
        <stp>XLFILL=b</stp>
        <tr r="AM38" s="2"/>
      </tp>
      <tp t="s">
        <v/>
        <stp/>
        <stp>##V3_BQLV12</stp>
        <stp>[MODL_CRM_US1.xlsx]Single Period!R43C21</stp>
        <stp>SEG0000269240 Segment</stp>
        <stp>SALES_REV_TURN/1M</stp>
        <stp>FPR=2022Y</stp>
        <stp>FPT=A</stp>
        <stp>FA_ACT_EST_DATA=E, EST_SOURCE=RJA</stp>
        <stp>ACT_EST_MAPPING=PRECISE</stp>
        <stp>FS=MRC</stp>
        <stp>CURRENCY=USD</stp>
        <stp>XLFILL=b</stp>
        <tr r="U43" s="2"/>
      </tp>
      <tp t="s">
        <v/>
        <stp/>
        <stp>##V3_BQLV12</stp>
        <stp>[MODL_CRM_US1.xlsx]Single Period!R48C39</stp>
        <stp>SEG0000269229 Segment</stp>
        <stp>SALES_REV_TURN/1M</stp>
        <stp>FPR=2022Y</stp>
        <stp>FPT=A</stp>
        <stp>FA_ACT_EST_DATA=E, EST_SOURCE=KGI</stp>
        <stp>ACT_EST_MAPPING=PRECISE</stp>
        <stp>FS=MRC</stp>
        <stp>CURRENCY=USD</stp>
        <stp>XLFILL=b</stp>
        <tr r="AM48" s="2"/>
      </tp>
      <tp t="s">
        <v/>
        <stp/>
        <stp>##V3_BQLV12</stp>
        <stp>[MODL_CRM_US1.xlsx]Single Period!R156C11</stp>
        <stp>CRM US Equity</stp>
        <stp>CF_DEPR_AMORT/1M</stp>
        <stp>FPR=2022Y</stp>
        <stp>FPT=A</stp>
        <stp>FA_ACT_EST_DATA=E, EST_SOURCE=WBL</stp>
        <stp>ACT_EST_MAPPING=PRECISE</stp>
        <stp>FS=MRC</stp>
        <stp>CURRENCY=USD</stp>
        <stp>XLFILL=b</stp>
        <tr r="K156" s="2"/>
      </tp>
      <tp t="s">
        <v/>
        <stp/>
        <stp>##V3_BQLV12</stp>
        <stp>[MODL_CRM_US1.xlsx]Single Period!R43C48</stp>
        <stp>SEG0000269240 Segment</stp>
        <stp>SALES_REV_TURN/1M</stp>
        <stp>FPR=2022Y</stp>
        <stp>FPT=A</stp>
        <stp>FA_ACT_EST_DATA=E, EST_SOURCE=PJE</stp>
        <stp>ACT_EST_MAPPING=PRECISE</stp>
        <stp>FS=MRC</stp>
        <stp>CURRENCY=USD</stp>
        <stp>XLFILL=b</stp>
        <tr r="AV43" s="2"/>
      </tp>
      <tp>
        <v>3166.12</v>
        <stp/>
        <stp>##V3_BQLV12</stp>
        <stp>[MODL_CRM_US1.xlsx]Single Period!R156C17</stp>
        <stp>CRM US Equity</stp>
        <stp>CF_DEPR_AMORT/1M</stp>
        <stp>FPR=2022Y</stp>
        <stp>FPT=A</stp>
        <stp>FA_ACT_EST_DATA=E, EST_SOURCE=NDH</stp>
        <stp>ACT_EST_MAPPING=PRECISE</stp>
        <stp>FS=MRC</stp>
        <stp>CURRENCY=USD</stp>
        <stp>XLFILL=b</stp>
        <tr r="Q156" s="2"/>
      </tp>
      <tp t="s">
        <v/>
        <stp/>
        <stp>##V3_BQLV12</stp>
        <stp>[MODL_CRM_US1.xlsx]Single Period!R29C49</stp>
        <stp>SEG0000269233 Segment</stp>
        <stp>SALES_REV_TURN/1M</stp>
        <stp>FPR=2022Y</stp>
        <stp>FPT=A</stp>
        <stp>FA_ACT_EST_DATA=E, EST_SOURCE=SGE</stp>
        <stp>ACT_EST_MAPPING=PRECISE</stp>
        <stp>FS=MRC</stp>
        <stp>CURRENCY=USD</stp>
        <stp>XLFILL=b</stp>
        <tr r="AW29" s="2"/>
      </tp>
      <tp t="s">
        <v/>
        <stp/>
        <stp>##V3_BQLV12</stp>
        <stp>[MODL_CRM_US1.xlsx]Single Period!R56C48</stp>
        <stp>CRM US Equity</stp>
        <stp>IS_COMP_GROSS_MARGIN_PERCENTAGE</stp>
        <stp>FPR=2022Y</stp>
        <stp>FPT=A</stp>
        <stp>FA_ACT_EST_DATA=E, EST_SOURCE=PJE</stp>
        <stp>ACT_EST_MAPPING=PRECISE</stp>
        <stp>FS=MRC</stp>
        <stp>CURRENCY=USD</stp>
        <stp>XLFILL=b</stp>
        <tr r="AV56" s="2"/>
      </tp>
      <tp t="s">
        <v/>
        <stp/>
        <stp>##V3_BQLV12</stp>
        <stp>[MODL_CRM_US1.xlsx]Single Period!R82C14</stp>
        <stp>CRM US Equity</stp>
        <stp>OPERATING_EXPENSES_TO_NET_SALES</stp>
        <stp>FPR=2022Y</stp>
        <stp>FPT=A</stp>
        <stp>FA_ACT_EST_DATA=E, EST_SOURCE=SNR</stp>
        <stp>ACT_EST_MAPPING=PRECISE</stp>
        <stp>FS=MRC</stp>
        <stp>CURRENCY=USD</stp>
        <stp>XLFILL=b</stp>
        <tr r="N82" s="2"/>
      </tp>
      <tp t="s">
        <v/>
        <stp/>
        <stp>##V3_BQLV12</stp>
        <stp>[MODL_CRM_US1.xlsx]Single Period!R82C25</stp>
        <stp>CRM US Equity</stp>
        <stp>OPERATING_EXPENSES_TO_NET_SALES</stp>
        <stp>FPR=2022Y</stp>
        <stp>FPT=A</stp>
        <stp>FA_ACT_EST_DATA=E, EST_SOURCE=WMS</stp>
        <stp>ACT_EST_MAPPING=PRECISE</stp>
        <stp>FS=MRC</stp>
        <stp>CURRENCY=USD</stp>
        <stp>XLFILL=b</stp>
        <tr r="Y82" s="2"/>
      </tp>
      <tp t="s">
        <v/>
        <stp/>
        <stp>##V3_BQLV12</stp>
        <stp>[MODL_CRM_US1.xlsx]Single Period!R183C36</stp>
        <stp>CRM US Equity</stp>
        <stp>CASH_FLOW_PER_SH</stp>
        <stp>FPR=2022Y</stp>
        <stp>FPT=A</stp>
        <stp>FA_ACT_EST_DATA=E, EST_SOURCE=MAC</stp>
        <stp>ACT_EST_MAPPING=PRECISE</stp>
        <stp>FS=MRC</stp>
        <stp>CURRENCY=USD</stp>
        <stp>XLFILL=b</stp>
        <tr r="AJ183" s="2"/>
      </tp>
      <tp t="s">
        <v/>
        <stp/>
        <stp>##V3_BQLV12</stp>
        <stp>[MODL_CRM_US1.xlsx]Single Period!R17C48</stp>
        <stp>CRM US Equity</stp>
        <stp>IS_COMP_GROSS_MARGIN_PERCENTAGE</stp>
        <stp>FPR=2022Y</stp>
        <stp>FPT=A</stp>
        <stp>FA_ACT_EST_DATA=E, EST_SOURCE=PJE</stp>
        <stp>ACT_EST_MAPPING=PRECISE</stp>
        <stp>FS=MRC</stp>
        <stp>CURRENCY=USD</stp>
        <stp>XLFILL=b</stp>
        <tr r="AV17" s="2"/>
      </tp>
      <tp t="s">
        <v/>
        <stp/>
        <stp>##V3_BQLV12</stp>
        <stp>[MODL_CRM_US1.xlsx]Single Period!R82C20</stp>
        <stp>CRM US Equity</stp>
        <stp>OPERATING_EXPENSES_TO_NET_SALES</stp>
        <stp>FPR=2022Y</stp>
        <stp>FPT=A</stp>
        <stp>FA_ACT_EST_DATA=E, EST_SOURCE=JMP</stp>
        <stp>ACT_EST_MAPPING=PRECISE</stp>
        <stp>FS=MRC</stp>
        <stp>CURRENCY=USD</stp>
        <stp>XLFILL=b</stp>
        <tr r="T82" s="2"/>
      </tp>
      <tp t="s">
        <v/>
        <stp/>
        <stp>##V3_BQLV12</stp>
        <stp>[MODL_CRM_US1.xlsx]Single Period!R120C10</stp>
        <stp>CRM US Equity</stp>
        <stp>BS_LONG_TERM_INVESTMENTS/1M</stp>
        <stp>FPR=2022Y</stp>
        <stp>FPT=A</stp>
        <stp>FA_ACT_EST_DATA=E, EST_SOURCE=CMPY</stp>
        <stp>ACT_EST_MAPPING=PRECISE</stp>
        <stp>FS=MRC</stp>
        <stp>CURRENCY=USD</stp>
        <stp>XLFILL=b</stp>
        <tr r="J120" s="2"/>
      </tp>
      <tp t="s">
        <v/>
        <stp/>
        <stp>##V3_BQLV12</stp>
        <stp>[MODL_CRM_US1.xlsx]Single Period!R183C29</stp>
        <stp>CRM US Equity</stp>
        <stp>CASH_FLOW_PER_SH</stp>
        <stp>FPR=2022Y</stp>
        <stp>FPT=A</stp>
        <stp>FA_ACT_EST_DATA=E, EST_SOURCE=BNS</stp>
        <stp>ACT_EST_MAPPING=PRECISE</stp>
        <stp>FS=MRC</stp>
        <stp>CURRENCY=USD</stp>
        <stp>XLFILL=b</stp>
        <tr r="AC183" s="2"/>
      </tp>
      <tp>
        <v>21.58350905068022</v>
        <stp/>
        <stp>##V3_BQLV12</stp>
        <stp>[MODL_CRM_US1.xlsx]Single Period!R184C9</stp>
        <stp>CRM US Equity</stp>
        <stp>CONTRIBUTOR_STATS(CFO_TO_SALES, MEDIAN)</stp>
        <stp>FPR=2022Y</stp>
        <stp>FPT=A</stp>
        <stp>FA_ACT_EST_DATA=E</stp>
        <stp>ACT_EST_MAPPING=PRECISE</stp>
        <stp>FS=MRC</stp>
        <stp>CURRENCY=USD</stp>
        <stp>XLFILL=b</stp>
        <tr r="I184" s="2"/>
      </tp>
      <tp t="s">
        <v>Evercore ISI</v>
        <stp/>
        <stp>##V3_BQLV12</stp>
        <stp>[MODL_CRM_US1.xlsx]Single Period!R3C37</stp>
        <stp>CRM US Equity</stp>
        <stp>LAST(IS_COMP_SALES(FA_ACT_EST_DATA=E, EST_SOURCE=EVR).firm_name)</stp>
        <stp>FPR=2022Y</stp>
        <stp>FPT=A</stp>
        <stp>ACT_EST_MAPPING=PRECISE</stp>
        <stp>FS=MRC</stp>
        <stp>CURRENCY=USD</stp>
        <stp>XLFILL=b</stp>
        <tr r="AK3" s="2"/>
      </tp>
      <tp t="s">
        <v/>
        <stp/>
        <stp>##V3_BQLV12</stp>
        <stp>[MODL_CRM_US1.xlsx]Single Period!R166C40</stp>
        <stp>CRM US Equity</stp>
        <stp>CF_CHANGE_IN_OPER_LEASE_LIBLTS/1M</stp>
        <stp>FPR=2022Y</stp>
        <stp>FPT=A</stp>
        <stp>FA_ACT_EST_DATA=E, EST_SOURCE=ACC</stp>
        <stp>ACT_EST_MAPPING=PRECISE</stp>
        <stp>FS=MRC</stp>
        <stp>CURRENCY=USD</stp>
        <stp>XLFILL=b</stp>
        <tr r="AN166" s="2"/>
      </tp>
      <tp t="s">
        <v/>
        <stp/>
        <stp>##V3_BQLV12</stp>
        <stp>[MODL_CRM_US1.xlsx]Single Period!R166C19</stp>
        <stp>CRM US Equity</stp>
        <stp>CF_CHANGE_IN_OPER_LEASE_LIBLTS/1M</stp>
        <stp>FPR=2022Y</stp>
        <stp>FPT=A</stp>
        <stp>FA_ACT_EST_DATA=E, EST_SOURCE=SCB</stp>
        <stp>ACT_EST_MAPPING=PRECISE</stp>
        <stp>FS=MRC</stp>
        <stp>CURRENCY=USD</stp>
        <stp>XLFILL=b</stp>
        <tr r="S166" s="2"/>
      </tp>
      <tp t="s">
        <v/>
        <stp/>
        <stp>##V3_BQLV12</stp>
        <stp>[MODL_CRM_US1.xlsx]Single Period!R166C13</stp>
        <stp>CRM US Equity</stp>
        <stp>CF_CHANGE_IN_OPER_LEASE_LIBLTS/1M</stp>
        <stp>FPR=2022Y</stp>
        <stp>FPT=A</stp>
        <stp>FA_ACT_EST_DATA=E, EST_SOURCE=BCA</stp>
        <stp>ACT_EST_MAPPING=PRECISE</stp>
        <stp>FS=MRC</stp>
        <stp>CURRENCY=USD</stp>
        <stp>XLFILL=b</stp>
        <tr r="M166" s="2"/>
      </tp>
      <tp t="s">
        <v/>
        <stp/>
        <stp>##V3_BQLV12</stp>
        <stp>[MODL_CRM_US1.xlsx]Single Period!R166C27</stp>
        <stp>CRM US Equity</stp>
        <stp>CF_CHANGE_IN_OPER_LEASE_LIBLTS/1M</stp>
        <stp>FPR=2022Y</stp>
        <stp>FPT=A</stp>
        <stp>FA_ACT_EST_DATA=E, EST_SOURCE=LCM</stp>
        <stp>ACT_EST_MAPPING=PRECISE</stp>
        <stp>FS=MRC</stp>
        <stp>CURRENCY=USD</stp>
        <stp>XLFILL=b</stp>
        <tr r="AA166" s="2"/>
      </tp>
      <tp>
        <v>-1584.734475152814</v>
        <stp/>
        <stp>##V3_BQLV12</stp>
        <stp>[MODL_CRM_US1.xlsx]Single Period!R161C5</stp>
        <stp>CRM US Equity</stp>
        <stp>CF_ACCT_RCV_UNBILLED_REV/1M</stp>
        <stp>FPR=2022Y</stp>
        <stp>FPT=A</stp>
        <stp>FA_ACT_EST_DATA=E</stp>
        <stp>ACT_EST_MAPPING=PRECISE</stp>
        <stp>FS=MRC</stp>
        <stp>CURRENCY=USD</stp>
        <stp>XLFILL=b</stp>
        <tr r="E161" s="2"/>
      </tp>
      <tp t="s">
        <v/>
        <stp/>
        <stp>##V3_BQLV12</stp>
        <stp>[MODL_CRM_US1.xlsx]Single Period!R166C51</stp>
        <stp>CRM US Equity</stp>
        <stp>CF_CHANGE_IN_OPER_LEASE_LIBLTS/1M</stp>
        <stp>FPR=2022Y</stp>
        <stp>FPT=A</stp>
        <stp>FA_ACT_EST_DATA=E, EST_SOURCE=RCP</stp>
        <stp>ACT_EST_MAPPING=PRECISE</stp>
        <stp>FS=MRC</stp>
        <stp>CURRENCY=USD</stp>
        <stp>XLFILL=b</stp>
        <tr r="AY166" s="2"/>
      </tp>
      <tp t="s">
        <v/>
        <stp/>
        <stp>##V3_BQLV12</stp>
        <stp>[MODL_CRM_US1.xlsx]Single Period!R112C45</stp>
        <stp>CRM US Equity</stp>
        <stp>BS_CASH_NEAR_CASH_ITEM/1M</stp>
        <stp>FPR=2022Y</stp>
        <stp>FPT=A</stp>
        <stp>FA_ACT_EST_DATA=E, EST_SOURCE=ARG</stp>
        <stp>ACT_EST_MAPPING=PRECISE</stp>
        <stp>FS=MRC</stp>
        <stp>CURRENCY=USD</stp>
        <stp>XLFILL=b</stp>
        <tr r="AS112" s="2"/>
      </tp>
      <tp t="s">
        <v/>
        <stp/>
        <stp>##V3_BQLV12</stp>
        <stp>[MODL_CRM_US1.xlsx]Single Period!R112C54</stp>
        <stp>CRM US Equity</stp>
        <stp>BS_CASH_NEAR_CASH_ITEM/1M</stp>
        <stp>FPR=2022Y</stp>
        <stp>FPT=A</stp>
        <stp>FA_ACT_EST_DATA=E, EST_SOURCE=ARE</stp>
        <stp>ACT_EST_MAPPING=PRECISE</stp>
        <stp>FS=MRC</stp>
        <stp>CURRENCY=USD</stp>
        <stp>XLFILL=b</stp>
        <tr r="BB112" s="2"/>
      </tp>
      <tp t="s">
        <v/>
        <stp/>
        <stp>##V3_BQLV12</stp>
        <stp>[MODL_CRM_US1.xlsx]Single Period!R114C52</stp>
        <stp>CRM US Equity</stp>
        <stp>BS_ACCTS_REC_EXCL_NOTES_REC/1M</stp>
        <stp>FPR=2022Y</stp>
        <stp>FPT=A</stp>
        <stp>FA_ACT_EST_DATA=E, EST_SOURCE=WFR</stp>
        <stp>ACT_EST_MAPPING=PRECISE</stp>
        <stp>FS=MRC</stp>
        <stp>CURRENCY=USD</stp>
        <stp>XLFILL=b</stp>
        <tr r="AZ114" s="2"/>
      </tp>
      <tp t="s">
        <v/>
        <stp/>
        <stp>##V3_BQLV12</stp>
        <stp>[MODL_CRM_US1.xlsx]Single Period!R63C34</stp>
        <stp>CRM US Equity</stp>
        <stp>CF_DEPR_AMORT/1M</stp>
        <stp>FPR=2022Y</stp>
        <stp>FPT=A</stp>
        <stp>FA_ACT_EST_DATA=E, EST_SOURCE=JEF</stp>
        <stp>ACT_EST_MAPPING=PRECISE</stp>
        <stp>FS=MRC</stp>
        <stp>CURRENCY=USD</stp>
        <stp>XLFILL=b</stp>
        <tr r="AH63" s="2"/>
      </tp>
      <tp t="s">
        <v/>
        <stp/>
        <stp>##V3_BQLV12</stp>
        <stp>[MODL_CRM_US1.xlsx]Single Period!R137C42</stp>
        <stp>CRM US Equity</stp>
        <stp>BS_EQTY_BEFORE_MINORITY_INT/1M</stp>
        <stp>FPR=2022Y</stp>
        <stp>FPT=A</stp>
        <stp>FA_ACT_EST_DATA=E, EST_SOURCE=PSG</stp>
        <stp>ACT_EST_MAPPING=PRECISE</stp>
        <stp>FS=MRC</stp>
        <stp>CURRENCY=USD</stp>
        <stp>XLFILL=b</stp>
        <tr r="AP137" s="2"/>
      </tp>
      <tp t="s">
        <v/>
        <stp/>
        <stp>##V3_BQLV12</stp>
        <stp>[MODL_CRM_US1.xlsx]Single Period!R131C51</stp>
        <stp>CRM US Equity</stp>
        <stp>ST_DEFERRED_REVENUE/1M</stp>
        <stp>FPR=2022Y</stp>
        <stp>FPT=A</stp>
        <stp>FA_ACT_EST_DATA=E, EST_SOURCE=RCP</stp>
        <stp>ACT_EST_MAPPING=PRECISE</stp>
        <stp>FS=MRC</stp>
        <stp>CURRENCY=USD</stp>
        <stp>XLFILL=b</stp>
        <tr r="AY131" s="2"/>
      </tp>
      <tp t="s">
        <v/>
        <stp/>
        <stp>##V3_BQLV12</stp>
        <stp>[MODL_CRM_US1.xlsx]Single Period!R52C45</stp>
        <stp>CRM US Equity</stp>
        <stp>IS_COMP_SALES/1M</stp>
        <stp>FPR=2022Y</stp>
        <stp>FPT=A</stp>
        <stp>FA_ACT_EST_DATA=E, EST_SOURCE=ARG</stp>
        <stp>ACT_EST_MAPPING=PRECISE</stp>
        <stp>FS=MRC</stp>
        <stp>CURRENCY=USD</stp>
        <stp>XLFILL=b</stp>
        <tr r="AS52" s="2"/>
      </tp>
      <tp t="s">
        <v/>
        <stp/>
        <stp>##V3_BQLV12</stp>
        <stp>[MODL_CRM_US1.xlsx]Single Period!R12C34</stp>
        <stp>CRM US Equity</stp>
        <stp>TOT_FUTURE_REV_UNDER_CONTRACT/1M</stp>
        <stp>FPR=2022Y</stp>
        <stp>FPT=A</stp>
        <stp>FA_ACT_EST_DATA=E, EST_SOURCE=JEF</stp>
        <stp>ACT_EST_MAPPING=PRECISE</stp>
        <stp>FS=MRC</stp>
        <stp>CURRENCY=USD</stp>
        <stp>XLFILL=b</stp>
        <tr r="AH12" s="2"/>
      </tp>
      <tp t="s">
        <v/>
        <stp/>
        <stp>##V3_BQLV12</stp>
        <stp>[MODL_CRM_US1.xlsx]Single Period!R114C47</stp>
        <stp>CRM US Equity</stp>
        <stp>BS_ACCTS_REC_EXCL_NOTES_REC/1M</stp>
        <stp>FPR=2022Y</stp>
        <stp>FPT=A</stp>
        <stp>FA_ACT_EST_DATA=E, EST_SOURCE=WFT</stp>
        <stp>ACT_EST_MAPPING=PRECISE</stp>
        <stp>FS=MRC</stp>
        <stp>CURRENCY=USD</stp>
        <stp>XLFILL=b</stp>
        <tr r="AU114" s="2"/>
      </tp>
      <tp t="s">
        <v/>
        <stp/>
        <stp>##V3_BQLV12</stp>
        <stp>[MODL_CRM_US1.xlsx]Single Period!R134C47</stp>
        <stp>CRM US Equity</stp>
        <stp>BS_LT_OPERATING_LEASE_LIABS/1M</stp>
        <stp>FPR=2022Y</stp>
        <stp>FPT=A</stp>
        <stp>FA_ACT_EST_DATA=E, EST_SOURCE=WFT</stp>
        <stp>ACT_EST_MAPPING=PRECISE</stp>
        <stp>FS=MRC</stp>
        <stp>CURRENCY=USD</stp>
        <stp>XLFILL=b</stp>
        <tr r="AU134" s="2"/>
      </tp>
      <tp t="s">
        <v/>
        <stp/>
        <stp>##V3_BQLV12</stp>
        <stp>[MODL_CRM_US1.xlsx]Single Period!R63C30</stp>
        <stp>CRM US Equity</stp>
        <stp>CF_DEPR_AMORT/1M</stp>
        <stp>FPR=2022Y</stp>
        <stp>FPT=A</stp>
        <stp>FA_ACT_EST_DATA=E, EST_SOURCE=BAM</stp>
        <stp>ACT_EST_MAPPING=PRECISE</stp>
        <stp>FS=MRC</stp>
        <stp>CURRENCY=USD</stp>
        <stp>XLFILL=b</stp>
        <tr r="AD63" s="2"/>
      </tp>
      <tp>
        <v>4862</v>
        <stp/>
        <stp>##V3_BQLV12</stp>
        <stp>[MODL_CRM_US1.xlsx]Single Period!R68C38</stp>
        <stp>CRM US Equity</stp>
        <stp>IS_COMP_PTP_EX_STK_BASED_COMP/1M</stp>
        <stp>FPR=2022Y</stp>
        <stp>FPT=A</stp>
        <stp>FA_ACT_EST_DATA=E, EST_SOURCE=MSR</stp>
        <stp>ACT_EST_MAPPING=PRECISE</stp>
        <stp>FS=MRC</stp>
        <stp>CURRENCY=USD</stp>
        <stp>XLFILL=b</stp>
        <tr r="AL68" s="2"/>
      </tp>
      <tp t="s">
        <v/>
        <stp/>
        <stp>##V3_BQLV12</stp>
        <stp>[MODL_CRM_US1.xlsx]Single Period!R12C30</stp>
        <stp>CRM US Equity</stp>
        <stp>TOT_FUTURE_REV_UNDER_CONTRACT/1M</stp>
        <stp>FPR=2022Y</stp>
        <stp>FPT=A</stp>
        <stp>FA_ACT_EST_DATA=E, EST_SOURCE=BAM</stp>
        <stp>ACT_EST_MAPPING=PRECISE</stp>
        <stp>FS=MRC</stp>
        <stp>CURRENCY=USD</stp>
        <stp>XLFILL=b</stp>
        <tr r="AD12" s="2"/>
      </tp>
      <tp t="s">
        <v/>
        <stp/>
        <stp>##V3_BQLV12</stp>
        <stp>[MODL_CRM_US1.xlsx]Single Period!R110C50</stp>
        <stp>CRM US Equity</stp>
        <stp>BS_CUR_ASSET_REPORT/1M</stp>
        <stp>FPR=2022Y</stp>
        <stp>FPT=A</stp>
        <stp>FA_ACT_EST_DATA=E, EST_SOURCE=MZS</stp>
        <stp>ACT_EST_MAPPING=PRECISE</stp>
        <stp>FS=MRC</stp>
        <stp>CURRENCY=USD</stp>
        <stp>XLFILL=b</stp>
        <tr r="AX110" s="2"/>
      </tp>
      <tp t="s">
        <v/>
        <stp/>
        <stp>##V3_BQLV12</stp>
        <stp>[MODL_CRM_US1.xlsx]Single Period!R134C52</stp>
        <stp>CRM US Equity</stp>
        <stp>BS_LT_OPERATING_LEASE_LIABS/1M</stp>
        <stp>FPR=2022Y</stp>
        <stp>FPT=A</stp>
        <stp>FA_ACT_EST_DATA=E, EST_SOURCE=WFR</stp>
        <stp>ACT_EST_MAPPING=PRECISE</stp>
        <stp>FS=MRC</stp>
        <stp>CURRENCY=USD</stp>
        <stp>XLFILL=b</stp>
        <tr r="AZ134" s="2"/>
      </tp>
      <tp t="s">
        <v/>
        <stp/>
        <stp>##V3_BQLV12</stp>
        <stp>[MODL_CRM_US1.xlsx]Single Period!R102C29</stp>
        <stp>CRM US Equity</stp>
        <stp>IS_SBC_ATT_TO_S_AND_M_PRETX/1M</stp>
        <stp>FPR=2022Y</stp>
        <stp>FPT=A</stp>
        <stp>FA_ACT_EST_DATA=E, EST_SOURCE=BNS</stp>
        <stp>ACT_EST_MAPPING=PRECISE</stp>
        <stp>FS=MRC</stp>
        <stp>CURRENCY=USD</stp>
        <stp>XLFILL=b</stp>
        <tr r="AC102" s="2"/>
      </tp>
      <tp t="s">
        <v/>
        <stp/>
        <stp>##V3_BQLV12</stp>
        <stp>[MODL_CRM_US1.xlsx]Single Period!R130C52</stp>
        <stp>CRM US Equity</stp>
        <stp>BS_ST_OPERATING_LEASE_LIABS/1M</stp>
        <stp>FPR=2022Y</stp>
        <stp>FPT=A</stp>
        <stp>FA_ACT_EST_DATA=E, EST_SOURCE=WFR</stp>
        <stp>ACT_EST_MAPPING=PRECISE</stp>
        <stp>FS=MRC</stp>
        <stp>CURRENCY=USD</stp>
        <stp>XLFILL=b</stp>
        <tr r="AZ130" s="2"/>
      </tp>
      <tp>
        <v>16007.04883925082</v>
        <stp/>
        <stp>##V3_BQLV12</stp>
        <stp>[MODL_CRM_US1.xlsx]Single Period!R131C13</stp>
        <stp>CRM US Equity</stp>
        <stp>ST_DEFERRED_REVENUE/1M</stp>
        <stp>FPR=2022Y</stp>
        <stp>FPT=A</stp>
        <stp>FA_ACT_EST_DATA=E, EST_SOURCE=BCA</stp>
        <stp>ACT_EST_MAPPING=PRECISE</stp>
        <stp>FS=MRC</stp>
        <stp>CURRENCY=USD</stp>
        <stp>XLFILL=b</stp>
        <tr r="M131" s="2"/>
      </tp>
      <tp t="s">
        <v/>
        <stp/>
        <stp>##V3_BQLV12</stp>
        <stp>[MODL_CRM_US1.xlsx]Single Period!R137C38</stp>
        <stp>CRM US Equity</stp>
        <stp>BS_EQTY_BEFORE_MINORITY_INT/1M</stp>
        <stp>FPR=2022Y</stp>
        <stp>FPT=A</stp>
        <stp>FA_ACT_EST_DATA=E, EST_SOURCE=MSR</stp>
        <stp>ACT_EST_MAPPING=PRECISE</stp>
        <stp>FS=MRC</stp>
        <stp>CURRENCY=USD</stp>
        <stp>XLFILL=b</stp>
        <tr r="AL137" s="2"/>
      </tp>
      <tp t="s">
        <v/>
        <stp/>
        <stp>##V3_BQLV12</stp>
        <stp>[MODL_CRM_US1.xlsx]Single Period!R131C19</stp>
        <stp>CRM US Equity</stp>
        <stp>ST_DEFERRED_REVENUE/1M</stp>
        <stp>FPR=2022Y</stp>
        <stp>FPT=A</stp>
        <stp>FA_ACT_EST_DATA=E, EST_SOURCE=SCB</stp>
        <stp>ACT_EST_MAPPING=PRECISE</stp>
        <stp>FS=MRC</stp>
        <stp>CURRENCY=USD</stp>
        <stp>XLFILL=b</stp>
        <tr r="S131" s="2"/>
      </tp>
      <tp t="s">
        <v/>
        <stp/>
        <stp>##V3_BQLV12</stp>
        <stp>[MODL_CRM_US1.xlsx]Single Period!R102C14</stp>
        <stp>CRM US Equity</stp>
        <stp>IS_SBC_ATT_TO_S_AND_M_PRETX/1M</stp>
        <stp>FPR=2022Y</stp>
        <stp>FPT=A</stp>
        <stp>FA_ACT_EST_DATA=E, EST_SOURCE=SNR</stp>
        <stp>ACT_EST_MAPPING=PRECISE</stp>
        <stp>FS=MRC</stp>
        <stp>CURRENCY=USD</stp>
        <stp>XLFILL=b</stp>
        <tr r="N102" s="2"/>
      </tp>
      <tp t="s">
        <v/>
        <stp/>
        <stp>##V3_BQLV12</stp>
        <stp>[MODL_CRM_US1.xlsx]Single Period!R63C47</stp>
        <stp>CRM US Equity</stp>
        <stp>CF_DEPR_AMORT/1M</stp>
        <stp>FPR=2022Y</stp>
        <stp>FPT=A</stp>
        <stp>FA_ACT_EST_DATA=E, EST_SOURCE=WFT</stp>
        <stp>ACT_EST_MAPPING=PRECISE</stp>
        <stp>FS=MRC</stp>
        <stp>CURRENCY=USD</stp>
        <stp>XLFILL=b</stp>
        <tr r="AU63" s="2"/>
      </tp>
      <tp t="s">
        <v/>
        <stp/>
        <stp>##V3_BQLV12</stp>
        <stp>[MODL_CRM_US1.xlsx]Single Period!R12C47</stp>
        <stp>CRM US Equity</stp>
        <stp>TOT_FUTURE_REV_UNDER_CONTRACT/1M</stp>
        <stp>FPR=2022Y</stp>
        <stp>FPT=A</stp>
        <stp>FA_ACT_EST_DATA=E, EST_SOURCE=WFT</stp>
        <stp>ACT_EST_MAPPING=PRECISE</stp>
        <stp>FS=MRC</stp>
        <stp>CURRENCY=USD</stp>
        <stp>XLFILL=b</stp>
        <tr r="AU12" s="2"/>
      </tp>
      <tp t="s">
        <v/>
        <stp/>
        <stp>##V3_BQLV12</stp>
        <stp>[MODL_CRM_US1.xlsx]Single Period!R131C40</stp>
        <stp>CRM US Equity</stp>
        <stp>ST_DEFERRED_REVENUE/1M</stp>
        <stp>FPR=2022Y</stp>
        <stp>FPT=A</stp>
        <stp>FA_ACT_EST_DATA=E, EST_SOURCE=ACC</stp>
        <stp>ACT_EST_MAPPING=PRECISE</stp>
        <stp>FS=MRC</stp>
        <stp>CURRENCY=USD</stp>
        <stp>XLFILL=b</stp>
        <tr r="AN131" s="2"/>
      </tp>
      <tp t="s">
        <v/>
        <stp/>
        <stp>##V3_BQLV12</stp>
        <stp>[MODL_CRM_US1.xlsx]Single Period!R137C41</stp>
        <stp>CRM US Equity</stp>
        <stp>BS_EQTY_BEFORE_MINORITY_INT/1M</stp>
        <stp>FPR=2022Y</stp>
        <stp>FPT=A</stp>
        <stp>FA_ACT_EST_DATA=E, EST_SOURCE=GSR</stp>
        <stp>ACT_EST_MAPPING=PRECISE</stp>
        <stp>FS=MRC</stp>
        <stp>CURRENCY=USD</stp>
        <stp>XLFILL=b</stp>
        <tr r="AO137" s="2"/>
      </tp>
      <tp t="s">
        <v/>
        <stp/>
        <stp>##V3_BQLV12</stp>
        <stp>[MODL_CRM_US1.xlsx]Single Period!R98C43</stp>
        <stp>CRM US Equity</stp>
        <stp>IS_INC_TAX_EFFECT_NONGAAP_REC/1M</stp>
        <stp>FPR=2022Y</stp>
        <stp>FPT=A</stp>
        <stp>FA_ACT_EST_DATA=E, EST_SOURCE=DWI</stp>
        <stp>ACT_EST_MAPPING=PRECISE</stp>
        <stp>FS=MRC</stp>
        <stp>CURRENCY=USD</stp>
        <stp>XLFILL=b</stp>
        <tr r="AQ98" s="2"/>
      </tp>
      <tp t="s">
        <v/>
        <stp/>
        <stp>##V3_BQLV12</stp>
        <stp>[MODL_CRM_US1.xlsx]Single Period!R73C38</stp>
        <stp>CRM US Equity</stp>
        <stp>IS_SH_FOR_DILUTED_EPS/1M</stp>
        <stp>FPR=2022Y</stp>
        <stp>FPT=A</stp>
        <stp>FA_ACT_EST_DATA=E, EST_SOURCE=MSR</stp>
        <stp>ACT_EST_MAPPING=PRECISE</stp>
        <stp>FS=MRC</stp>
        <stp>CURRENCY=USD</stp>
        <stp>XLFILL=b</stp>
        <tr r="AL73" s="2"/>
      </tp>
      <tp t="s">
        <v/>
        <stp/>
        <stp>##V3_BQLV12</stp>
        <stp>[MODL_CRM_US1.xlsx]Single Period!R130C47</stp>
        <stp>CRM US Equity</stp>
        <stp>BS_ST_OPERATING_LEASE_LIABS/1M</stp>
        <stp>FPR=2022Y</stp>
        <stp>FPT=A</stp>
        <stp>FA_ACT_EST_DATA=E, EST_SOURCE=WFT</stp>
        <stp>ACT_EST_MAPPING=PRECISE</stp>
        <stp>FS=MRC</stp>
        <stp>CURRENCY=USD</stp>
        <stp>XLFILL=b</stp>
        <tr r="AU130" s="2"/>
      </tp>
      <tp>
        <v>42729.48963081259</v>
        <stp/>
        <stp>##V3_BQLV12</stp>
        <stp>[MODL_CRM_US1.xlsx]Single Period!R137C15</stp>
        <stp>CRM US Equity</stp>
        <stp>BS_EQTY_BEFORE_MINORITY_INT/1M</stp>
        <stp>FPR=2022Y</stp>
        <stp>FPT=A</stp>
        <stp>FA_ACT_EST_DATA=E, EST_SOURCE=MSV</stp>
        <stp>ACT_EST_MAPPING=PRECISE</stp>
        <stp>FS=MRC</stp>
        <stp>CURRENCY=USD</stp>
        <stp>XLFILL=b</stp>
        <tr r="O137" s="2"/>
      </tp>
      <tp t="s">
        <v/>
        <stp/>
        <stp>##V3_BQLV12</stp>
        <stp>[MODL_CRM_US1.xlsx]Single Period!R162C52</stp>
        <stp>CRM US Equity</stp>
        <stp>CF_CHANGE_IN_PREPAID_EXPNSS/1M</stp>
        <stp>FPR=2022Y</stp>
        <stp>FPT=A</stp>
        <stp>FA_ACT_EST_DATA=E, EST_SOURCE=WFR</stp>
        <stp>ACT_EST_MAPPING=PRECISE</stp>
        <stp>FS=MRC</stp>
        <stp>CURRENCY=USD</stp>
        <stp>XLFILL=b</stp>
        <tr r="AZ162" s="2"/>
      </tp>
      <tp t="s">
        <v/>
        <stp/>
        <stp>##V3_BQLV12</stp>
        <stp>[MODL_CRM_US1.xlsx]Single Period!R176C10</stp>
        <stp>CRM US Equity</stp>
        <stp>CF_INCR_CAP_STOCK/1M</stp>
        <stp>FPR=2022Y</stp>
        <stp>FPT=A</stp>
        <stp>FA_ACT_EST_DATA=E, EST_SOURCE=CMPY</stp>
        <stp>ACT_EST_MAPPING=PRECISE</stp>
        <stp>FS=MRC</stp>
        <stp>CURRENCY=USD</stp>
        <stp>XLFILL=b</stp>
        <tr r="J176" s="2"/>
      </tp>
      <tp t="s">
        <v/>
        <stp/>
        <stp>##V3_BQLV12</stp>
        <stp>[MODL_CRM_US1.xlsx]Single Period!R146C37</stp>
        <stp>CRM US Equity</stp>
        <stp>CUR_RATIO</stp>
        <stp>FPR=2022Y</stp>
        <stp>FPT=A</stp>
        <stp>FA_ACT_EST_DATA=E, EST_SOURCE=EVR</stp>
        <stp>ACT_EST_MAPPING=PRECISE</stp>
        <stp>FS=MRC</stp>
        <stp>CURRENCY=USD</stp>
        <stp>XLFILL=b</stp>
        <tr r="AK146" s="2"/>
      </tp>
      <tp t="s">
        <v/>
        <stp/>
        <stp>##V3_BQLV12</stp>
        <stp>[MODL_CRM_US1.xlsx]Single Period!R162C47</stp>
        <stp>CRM US Equity</stp>
        <stp>CF_CHANGE_IN_PREPAID_EXPNSS/1M</stp>
        <stp>FPR=2022Y</stp>
        <stp>FPT=A</stp>
        <stp>FA_ACT_EST_DATA=E, EST_SOURCE=WFT</stp>
        <stp>ACT_EST_MAPPING=PRECISE</stp>
        <stp>FS=MRC</stp>
        <stp>CURRENCY=USD</stp>
        <stp>XLFILL=b</stp>
        <tr r="AU162" s="2"/>
      </tp>
      <tp t="s">
        <v/>
        <stp/>
        <stp>##V3_BQLV12</stp>
        <stp>[MODL_CRM_US1.xlsx]Single Period!R131C27</stp>
        <stp>CRM US Equity</stp>
        <stp>ST_DEFERRED_REVENUE/1M</stp>
        <stp>FPR=2022Y</stp>
        <stp>FPT=A</stp>
        <stp>FA_ACT_EST_DATA=E, EST_SOURCE=LCM</stp>
        <stp>ACT_EST_MAPPING=PRECISE</stp>
        <stp>FS=MRC</stp>
        <stp>CURRENCY=USD</stp>
        <stp>XLFILL=b</stp>
        <tr r="AA131" s="2"/>
      </tp>
      <tp t="s">
        <v/>
        <stp/>
        <stp>##V3_BQLV12</stp>
        <stp>[MODL_CRM_US1.xlsx]Single Period!R117C17</stp>
        <stp>CRM US Equity</stp>
        <stp>BS_TOTAL_NON_CURRENT_ASSETS/1M</stp>
        <stp>FPR=2022Y</stp>
        <stp>FPT=A</stp>
        <stp>FA_ACT_EST_DATA=E, EST_SOURCE=NDH</stp>
        <stp>ACT_EST_MAPPING=PRECISE</stp>
        <stp>FS=MRC</stp>
        <stp>CURRENCY=USD</stp>
        <stp>XLFILL=b</stp>
        <tr r="Q117" s="2"/>
      </tp>
      <tp>
        <v>24604</v>
        <stp/>
        <stp>##V3_BQLV12</stp>
        <stp>[MODL_CRM_US1.xlsx]Single Period!R10C20</stp>
        <stp>SEG0000269238 Segment</stp>
        <stp>SALES_REV_TURN/1M</stp>
        <stp>FPR=2022Y</stp>
        <stp>FPT=A</stp>
        <stp>FA_ACT_EST_DATA=E, EST_SOURCE=JMP</stp>
        <stp>ACT_EST_MAPPING=PRECISE</stp>
        <stp>FS=MRC</stp>
        <stp>CURRENCY=USD</stp>
        <stp>XLFILL=b</stp>
        <tr r="T10" s="2"/>
      </tp>
      <tp>
        <v>24373.085999999999</v>
        <stp/>
        <stp>##V3_BQLV12</stp>
        <stp>[MODL_CRM_US1.xlsx]Single Period!R10C25</stp>
        <stp>SEG0000269238 Segment</stp>
        <stp>SALES_REV_TURN/1M</stp>
        <stp>FPR=2022Y</stp>
        <stp>FPT=A</stp>
        <stp>FA_ACT_EST_DATA=E, EST_SOURCE=WMS</stp>
        <stp>ACT_EST_MAPPING=PRECISE</stp>
        <stp>FS=MRC</stp>
        <stp>CURRENCY=USD</stp>
        <stp>XLFILL=b</stp>
        <tr r="Y10" s="2"/>
      </tp>
      <tp t="s">
        <v/>
        <stp/>
        <stp>##V3_BQLV12</stp>
        <stp>[MODL_CRM_US1.xlsx]Single Period!R24C56</stp>
        <stp>SEG0000269238 Segment</stp>
        <stp>SALES_REV_TURN/1M</stp>
        <stp>FPR=2022Y</stp>
        <stp>FPT=A</stp>
        <stp>FA_ACT_EST_DATA=E, EST_SOURCE=DIR</stp>
        <stp>ACT_EST_MAPPING=PRECISE</stp>
        <stp>FS=MRC</stp>
        <stp>CURRENCY=USD</stp>
        <stp>XLFILL=b</stp>
        <tr r="BD24" s="2"/>
      </tp>
      <tp t="s">
        <v/>
        <stp/>
        <stp>##V3_BQLV12</stp>
        <stp>[MODL_CRM_US1.xlsx]Single Period!R156C32</stp>
        <stp>CRM US Equity</stp>
        <stp>CF_DEPR_AMORT/1M</stp>
        <stp>FPR=2022Y</stp>
        <stp>FPT=A</stp>
        <stp>FA_ACT_EST_DATA=E, EST_SOURCE=UBS</stp>
        <stp>ACT_EST_MAPPING=PRECISE</stp>
        <stp>FS=MRC</stp>
        <stp>CURRENCY=USD</stp>
        <stp>XLFILL=b</stp>
        <tr r="AF156" s="2"/>
      </tp>
      <tp t="s">
        <v/>
        <stp/>
        <stp>##V3_BQLV12</stp>
        <stp>[MODL_CRM_US1.xlsx]Single Period!R28C32</stp>
        <stp>SEG0000269242 Segment</stp>
        <stp>SALES_REV_TURN/1M</stp>
        <stp>FPR=2022Y</stp>
        <stp>FPT=A</stp>
        <stp>FA_ACT_EST_DATA=E, EST_SOURCE=UBS</stp>
        <stp>ACT_EST_MAPPING=PRECISE</stp>
        <stp>FS=MRC</stp>
        <stp>CURRENCY=USD</stp>
        <stp>XLFILL=b</stp>
        <tr r="AF28" s="2"/>
      </tp>
      <tp>
        <v>6444</v>
        <stp/>
        <stp>##V3_BQLV12</stp>
        <stp>[MODL_CRM_US1.xlsx]Single Period!R27C20</stp>
        <stp>SEG0000269241 Segment</stp>
        <stp>SALES_REV_TURN/1M</stp>
        <stp>FPR=2022Y</stp>
        <stp>FPT=A</stp>
        <stp>FA_ACT_EST_DATA=E, EST_SOURCE=JMP</stp>
        <stp>ACT_EST_MAPPING=PRECISE</stp>
        <stp>FS=MRC</stp>
        <stp>CURRENCY=USD</stp>
        <stp>XLFILL=b</stp>
        <tr r="T27" s="2"/>
      </tp>
      <tp t="s">
        <v/>
        <stp/>
        <stp>##V3_BQLV12</stp>
        <stp>[MODL_CRM_US1.xlsx]Single Period!R27C25</stp>
        <stp>SEG0000269241 Segment</stp>
        <stp>SALES_REV_TURN/1M</stp>
        <stp>FPR=2022Y</stp>
        <stp>FPT=A</stp>
        <stp>FA_ACT_EST_DATA=E, EST_SOURCE=WMS</stp>
        <stp>ACT_EST_MAPPING=PRECISE</stp>
        <stp>FS=MRC</stp>
        <stp>CURRENCY=USD</stp>
        <stp>XLFILL=b</stp>
        <tr r="Y27" s="2"/>
      </tp>
      <tp t="s">
        <v/>
        <stp/>
        <stp>##V3_BQLV12</stp>
        <stp>[MODL_CRM_US1.xlsx]Single Period!R43C56</stp>
        <stp>SEG0000269240 Segment</stp>
        <stp>SALES_REV_TURN/1M</stp>
        <stp>FPR=2022Y</stp>
        <stp>FPT=A</stp>
        <stp>FA_ACT_EST_DATA=E, EST_SOURCE=DIR</stp>
        <stp>ACT_EST_MAPPING=PRECISE</stp>
        <stp>FS=MRC</stp>
        <stp>CURRENCY=USD</stp>
        <stp>XLFILL=b</stp>
        <tr r="BD43" s="2"/>
      </tp>
      <tp t="s">
        <v/>
        <stp/>
        <stp>##V3_BQLV12</stp>
        <stp>[MODL_CRM_US1.xlsx]Single Period!R32C14</stp>
        <stp>SEG0000269227 Segment</stp>
        <stp>SALES_REV_TURN/1M</stp>
        <stp>FPR=2022Y</stp>
        <stp>FPT=A</stp>
        <stp>FA_ACT_EST_DATA=E, EST_SOURCE=SNR</stp>
        <stp>ACT_EST_MAPPING=PRECISE</stp>
        <stp>FS=MRC</stp>
        <stp>CURRENCY=USD</stp>
        <stp>XLFILL=b</stp>
        <tr r="N32" s="2"/>
      </tp>
      <tp t="s">
        <v/>
        <stp/>
        <stp>##V3_BQLV12</stp>
        <stp>[MODL_CRM_US1.xlsx]Single Period!R32C29</stp>
        <stp>SEG0000269227 Segment</stp>
        <stp>SALES_REV_TURN/1M</stp>
        <stp>FPR=2022Y</stp>
        <stp>FPT=A</stp>
        <stp>FA_ACT_EST_DATA=E, EST_SOURCE=BNS</stp>
        <stp>ACT_EST_MAPPING=PRECISE</stp>
        <stp>FS=MRC</stp>
        <stp>CURRENCY=USD</stp>
        <stp>XLFILL=b</stp>
        <tr r="AC32" s="2"/>
      </tp>
      <tp t="s">
        <v/>
        <stp/>
        <stp>##V3_BQLV12</stp>
        <stp>[MODL_CRM_US1.xlsx]Single Period!R119C50</stp>
        <stp>CRM US Equity</stp>
        <stp>CB_BS_OTHER_NONCURRENT_ASSETS/1M</stp>
        <stp>FPR=2022Y</stp>
        <stp>FPT=A</stp>
        <stp>FA_ACT_EST_DATA=E, EST_SOURCE=MZS</stp>
        <stp>ACT_EST_MAPPING=PRECISE</stp>
        <stp>FS=MRC</stp>
        <stp>CURRENCY=USD</stp>
        <stp>XLFILL=b</stp>
        <tr r="AX119" s="2"/>
      </tp>
      <tp>
        <v>3881</v>
        <stp/>
        <stp>##V3_BQLV12</stp>
        <stp>[MODL_CRM_US1.xlsx]Single Period!R29C17</stp>
        <stp>SEG0000269233 Segment</stp>
        <stp>SALES_REV_TURN/1M</stp>
        <stp>FPR=2022Y</stp>
        <stp>FPT=A</stp>
        <stp>FA_ACT_EST_DATA=E, EST_SOURCE=NDH</stp>
        <stp>ACT_EST_MAPPING=PRECISE</stp>
        <stp>FS=MRC</stp>
        <stp>CURRENCY=USD</stp>
        <stp>XLFILL=b</stp>
        <tr r="Q29" s="2"/>
      </tp>
      <tp t="s">
        <v/>
        <stp/>
        <stp>##V3_BQLV12</stp>
        <stp>[MODL_CRM_US1.xlsx]Single Period!R43C53</stp>
        <stp>SEG0000269240 Segment</stp>
        <stp>SALES_REV_TURN/1M</stp>
        <stp>FPR=2022Y</stp>
        <stp>FPT=A</stp>
        <stp>FA_ACT_EST_DATA=E, EST_SOURCE=NIK</stp>
        <stp>ACT_EST_MAPPING=PRECISE</stp>
        <stp>FS=MRC</stp>
        <stp>CURRENCY=USD</stp>
        <stp>XLFILL=b</stp>
        <tr r="BA43" s="2"/>
      </tp>
      <tp t="s">
        <v/>
        <stp/>
        <stp>##V3_BQLV12</stp>
        <stp>[MODL_CRM_US1.xlsx]Single Period!R156C55</stp>
        <stp>CRM US Equity</stp>
        <stp>CF_DEPR_AMORT/1M</stp>
        <stp>FPR=2022Y</stp>
        <stp>FPT=A</stp>
        <stp>FA_ACT_EST_DATA=E, EST_SOURCE=RED</stp>
        <stp>ACT_EST_MAPPING=PRECISE</stp>
        <stp>FS=MRC</stp>
        <stp>CURRENCY=USD</stp>
        <stp>XLFILL=b</stp>
        <tr r="BC156" s="2"/>
      </tp>
      <tp t="s">
        <v/>
        <stp/>
        <stp>##V3_BQLV12</stp>
        <stp>[MODL_CRM_US1.xlsx]Single Period!R140C38</stp>
        <stp>CRM US Equity</stp>
        <stp>BS_ACCUMULATED_OTHER_COMP_INC/1M</stp>
        <stp>FPR=2022Y</stp>
        <stp>FPT=A</stp>
        <stp>FA_ACT_EST_DATA=E, EST_SOURCE=MSR</stp>
        <stp>ACT_EST_MAPPING=PRECISE</stp>
        <stp>FS=MRC</stp>
        <stp>CURRENCY=USD</stp>
        <stp>XLFILL=b</stp>
        <tr r="AL140" s="2"/>
      </tp>
      <tp t="s">
        <v/>
        <stp/>
        <stp>##V3_BQLV12</stp>
        <stp>[MODL_CRM_US1.xlsx]Single Period!R123C23</stp>
        <stp>CRM US Equity</stp>
        <stp>TOT_OPER_LEA_RT_OF_USE_ASSETS/1M</stp>
        <stp>FPR=2022Y</stp>
        <stp>FPT=A</stp>
        <stp>FA_ACT_EST_DATA=E, EST_SOURCE=JPM</stp>
        <stp>ACT_EST_MAPPING=PRECISE</stp>
        <stp>FS=MRC</stp>
        <stp>CURRENCY=USD</stp>
        <stp>XLFILL=b</stp>
        <tr r="W123" s="2"/>
      </tp>
      <tp>
        <v>3021.7759999999998</v>
        <stp/>
        <stp>##V3_BQLV12</stp>
        <stp>[MODL_CRM_US1.xlsx]Single Period!R156C13</stp>
        <stp>CRM US Equity</stp>
        <stp>CF_DEPR_AMORT/1M</stp>
        <stp>FPR=2022Y</stp>
        <stp>FPT=A</stp>
        <stp>FA_ACT_EST_DATA=E, EST_SOURCE=BCA</stp>
        <stp>ACT_EST_MAPPING=PRECISE</stp>
        <stp>FS=MRC</stp>
        <stp>CURRENCY=USD</stp>
        <stp>XLFILL=b</stp>
        <tr r="M156" s="2"/>
      </tp>
      <tp t="s">
        <v/>
        <stp/>
        <stp>##V3_BQLV12</stp>
        <stp>[MODL_CRM_US1.xlsx]Single Period!R27C12</stp>
        <stp>SEG0000269241 Segment</stp>
        <stp>SALES_REV_TURN/1M</stp>
        <stp>FPR=2022Y</stp>
        <stp>FPT=A</stp>
        <stp>FA_ACT_EST_DATA=E, EST_SOURCE=BMO</stp>
        <stp>ACT_EST_MAPPING=PRECISE</stp>
        <stp>FS=MRC</stp>
        <stp>CURRENCY=USD</stp>
        <stp>XLFILL=b</stp>
        <tr r="L27" s="2"/>
      </tp>
      <tp t="s">
        <v/>
        <stp/>
        <stp>##V3_BQLV12</stp>
        <stp>[MODL_CRM_US1.xlsx]Single Period!R28C11</stp>
        <stp>SEG0000269242 Segment</stp>
        <stp>SALES_REV_TURN/1M</stp>
        <stp>FPR=2022Y</stp>
        <stp>FPT=A</stp>
        <stp>FA_ACT_EST_DATA=E, EST_SOURCE=WBL</stp>
        <stp>ACT_EST_MAPPING=PRECISE</stp>
        <stp>FS=MRC</stp>
        <stp>CURRENCY=USD</stp>
        <stp>XLFILL=b</stp>
        <tr r="K28" s="2"/>
      </tp>
      <tp t="s">
        <v/>
        <stp/>
        <stp>##V3_BQLV12</stp>
        <stp>[MODL_CRM_US1.xlsx]Single Period!R48C17</stp>
        <stp>SEG0000269229 Segment</stp>
        <stp>SALES_REV_TURN/1M</stp>
        <stp>FPR=2022Y</stp>
        <stp>FPT=A</stp>
        <stp>FA_ACT_EST_DATA=E, EST_SOURCE=NDH</stp>
        <stp>ACT_EST_MAPPING=PRECISE</stp>
        <stp>FS=MRC</stp>
        <stp>CURRENCY=USD</stp>
        <stp>XLFILL=b</stp>
        <tr r="Q48" s="2"/>
      </tp>
      <tp t="s">
        <v/>
        <stp/>
        <stp>##V3_BQLV12</stp>
        <stp>[MODL_CRM_US1.xlsx]Single Period!R28C31</stp>
        <stp>SEG0000269242 Segment</stp>
        <stp>SALES_REV_TURN/1M</stp>
        <stp>FPR=2022Y</stp>
        <stp>FPT=A</stp>
        <stp>FA_ACT_EST_DATA=E, EST_SOURCE=RBC</stp>
        <stp>ACT_EST_MAPPING=PRECISE</stp>
        <stp>FS=MRC</stp>
        <stp>CURRENCY=USD</stp>
        <stp>XLFILL=b</stp>
        <tr r="AE28" s="2"/>
      </tp>
      <tp t="s">
        <v/>
        <stp/>
        <stp>##V3_BQLV12</stp>
        <stp>[MODL_CRM_US1.xlsx]Single Period!R28C24</stp>
        <stp>SEG0000269242 Segment</stp>
        <stp>SALES_REV_TURN/1M</stp>
        <stp>FPR=2022Y</stp>
        <stp>FPT=A</stp>
        <stp>FA_ACT_EST_DATA=E, EST_SOURCE=FBC</stp>
        <stp>ACT_EST_MAPPING=PRECISE</stp>
        <stp>FS=MRC</stp>
        <stp>CURRENCY=USD</stp>
        <stp>XLFILL=b</stp>
        <tr r="X28" s="2"/>
      </tp>
      <tp t="s">
        <v/>
        <stp/>
        <stp>##V3_BQLV12</stp>
        <stp>[MODL_CRM_US1.xlsx]Single Period!R38C17</stp>
        <stp>SEG0000269228 Segment</stp>
        <stp>SALES_REV_TURN/1M</stp>
        <stp>FPR=2022Y</stp>
        <stp>FPT=A</stp>
        <stp>FA_ACT_EST_DATA=E, EST_SOURCE=NDH</stp>
        <stp>ACT_EST_MAPPING=PRECISE</stp>
        <stp>FS=MRC</stp>
        <stp>CURRENCY=USD</stp>
        <stp>XLFILL=b</stp>
        <tr r="Q38" s="2"/>
      </tp>
      <tp t="s">
        <v/>
        <stp/>
        <stp>##V3_BQLV12</stp>
        <stp>[MODL_CRM_US1.xlsx]Single Period!R123C44</stp>
        <stp>CRM US Equity</stp>
        <stp>TOT_OPER_LEA_RT_OF_USE_ASSETS/1M</stp>
        <stp>FPR=2022Y</stp>
        <stp>FPT=A</stp>
        <stp>FA_ACT_EST_DATA=E, EST_SOURCE=RWB</stp>
        <stp>ACT_EST_MAPPING=PRECISE</stp>
        <stp>FS=MRC</stp>
        <stp>CURRENCY=USD</stp>
        <stp>XLFILL=b</stp>
        <tr r="AR123" s="2"/>
      </tp>
      <tp t="s">
        <v/>
        <stp/>
        <stp>##V3_BQLV12</stp>
        <stp>[MODL_CRM_US1.xlsx]Single Period!R24C53</stp>
        <stp>SEG0000269238 Segment</stp>
        <stp>SALES_REV_TURN/1M</stp>
        <stp>FPR=2022Y</stp>
        <stp>FPT=A</stp>
        <stp>FA_ACT_EST_DATA=E, EST_SOURCE=NIK</stp>
        <stp>ACT_EST_MAPPING=PRECISE</stp>
        <stp>FS=MRC</stp>
        <stp>CURRENCY=USD</stp>
        <stp>XLFILL=b</stp>
        <tr r="BA24" s="2"/>
      </tp>
      <tp t="s">
        <v/>
        <stp/>
        <stp>##V3_BQLV12</stp>
        <stp>[MODL_CRM_US1.xlsx]Single Period!R149C24</stp>
        <stp>CRM US Equity</stp>
        <stp>TOT_FUTURE_REV_UNDER_CONTRACT/1M</stp>
        <stp>FPR=2022Y</stp>
        <stp>FPT=A</stp>
        <stp>FA_ACT_EST_DATA=E, EST_SOURCE=FBC</stp>
        <stp>ACT_EST_MAPPING=PRECISE</stp>
        <stp>FS=MRC</stp>
        <stp>CURRENCY=USD</stp>
        <stp>XLFILL=b</stp>
        <tr r="X149" s="2"/>
      </tp>
      <tp t="s">
        <v/>
        <stp/>
        <stp>##V3_BQLV12</stp>
        <stp>[MODL_CRM_US1.xlsx]Single Period!R28C16</stp>
        <stp>SEG0000269242 Segment</stp>
        <stp>SALES_REV_TURN/1M</stp>
        <stp>FPR=2022Y</stp>
        <stp>FPT=A</stp>
        <stp>FA_ACT_EST_DATA=E, EST_SOURCE=DBG</stp>
        <stp>ACT_EST_MAPPING=PRECISE</stp>
        <stp>FS=MRC</stp>
        <stp>CURRENCY=USD</stp>
        <stp>XLFILL=b</stp>
        <tr r="P28" s="2"/>
      </tp>
      <tp t="s">
        <v/>
        <stp/>
        <stp>##V3_BQLV12</stp>
        <stp>[MODL_CRM_US1.xlsx]Single Period!R151C38</stp>
        <stp>CRM US Equity</stp>
        <stp>NON_CURRENT_FUTURE_REV_UNDER_CONTRACT/1M</stp>
        <stp>FPR=2022Y</stp>
        <stp>FPT=A</stp>
        <stp>FA_ACT_EST_DATA=E, EST_SOURCE=MSR</stp>
        <stp>ACT_EST_MAPPING=PRECISE</stp>
        <stp>FS=MRC</stp>
        <stp>CURRENCY=USD</stp>
        <stp>XLFILL=b</stp>
        <tr r="AL151" s="2"/>
      </tp>
      <tp t="s">
        <v/>
        <stp/>
        <stp>##V3_BQLV12</stp>
        <stp>[MODL_CRM_US1.xlsx]Single Period!R10C12</stp>
        <stp>SEG0000269238 Segment</stp>
        <stp>SALES_REV_TURN/1M</stp>
        <stp>FPR=2022Y</stp>
        <stp>FPT=A</stp>
        <stp>FA_ACT_EST_DATA=E, EST_SOURCE=BMO</stp>
        <stp>ACT_EST_MAPPING=PRECISE</stp>
        <stp>FS=MRC</stp>
        <stp>CURRENCY=USD</stp>
        <stp>XLFILL=b</stp>
        <tr r="L10" s="2"/>
      </tp>
      <tp t="s">
        <v/>
        <stp/>
        <stp>##V3_BQLV12</stp>
        <stp>[MODL_CRM_US1.xlsx]Single Period!R183C24</stp>
        <stp>CRM US Equity</stp>
        <stp>CASH_FLOW_PER_SH</stp>
        <stp>FPR=2022Y</stp>
        <stp>FPT=A</stp>
        <stp>FA_ACT_EST_DATA=E, EST_SOURCE=FBC</stp>
        <stp>ACT_EST_MAPPING=PRECISE</stp>
        <stp>FS=MRC</stp>
        <stp>CURRENCY=USD</stp>
        <stp>XLFILL=b</stp>
        <tr r="X183" s="2"/>
      </tp>
      <tp t="s">
        <v>Cowen</v>
        <stp/>
        <stp>##V3_BQLV12</stp>
        <stp>[MODL_CRM_US1.xlsx]Single Period!R3C28</stp>
        <stp>CRM US Equity</stp>
        <stp>LAST(IS_COMP_SALES(FA_ACT_EST_DATA=E, EST_SOURCE=CWN).firm_name)</stp>
        <stp>FPR=2022Y</stp>
        <stp>FPT=A</stp>
        <stp>ACT_EST_MAPPING=PRECISE</stp>
        <stp>FS=MRC</stp>
        <stp>CURRENCY=USD</stp>
        <stp>XLFILL=b</stp>
        <tr r="AB3" s="2"/>
      </tp>
      <tp t="s">
        <v>Mirae Asset Securities</v>
        <stp/>
        <stp>##V3_BQLV12</stp>
        <stp>[MODL_CRM_US1.xlsx]Single Period!R3C43</stp>
        <stp>CRM US Equity</stp>
        <stp>LAST(IS_COMP_SALES(FA_ACT_EST_DATA=E, EST_SOURCE=DWI).firm_name)</stp>
        <stp>FPR=2022Y</stp>
        <stp>FPT=A</stp>
        <stp>ACT_EST_MAPPING=PRECISE</stp>
        <stp>FS=MRC</stp>
        <stp>CURRENCY=USD</stp>
        <stp>XLFILL=b</stp>
        <tr r="AQ3" s="2"/>
      </tp>
      <tp t="s">
        <v/>
        <stp/>
        <stp>##V3_BQLV12</stp>
        <stp>[MODL_CRM_US1.xlsx]Single Period!R177C10</stp>
        <stp>CRM US Equity</stp>
        <stp>CB_CF_OTHER_FINANCING_ACTIVITIES/1M</stp>
        <stp>FPR=2022Y</stp>
        <stp>FPT=A</stp>
        <stp>FA_ACT_EST_DATA=E, EST_SOURCE=CMPY</stp>
        <stp>ACT_EST_MAPPING=PRECISE</stp>
        <stp>FS=MRC</stp>
        <stp>CURRENCY=USD</stp>
        <stp>XLFILL=b</stp>
        <tr r="J177" s="2"/>
      </tp>
      <tp t="s">
        <v>Baird</v>
        <stp/>
        <stp>##V3_BQLV12</stp>
        <stp>[MODL_CRM_US1.xlsx]Single Period!R3C44</stp>
        <stp>CRM US Equity</stp>
        <stp>LAST(IS_COMP_SALES(FA_ACT_EST_DATA=E, EST_SOURCE=RWB).firm_name)</stp>
        <stp>FPR=2022Y</stp>
        <stp>FPT=A</stp>
        <stp>ACT_EST_MAPPING=PRECISE</stp>
        <stp>FS=MRC</stp>
        <stp>CURRENCY=USD</stp>
        <stp>XLFILL=b</stp>
        <tr r="AR3" s="2"/>
      </tp>
      <tp t="s">
        <v/>
        <stp/>
        <stp>##V3_BQLV12</stp>
        <stp>[MODL_CRM_US1.xlsx]Single Period!R187C10</stp>
        <stp>CRM US Equity</stp>
        <stp>CF_NET_CHNG_CASH/1M</stp>
        <stp>FPR=2022Y</stp>
        <stp>FPT=A</stp>
        <stp>FA_ACT_EST_DATA=E, EST_SOURCE=CMPY</stp>
        <stp>ACT_EST_MAPPING=PRECISE</stp>
        <stp>FS=MRC</stp>
        <stp>CURRENCY=USD</stp>
        <stp>XLFILL=b</stp>
        <tr r="J187" s="2"/>
      </tp>
      <tp t="s">
        <v/>
        <stp/>
        <stp>##V3_BQLV12</stp>
        <stp>[MODL_CRM_US1.xlsx]Single Period!R17C20</stp>
        <stp>CRM US Equity</stp>
        <stp>IS_COMP_GROSS_MARGIN_PERCENTAGE</stp>
        <stp>FPR=2022Y</stp>
        <stp>FPT=A</stp>
        <stp>FA_ACT_EST_DATA=E, EST_SOURCE=JMP</stp>
        <stp>ACT_EST_MAPPING=PRECISE</stp>
        <stp>FS=MRC</stp>
        <stp>CURRENCY=USD</stp>
        <stp>XLFILL=b</stp>
        <tr r="T17" s="2"/>
      </tp>
      <tp>
        <v>78.099999999999994</v>
        <stp/>
        <stp>##V3_BQLV12</stp>
        <stp>[MODL_CRM_US1.xlsx]Single Period!R56C25</stp>
        <stp>CRM US Equity</stp>
        <stp>IS_COMP_GROSS_MARGIN_PERCENTAGE</stp>
        <stp>FPR=2022Y</stp>
        <stp>FPT=A</stp>
        <stp>FA_ACT_EST_DATA=E, EST_SOURCE=WMS</stp>
        <stp>ACT_EST_MAPPING=PRECISE</stp>
        <stp>FS=MRC</stp>
        <stp>CURRENCY=USD</stp>
        <stp>XLFILL=b</stp>
        <tr r="Y56" s="2"/>
      </tp>
      <tp>
        <v>78.738636363636402</v>
        <stp/>
        <stp>##V3_BQLV12</stp>
        <stp>[MODL_CRM_US1.xlsx]Single Period!R56C14</stp>
        <stp>CRM US Equity</stp>
        <stp>IS_COMP_GROSS_MARGIN_PERCENTAGE</stp>
        <stp>FPR=2022Y</stp>
        <stp>FPT=A</stp>
        <stp>FA_ACT_EST_DATA=E, EST_SOURCE=SNR</stp>
        <stp>ACT_EST_MAPPING=PRECISE</stp>
        <stp>FS=MRC</stp>
        <stp>CURRENCY=USD</stp>
        <stp>XLFILL=b</stp>
        <tr r="N56" s="2"/>
      </tp>
      <tp t="s">
        <v/>
        <stp/>
        <stp>##V3_BQLV12</stp>
        <stp>[MODL_CRM_US1.xlsx]Single Period!R82C48</stp>
        <stp>CRM US Equity</stp>
        <stp>OPERATING_EXPENSES_TO_NET_SALES</stp>
        <stp>FPR=2022Y</stp>
        <stp>FPT=A</stp>
        <stp>FA_ACT_EST_DATA=E, EST_SOURCE=PJE</stp>
        <stp>ACT_EST_MAPPING=PRECISE</stp>
        <stp>FS=MRC</stp>
        <stp>CURRENCY=USD</stp>
        <stp>XLFILL=b</stp>
        <tr r="AV82" s="2"/>
      </tp>
      <tp t="s">
        <v/>
        <stp/>
        <stp>##V3_BQLV12</stp>
        <stp>[MODL_CRM_US1.xlsx]Single Period!R56C20</stp>
        <stp>CRM US Equity</stp>
        <stp>IS_COMP_GROSS_MARGIN_PERCENTAGE</stp>
        <stp>FPR=2022Y</stp>
        <stp>FPT=A</stp>
        <stp>FA_ACT_EST_DATA=E, EST_SOURCE=JMP</stp>
        <stp>ACT_EST_MAPPING=PRECISE</stp>
        <stp>FS=MRC</stp>
        <stp>CURRENCY=USD</stp>
        <stp>XLFILL=b</stp>
        <tr r="T56" s="2"/>
      </tp>
      <tp>
        <v>78.099999999999994</v>
        <stp/>
        <stp>##V3_BQLV12</stp>
        <stp>[MODL_CRM_US1.xlsx]Single Period!R17C25</stp>
        <stp>CRM US Equity</stp>
        <stp>IS_COMP_GROSS_MARGIN_PERCENTAGE</stp>
        <stp>FPR=2022Y</stp>
        <stp>FPT=A</stp>
        <stp>FA_ACT_EST_DATA=E, EST_SOURCE=WMS</stp>
        <stp>ACT_EST_MAPPING=PRECISE</stp>
        <stp>FS=MRC</stp>
        <stp>CURRENCY=USD</stp>
        <stp>XLFILL=b</stp>
        <tr r="Y17" s="2"/>
      </tp>
      <tp>
        <v>78.738636363636402</v>
        <stp/>
        <stp>##V3_BQLV12</stp>
        <stp>[MODL_CRM_US1.xlsx]Single Period!R17C14</stp>
        <stp>CRM US Equity</stp>
        <stp>IS_COMP_GROSS_MARGIN_PERCENTAGE</stp>
        <stp>FPR=2022Y</stp>
        <stp>FPT=A</stp>
        <stp>FA_ACT_EST_DATA=E, EST_SOURCE=SNR</stp>
        <stp>ACT_EST_MAPPING=PRECISE</stp>
        <stp>FS=MRC</stp>
        <stp>CURRENCY=USD</stp>
        <stp>XLFILL=b</stp>
        <tr r="N17" s="2"/>
      </tp>
      <tp t="s">
        <v/>
        <stp/>
        <stp>##V3_BQLV12</stp>
        <stp>[MODL_CRM_US1.xlsx]Single Period!R165C21</stp>
        <stp>CRM US Equity</stp>
        <stp>CF_CHG_IN_DEFER_UNEARND_REV_ST/1M</stp>
        <stp>FPR=2022Y</stp>
        <stp>FPT=A</stp>
        <stp>FA_ACT_EST_DATA=E, EST_SOURCE=RJA</stp>
        <stp>ACT_EST_MAPPING=PRECISE</stp>
        <stp>FS=MRC</stp>
        <stp>CURRENCY=USD</stp>
        <stp>XLFILL=b</stp>
        <tr r="U165" s="2"/>
      </tp>
      <tp t="s">
        <v/>
        <stp/>
        <stp>##V3_BQLV12</stp>
        <stp>[MODL_CRM_US1.xlsx]Single Period!R166C24</stp>
        <stp>CRM US Equity</stp>
        <stp>CF_CHANGE_IN_OPER_LEASE_LIBLTS/1M</stp>
        <stp>FPR=2022Y</stp>
        <stp>FPT=A</stp>
        <stp>FA_ACT_EST_DATA=E, EST_SOURCE=FBC</stp>
        <stp>ACT_EST_MAPPING=PRECISE</stp>
        <stp>FS=MRC</stp>
        <stp>CURRENCY=USD</stp>
        <stp>XLFILL=b</stp>
        <tr r="X166" s="2"/>
      </tp>
      <tp t="s">
        <v/>
        <stp/>
        <stp>##V3_BQLV12</stp>
        <stp>[MODL_CRM_US1.xlsx]Single Period!R166C31</stp>
        <stp>CRM US Equity</stp>
        <stp>CF_CHANGE_IN_OPER_LEASE_LIBLTS/1M</stp>
        <stp>FPR=2022Y</stp>
        <stp>FPT=A</stp>
        <stp>FA_ACT_EST_DATA=E, EST_SOURCE=RBC</stp>
        <stp>ACT_EST_MAPPING=PRECISE</stp>
        <stp>FS=MRC</stp>
        <stp>CURRENCY=USD</stp>
        <stp>XLFILL=b</stp>
        <tr r="AE166" s="2"/>
      </tp>
      <tp t="s">
        <v/>
        <stp/>
        <stp>##V3_BQLV12</stp>
        <stp>[MODL_CRM_US1.xlsx]Single Period!R189C29</stp>
        <stp>CRM US Equity</stp>
        <stp>CF_CASH_AND_CASH_EQUIV_BEG_BAL/1M</stp>
        <stp>FPR=2022Y</stp>
        <stp>FPT=A</stp>
        <stp>FA_ACT_EST_DATA=E, EST_SOURCE=BNS</stp>
        <stp>ACT_EST_MAPPING=PRECISE</stp>
        <stp>FS=MRC</stp>
        <stp>CURRENCY=USD</stp>
        <stp>XLFILL=b</stp>
        <tr r="AC189" s="2"/>
      </tp>
      <tp t="s">
        <v/>
        <stp/>
        <stp>##V3_BQLV12</stp>
        <stp>[MODL_CRM_US1.xlsx]Single Period!R189C14</stp>
        <stp>CRM US Equity</stp>
        <stp>CF_CASH_AND_CASH_EQUIV_BEG_BAL/1M</stp>
        <stp>FPR=2022Y</stp>
        <stp>FPT=A</stp>
        <stp>FA_ACT_EST_DATA=E, EST_SOURCE=SNR</stp>
        <stp>ACT_EST_MAPPING=PRECISE</stp>
        <stp>FS=MRC</stp>
        <stp>CURRENCY=USD</stp>
        <stp>XLFILL=b</stp>
        <tr r="N189" s="2"/>
      </tp>
      <tp t="s">
        <v/>
        <stp/>
        <stp>##V3_BQLV12</stp>
        <stp>[MODL_CRM_US1.xlsx]Single Period!R165C48</stp>
        <stp>CRM US Equity</stp>
        <stp>CF_CHG_IN_DEFER_UNEARND_REV_ST/1M</stp>
        <stp>FPR=2022Y</stp>
        <stp>FPT=A</stp>
        <stp>FA_ACT_EST_DATA=E, EST_SOURCE=PJE</stp>
        <stp>ACT_EST_MAPPING=PRECISE</stp>
        <stp>FS=MRC</stp>
        <stp>CURRENCY=USD</stp>
        <stp>XLFILL=b</stp>
        <tr r="AV165" s="2"/>
      </tp>
      <tp>
        <v>-798</v>
        <stp/>
        <stp>##V3_BQLV12</stp>
        <stp>[MODL_CRM_US1.xlsx]Single Period!R166C16</stp>
        <stp>CRM US Equity</stp>
        <stp>CF_CHANGE_IN_OPER_LEASE_LIBLTS/1M</stp>
        <stp>FPR=2022Y</stp>
        <stp>FPT=A</stp>
        <stp>FA_ACT_EST_DATA=E, EST_SOURCE=DBG</stp>
        <stp>ACT_EST_MAPPING=PRECISE</stp>
        <stp>FS=MRC</stp>
        <stp>CURRENCY=USD</stp>
        <stp>XLFILL=b</stp>
        <tr r="P166" s="2"/>
      </tp>
      <tp>
        <v>10040.899011798349</v>
        <stp/>
        <stp>##V3_BQLV12</stp>
        <stp>[MODL_CRM_US1.xlsx]Single Period!R112C15</stp>
        <stp>CRM US Equity</stp>
        <stp>BS_CASH_NEAR_CASH_ITEM/1M</stp>
        <stp>FPR=2022Y</stp>
        <stp>FPT=A</stp>
        <stp>FA_ACT_EST_DATA=E, EST_SOURCE=MSV</stp>
        <stp>ACT_EST_MAPPING=PRECISE</stp>
        <stp>FS=MRC</stp>
        <stp>CURRENCY=USD</stp>
        <stp>XLFILL=b</stp>
        <tr r="O112" s="2"/>
      </tp>
      <tp t="s">
        <v/>
        <stp/>
        <stp>##V3_BQLV12</stp>
        <stp>[MODL_CRM_US1.xlsx]Single Period!R105C12</stp>
        <stp>CRM US Equity</stp>
        <stp>IS_AMORT_ACQD_INTANGIBLES_COGS/1M</stp>
        <stp>FPR=2022Y</stp>
        <stp>FPT=A</stp>
        <stp>FA_ACT_EST_DATA=E, EST_SOURCE=BMO</stp>
        <stp>ACT_EST_MAPPING=PRECISE</stp>
        <stp>FS=MRC</stp>
        <stp>CURRENCY=USD</stp>
        <stp>XLFILL=b</stp>
        <tr r="L105" s="2"/>
      </tp>
      <tp t="s">
        <v/>
        <stp/>
        <stp>##V3_BQLV12</stp>
        <stp>[MODL_CRM_US1.xlsx]Single Period!R112C38</stp>
        <stp>CRM US Equity</stp>
        <stp>BS_CASH_NEAR_CASH_ITEM/1M</stp>
        <stp>FPR=2022Y</stp>
        <stp>FPT=A</stp>
        <stp>FA_ACT_EST_DATA=E, EST_SOURCE=MSR</stp>
        <stp>ACT_EST_MAPPING=PRECISE</stp>
        <stp>FS=MRC</stp>
        <stp>CURRENCY=USD</stp>
        <stp>XLFILL=b</stp>
        <tr r="AL112" s="2"/>
      </tp>
      <tp t="s">
        <v/>
        <stp/>
        <stp>##V3_BQLV12</stp>
        <stp>[MODL_CRM_US1.xlsx]Single Period!R112C41</stp>
        <stp>CRM US Equity</stp>
        <stp>BS_CASH_NEAR_CASH_ITEM/1M</stp>
        <stp>FPR=2022Y</stp>
        <stp>FPT=A</stp>
        <stp>FA_ACT_EST_DATA=E, EST_SOURCE=GSR</stp>
        <stp>ACT_EST_MAPPING=PRECISE</stp>
        <stp>FS=MRC</stp>
        <stp>CURRENCY=USD</stp>
        <stp>XLFILL=b</stp>
        <tr r="AO112" s="2"/>
      </tp>
      <tp t="s">
        <v/>
        <stp/>
        <stp>##V3_BQLV12</stp>
        <stp>[MODL_CRM_US1.xlsx]Single Period!R166C11</stp>
        <stp>CRM US Equity</stp>
        <stp>CF_CHANGE_IN_OPER_LEASE_LIBLTS/1M</stp>
        <stp>FPR=2022Y</stp>
        <stp>FPT=A</stp>
        <stp>FA_ACT_EST_DATA=E, EST_SOURCE=WBL</stp>
        <stp>ACT_EST_MAPPING=PRECISE</stp>
        <stp>FS=MRC</stp>
        <stp>CURRENCY=USD</stp>
        <stp>XLFILL=b</stp>
        <tr r="K166" s="2"/>
      </tp>
      <tp t="s">
        <v/>
        <stp/>
        <stp>##V3_BQLV12</stp>
        <stp>[MODL_CRM_US1.xlsx]Single Period!R166C32</stp>
        <stp>CRM US Equity</stp>
        <stp>CF_CHANGE_IN_OPER_LEASE_LIBLTS/1M</stp>
        <stp>FPR=2022Y</stp>
        <stp>FPT=A</stp>
        <stp>FA_ACT_EST_DATA=E, EST_SOURCE=UBS</stp>
        <stp>ACT_EST_MAPPING=PRECISE</stp>
        <stp>FS=MRC</stp>
        <stp>CURRENCY=USD</stp>
        <stp>XLFILL=b</stp>
        <tr r="AF166" s="2"/>
      </tp>
      <tp>
        <v>26.18586785164943</v>
        <stp/>
        <stp>##V3_BQLV12</stp>
        <stp>[MODL_CRM_US1.xlsx]Single Period!R78C5</stp>
        <stp>CRM US Equity</stp>
        <stp>COGS_TO_NET_SALES</stp>
        <stp>FPR=2022Y</stp>
        <stp>FPT=A</stp>
        <stp>FA_ACT_EST_DATA=E</stp>
        <stp>ACT_EST_MAPPING=PRECISE</stp>
        <stp>FS=MRC</stp>
        <stp>CURRENCY=USD</stp>
        <stp>XLFILL=b</stp>
        <tr r="E78" s="2"/>
      </tp>
      <tp>
        <v>43.3087083717813</v>
        <stp/>
        <stp>##V3_BQLV12</stp>
        <stp>[MODL_CRM_US1.xlsx]Single Period!R98C8</stp>
        <stp>CRM US Equity</stp>
        <stp>CONTRIBUTOR_STATS(IS_INC_TAX_EFFECT_NONGAAP_REC, STD)/1M</stp>
        <stp>FPR=2022Y</stp>
        <stp>FPT=A</stp>
        <stp>FA_ACT_EST_DATA=E</stp>
        <stp>ACT_EST_MAPPING=PRECISE</stp>
        <stp>FS=MRC</stp>
        <stp>CURRENCY=USD</stp>
        <stp>XLFILL=b</stp>
        <tr r="H98" s="2"/>
      </tp>
      <tp>
        <v>672</v>
        <stp/>
        <stp>##V3_BQLV12</stp>
        <stp>[MODL_CRM_US1.xlsx]Single Period!R105C25</stp>
        <stp>CRM US Equity</stp>
        <stp>IS_AMORT_ACQD_INTANGIBLES_COGS/1M</stp>
        <stp>FPR=2022Y</stp>
        <stp>FPT=A</stp>
        <stp>FA_ACT_EST_DATA=E, EST_SOURCE=WMS</stp>
        <stp>ACT_EST_MAPPING=PRECISE</stp>
        <stp>FS=MRC</stp>
        <stp>CURRENCY=USD</stp>
        <stp>XLFILL=b</stp>
        <tr r="Y105" s="2"/>
      </tp>
      <tp t="s">
        <v/>
        <stp/>
        <stp>##V3_BQLV12</stp>
        <stp>[MODL_CRM_US1.xlsx]Single Period!R105C20</stp>
        <stp>CRM US Equity</stp>
        <stp>IS_AMORT_ACQD_INTANGIBLES_COGS/1M</stp>
        <stp>FPR=2022Y</stp>
        <stp>FPT=A</stp>
        <stp>FA_ACT_EST_DATA=E, EST_SOURCE=JMP</stp>
        <stp>ACT_EST_MAPPING=PRECISE</stp>
        <stp>FS=MRC</stp>
        <stp>CURRENCY=USD</stp>
        <stp>XLFILL=b</stp>
        <tr r="T105" s="2"/>
      </tp>
      <tp t="s">
        <v/>
        <stp/>
        <stp>##V3_BQLV12</stp>
        <stp>[MODL_CRM_US1.xlsx]Single Period!R112C42</stp>
        <stp>CRM US Equity</stp>
        <stp>BS_CASH_NEAR_CASH_ITEM/1M</stp>
        <stp>FPR=2022Y</stp>
        <stp>FPT=A</stp>
        <stp>FA_ACT_EST_DATA=E, EST_SOURCE=PSG</stp>
        <stp>ACT_EST_MAPPING=PRECISE</stp>
        <stp>FS=MRC</stp>
        <stp>CURRENCY=USD</stp>
        <stp>XLFILL=b</stp>
        <tr r="AP112" s="2"/>
      </tp>
      <tp t="s">
        <v/>
        <stp/>
        <stp>##V3_BQLV12</stp>
        <stp>[MODL_CRM_US1.xlsx]Single Period!R12C13</stp>
        <stp>CRM US Equity</stp>
        <stp>TOT_FUTURE_REV_UNDER_CONTRACT/1M</stp>
        <stp>FPR=2022Y</stp>
        <stp>FPT=A</stp>
        <stp>FA_ACT_EST_DATA=E, EST_SOURCE=BCA</stp>
        <stp>ACT_EST_MAPPING=PRECISE</stp>
        <stp>FS=MRC</stp>
        <stp>CURRENCY=USD</stp>
        <stp>XLFILL=b</stp>
        <tr r="M12" s="2"/>
      </tp>
      <tp t="s">
        <v/>
        <stp/>
        <stp>##V3_BQLV12</stp>
        <stp>[MODL_CRM_US1.xlsx]Single Period!R146C43</stp>
        <stp>CRM US Equity</stp>
        <stp>CUR_RATIO</stp>
        <stp>FPR=2022Y</stp>
        <stp>FPT=A</stp>
        <stp>FA_ACT_EST_DATA=E, EST_SOURCE=DWI</stp>
        <stp>ACT_EST_MAPPING=PRECISE</stp>
        <stp>FS=MRC</stp>
        <stp>CURRENCY=USD</stp>
        <stp>XLFILL=b</stp>
        <tr r="AQ146" s="2"/>
      </tp>
      <tp t="s">
        <v/>
        <stp/>
        <stp>##V3_BQLV12</stp>
        <stp>[MODL_CRM_US1.xlsx]Single Period!R137C54</stp>
        <stp>CRM US Equity</stp>
        <stp>BS_EQTY_BEFORE_MINORITY_INT/1M</stp>
        <stp>FPR=2022Y</stp>
        <stp>FPT=A</stp>
        <stp>FA_ACT_EST_DATA=E, EST_SOURCE=ARE</stp>
        <stp>ACT_EST_MAPPING=PRECISE</stp>
        <stp>FS=MRC</stp>
        <stp>CURRENCY=USD</stp>
        <stp>XLFILL=b</stp>
        <tr r="BB137" s="2"/>
      </tp>
      <tp t="s">
        <v/>
        <stp/>
        <stp>##V3_BQLV12</stp>
        <stp>[MODL_CRM_US1.xlsx]Single Period!R131C32</stp>
        <stp>CRM US Equity</stp>
        <stp>ST_DEFERRED_REVENUE/1M</stp>
        <stp>FPR=2022Y</stp>
        <stp>FPT=A</stp>
        <stp>FA_ACT_EST_DATA=E, EST_SOURCE=UBS</stp>
        <stp>ACT_EST_MAPPING=PRECISE</stp>
        <stp>FS=MRC</stp>
        <stp>CURRENCY=USD</stp>
        <stp>XLFILL=b</stp>
        <tr r="AF131" s="2"/>
      </tp>
      <tp t="s">
        <v/>
        <stp/>
        <stp>##V3_BQLV12</stp>
        <stp>[MODL_CRM_US1.xlsx]Single Period!R63C55</stp>
        <stp>CRM US Equity</stp>
        <stp>CF_DEPR_AMORT/1M</stp>
        <stp>FPR=2022Y</stp>
        <stp>FPT=A</stp>
        <stp>FA_ACT_EST_DATA=E, EST_SOURCE=RED</stp>
        <stp>ACT_EST_MAPPING=PRECISE</stp>
        <stp>FS=MRC</stp>
        <stp>CURRENCY=USD</stp>
        <stp>XLFILL=b</stp>
        <tr r="BC63" s="2"/>
      </tp>
      <tp t="s">
        <v/>
        <stp/>
        <stp>##V3_BQLV12</stp>
        <stp>[MODL_CRM_US1.xlsx]Single Period!R185C12</stp>
        <stp>CRM US Equity</stp>
        <stp>CF_EFFECT_FOREIGN_EXCHANGES/1M</stp>
        <stp>FPR=2022Y</stp>
        <stp>FPT=A</stp>
        <stp>FA_ACT_EST_DATA=E, EST_SOURCE=BMO</stp>
        <stp>ACT_EST_MAPPING=PRECISE</stp>
        <stp>FS=MRC</stp>
        <stp>CURRENCY=USD</stp>
        <stp>XLFILL=b</stp>
        <tr r="L185" s="2"/>
      </tp>
      <tp t="s">
        <v/>
        <stp/>
        <stp>##V3_BQLV12</stp>
        <stp>[MODL_CRM_US1.xlsx]Single Period!R137C45</stp>
        <stp>CRM US Equity</stp>
        <stp>BS_EQTY_BEFORE_MINORITY_INT/1M</stp>
        <stp>FPR=2022Y</stp>
        <stp>FPT=A</stp>
        <stp>FA_ACT_EST_DATA=E, EST_SOURCE=ARG</stp>
        <stp>ACT_EST_MAPPING=PRECISE</stp>
        <stp>FS=MRC</stp>
        <stp>CURRENCY=USD</stp>
        <stp>XLFILL=b</stp>
        <tr r="AS137" s="2"/>
      </tp>
      <tp t="s">
        <v/>
        <stp/>
        <stp>##V3_BQLV12</stp>
        <stp>[MODL_CRM_US1.xlsx]Single Period!R162C39</stp>
        <stp>CRM US Equity</stp>
        <stp>CF_CHANGE_IN_PREPAID_EXPNSS/1M</stp>
        <stp>FPR=2022Y</stp>
        <stp>FPT=A</stp>
        <stp>FA_ACT_EST_DATA=E, EST_SOURCE=KGI</stp>
        <stp>ACT_EST_MAPPING=PRECISE</stp>
        <stp>FS=MRC</stp>
        <stp>CURRENCY=USD</stp>
        <stp>XLFILL=b</stp>
        <tr r="AM162" s="2"/>
      </tp>
      <tp t="s">
        <v/>
        <stp/>
        <stp>##V3_BQLV12</stp>
        <stp>[MODL_CRM_US1.xlsx]Single Period!R128C12</stp>
        <stp>CRM US Equity</stp>
        <stp>BS_CUR_LIAB/1M</stp>
        <stp>FPR=2022Y</stp>
        <stp>FPT=A</stp>
        <stp>FA_ACT_EST_DATA=E, EST_SOURCE=BMO</stp>
        <stp>ACT_EST_MAPPING=PRECISE</stp>
        <stp>FS=MRC</stp>
        <stp>CURRENCY=USD</stp>
        <stp>XLFILL=b</stp>
        <tr r="L128" s="2"/>
      </tp>
      <tp t="s">
        <v/>
        <stp/>
        <stp>##V3_BQLV12</stp>
        <stp>[MODL_CRM_US1.xlsx]Single Period!R12C55</stp>
        <stp>CRM US Equity</stp>
        <stp>TOT_FUTURE_REV_UNDER_CONTRACT/1M</stp>
        <stp>FPR=2022Y</stp>
        <stp>FPT=A</stp>
        <stp>FA_ACT_EST_DATA=E, EST_SOURCE=RED</stp>
        <stp>ACT_EST_MAPPING=PRECISE</stp>
        <stp>FS=MRC</stp>
        <stp>CURRENCY=USD</stp>
        <stp>XLFILL=b</stp>
        <tr r="BC12" s="2"/>
      </tp>
      <tp t="s">
        <v/>
        <stp/>
        <stp>##V3_BQLV12</stp>
        <stp>[MODL_CRM_US1.xlsx]Single Period!R100C29</stp>
        <stp>CRM US Equity</stp>
        <stp>IS_SBC_ATTRIB_TO_COGS_PRETX/1M</stp>
        <stp>FPR=2022Y</stp>
        <stp>FPT=A</stp>
        <stp>FA_ACT_EST_DATA=E, EST_SOURCE=BNS</stp>
        <stp>ACT_EST_MAPPING=PRECISE</stp>
        <stp>FS=MRC</stp>
        <stp>CURRENCY=USD</stp>
        <stp>XLFILL=b</stp>
        <tr r="AC100" s="2"/>
      </tp>
      <tp t="s">
        <v/>
        <stp/>
        <stp>##V3_BQLV12</stp>
        <stp>[MODL_CRM_US1.xlsx]Single Period!R132C36</stp>
        <stp>CRM US Equity</stp>
        <stp>BS_ADJ_TOTAL_LT_LIABILITIES/1M</stp>
        <stp>FPR=2022Y</stp>
        <stp>FPT=A</stp>
        <stp>FA_ACT_EST_DATA=E, EST_SOURCE=MAC</stp>
        <stp>ACT_EST_MAPPING=PRECISE</stp>
        <stp>FS=MRC</stp>
        <stp>CURRENCY=USD</stp>
        <stp>XLFILL=b</stp>
        <tr r="AJ132" s="2"/>
      </tp>
      <tp>
        <v>3021.7759999999998</v>
        <stp/>
        <stp>##V3_BQLV12</stp>
        <stp>[MODL_CRM_US1.xlsx]Single Period!R63C13</stp>
        <stp>CRM US Equity</stp>
        <stp>CF_DEPR_AMORT/1M</stp>
        <stp>FPR=2022Y</stp>
        <stp>FPT=A</stp>
        <stp>FA_ACT_EST_DATA=E, EST_SOURCE=BCA</stp>
        <stp>ACT_EST_MAPPING=PRECISE</stp>
        <stp>FS=MRC</stp>
        <stp>CURRENCY=USD</stp>
        <stp>XLFILL=b</stp>
        <tr r="M63" s="2"/>
      </tp>
      <tp t="s">
        <v/>
        <stp/>
        <stp>##V3_BQLV12</stp>
        <stp>[MODL_CRM_US1.xlsx]Single Period!R130C49</stp>
        <stp>CRM US Equity</stp>
        <stp>BS_ST_OPERATING_LEASE_LIABS/1M</stp>
        <stp>FPR=2022Y</stp>
        <stp>FPT=A</stp>
        <stp>FA_ACT_EST_DATA=E, EST_SOURCE=SGE</stp>
        <stp>ACT_EST_MAPPING=PRECISE</stp>
        <stp>FS=MRC</stp>
        <stp>CURRENCY=USD</stp>
        <stp>XLFILL=b</stp>
        <tr r="AW130" s="2"/>
      </tp>
      <tp t="s">
        <v/>
        <stp/>
        <stp>##V3_BQLV12</stp>
        <stp>[MODL_CRM_US1.xlsx]Single Period!R52C54</stp>
        <stp>CRM US Equity</stp>
        <stp>IS_COMP_SALES/1M</stp>
        <stp>FPR=2022Y</stp>
        <stp>FPT=A</stp>
        <stp>FA_ACT_EST_DATA=E, EST_SOURCE=ARE</stp>
        <stp>ACT_EST_MAPPING=PRECISE</stp>
        <stp>FS=MRC</stp>
        <stp>CURRENCY=USD</stp>
        <stp>XLFILL=b</stp>
        <tr r="BB52" s="2"/>
      </tp>
      <tp t="s">
        <v/>
        <stp/>
        <stp>##V3_BQLV12</stp>
        <stp>[MODL_CRM_US1.xlsx]Single Period!R100C14</stp>
        <stp>CRM US Equity</stp>
        <stp>IS_SBC_ATTRIB_TO_COGS_PRETX/1M</stp>
        <stp>FPR=2022Y</stp>
        <stp>FPT=A</stp>
        <stp>FA_ACT_EST_DATA=E, EST_SOURCE=SNR</stp>
        <stp>ACT_EST_MAPPING=PRECISE</stp>
        <stp>FS=MRC</stp>
        <stp>CURRENCY=USD</stp>
        <stp>XLFILL=b</stp>
        <tr r="N100" s="2"/>
      </tp>
      <tp t="s">
        <v/>
        <stp/>
        <stp>##V3_BQLV12</stp>
        <stp>[MODL_CRM_US1.xlsx]Single Period!R146C28</stp>
        <stp>CRM US Equity</stp>
        <stp>CUR_RATIO</stp>
        <stp>FPR=2022Y</stp>
        <stp>FPT=A</stp>
        <stp>FA_ACT_EST_DATA=E, EST_SOURCE=CWN</stp>
        <stp>ACT_EST_MAPPING=PRECISE</stp>
        <stp>FS=MRC</stp>
        <stp>CURRENCY=USD</stp>
        <stp>XLFILL=b</stp>
        <tr r="AB146" s="2"/>
      </tp>
      <tp t="s">
        <v/>
        <stp/>
        <stp>##V3_BQLV12</stp>
        <stp>[MODL_CRM_US1.xlsx]Single Period!R132C18</stp>
        <stp>CRM US Equity</stp>
        <stp>BS_ADJ_TOTAL_LT_LIABILITIES/1M</stp>
        <stp>FPR=2022Y</stp>
        <stp>FPT=A</stp>
        <stp>FA_ACT_EST_DATA=E, EST_SOURCE=CAN</stp>
        <stp>ACT_EST_MAPPING=PRECISE</stp>
        <stp>FS=MRC</stp>
        <stp>CURRENCY=USD</stp>
        <stp>XLFILL=b</stp>
        <tr r="R132" s="2"/>
      </tp>
      <tp t="s">
        <v/>
        <stp/>
        <stp>##V3_BQLV12</stp>
        <stp>[MODL_CRM_US1.xlsx]Single Period!R93C28</stp>
        <stp>CRM US Equity</stp>
        <stp>IS_AVG_NUM_SH_FOR_EPS/1M</stp>
        <stp>FPR=2022Y</stp>
        <stp>FPT=A</stp>
        <stp>FA_ACT_EST_DATA=E, EST_SOURCE=CWN</stp>
        <stp>ACT_EST_MAPPING=PRECISE</stp>
        <stp>FS=MRC</stp>
        <stp>CURRENCY=USD</stp>
        <stp>XLFILL=b</stp>
        <tr r="AB93" s="2"/>
      </tp>
      <tp t="s">
        <v/>
        <stp/>
        <stp>##V3_BQLV12</stp>
        <stp>[MODL_CRM_US1.xlsx]Single Period!R94C43</stp>
        <stp>CRM US Equity</stp>
        <stp>IS_SH_FOR_DILUTED_EPS/1M</stp>
        <stp>FPR=2022Y</stp>
        <stp>FPT=A</stp>
        <stp>FA_ACT_EST_DATA=E, EST_SOURCE=DWI</stp>
        <stp>ACT_EST_MAPPING=PRECISE</stp>
        <stp>FS=MRC</stp>
        <stp>CURRENCY=USD</stp>
        <stp>XLFILL=b</stp>
        <tr r="AQ94" s="2"/>
      </tp>
      <tp t="s">
        <v/>
        <stp/>
        <stp>##V3_BQLV12</stp>
        <stp>[MODL_CRM_US1.xlsx]Single Period!R146C44</stp>
        <stp>CRM US Equity</stp>
        <stp>CUR_RATIO</stp>
        <stp>FPR=2022Y</stp>
        <stp>FPT=A</stp>
        <stp>FA_ACT_EST_DATA=E, EST_SOURCE=RWB</stp>
        <stp>ACT_EST_MAPPING=PRECISE</stp>
        <stp>FS=MRC</stp>
        <stp>CURRENCY=USD</stp>
        <stp>XLFILL=b</stp>
        <tr r="AR146" s="2"/>
      </tp>
      <tp t="s">
        <v/>
        <stp/>
        <stp>##V3_BQLV12</stp>
        <stp>[MODL_CRM_US1.xlsx]Single Period!R132C30</stp>
        <stp>CRM US Equity</stp>
        <stp>BS_ADJ_TOTAL_LT_LIABILITIES/1M</stp>
        <stp>FPR=2022Y</stp>
        <stp>FPT=A</stp>
        <stp>FA_ACT_EST_DATA=E, EST_SOURCE=BAM</stp>
        <stp>ACT_EST_MAPPING=PRECISE</stp>
        <stp>FS=MRC</stp>
        <stp>CURRENCY=USD</stp>
        <stp>XLFILL=b</stp>
        <tr r="AD132" s="2"/>
      </tp>
      <tp t="s">
        <v/>
        <stp/>
        <stp>##V3_BQLV12</stp>
        <stp>[MODL_CRM_US1.xlsx]Single Period!R68C50</stp>
        <stp>CRM US Equity</stp>
        <stp>IS_COMP_PTP_EX_STK_BASED_COMP/1M</stp>
        <stp>FPR=2022Y</stp>
        <stp>FPT=A</stp>
        <stp>FA_ACT_EST_DATA=E, EST_SOURCE=MZS</stp>
        <stp>ACT_EST_MAPPING=PRECISE</stp>
        <stp>FS=MRC</stp>
        <stp>CURRENCY=USD</stp>
        <stp>XLFILL=b</stp>
        <tr r="AX68" s="2"/>
      </tp>
      <tp t="s">
        <v/>
        <stp/>
        <stp>##V3_BQLV12</stp>
        <stp>[MODL_CRM_US1.xlsx]Single Period!R130C39</stp>
        <stp>CRM US Equity</stp>
        <stp>BS_ST_OPERATING_LEASE_LIABS/1M</stp>
        <stp>FPR=2022Y</stp>
        <stp>FPT=A</stp>
        <stp>FA_ACT_EST_DATA=E, EST_SOURCE=KGI</stp>
        <stp>ACT_EST_MAPPING=PRECISE</stp>
        <stp>FS=MRC</stp>
        <stp>CURRENCY=USD</stp>
        <stp>XLFILL=b</stp>
        <tr r="AM130" s="2"/>
      </tp>
      <tp t="s">
        <v/>
        <stp/>
        <stp>##V3_BQLV12</stp>
        <stp>[MODL_CRM_US1.xlsx]Single Period!R117C26</stp>
        <stp>CRM US Equity</stp>
        <stp>BS_TOTAL_NON_CURRENT_ASSETS/1M</stp>
        <stp>FPR=2022Y</stp>
        <stp>FPT=A</stp>
        <stp>FA_ACT_EST_DATA=E, EST_SOURCE=KEY</stp>
        <stp>ACT_EST_MAPPING=PRECISE</stp>
        <stp>FS=MRC</stp>
        <stp>CURRENCY=USD</stp>
        <stp>XLFILL=b</stp>
        <tr r="Z117" s="2"/>
      </tp>
      <tp t="s">
        <v/>
        <stp/>
        <stp>##V3_BQLV12</stp>
        <stp>[MODL_CRM_US1.xlsx]Single Period!R162C49</stp>
        <stp>CRM US Equity</stp>
        <stp>CF_CHANGE_IN_PREPAID_EXPNSS/1M</stp>
        <stp>FPR=2022Y</stp>
        <stp>FPT=A</stp>
        <stp>FA_ACT_EST_DATA=E, EST_SOURCE=SGE</stp>
        <stp>ACT_EST_MAPPING=PRECISE</stp>
        <stp>FS=MRC</stp>
        <stp>CURRENCY=USD</stp>
        <stp>XLFILL=b</stp>
        <tr r="AW162" s="2"/>
      </tp>
      <tp>
        <v>15236.761911890459</v>
        <stp/>
        <stp>##V3_BQLV12</stp>
        <stp>[MODL_CRM_US1.xlsx]Single Period!R131C24</stp>
        <stp>CRM US Equity</stp>
        <stp>ST_DEFERRED_REVENUE/1M</stp>
        <stp>FPR=2022Y</stp>
        <stp>FPT=A</stp>
        <stp>FA_ACT_EST_DATA=E, EST_SOURCE=FBC</stp>
        <stp>ACT_EST_MAPPING=PRECISE</stp>
        <stp>FS=MRC</stp>
        <stp>CURRENCY=USD</stp>
        <stp>XLFILL=b</stp>
        <tr r="X131" s="2"/>
      </tp>
      <tp>
        <v>26396.641025641031</v>
        <stp/>
        <stp>##V3_BQLV12</stp>
        <stp>[MODL_CRM_US1.xlsx]Single Period!R52C5</stp>
        <stp>CRM US Equity</stp>
        <stp>IS_COMP_SALES/1M</stp>
        <stp>FPR=2022Y</stp>
        <stp>FPT=A</stp>
        <stp>FA_ACT_EST_DATA=E</stp>
        <stp>ACT_EST_MAPPING=PRECISE</stp>
        <stp>FS=MRC</stp>
        <stp>CURRENCY=USD</stp>
        <stp>XLFILL=b</stp>
        <tr r="E52" s="2"/>
      </tp>
      <tp t="s">
        <v/>
        <stp/>
        <stp>##V3_BQLV12</stp>
        <stp>[MODL_CRM_US1.xlsx]Single Period!R131C31</stp>
        <stp>CRM US Equity</stp>
        <stp>ST_DEFERRED_REVENUE/1M</stp>
        <stp>FPR=2022Y</stp>
        <stp>FPT=A</stp>
        <stp>FA_ACT_EST_DATA=E, EST_SOURCE=RBC</stp>
        <stp>ACT_EST_MAPPING=PRECISE</stp>
        <stp>FS=MRC</stp>
        <stp>CURRENCY=USD</stp>
        <stp>XLFILL=b</stp>
        <tr r="AE131" s="2"/>
      </tp>
      <tp t="s">
        <v/>
        <stp/>
        <stp>##V3_BQLV12</stp>
        <stp>[MODL_CRM_US1.xlsx]Single Period!R12C32</stp>
        <stp>CRM US Equity</stp>
        <stp>TOT_FUTURE_REV_UNDER_CONTRACT/1M</stp>
        <stp>FPR=2022Y</stp>
        <stp>FPT=A</stp>
        <stp>FA_ACT_EST_DATA=E, EST_SOURCE=UBS</stp>
        <stp>ACT_EST_MAPPING=PRECISE</stp>
        <stp>FS=MRC</stp>
        <stp>CURRENCY=USD</stp>
        <stp>XLFILL=b</stp>
        <tr r="AF12" s="2"/>
      </tp>
      <tp t="s">
        <v/>
        <stp/>
        <stp>##V3_BQLV12</stp>
        <stp>[MODL_CRM_US1.xlsx]Single Period!R134C39</stp>
        <stp>CRM US Equity</stp>
        <stp>BS_LT_OPERATING_LEASE_LIABS/1M</stp>
        <stp>FPR=2022Y</stp>
        <stp>FPT=A</stp>
        <stp>FA_ACT_EST_DATA=E, EST_SOURCE=KGI</stp>
        <stp>ACT_EST_MAPPING=PRECISE</stp>
        <stp>FS=MRC</stp>
        <stp>CURRENCY=USD</stp>
        <stp>XLFILL=b</stp>
        <tr r="AM134" s="2"/>
      </tp>
      <tp t="s">
        <v/>
        <stp/>
        <stp>##V3_BQLV12</stp>
        <stp>[MODL_CRM_US1.xlsx]Single Period!R117C34</stp>
        <stp>CRM US Equity</stp>
        <stp>BS_TOTAL_NON_CURRENT_ASSETS/1M</stp>
        <stp>FPR=2022Y</stp>
        <stp>FPT=A</stp>
        <stp>FA_ACT_EST_DATA=E, EST_SOURCE=JEF</stp>
        <stp>ACT_EST_MAPPING=PRECISE</stp>
        <stp>FS=MRC</stp>
        <stp>CURRENCY=USD</stp>
        <stp>XLFILL=b</stp>
        <tr r="AH117" s="2"/>
      </tp>
      <tp t="s">
        <v/>
        <stp/>
        <stp>##V3_BQLV12</stp>
        <stp>[MODL_CRM_US1.xlsx]Single Period!R63C32</stp>
        <stp>CRM US Equity</stp>
        <stp>CF_DEPR_AMORT/1M</stp>
        <stp>FPR=2022Y</stp>
        <stp>FPT=A</stp>
        <stp>FA_ACT_EST_DATA=E, EST_SOURCE=UBS</stp>
        <stp>ACT_EST_MAPPING=PRECISE</stp>
        <stp>FS=MRC</stp>
        <stp>CURRENCY=USD</stp>
        <stp>XLFILL=b</stp>
        <tr r="AF63" s="2"/>
      </tp>
      <tp>
        <v>26391</v>
        <stp/>
        <stp>##V3_BQLV12</stp>
        <stp>[MODL_CRM_US1.xlsx]Single Period!R52C15</stp>
        <stp>CRM US Equity</stp>
        <stp>IS_COMP_SALES/1M</stp>
        <stp>FPR=2022Y</stp>
        <stp>FPT=A</stp>
        <stp>FA_ACT_EST_DATA=E, EST_SOURCE=MSV</stp>
        <stp>ACT_EST_MAPPING=PRECISE</stp>
        <stp>FS=MRC</stp>
        <stp>CURRENCY=USD</stp>
        <stp>XLFILL=b</stp>
        <tr r="O52" s="2"/>
      </tp>
      <tp t="s">
        <v/>
        <stp/>
        <stp>##V3_BQLV12</stp>
        <stp>[MODL_CRM_US1.xlsx]Single Period!R73C50</stp>
        <stp>CRM US Equity</stp>
        <stp>IS_SH_FOR_DILUTED_EPS/1M</stp>
        <stp>FPR=2022Y</stp>
        <stp>FPT=A</stp>
        <stp>FA_ACT_EST_DATA=E, EST_SOURCE=MZS</stp>
        <stp>ACT_EST_MAPPING=PRECISE</stp>
        <stp>FS=MRC</stp>
        <stp>CURRENCY=USD</stp>
        <stp>XLFILL=b</stp>
        <tr r="AX73" s="2"/>
      </tp>
      <tp t="s">
        <v/>
        <stp/>
        <stp>##V3_BQLV12</stp>
        <stp>[MODL_CRM_US1.xlsx]Single Period!R114C49</stp>
        <stp>CRM US Equity</stp>
        <stp>BS_ACCTS_REC_EXCL_NOTES_REC/1M</stp>
        <stp>FPR=2022Y</stp>
        <stp>FPT=A</stp>
        <stp>FA_ACT_EST_DATA=E, EST_SOURCE=SGE</stp>
        <stp>ACT_EST_MAPPING=PRECISE</stp>
        <stp>FS=MRC</stp>
        <stp>CURRENCY=USD</stp>
        <stp>XLFILL=b</stp>
        <tr r="AW114" s="2"/>
      </tp>
      <tp>
        <v>15507.102999999999</v>
        <stp/>
        <stp>##V3_BQLV12</stp>
        <stp>[MODL_CRM_US1.xlsx]Single Period!R131C16</stp>
        <stp>CRM US Equity</stp>
        <stp>ST_DEFERRED_REVENUE/1M</stp>
        <stp>FPR=2022Y</stp>
        <stp>FPT=A</stp>
        <stp>FA_ACT_EST_DATA=E, EST_SOURCE=DBG</stp>
        <stp>ACT_EST_MAPPING=PRECISE</stp>
        <stp>FS=MRC</stp>
        <stp>CURRENCY=USD</stp>
        <stp>XLFILL=b</stp>
        <tr r="P131" s="2"/>
      </tp>
      <tp t="s">
        <v/>
        <stp/>
        <stp>##V3_BQLV12</stp>
        <stp>[MODL_CRM_US1.xlsx]Single Period!R117C55</stp>
        <stp>CRM US Equity</stp>
        <stp>BS_TOTAL_NON_CURRENT_ASSETS/1M</stp>
        <stp>FPR=2022Y</stp>
        <stp>FPT=A</stp>
        <stp>FA_ACT_EST_DATA=E, EST_SOURCE=RED</stp>
        <stp>ACT_EST_MAPPING=PRECISE</stp>
        <stp>FS=MRC</stp>
        <stp>CURRENCY=USD</stp>
        <stp>XLFILL=b</stp>
        <tr r="BC117" s="2"/>
      </tp>
      <tp t="s">
        <v/>
        <stp/>
        <stp>##V3_BQLV12</stp>
        <stp>[MODL_CRM_US1.xlsx]Single Period!R128C20</stp>
        <stp>CRM US Equity</stp>
        <stp>BS_CUR_LIAB/1M</stp>
        <stp>FPR=2022Y</stp>
        <stp>FPT=A</stp>
        <stp>FA_ACT_EST_DATA=E, EST_SOURCE=JMP</stp>
        <stp>ACT_EST_MAPPING=PRECISE</stp>
        <stp>FS=MRC</stp>
        <stp>CURRENCY=USD</stp>
        <stp>XLFILL=b</stp>
        <tr r="T128" s="2"/>
      </tp>
      <tp t="s">
        <v/>
        <stp/>
        <stp>##V3_BQLV12</stp>
        <stp>[MODL_CRM_US1.xlsx]Single Period!R134C49</stp>
        <stp>CRM US Equity</stp>
        <stp>BS_LT_OPERATING_LEASE_LIABS/1M</stp>
        <stp>FPR=2022Y</stp>
        <stp>FPT=A</stp>
        <stp>FA_ACT_EST_DATA=E, EST_SOURCE=SGE</stp>
        <stp>ACT_EST_MAPPING=PRECISE</stp>
        <stp>FS=MRC</stp>
        <stp>CURRENCY=USD</stp>
        <stp>XLFILL=b</stp>
        <tr r="AW134" s="2"/>
      </tp>
      <tp t="s">
        <v/>
        <stp/>
        <stp>##V3_BQLV12</stp>
        <stp>[MODL_CRM_US1.xlsx]Single Period!R85C43</stp>
        <stp>CRM US Equity</stp>
        <stp>CB_IS_S_AND_M_EXPENSE/1M</stp>
        <stp>FPR=2022Y</stp>
        <stp>FPT=A</stp>
        <stp>FA_ACT_EST_DATA=E, EST_SOURCE=DWI</stp>
        <stp>ACT_EST_MAPPING=PRECISE</stp>
        <stp>FS=MRC</stp>
        <stp>CURRENCY=USD</stp>
        <stp>XLFILL=b</stp>
        <tr r="AQ85" s="2"/>
      </tp>
      <tp t="s">
        <v/>
        <stp/>
        <stp>##V3_BQLV12</stp>
        <stp>[MODL_CRM_US1.xlsx]Single Period!R128C25</stp>
        <stp>CRM US Equity</stp>
        <stp>BS_CUR_LIAB/1M</stp>
        <stp>FPR=2022Y</stp>
        <stp>FPT=A</stp>
        <stp>FA_ACT_EST_DATA=E, EST_SOURCE=WMS</stp>
        <stp>ACT_EST_MAPPING=PRECISE</stp>
        <stp>FS=MRC</stp>
        <stp>CURRENCY=USD</stp>
        <stp>XLFILL=b</stp>
        <tr r="Y128" s="2"/>
      </tp>
      <tp t="s">
        <v/>
        <stp/>
        <stp>##V3_BQLV12</stp>
        <stp>[MODL_CRM_US1.xlsx]Single Period!R131C11</stp>
        <stp>CRM US Equity</stp>
        <stp>ST_DEFERRED_REVENUE/1M</stp>
        <stp>FPR=2022Y</stp>
        <stp>FPT=A</stp>
        <stp>FA_ACT_EST_DATA=E, EST_SOURCE=WBL</stp>
        <stp>ACT_EST_MAPPING=PRECISE</stp>
        <stp>FS=MRC</stp>
        <stp>CURRENCY=USD</stp>
        <stp>XLFILL=b</stp>
        <tr r="K131" s="2"/>
      </tp>
      <tp t="s">
        <v/>
        <stp/>
        <stp>##V3_BQLV12</stp>
        <stp>[MODL_CRM_US1.xlsx]Single Period!R185C25</stp>
        <stp>CRM US Equity</stp>
        <stp>CF_EFFECT_FOREIGN_EXCHANGES/1M</stp>
        <stp>FPR=2022Y</stp>
        <stp>FPT=A</stp>
        <stp>FA_ACT_EST_DATA=E, EST_SOURCE=WMS</stp>
        <stp>ACT_EST_MAPPING=PRECISE</stp>
        <stp>FS=MRC</stp>
        <stp>CURRENCY=USD</stp>
        <stp>XLFILL=b</stp>
        <tr r="Y185" s="2"/>
      </tp>
      <tp t="s">
        <v/>
        <stp/>
        <stp>##V3_BQLV12</stp>
        <stp>[MODL_CRM_US1.xlsx]Single Period!R114C39</stp>
        <stp>CRM US Equity</stp>
        <stp>BS_ACCTS_REC_EXCL_NOTES_REC/1M</stp>
        <stp>FPR=2022Y</stp>
        <stp>FPT=A</stp>
        <stp>FA_ACT_EST_DATA=E, EST_SOURCE=KGI</stp>
        <stp>ACT_EST_MAPPING=PRECISE</stp>
        <stp>FS=MRC</stp>
        <stp>CURRENCY=USD</stp>
        <stp>XLFILL=b</stp>
        <tr r="AM114" s="2"/>
      </tp>
      <tp>
        <v>0.1273583845012444</v>
        <stp/>
        <stp>##V3_BQLV12</stp>
        <stp>[MODL_CRM_US1.xlsx]Single Period!R95C8</stp>
        <stp>CRM US Equity</stp>
        <stp>CONTRIBUTOR_STATS(IS_COMP_EPS_GAAP, STD)</stp>
        <stp>FPR=2022Y</stp>
        <stp>FPT=A</stp>
        <stp>FA_ACT_EST_DATA=E</stp>
        <stp>ACT_EST_MAPPING=PRECISE</stp>
        <stp>FS=MRC</stp>
        <stp>CURRENCY=USD</stp>
        <stp>XLFILL=b</stp>
        <tr r="H95" s="2"/>
      </tp>
      <tp t="s">
        <v/>
        <stp/>
        <stp>##V3_BQLV12</stp>
        <stp>[MODL_CRM_US1.xlsx]Single Period!R185C20</stp>
        <stp>CRM US Equity</stp>
        <stp>CF_EFFECT_FOREIGN_EXCHANGES/1M</stp>
        <stp>FPR=2022Y</stp>
        <stp>FPT=A</stp>
        <stp>FA_ACT_EST_DATA=E, EST_SOURCE=JMP</stp>
        <stp>ACT_EST_MAPPING=PRECISE</stp>
        <stp>FS=MRC</stp>
        <stp>CURRENCY=USD</stp>
        <stp>XLFILL=b</stp>
        <tr r="T185" s="2"/>
      </tp>
      <tp t="s">
        <v/>
        <stp/>
        <stp>##V3_BQLV12</stp>
        <stp>[MODL_CRM_US1.xlsx]Single Period!R83C38</stp>
        <stp>CRM US Equity</stp>
        <stp>IS_OPEX_R_AND_D_GAAP/1M</stp>
        <stp>FPR=2022Y</stp>
        <stp>FPT=A</stp>
        <stp>FA_ACT_EST_DATA=E, EST_SOURCE=MSR</stp>
        <stp>ACT_EST_MAPPING=PRECISE</stp>
        <stp>FS=MRC</stp>
        <stp>CURRENCY=USD</stp>
        <stp>XLFILL=b</stp>
        <tr r="AL83" s="2"/>
      </tp>
      <tp t="s">
        <v/>
        <stp/>
        <stp>##V3_BQLV12</stp>
        <stp>[MODL_CRM_US1.xlsx]Single Period!R65C28</stp>
        <stp>CRM US Equity</stp>
        <stp>IS_AMORT_OF_TOT_INTANG_PRETX/1M</stp>
        <stp>FPR=2022Y</stp>
        <stp>FPT=A</stp>
        <stp>FA_ACT_EST_DATA=E, EST_SOURCE=CWN</stp>
        <stp>ACT_EST_MAPPING=PRECISE</stp>
        <stp>FS=MRC</stp>
        <stp>CURRENCY=USD</stp>
        <stp>XLFILL=b</stp>
        <tr r="AB65" s="2"/>
      </tp>
      <tp t="s">
        <v/>
        <stp/>
        <stp>##V3_BQLV12</stp>
        <stp>[MODL_CRM_US1.xlsx]Single Period!R123C22</stp>
        <stp>CRM US Equity</stp>
        <stp>TOT_OPER_LEA_RT_OF_USE_ASSETS/1M</stp>
        <stp>FPR=2022Y</stp>
        <stp>FPT=A</stp>
        <stp>FA_ACT_EST_DATA=E, EST_SOURCE=OPY</stp>
        <stp>ACT_EST_MAPPING=PRECISE</stp>
        <stp>FS=MRC</stp>
        <stp>CURRENCY=USD</stp>
        <stp>XLFILL=b</stp>
        <tr r="V123" s="2"/>
      </tp>
      <tp t="s">
        <v/>
        <stp/>
        <stp>##V3_BQLV12</stp>
        <stp>[MODL_CRM_US1.xlsx]Single Period!R156C47</stp>
        <stp>CRM US Equity</stp>
        <stp>CF_DEPR_AMORT/1M</stp>
        <stp>FPR=2022Y</stp>
        <stp>FPT=A</stp>
        <stp>FA_ACT_EST_DATA=E, EST_SOURCE=WFT</stp>
        <stp>ACT_EST_MAPPING=PRECISE</stp>
        <stp>FS=MRC</stp>
        <stp>CURRENCY=USD</stp>
        <stp>XLFILL=b</stp>
        <tr r="AU156" s="2"/>
      </tp>
      <tp t="s">
        <v/>
        <stp/>
        <stp>##V3_BQLV12</stp>
        <stp>[MODL_CRM_US1.xlsx]Single Period!R24C33</stp>
        <stp>SEG0000269238 Segment</stp>
        <stp>SALES_REV_TURN/1M</stp>
        <stp>FPR=2022Y</stp>
        <stp>FPT=A</stp>
        <stp>FA_ACT_EST_DATA=E, EST_SOURCE=RHR</stp>
        <stp>ACT_EST_MAPPING=PRECISE</stp>
        <stp>FS=MRC</stp>
        <stp>CURRENCY=USD</stp>
        <stp>XLFILL=b</stp>
        <tr r="AG24" s="2"/>
      </tp>
      <tp>
        <v>3901.9259999999999</v>
        <stp/>
        <stp>##V3_BQLV12</stp>
        <stp>[MODL_CRM_US1.xlsx]Single Period!R29C26</stp>
        <stp>SEG0000269233 Segment</stp>
        <stp>SALES_REV_TURN/1M</stp>
        <stp>FPR=2022Y</stp>
        <stp>FPT=A</stp>
        <stp>FA_ACT_EST_DATA=E, EST_SOURCE=KEY</stp>
        <stp>ACT_EST_MAPPING=PRECISE</stp>
        <stp>FS=MRC</stp>
        <stp>CURRENCY=USD</stp>
        <stp>XLFILL=b</stp>
        <tr r="Z29" s="2"/>
      </tp>
      <tp t="s">
        <v/>
        <stp/>
        <stp>##V3_BQLV12</stp>
        <stp>[MODL_CRM_US1.xlsx]Single Period!R38C26</stp>
        <stp>SEG0000269228 Segment</stp>
        <stp>SALES_REV_TURN/1M</stp>
        <stp>FPR=2022Y</stp>
        <stp>FPT=A</stp>
        <stp>FA_ACT_EST_DATA=E, EST_SOURCE=KEY</stp>
        <stp>ACT_EST_MAPPING=PRECISE</stp>
        <stp>FS=MRC</stp>
        <stp>CURRENCY=USD</stp>
        <stp>XLFILL=b</stp>
        <tr r="Z38" s="2"/>
      </tp>
      <tp t="s">
        <v/>
        <stp/>
        <stp>##V3_BQLV12</stp>
        <stp>[MODL_CRM_US1.xlsx]Single Period!R48C26</stp>
        <stp>SEG0000269229 Segment</stp>
        <stp>SALES_REV_TURN/1M</stp>
        <stp>FPR=2022Y</stp>
        <stp>FPT=A</stp>
        <stp>FA_ACT_EST_DATA=E, EST_SOURCE=KEY</stp>
        <stp>ACT_EST_MAPPING=PRECISE</stp>
        <stp>FS=MRC</stp>
        <stp>CURRENCY=USD</stp>
        <stp>XLFILL=b</stp>
        <tr r="Z48" s="2"/>
      </tp>
      <tp>
        <v>8211</v>
        <stp/>
        <stp>##V3_BQLV12</stp>
        <stp>[MODL_CRM_US1.xlsx]Single Period!R64C12</stp>
        <stp>CRM US Equity</stp>
        <stp>IS_COMPARABLE_EBITDA/1M</stp>
        <stp>FPR=2022Y</stp>
        <stp>FPT=A</stp>
        <stp>FA_ACT_EST_DATA=E, EST_SOURCE=BMO</stp>
        <stp>ACT_EST_MAPPING=PRECISE</stp>
        <stp>FS=MRC</stp>
        <stp>CURRENCY=USD</stp>
        <stp>XLFILL=b</stp>
        <tr r="L64" s="2"/>
      </tp>
      <tp t="s">
        <v/>
        <stp/>
        <stp>##V3_BQLV12</stp>
        <stp>[MODL_CRM_US1.xlsx]Single Period!R123C41</stp>
        <stp>CRM US Equity</stp>
        <stp>TOT_OPER_LEA_RT_OF_USE_ASSETS/1M</stp>
        <stp>FPR=2022Y</stp>
        <stp>FPT=A</stp>
        <stp>FA_ACT_EST_DATA=E, EST_SOURCE=GSR</stp>
        <stp>ACT_EST_MAPPING=PRECISE</stp>
        <stp>FS=MRC</stp>
        <stp>CURRENCY=USD</stp>
        <stp>XLFILL=b</stp>
        <tr r="AO123" s="2"/>
      </tp>
      <tp t="s">
        <v/>
        <stp/>
        <stp>##V3_BQLV12</stp>
        <stp>[MODL_CRM_US1.xlsx]Single Period!R43C33</stp>
        <stp>SEG0000269240 Segment</stp>
        <stp>SALES_REV_TURN/1M</stp>
        <stp>FPR=2022Y</stp>
        <stp>FPT=A</stp>
        <stp>FA_ACT_EST_DATA=E, EST_SOURCE=RHR</stp>
        <stp>ACT_EST_MAPPING=PRECISE</stp>
        <stp>FS=MRC</stp>
        <stp>CURRENCY=USD</stp>
        <stp>XLFILL=b</stp>
        <tr r="AG43" s="2"/>
      </tp>
      <tp t="s">
        <v/>
        <stp/>
        <stp>##V3_BQLV12</stp>
        <stp>[MODL_CRM_US1.xlsx]Single Period!R28C51</stp>
        <stp>SEG0000269242 Segment</stp>
        <stp>SALES_REV_TURN/1M</stp>
        <stp>FPR=2022Y</stp>
        <stp>FPT=A</stp>
        <stp>FA_ACT_EST_DATA=E, EST_SOURCE=RCP</stp>
        <stp>ACT_EST_MAPPING=PRECISE</stp>
        <stp>FS=MRC</stp>
        <stp>CURRENCY=USD</stp>
        <stp>XLFILL=b</stp>
        <tr r="AY28" s="2"/>
      </tp>
      <tp t="s">
        <v/>
        <stp/>
        <stp>##V3_BQLV12</stp>
        <stp>[MODL_CRM_US1.xlsx]Single Period!R149C29</stp>
        <stp>CRM US Equity</stp>
        <stp>TOT_FUTURE_REV_UNDER_CONTRACT/1M</stp>
        <stp>FPR=2022Y</stp>
        <stp>FPT=A</stp>
        <stp>FA_ACT_EST_DATA=E, EST_SOURCE=BNS</stp>
        <stp>ACT_EST_MAPPING=PRECISE</stp>
        <stp>FS=MRC</stp>
        <stp>CURRENCY=USD</stp>
        <stp>XLFILL=b</stp>
        <tr r="AC149" s="2"/>
      </tp>
      <tp t="s">
        <v/>
        <stp/>
        <stp>##V3_BQLV12</stp>
        <stp>[MODL_CRM_US1.xlsx]Single Period!R64C53</stp>
        <stp>CRM US Equity</stp>
        <stp>IS_COMPARABLE_EBITDA/1M</stp>
        <stp>FPR=2022Y</stp>
        <stp>FPT=A</stp>
        <stp>FA_ACT_EST_DATA=E, EST_SOURCE=NIK</stp>
        <stp>ACT_EST_MAPPING=PRECISE</stp>
        <stp>FS=MRC</stp>
        <stp>CURRENCY=USD</stp>
        <stp>XLFILL=b</stp>
        <tr r="BA64" s="2"/>
      </tp>
      <tp>
        <v>6406.4677409735523</v>
        <stp/>
        <stp>##V3_BQLV12</stp>
        <stp>[MODL_CRM_US1.xlsx]Single Period!R112C5</stp>
        <stp>CRM US Equity</stp>
        <stp>BS_CASH_NEAR_CASH_ITEM/1M</stp>
        <stp>FPR=2022Y</stp>
        <stp>FPT=A</stp>
        <stp>FA_ACT_EST_DATA=E</stp>
        <stp>ACT_EST_MAPPING=PRECISE</stp>
        <stp>FS=MRC</stp>
        <stp>CURRENCY=USD</stp>
        <stp>XLFILL=b</stp>
        <tr r="E112" s="2"/>
      </tp>
      <tp t="s">
        <v/>
        <stp/>
        <stp>##V3_BQLV12</stp>
        <stp>[MODL_CRM_US1.xlsx]Single Period!R26C25</stp>
        <stp>SEG0000269247 Segment</stp>
        <stp>SALES_REV_TURN/1M</stp>
        <stp>FPR=2022Y</stp>
        <stp>FPT=A</stp>
        <stp>FA_ACT_EST_DATA=E, EST_SOURCE=WMS</stp>
        <stp>ACT_EST_MAPPING=PRECISE</stp>
        <stp>FS=MRC</stp>
        <stp>CURRENCY=USD</stp>
        <stp>XLFILL=b</stp>
        <tr r="Y26" s="2"/>
      </tp>
      <tp>
        <v>5953</v>
        <stp/>
        <stp>##V3_BQLV12</stp>
        <stp>[MODL_CRM_US1.xlsx]Single Period!R26C20</stp>
        <stp>SEG0000269247 Segment</stp>
        <stp>SALES_REV_TURN/1M</stp>
        <stp>FPR=2022Y</stp>
        <stp>FPT=A</stp>
        <stp>FA_ACT_EST_DATA=E, EST_SOURCE=JMP</stp>
        <stp>ACT_EST_MAPPING=PRECISE</stp>
        <stp>FS=MRC</stp>
        <stp>CURRENCY=USD</stp>
        <stp>XLFILL=b</stp>
        <tr r="T26" s="2"/>
      </tp>
      <tp t="s">
        <v/>
        <stp/>
        <stp>##V3_BQLV12</stp>
        <stp>[MODL_CRM_US1.xlsx]Single Period!R64C56</stp>
        <stp>CRM US Equity</stp>
        <stp>IS_COMPARABLE_EBITDA/1M</stp>
        <stp>FPR=2022Y</stp>
        <stp>FPT=A</stp>
        <stp>FA_ACT_EST_DATA=E, EST_SOURCE=DIR</stp>
        <stp>ACT_EST_MAPPING=PRECISE</stp>
        <stp>FS=MRC</stp>
        <stp>CURRENCY=USD</stp>
        <stp>XLFILL=b</stp>
        <tr r="BD64" s="2"/>
      </tp>
      <tp t="s">
        <v/>
        <stp/>
        <stp>##V3_BQLV12</stp>
        <stp>[MODL_CRM_US1.xlsx]Single Period!R156C34</stp>
        <stp>CRM US Equity</stp>
        <stp>CF_DEPR_AMORT/1M</stp>
        <stp>FPR=2022Y</stp>
        <stp>FPT=A</stp>
        <stp>FA_ACT_EST_DATA=E, EST_SOURCE=JEF</stp>
        <stp>ACT_EST_MAPPING=PRECISE</stp>
        <stp>FS=MRC</stp>
        <stp>CURRENCY=USD</stp>
        <stp>XLFILL=b</stp>
        <tr r="AH156" s="2"/>
      </tp>
      <tp t="s">
        <v/>
        <stp/>
        <stp>##V3_BQLV12</stp>
        <stp>[MODL_CRM_US1.xlsx]Single Period!R123C46</stp>
        <stp>CRM US Equity</stp>
        <stp>TOT_OPER_LEA_RT_OF_USE_ASSETS/1M</stp>
        <stp>FPR=2022Y</stp>
        <stp>FPT=A</stp>
        <stp>FA_ACT_EST_DATA=E, EST_SOURCE=CTI</stp>
        <stp>ACT_EST_MAPPING=PRECISE</stp>
        <stp>FS=MRC</stp>
        <stp>CURRENCY=USD</stp>
        <stp>XLFILL=b</stp>
        <tr r="AT123" s="2"/>
      </tp>
      <tp t="s">
        <v/>
        <stp/>
        <stp>##V3_BQLV12</stp>
        <stp>[MODL_CRM_US1.xlsx]Single Period!R26C12</stp>
        <stp>SEG0000269247 Segment</stp>
        <stp>SALES_REV_TURN/1M</stp>
        <stp>FPR=2022Y</stp>
        <stp>FPT=A</stp>
        <stp>FA_ACT_EST_DATA=E, EST_SOURCE=BMO</stp>
        <stp>ACT_EST_MAPPING=PRECISE</stp>
        <stp>FS=MRC</stp>
        <stp>CURRENCY=USD</stp>
        <stp>XLFILL=b</stp>
        <tr r="L26" s="2"/>
      </tp>
      <tp t="s">
        <v/>
        <stp/>
        <stp>##V3_BQLV12</stp>
        <stp>[MODL_CRM_US1.xlsx]Single Period!R119C38</stp>
        <stp>CRM US Equity</stp>
        <stp>CB_BS_OTHER_NONCURRENT_ASSETS/1M</stp>
        <stp>FPR=2022Y</stp>
        <stp>FPT=A</stp>
        <stp>FA_ACT_EST_DATA=E, EST_SOURCE=MSR</stp>
        <stp>ACT_EST_MAPPING=PRECISE</stp>
        <stp>FS=MRC</stp>
        <stp>CURRENCY=USD</stp>
        <stp>XLFILL=b</stp>
        <tr r="AL119" s="2"/>
      </tp>
      <tp t="s">
        <v/>
        <stp/>
        <stp>##V3_BQLV12</stp>
        <stp>[MODL_CRM_US1.xlsx]Single Period!R65C37</stp>
        <stp>CRM US Equity</stp>
        <stp>IS_AMORT_OF_TOT_INTANG_PRETX/1M</stp>
        <stp>FPR=2022Y</stp>
        <stp>FPT=A</stp>
        <stp>FA_ACT_EST_DATA=E, EST_SOURCE=EVR</stp>
        <stp>ACT_EST_MAPPING=PRECISE</stp>
        <stp>FS=MRC</stp>
        <stp>CURRENCY=USD</stp>
        <stp>XLFILL=b</stp>
        <tr r="AK65" s="2"/>
      </tp>
      <tp t="s">
        <v/>
        <stp/>
        <stp>##V3_BQLV12</stp>
        <stp>[MODL_CRM_US1.xlsx]Single Period!R48C55</stp>
        <stp>SEG0000269229 Segment</stp>
        <stp>SALES_REV_TURN/1M</stp>
        <stp>FPR=2022Y</stp>
        <stp>FPT=A</stp>
        <stp>FA_ACT_EST_DATA=E, EST_SOURCE=RED</stp>
        <stp>ACT_EST_MAPPING=PRECISE</stp>
        <stp>FS=MRC</stp>
        <stp>CURRENCY=USD</stp>
        <stp>XLFILL=b</stp>
        <tr r="BC48" s="2"/>
      </tp>
      <tp t="s">
        <v/>
        <stp/>
        <stp>##V3_BQLV12</stp>
        <stp>[MODL_CRM_US1.xlsx]Single Period!R140C50</stp>
        <stp>CRM US Equity</stp>
        <stp>BS_ACCUMULATED_OTHER_COMP_INC/1M</stp>
        <stp>FPR=2022Y</stp>
        <stp>FPT=A</stp>
        <stp>FA_ACT_EST_DATA=E, EST_SOURCE=MZS</stp>
        <stp>ACT_EST_MAPPING=PRECISE</stp>
        <stp>FS=MRC</stp>
        <stp>CURRENCY=USD</stp>
        <stp>XLFILL=b</stp>
        <tr r="AX140" s="2"/>
      </tp>
      <tp t="s">
        <v/>
        <stp/>
        <stp>##V3_BQLV12</stp>
        <stp>[MODL_CRM_US1.xlsx]Single Period!R83C46</stp>
        <stp>CRM US Equity</stp>
        <stp>IS_OPEX_R_AND_D_GAAP/1M</stp>
        <stp>FPR=2022Y</stp>
        <stp>FPT=A</stp>
        <stp>FA_ACT_EST_DATA=E, EST_SOURCE=CTI</stp>
        <stp>ACT_EST_MAPPING=PRECISE</stp>
        <stp>FS=MRC</stp>
        <stp>CURRENCY=USD</stp>
        <stp>XLFILL=b</stp>
        <tr r="AT83" s="2"/>
      </tp>
      <tp t="s">
        <v/>
        <stp/>
        <stp>##V3_BQLV12</stp>
        <stp>[MODL_CRM_US1.xlsx]Single Period!R38C55</stp>
        <stp>SEG0000269228 Segment</stp>
        <stp>SALES_REV_TURN/1M</stp>
        <stp>FPR=2022Y</stp>
        <stp>FPT=A</stp>
        <stp>FA_ACT_EST_DATA=E, EST_SOURCE=RED</stp>
        <stp>ACT_EST_MAPPING=PRECISE</stp>
        <stp>FS=MRC</stp>
        <stp>CURRENCY=USD</stp>
        <stp>XLFILL=b</stp>
        <tr r="BC38" s="2"/>
      </tp>
      <tp t="s">
        <v/>
        <stp/>
        <stp>##V3_BQLV12</stp>
        <stp>[MODL_CRM_US1.xlsx]Single Period!R48C34</stp>
        <stp>SEG0000269229 Segment</stp>
        <stp>SALES_REV_TURN/1M</stp>
        <stp>FPR=2022Y</stp>
        <stp>FPT=A</stp>
        <stp>FA_ACT_EST_DATA=E, EST_SOURCE=JEF</stp>
        <stp>ACT_EST_MAPPING=PRECISE</stp>
        <stp>FS=MRC</stp>
        <stp>CURRENCY=USD</stp>
        <stp>XLFILL=b</stp>
        <tr r="AH48" s="2"/>
      </tp>
      <tp t="s">
        <v/>
        <stp/>
        <stp>##V3_BQLV12</stp>
        <stp>[MODL_CRM_US1.xlsx]Single Period!R28C27</stp>
        <stp>SEG0000269242 Segment</stp>
        <stp>SALES_REV_TURN/1M</stp>
        <stp>FPR=2022Y</stp>
        <stp>FPT=A</stp>
        <stp>FA_ACT_EST_DATA=E, EST_SOURCE=LCM</stp>
        <stp>ACT_EST_MAPPING=PRECISE</stp>
        <stp>FS=MRC</stp>
        <stp>CURRENCY=USD</stp>
        <stp>XLFILL=b</stp>
        <tr r="AA28" s="2"/>
      </tp>
      <tp t="s">
        <v/>
        <stp/>
        <stp>##V3_BQLV12</stp>
        <stp>[MODL_CRM_US1.xlsx]Single Period!R38C34</stp>
        <stp>SEG0000269228 Segment</stp>
        <stp>SALES_REV_TURN/1M</stp>
        <stp>FPR=2022Y</stp>
        <stp>FPT=A</stp>
        <stp>FA_ACT_EST_DATA=E, EST_SOURCE=JEF</stp>
        <stp>ACT_EST_MAPPING=PRECISE</stp>
        <stp>FS=MRC</stp>
        <stp>CURRENCY=USD</stp>
        <stp>XLFILL=b</stp>
        <tr r="AH38" s="2"/>
      </tp>
      <tp>
        <v>3166.12</v>
        <stp/>
        <stp>##V3_BQLV12</stp>
        <stp>[MODL_CRM_US1.xlsx]Single Period!R63C9</stp>
        <stp>CRM US Equity</stp>
        <stp>CONTRIBUTOR_STATS(CF_DEPR_AMORT, MEDIAN)/1M</stp>
        <stp>FPR=2022Y</stp>
        <stp>FPT=A</stp>
        <stp>FA_ACT_EST_DATA=E</stp>
        <stp>ACT_EST_MAPPING=PRECISE</stp>
        <stp>FS=MRC</stp>
        <stp>CURRENCY=USD</stp>
        <stp>XLFILL=b</stp>
        <tr r="I63" s="2"/>
      </tp>
      <tp t="s">
        <v/>
        <stp/>
        <stp>##V3_BQLV12</stp>
        <stp>[MODL_CRM_US1.xlsx]Single Period!R28C40</stp>
        <stp>SEG0000269242 Segment</stp>
        <stp>SALES_REV_TURN/1M</stp>
        <stp>FPR=2022Y</stp>
        <stp>FPT=A</stp>
        <stp>FA_ACT_EST_DATA=E, EST_SOURCE=ACC</stp>
        <stp>ACT_EST_MAPPING=PRECISE</stp>
        <stp>FS=MRC</stp>
        <stp>CURRENCY=USD</stp>
        <stp>XLFILL=b</stp>
        <tr r="AN28" s="2"/>
      </tp>
      <tp>
        <v>1160.3103448275858</v>
        <stp/>
        <stp>##V3_BQLV12</stp>
        <stp>[MODL_CRM_US1.xlsx]Single Period!R91C5</stp>
        <stp>CRM US Equity</stp>
        <stp>IS_COMP_NET_INCOME_GAAP/1M</stp>
        <stp>FPR=2022Y</stp>
        <stp>FPT=A</stp>
        <stp>FA_ACT_EST_DATA=E</stp>
        <stp>ACT_EST_MAPPING=PRECISE</stp>
        <stp>FS=MRC</stp>
        <stp>CURRENCY=USD</stp>
        <stp>XLFILL=b</stp>
        <tr r="E91" s="2"/>
      </tp>
      <tp t="s">
        <v/>
        <stp/>
        <stp>##V3_BQLV12</stp>
        <stp>[MODL_CRM_US1.xlsx]Single Period!R28C19</stp>
        <stp>SEG0000269242 Segment</stp>
        <stp>SALES_REV_TURN/1M</stp>
        <stp>FPR=2022Y</stp>
        <stp>FPT=A</stp>
        <stp>FA_ACT_EST_DATA=E, EST_SOURCE=SCB</stp>
        <stp>ACT_EST_MAPPING=PRECISE</stp>
        <stp>FS=MRC</stp>
        <stp>CURRENCY=USD</stp>
        <stp>XLFILL=b</stp>
        <tr r="S28" s="2"/>
      </tp>
      <tp t="s">
        <v/>
        <stp/>
        <stp>##V3_BQLV12</stp>
        <stp>[MODL_CRM_US1.xlsx]Single Period!R156C30</stp>
        <stp>CRM US Equity</stp>
        <stp>CF_DEPR_AMORT/1M</stp>
        <stp>FPR=2022Y</stp>
        <stp>FPT=A</stp>
        <stp>FA_ACT_EST_DATA=E, EST_SOURCE=BAM</stp>
        <stp>ACT_EST_MAPPING=PRECISE</stp>
        <stp>FS=MRC</stp>
        <stp>CURRENCY=USD</stp>
        <stp>XLFILL=b</stp>
        <tr r="AD156" s="2"/>
      </tp>
      <tp t="s">
        <v/>
        <stp/>
        <stp>##V3_BQLV12</stp>
        <stp>[MODL_CRM_US1.xlsx]Single Period!R28C13</stp>
        <stp>SEG0000269242 Segment</stp>
        <stp>SALES_REV_TURN/1M</stp>
        <stp>FPR=2022Y</stp>
        <stp>FPT=A</stp>
        <stp>FA_ACT_EST_DATA=E, EST_SOURCE=BCA</stp>
        <stp>ACT_EST_MAPPING=PRECISE</stp>
        <stp>FS=MRC</stp>
        <stp>CURRENCY=USD</stp>
        <stp>XLFILL=b</stp>
        <tr r="M28" s="2"/>
      </tp>
      <tp t="s">
        <v/>
        <stp/>
        <stp>##V3_BQLV12</stp>
        <stp>[MODL_CRM_US1.xlsx]Single Period!R149C36</stp>
        <stp>CRM US Equity</stp>
        <stp>TOT_FUTURE_REV_UNDER_CONTRACT/1M</stp>
        <stp>FPR=2022Y</stp>
        <stp>FPT=A</stp>
        <stp>FA_ACT_EST_DATA=E, EST_SOURCE=MAC</stp>
        <stp>ACT_EST_MAPPING=PRECISE</stp>
        <stp>FS=MRC</stp>
        <stp>CURRENCY=USD</stp>
        <stp>XLFILL=b</stp>
        <tr r="AJ149" s="2"/>
      </tp>
      <tp t="s">
        <v/>
        <stp/>
        <stp>##V3_BQLV12</stp>
        <stp>[MODL_CRM_US1.xlsx]Single Period!R29C34</stp>
        <stp>SEG0000269233 Segment</stp>
        <stp>SALES_REV_TURN/1M</stp>
        <stp>FPR=2022Y</stp>
        <stp>FPT=A</stp>
        <stp>FA_ACT_EST_DATA=E, EST_SOURCE=JEF</stp>
        <stp>ACT_EST_MAPPING=PRECISE</stp>
        <stp>FS=MRC</stp>
        <stp>CURRENCY=USD</stp>
        <stp>XLFILL=b</stp>
        <tr r="AH29" s="2"/>
      </tp>
      <tp t="s">
        <v/>
        <stp/>
        <stp>##V3_BQLV12</stp>
        <stp>[MODL_CRM_US1.xlsx]Single Period!R29C55</stp>
        <stp>SEG0000269233 Segment</stp>
        <stp>SALES_REV_TURN/1M</stp>
        <stp>FPR=2022Y</stp>
        <stp>FPT=A</stp>
        <stp>FA_ACT_EST_DATA=E, EST_SOURCE=RED</stp>
        <stp>ACT_EST_MAPPING=PRECISE</stp>
        <stp>FS=MRC</stp>
        <stp>CURRENCY=USD</stp>
        <stp>XLFILL=b</stp>
        <tr r="BC29" s="2"/>
      </tp>
      <tp t="s">
        <v/>
        <stp/>
        <stp>##V3_BQLV12</stp>
        <stp>[MODL_CRM_US1.xlsx]Single Period!R64C29</stp>
        <stp>CRM US Equity</stp>
        <stp>IS_COMPARABLE_EBITDA/1M</stp>
        <stp>FPR=2022Y</stp>
        <stp>FPT=A</stp>
        <stp>FA_ACT_EST_DATA=E, EST_SOURCE=BNS</stp>
        <stp>ACT_EST_MAPPING=PRECISE</stp>
        <stp>FS=MRC</stp>
        <stp>CURRENCY=USD</stp>
        <stp>XLFILL=b</stp>
        <tr r="AC64" s="2"/>
      </tp>
      <tp t="s">
        <v/>
        <stp/>
        <stp>##V3_BQLV12</stp>
        <stp>[MODL_CRM_US1.xlsx]Single Period!R151C50</stp>
        <stp>CRM US Equity</stp>
        <stp>NON_CURRENT_FUTURE_REV_UNDER_CONTRACT/1M</stp>
        <stp>FPR=2022Y</stp>
        <stp>FPT=A</stp>
        <stp>FA_ACT_EST_DATA=E, EST_SOURCE=MZS</stp>
        <stp>ACT_EST_MAPPING=PRECISE</stp>
        <stp>FS=MRC</stp>
        <stp>CURRENCY=USD</stp>
        <stp>XLFILL=b</stp>
        <tr r="AX151" s="2"/>
      </tp>
      <tp t="s">
        <v>JP Morgan</v>
        <stp/>
        <stp>##V3_BQLV12</stp>
        <stp>[MODL_CRM_US1.xlsx]Single Period!R3C23</stp>
        <stp>CRM US Equity</stp>
        <stp>LAST(IS_COMP_SALES(FA_ACT_EST_DATA=E, EST_SOURCE=JPM).firm_name)</stp>
        <stp>FPR=2022Y</stp>
        <stp>FPT=A</stp>
        <stp>ACT_EST_MAPPING=PRECISE</stp>
        <stp>FS=MRC</stp>
        <stp>CURRENCY=USD</stp>
        <stp>XLFILL=b</stp>
        <tr r="W3" s="2"/>
      </tp>
      <tp t="s">
        <v/>
        <stp/>
        <stp>##V3_BQLV12</stp>
        <stp>[MODL_CRM_US1.xlsx]Single Period!R183C34</stp>
        <stp>CRM US Equity</stp>
        <stp>CASH_FLOW_PER_SH</stp>
        <stp>FPR=2022Y</stp>
        <stp>FPT=A</stp>
        <stp>FA_ACT_EST_DATA=E, EST_SOURCE=JEF</stp>
        <stp>ACT_EST_MAPPING=PRECISE</stp>
        <stp>FS=MRC</stp>
        <stp>CURRENCY=USD</stp>
        <stp>XLFILL=b</stp>
        <tr r="AH183" s="2"/>
      </tp>
      <tp>
        <v>78.5</v>
        <stp/>
        <stp>##V3_BQLV12</stp>
        <stp>[MODL_CRM_US1.xlsx]Single Period!R17C21</stp>
        <stp>CRM US Equity</stp>
        <stp>IS_COMP_GROSS_MARGIN_PERCENTAGE</stp>
        <stp>FPR=2022Y</stp>
        <stp>FPT=A</stp>
        <stp>FA_ACT_EST_DATA=E, EST_SOURCE=RJA</stp>
        <stp>ACT_EST_MAPPING=PRECISE</stp>
        <stp>FS=MRC</stp>
        <stp>CURRENCY=USD</stp>
        <stp>XLFILL=b</stp>
        <tr r="U17" s="2"/>
      </tp>
      <tp t="s">
        <v/>
        <stp/>
        <stp>##V3_BQLV12</stp>
        <stp>[MODL_CRM_US1.xlsx]Single Period!R183C30</stp>
        <stp>CRM US Equity</stp>
        <stp>CASH_FLOW_PER_SH</stp>
        <stp>FPR=2022Y</stp>
        <stp>FPT=A</stp>
        <stp>FA_ACT_EST_DATA=E, EST_SOURCE=BAM</stp>
        <stp>ACT_EST_MAPPING=PRECISE</stp>
        <stp>FS=MRC</stp>
        <stp>CURRENCY=USD</stp>
        <stp>XLFILL=b</stp>
        <tr r="AD183" s="2"/>
      </tp>
      <tp>
        <v>78.5</v>
        <stp/>
        <stp>##V3_BQLV12</stp>
        <stp>[MODL_CRM_US1.xlsx]Single Period!R56C21</stp>
        <stp>CRM US Equity</stp>
        <stp>IS_COMP_GROSS_MARGIN_PERCENTAGE</stp>
        <stp>FPR=2022Y</stp>
        <stp>FPT=A</stp>
        <stp>FA_ACT_EST_DATA=E, EST_SOURCE=RJA</stp>
        <stp>ACT_EST_MAPPING=PRECISE</stp>
        <stp>FS=MRC</stp>
        <stp>CURRENCY=USD</stp>
        <stp>XLFILL=b</stp>
        <tr r="U56" s="2"/>
      </tp>
      <tp t="s">
        <v>Oppenheimer</v>
        <stp/>
        <stp>##V3_BQLV12</stp>
        <stp>[MODL_CRM_US1.xlsx]Single Period!R3C22</stp>
        <stp>CRM US Equity</stp>
        <stp>LAST(IS_COMP_SALES(FA_ACT_EST_DATA=E, EST_SOURCE=OPY).firm_name)</stp>
        <stp>FPR=2022Y</stp>
        <stp>FPT=A</stp>
        <stp>ACT_EST_MAPPING=PRECISE</stp>
        <stp>FS=MRC</stp>
        <stp>CURRENCY=USD</stp>
        <stp>XLFILL=b</stp>
        <tr r="V3" s="2"/>
      </tp>
      <tp t="s">
        <v/>
        <stp/>
        <stp>##V3_BQLV12</stp>
        <stp>[MODL_CRM_US1.xlsx]Single Period!R183C47</stp>
        <stp>CRM US Equity</stp>
        <stp>CASH_FLOW_PER_SH</stp>
        <stp>FPR=2022Y</stp>
        <stp>FPT=A</stp>
        <stp>FA_ACT_EST_DATA=E, EST_SOURCE=WFT</stp>
        <stp>ACT_EST_MAPPING=PRECISE</stp>
        <stp>FS=MRC</stp>
        <stp>CURRENCY=USD</stp>
        <stp>XLFILL=b</stp>
        <tr r="AU183" s="2"/>
      </tp>
      <tp t="s">
        <v/>
        <stp/>
        <stp>##V3_BQLV12</stp>
        <stp>[MODL_CRM_US1.xlsx]Single Period!R105C48</stp>
        <stp>CRM US Equity</stp>
        <stp>IS_AMORT_ACQD_INTANGIBLES_COGS/1M</stp>
        <stp>FPR=2022Y</stp>
        <stp>FPT=A</stp>
        <stp>FA_ACT_EST_DATA=E, EST_SOURCE=PJE</stp>
        <stp>ACT_EST_MAPPING=PRECISE</stp>
        <stp>FS=MRC</stp>
        <stp>CURRENCY=USD</stp>
        <stp>XLFILL=b</stp>
        <tr r="AV105" s="2"/>
      </tp>
      <tp t="s">
        <v/>
        <stp/>
        <stp>##V3_BQLV12</stp>
        <stp>[MODL_CRM_US1.xlsx]Single Period!R189C56</stp>
        <stp>CRM US Equity</stp>
        <stp>CF_CASH_AND_CASH_EQUIV_BEG_BAL/1M</stp>
        <stp>FPR=2022Y</stp>
        <stp>FPT=A</stp>
        <stp>FA_ACT_EST_DATA=E, EST_SOURCE=DIR</stp>
        <stp>ACT_EST_MAPPING=PRECISE</stp>
        <stp>FS=MRC</stp>
        <stp>CURRENCY=USD</stp>
        <stp>XLFILL=b</stp>
        <tr r="BD189" s="2"/>
      </tp>
      <tp t="s">
        <v/>
        <stp/>
        <stp>##V3_BQLV12</stp>
        <stp>[MODL_CRM_US1.xlsx]Single Period!R166C34</stp>
        <stp>CRM US Equity</stp>
        <stp>CF_CHANGE_IN_OPER_LEASE_LIBLTS/1M</stp>
        <stp>FPR=2022Y</stp>
        <stp>FPT=A</stp>
        <stp>FA_ACT_EST_DATA=E, EST_SOURCE=JEF</stp>
        <stp>ACT_EST_MAPPING=PRECISE</stp>
        <stp>FS=MRC</stp>
        <stp>CURRENCY=USD</stp>
        <stp>XLFILL=b</stp>
        <tr r="AH166" s="2"/>
      </tp>
      <tp t="s">
        <v/>
        <stp/>
        <stp>##V3_BQLV12</stp>
        <stp>[MODL_CRM_US1.xlsx]Single Period!R105C21</stp>
        <stp>CRM US Equity</stp>
        <stp>IS_AMORT_ACQD_INTANGIBLES_COGS/1M</stp>
        <stp>FPR=2022Y</stp>
        <stp>FPT=A</stp>
        <stp>FA_ACT_EST_DATA=E, EST_SOURCE=RJA</stp>
        <stp>ACT_EST_MAPPING=PRECISE</stp>
        <stp>FS=MRC</stp>
        <stp>CURRENCY=USD</stp>
        <stp>XLFILL=b</stp>
        <tr r="U105" s="2"/>
      </tp>
      <tp t="s">
        <v/>
        <stp/>
        <stp>##V3_BQLV12</stp>
        <stp>[MODL_CRM_US1.xlsx]Single Period!R166C55</stp>
        <stp>CRM US Equity</stp>
        <stp>CF_CHANGE_IN_OPER_LEASE_LIBLTS/1M</stp>
        <stp>FPR=2022Y</stp>
        <stp>FPT=A</stp>
        <stp>FA_ACT_EST_DATA=E, EST_SOURCE=RED</stp>
        <stp>ACT_EST_MAPPING=PRECISE</stp>
        <stp>FS=MRC</stp>
        <stp>CURRENCY=USD</stp>
        <stp>XLFILL=b</stp>
        <tr r="BC166" s="2"/>
      </tp>
      <tp t="s">
        <v/>
        <stp/>
        <stp>##V3_BQLV12</stp>
        <stp>[MODL_CRM_US1.xlsx]Single Period!R165C12</stp>
        <stp>CRM US Equity</stp>
        <stp>CF_CHG_IN_DEFER_UNEARND_REV_ST/1M</stp>
        <stp>FPR=2022Y</stp>
        <stp>FPT=A</stp>
        <stp>FA_ACT_EST_DATA=E, EST_SOURCE=BMO</stp>
        <stp>ACT_EST_MAPPING=PRECISE</stp>
        <stp>FS=MRC</stp>
        <stp>CURRENCY=USD</stp>
        <stp>XLFILL=b</stp>
        <tr r="L165" s="2"/>
      </tp>
      <tp>
        <v>2290</v>
        <stp/>
        <stp>##V3_BQLV12</stp>
        <stp>[MODL_CRM_US1.xlsx]Single Period!R165C20</stp>
        <stp>CRM US Equity</stp>
        <stp>CF_CHG_IN_DEFER_UNEARND_REV_ST/1M</stp>
        <stp>FPR=2022Y</stp>
        <stp>FPT=A</stp>
        <stp>FA_ACT_EST_DATA=E, EST_SOURCE=JMP</stp>
        <stp>ACT_EST_MAPPING=PRECISE</stp>
        <stp>FS=MRC</stp>
        <stp>CURRENCY=USD</stp>
        <stp>XLFILL=b</stp>
        <tr r="T165" s="2"/>
      </tp>
      <tp t="s">
        <v/>
        <stp/>
        <stp>##V3_BQLV12</stp>
        <stp>[MODL_CRM_US1.xlsx]Single Period!R112C35</stp>
        <stp>CRM US Equity</stp>
        <stp>BS_CASH_NEAR_CASH_ITEM/1M</stp>
        <stp>FPR=2022Y</stp>
        <stp>FPT=A</stp>
        <stp>FA_ACT_EST_DATA=E, EST_SOURCE=ATL</stp>
        <stp>ACT_EST_MAPPING=PRECISE</stp>
        <stp>FS=MRC</stp>
        <stp>CURRENCY=USD</stp>
        <stp>XLFILL=b</stp>
        <tr r="AI112" s="2"/>
      </tp>
      <tp>
        <v>3199.2292761362746</v>
        <stp/>
        <stp>##V3_BQLV12</stp>
        <stp>[MODL_CRM_US1.xlsx]Single Period!R165C25</stp>
        <stp>CRM US Equity</stp>
        <stp>CF_CHG_IN_DEFER_UNEARND_REV_ST/1M</stp>
        <stp>FPR=2022Y</stp>
        <stp>FPT=A</stp>
        <stp>FA_ACT_EST_DATA=E, EST_SOURCE=WMS</stp>
        <stp>ACT_EST_MAPPING=PRECISE</stp>
        <stp>FS=MRC</stp>
        <stp>CURRENCY=USD</stp>
        <stp>XLFILL=b</stp>
        <tr r="Y165" s="2"/>
      </tp>
      <tp>
        <v>1.29</v>
        <stp/>
        <stp>##V3_BQLV12</stp>
        <stp>[MODL_CRM_US1.xlsx]Single Period!R95C28</stp>
        <stp>CRM US Equity</stp>
        <stp>IS_COMP_EPS_GAAP</stp>
        <stp>FPR=2022Y</stp>
        <stp>FPT=A</stp>
        <stp>FA_ACT_EST_DATA=E, EST_SOURCE=CWN</stp>
        <stp>ACT_EST_MAPPING=PRECISE</stp>
        <stp>FS=MRC</stp>
        <stp>CURRENCY=USD</stp>
        <stp>XLFILL=b</stp>
        <tr r="AB95" s="2"/>
      </tp>
      <tp t="s">
        <v/>
        <stp/>
        <stp>##V3_BQLV12</stp>
        <stp>[MODL_CRM_US1.xlsx]Single Period!R112C46</stp>
        <stp>CRM US Equity</stp>
        <stp>BS_CASH_NEAR_CASH_ITEM/1M</stp>
        <stp>FPR=2022Y</stp>
        <stp>FPT=A</stp>
        <stp>FA_ACT_EST_DATA=E, EST_SOURCE=CTI</stp>
        <stp>ACT_EST_MAPPING=PRECISE</stp>
        <stp>FS=MRC</stp>
        <stp>CURRENCY=USD</stp>
        <stp>XLFILL=b</stp>
        <tr r="AT112" s="2"/>
      </tp>
      <tp t="s">
        <v/>
        <stp/>
        <stp>##V3_BQLV12</stp>
        <stp>[MODL_CRM_US1.xlsx]Single Period!R166C26</stp>
        <stp>CRM US Equity</stp>
        <stp>CF_CHANGE_IN_OPER_LEASE_LIBLTS/1M</stp>
        <stp>FPR=2022Y</stp>
        <stp>FPT=A</stp>
        <stp>FA_ACT_EST_DATA=E, EST_SOURCE=KEY</stp>
        <stp>ACT_EST_MAPPING=PRECISE</stp>
        <stp>FS=MRC</stp>
        <stp>CURRENCY=USD</stp>
        <stp>XLFILL=b</stp>
        <tr r="Z166" s="2"/>
      </tp>
      <tp t="s">
        <v/>
        <stp/>
        <stp>##V3_BQLV12</stp>
        <stp>[MODL_CRM_US1.xlsx]Single Period!R189C53</stp>
        <stp>CRM US Equity</stp>
        <stp>CF_CASH_AND_CASH_EQUIV_BEG_BAL/1M</stp>
        <stp>FPR=2022Y</stp>
        <stp>FPT=A</stp>
        <stp>FA_ACT_EST_DATA=E, EST_SOURCE=NIK</stp>
        <stp>ACT_EST_MAPPING=PRECISE</stp>
        <stp>FS=MRC</stp>
        <stp>CURRENCY=USD</stp>
        <stp>XLFILL=b</stp>
        <tr r="BA189" s="2"/>
      </tp>
      <tp t="s">
        <v/>
        <stp/>
        <stp>##V3_BQLV12</stp>
        <stp>[MODL_CRM_US1.xlsx]Single Period!R94C44</stp>
        <stp>CRM US Equity</stp>
        <stp>IS_SH_FOR_DILUTED_EPS/1M</stp>
        <stp>FPR=2022Y</stp>
        <stp>FPT=A</stp>
        <stp>FA_ACT_EST_DATA=E, EST_SOURCE=RWB</stp>
        <stp>ACT_EST_MAPPING=PRECISE</stp>
        <stp>FS=MRC</stp>
        <stp>CURRENCY=USD</stp>
        <stp>XLFILL=b</stp>
        <tr r="AR94" s="2"/>
      </tp>
      <tp t="s">
        <v/>
        <stp/>
        <stp>##V3_BQLV12</stp>
        <stp>[MODL_CRM_US1.xlsx]Single Period!R12C36</stp>
        <stp>CRM US Equity</stp>
        <stp>TOT_FUTURE_REV_UNDER_CONTRACT/1M</stp>
        <stp>FPR=2022Y</stp>
        <stp>FPT=A</stp>
        <stp>FA_ACT_EST_DATA=E, EST_SOURCE=MAC</stp>
        <stp>ACT_EST_MAPPING=PRECISE</stp>
        <stp>FS=MRC</stp>
        <stp>CURRENCY=USD</stp>
        <stp>XLFILL=b</stp>
        <tr r="AJ12" s="2"/>
      </tp>
      <tp t="s">
        <v/>
        <stp/>
        <stp>##V3_BQLV12</stp>
        <stp>[MODL_CRM_US1.xlsx]Single Period!R100C56</stp>
        <stp>CRM US Equity</stp>
        <stp>IS_SBC_ATTRIB_TO_COGS_PRETX/1M</stp>
        <stp>FPR=2022Y</stp>
        <stp>FPT=A</stp>
        <stp>FA_ACT_EST_DATA=E, EST_SOURCE=DIR</stp>
        <stp>ACT_EST_MAPPING=PRECISE</stp>
        <stp>FS=MRC</stp>
        <stp>CURRENCY=USD</stp>
        <stp>XLFILL=b</stp>
        <tr r="BD100" s="2"/>
      </tp>
      <tp t="s">
        <v/>
        <stp/>
        <stp>##V3_BQLV12</stp>
        <stp>[MODL_CRM_US1.xlsx]Single Period!R63C36</stp>
        <stp>CRM US Equity</stp>
        <stp>CF_DEPR_AMORT/1M</stp>
        <stp>FPR=2022Y</stp>
        <stp>FPT=A</stp>
        <stp>FA_ACT_EST_DATA=E, EST_SOURCE=MAC</stp>
        <stp>ACT_EST_MAPPING=PRECISE</stp>
        <stp>FS=MRC</stp>
        <stp>CURRENCY=USD</stp>
        <stp>XLFILL=b</stp>
        <tr r="AJ63" s="2"/>
      </tp>
      <tp t="s">
        <v/>
        <stp/>
        <stp>##V3_BQLV12</stp>
        <stp>[MODL_CRM_US1.xlsx]Single Period!R146C23</stp>
        <stp>CRM US Equity</stp>
        <stp>CUR_RATIO</stp>
        <stp>FPR=2022Y</stp>
        <stp>FPT=A</stp>
        <stp>FA_ACT_EST_DATA=E, EST_SOURCE=JPM</stp>
        <stp>ACT_EST_MAPPING=PRECISE</stp>
        <stp>FS=MRC</stp>
        <stp>CURRENCY=USD</stp>
        <stp>XLFILL=b</stp>
        <tr r="W146" s="2"/>
      </tp>
      <tp>
        <v>26470</v>
        <stp/>
        <stp>##V3_BQLV12</stp>
        <stp>[MODL_CRM_US1.xlsx]Single Period!R52C42</stp>
        <stp>CRM US Equity</stp>
        <stp>IS_COMP_SALES/1M</stp>
        <stp>FPR=2022Y</stp>
        <stp>FPT=A</stp>
        <stp>FA_ACT_EST_DATA=E, EST_SOURCE=PSG</stp>
        <stp>ACT_EST_MAPPING=PRECISE</stp>
        <stp>FS=MRC</stp>
        <stp>CURRENCY=USD</stp>
        <stp>XLFILL=b</stp>
        <tr r="AP52" s="2"/>
      </tp>
      <tp t="s">
        <v/>
        <stp/>
        <stp>##V3_BQLV12</stp>
        <stp>[MODL_CRM_US1.xlsx]Single Period!R117C32</stp>
        <stp>CRM US Equity</stp>
        <stp>BS_TOTAL_NON_CURRENT_ASSETS/1M</stp>
        <stp>FPR=2022Y</stp>
        <stp>FPT=A</stp>
        <stp>FA_ACT_EST_DATA=E, EST_SOURCE=UBS</stp>
        <stp>ACT_EST_MAPPING=PRECISE</stp>
        <stp>FS=MRC</stp>
        <stp>CURRENCY=USD</stp>
        <stp>XLFILL=b</stp>
        <tr r="AF117" s="2"/>
      </tp>
      <tp t="s">
        <v/>
        <stp/>
        <stp>##V3_BQLV12</stp>
        <stp>[MODL_CRM_US1.xlsx]Single Period!R98C22</stp>
        <stp>CRM US Equity</stp>
        <stp>IS_INC_TAX_EFFECT_NONGAAP_REC/1M</stp>
        <stp>FPR=2022Y</stp>
        <stp>FPT=A</stp>
        <stp>FA_ACT_EST_DATA=E, EST_SOURCE=OPY</stp>
        <stp>ACT_EST_MAPPING=PRECISE</stp>
        <stp>FS=MRC</stp>
        <stp>CURRENCY=USD</stp>
        <stp>XLFILL=b</stp>
        <tr r="V98" s="2"/>
      </tp>
      <tp t="s">
        <v/>
        <stp/>
        <stp>##V3_BQLV12</stp>
        <stp>[MODL_CRM_US1.xlsx]Single Period!R128C21</stp>
        <stp>CRM US Equity</stp>
        <stp>BS_CUR_LIAB/1M</stp>
        <stp>FPR=2022Y</stp>
        <stp>FPT=A</stp>
        <stp>FA_ACT_EST_DATA=E, EST_SOURCE=RJA</stp>
        <stp>ACT_EST_MAPPING=PRECISE</stp>
        <stp>FS=MRC</stp>
        <stp>CURRENCY=USD</stp>
        <stp>XLFILL=b</stp>
        <tr r="U128" s="2"/>
      </tp>
      <tp>
        <v>14876.26</v>
        <stp/>
        <stp>##V3_BQLV12</stp>
        <stp>[MODL_CRM_US1.xlsx]Single Period!R131C26</stp>
        <stp>CRM US Equity</stp>
        <stp>ST_DEFERRED_REVENUE/1M</stp>
        <stp>FPR=2022Y</stp>
        <stp>FPT=A</stp>
        <stp>FA_ACT_EST_DATA=E, EST_SOURCE=KEY</stp>
        <stp>ACT_EST_MAPPING=PRECISE</stp>
        <stp>FS=MRC</stp>
        <stp>CURRENCY=USD</stp>
        <stp>XLFILL=b</stp>
        <tr r="Z131" s="2"/>
      </tp>
      <tp t="s">
        <v/>
        <stp/>
        <stp>##V3_BQLV12</stp>
        <stp>[MODL_CRM_US1.xlsx]Single Period!R128C48</stp>
        <stp>CRM US Equity</stp>
        <stp>BS_CUR_LIAB/1M</stp>
        <stp>FPR=2022Y</stp>
        <stp>FPT=A</stp>
        <stp>FA_ACT_EST_DATA=E, EST_SOURCE=PJE</stp>
        <stp>ACT_EST_MAPPING=PRECISE</stp>
        <stp>FS=MRC</stp>
        <stp>CURRENCY=USD</stp>
        <stp>XLFILL=b</stp>
        <tr r="AV128" s="2"/>
      </tp>
      <tp t="s">
        <v/>
        <stp/>
        <stp>##V3_BQLV12</stp>
        <stp>[MODL_CRM_US1.xlsx]Single Period!R98C41</stp>
        <stp>CRM US Equity</stp>
        <stp>IS_INC_TAX_EFFECT_NONGAAP_REC/1M</stp>
        <stp>FPR=2022Y</stp>
        <stp>FPT=A</stp>
        <stp>FA_ACT_EST_DATA=E, EST_SOURCE=GSR</stp>
        <stp>ACT_EST_MAPPING=PRECISE</stp>
        <stp>FS=MRC</stp>
        <stp>CURRENCY=USD</stp>
        <stp>XLFILL=b</stp>
        <tr r="AO98" s="2"/>
      </tp>
      <tp t="s">
        <v/>
        <stp/>
        <stp>##V3_BQLV12</stp>
        <stp>[MODL_CRM_US1.xlsx]Single Period!R185C48</stp>
        <stp>CRM US Equity</stp>
        <stp>CF_EFFECT_FOREIGN_EXCHANGES/1M</stp>
        <stp>FPR=2022Y</stp>
        <stp>FPT=A</stp>
        <stp>FA_ACT_EST_DATA=E, EST_SOURCE=PJE</stp>
        <stp>ACT_EST_MAPPING=PRECISE</stp>
        <stp>FS=MRC</stp>
        <stp>CURRENCY=USD</stp>
        <stp>XLFILL=b</stp>
        <tr r="AV185" s="2"/>
      </tp>
      <tp t="s">
        <v/>
        <stp/>
        <stp>##V3_BQLV12</stp>
        <stp>[MODL_CRM_US1.xlsx]Single Period!R14C38</stp>
        <stp>CRM US Equity</stp>
        <stp>NON_CURRENT_FUTURE_REV_UNDER_CONTRACT/1M</stp>
        <stp>FPR=2022Y</stp>
        <stp>FPT=A</stp>
        <stp>FA_ACT_EST_DATA=E, EST_SOURCE=MSR</stp>
        <stp>ACT_EST_MAPPING=PRECISE</stp>
        <stp>FS=MRC</stp>
        <stp>CURRENCY=USD</stp>
        <stp>XLFILL=b</stp>
        <tr r="AL14" s="2"/>
      </tp>
      <tp>
        <v>26515</v>
        <stp/>
        <stp>##V3_BQLV12</stp>
        <stp>[MODL_CRM_US1.xlsx]Single Period!R52C35</stp>
        <stp>CRM US Equity</stp>
        <stp>IS_COMP_SALES/1M</stp>
        <stp>FPR=2022Y</stp>
        <stp>FPT=A</stp>
        <stp>FA_ACT_EST_DATA=E, EST_SOURCE=ATL</stp>
        <stp>ACT_EST_MAPPING=PRECISE</stp>
        <stp>FS=MRC</stp>
        <stp>CURRENCY=USD</stp>
        <stp>XLFILL=b</stp>
        <tr r="AI52" s="2"/>
      </tp>
      <tp>
        <v>-18</v>
        <stp/>
        <stp>##V3_BQLV12</stp>
        <stp>[MODL_CRM_US1.xlsx]Single Period!R185C21</stp>
        <stp>CRM US Equity</stp>
        <stp>CF_EFFECT_FOREIGN_EXCHANGES/1M</stp>
        <stp>FPR=2022Y</stp>
        <stp>FPT=A</stp>
        <stp>FA_ACT_EST_DATA=E, EST_SOURCE=RJA</stp>
        <stp>ACT_EST_MAPPING=PRECISE</stp>
        <stp>FS=MRC</stp>
        <stp>CURRENCY=USD</stp>
        <stp>XLFILL=b</stp>
        <tr r="U185" s="2"/>
      </tp>
      <tp>
        <v>976.25324999999998</v>
        <stp/>
        <stp>##V3_BQLV12</stp>
        <stp>[MODL_CRM_US1.xlsx]Single Period!R94C23</stp>
        <stp>CRM US Equity</stp>
        <stp>IS_SH_FOR_DILUTED_EPS/1M</stp>
        <stp>FPR=2022Y</stp>
        <stp>FPT=A</stp>
        <stp>FA_ACT_EST_DATA=E, EST_SOURCE=JPM</stp>
        <stp>ACT_EST_MAPPING=PRECISE</stp>
        <stp>FS=MRC</stp>
        <stp>CURRENCY=USD</stp>
        <stp>XLFILL=b</stp>
        <tr r="W94" s="2"/>
      </tp>
      <tp>
        <v>26398</v>
        <stp/>
        <stp>##V3_BQLV12</stp>
        <stp>[MODL_CRM_US1.xlsx]Single Period!R52C37</stp>
        <stp>CRM US Equity</stp>
        <stp>IS_COMP_SALES/1M</stp>
        <stp>FPR=2022Y</stp>
        <stp>FPT=A</stp>
        <stp>FA_ACT_EST_DATA=E, EST_SOURCE=EVR</stp>
        <stp>ACT_EST_MAPPING=PRECISE</stp>
        <stp>FS=MRC</stp>
        <stp>CURRENCY=USD</stp>
        <stp>XLFILL=b</stp>
        <tr r="AK52" s="2"/>
      </tp>
      <tp t="s">
        <v/>
        <stp/>
        <stp>##V3_BQLV12</stp>
        <stp>[MODL_CRM_US1.xlsx]Single Period!R102C33</stp>
        <stp>CRM US Equity</stp>
        <stp>IS_SBC_ATT_TO_S_AND_M_PRETX/1M</stp>
        <stp>FPR=2022Y</stp>
        <stp>FPT=A</stp>
        <stp>FA_ACT_EST_DATA=E, EST_SOURCE=RHR</stp>
        <stp>ACT_EST_MAPPING=PRECISE</stp>
        <stp>FS=MRC</stp>
        <stp>CURRENCY=USD</stp>
        <stp>XLFILL=b</stp>
        <tr r="AG102" s="2"/>
      </tp>
      <tp t="s">
        <v/>
        <stp/>
        <stp>##V3_BQLV12</stp>
        <stp>[MODL_CRM_US1.xlsx]Single Period!R146C22</stp>
        <stp>CRM US Equity</stp>
        <stp>CUR_RATIO</stp>
        <stp>FPR=2022Y</stp>
        <stp>FPT=A</stp>
        <stp>FA_ACT_EST_DATA=E, EST_SOURCE=OPY</stp>
        <stp>ACT_EST_MAPPING=PRECISE</stp>
        <stp>FS=MRC</stp>
        <stp>CURRENCY=USD</stp>
        <stp>XLFILL=b</stp>
        <tr r="V146" s="2"/>
      </tp>
      <tp t="s">
        <v/>
        <stp/>
        <stp>##V3_BQLV12</stp>
        <stp>[MODL_CRM_US1.xlsx]Single Period!R131C55</stp>
        <stp>CRM US Equity</stp>
        <stp>ST_DEFERRED_REVENUE/1M</stp>
        <stp>FPR=2022Y</stp>
        <stp>FPT=A</stp>
        <stp>FA_ACT_EST_DATA=E, EST_SOURCE=RED</stp>
        <stp>ACT_EST_MAPPING=PRECISE</stp>
        <stp>FS=MRC</stp>
        <stp>CURRENCY=USD</stp>
        <stp>XLFILL=b</stp>
        <tr r="BC131" s="2"/>
      </tp>
      <tp t="s">
        <v/>
        <stp/>
        <stp>##V3_BQLV12</stp>
        <stp>[MODL_CRM_US1.xlsx]Single Period!R117C16</stp>
        <stp>CRM US Equity</stp>
        <stp>BS_TOTAL_NON_CURRENT_ASSETS/1M</stp>
        <stp>FPR=2022Y</stp>
        <stp>FPT=A</stp>
        <stp>FA_ACT_EST_DATA=E, EST_SOURCE=DBG</stp>
        <stp>ACT_EST_MAPPING=PRECISE</stp>
        <stp>FS=MRC</stp>
        <stp>CURRENCY=USD</stp>
        <stp>XLFILL=b</stp>
        <tr r="P117" s="2"/>
      </tp>
      <tp t="s">
        <v/>
        <stp/>
        <stp>##V3_BQLV12</stp>
        <stp>[MODL_CRM_US1.xlsx]Single Period!R85C44</stp>
        <stp>CRM US Equity</stp>
        <stp>CB_IS_S_AND_M_EXPENSE/1M</stp>
        <stp>FPR=2022Y</stp>
        <stp>FPT=A</stp>
        <stp>FA_ACT_EST_DATA=E, EST_SOURCE=RWB</stp>
        <stp>ACT_EST_MAPPING=PRECISE</stp>
        <stp>FS=MRC</stp>
        <stp>CURRENCY=USD</stp>
        <stp>XLFILL=b</stp>
        <tr r="AR85" s="2"/>
      </tp>
      <tp t="s">
        <v/>
        <stp/>
        <stp>##V3_BQLV12</stp>
        <stp>[MODL_CRM_US1.xlsx]Single Period!R12C29</stp>
        <stp>CRM US Equity</stp>
        <stp>TOT_FUTURE_REV_UNDER_CONTRACT/1M</stp>
        <stp>FPR=2022Y</stp>
        <stp>FPT=A</stp>
        <stp>FA_ACT_EST_DATA=E, EST_SOURCE=BNS</stp>
        <stp>ACT_EST_MAPPING=PRECISE</stp>
        <stp>FS=MRC</stp>
        <stp>CURRENCY=USD</stp>
        <stp>XLFILL=b</stp>
        <tr r="AC12" s="2"/>
      </tp>
      <tp t="s">
        <v/>
        <stp/>
        <stp>##V3_BQLV12</stp>
        <stp>[MODL_CRM_US1.xlsx]Single Period!R132C52</stp>
        <stp>CRM US Equity</stp>
        <stp>BS_ADJ_TOTAL_LT_LIABILITIES/1M</stp>
        <stp>FPR=2022Y</stp>
        <stp>FPT=A</stp>
        <stp>FA_ACT_EST_DATA=E, EST_SOURCE=WFR</stp>
        <stp>ACT_EST_MAPPING=PRECISE</stp>
        <stp>FS=MRC</stp>
        <stp>CURRENCY=USD</stp>
        <stp>XLFILL=b</stp>
        <tr r="AZ132" s="2"/>
      </tp>
      <tp t="s">
        <v/>
        <stp/>
        <stp>##V3_BQLV12</stp>
        <stp>[MODL_CRM_US1.xlsx]Single Period!R63C29</stp>
        <stp>CRM US Equity</stp>
        <stp>CF_DEPR_AMORT/1M</stp>
        <stp>FPR=2022Y</stp>
        <stp>FPT=A</stp>
        <stp>FA_ACT_EST_DATA=E, EST_SOURCE=BNS</stp>
        <stp>ACT_EST_MAPPING=PRECISE</stp>
        <stp>FS=MRC</stp>
        <stp>CURRENCY=USD</stp>
        <stp>XLFILL=b</stp>
        <tr r="AC63" s="2"/>
      </tp>
      <tp t="s">
        <v/>
        <stp/>
        <stp>##V3_BQLV12</stp>
        <stp>[MODL_CRM_US1.xlsx]Single Period!R131C34</stp>
        <stp>CRM US Equity</stp>
        <stp>ST_DEFERRED_REVENUE/1M</stp>
        <stp>FPR=2022Y</stp>
        <stp>FPT=A</stp>
        <stp>FA_ACT_EST_DATA=E, EST_SOURCE=JEF</stp>
        <stp>ACT_EST_MAPPING=PRECISE</stp>
        <stp>FS=MRC</stp>
        <stp>CURRENCY=USD</stp>
        <stp>XLFILL=b</stp>
        <tr r="AH131" s="2"/>
      </tp>
      <tp t="s">
        <v/>
        <stp/>
        <stp>##V3_BQLV12</stp>
        <stp>[MODL_CRM_US1.xlsx]Single Period!R132C47</stp>
        <stp>CRM US Equity</stp>
        <stp>BS_ADJ_TOTAL_LT_LIABILITIES/1M</stp>
        <stp>FPR=2022Y</stp>
        <stp>FPT=A</stp>
        <stp>FA_ACT_EST_DATA=E, EST_SOURCE=WFT</stp>
        <stp>ACT_EST_MAPPING=PRECISE</stp>
        <stp>FS=MRC</stp>
        <stp>CURRENCY=USD</stp>
        <stp>XLFILL=b</stp>
        <tr r="AU132" s="2"/>
      </tp>
      <tp t="s">
        <v/>
        <stp/>
        <stp>##V3_BQLV12</stp>
        <stp>[MODL_CRM_US1.xlsx]Single Period!R117C31</stp>
        <stp>CRM US Equity</stp>
        <stp>BS_TOTAL_NON_CURRENT_ASSETS/1M</stp>
        <stp>FPR=2022Y</stp>
        <stp>FPT=A</stp>
        <stp>FA_ACT_EST_DATA=E, EST_SOURCE=RBC</stp>
        <stp>ACT_EST_MAPPING=PRECISE</stp>
        <stp>FS=MRC</stp>
        <stp>CURRENCY=USD</stp>
        <stp>XLFILL=b</stp>
        <tr r="AE117" s="2"/>
      </tp>
      <tp t="s">
        <v/>
        <stp/>
        <stp>##V3_BQLV12</stp>
        <stp>[MODL_CRM_US1.xlsx]Single Period!R98C46</stp>
        <stp>CRM US Equity</stp>
        <stp>IS_INC_TAX_EFFECT_NONGAAP_REC/1M</stp>
        <stp>FPR=2022Y</stp>
        <stp>FPT=A</stp>
        <stp>FA_ACT_EST_DATA=E, EST_SOURCE=CTI</stp>
        <stp>ACT_EST_MAPPING=PRECISE</stp>
        <stp>FS=MRC</stp>
        <stp>CURRENCY=USD</stp>
        <stp>XLFILL=b</stp>
        <tr r="AT98" s="2"/>
      </tp>
      <tp>
        <v>71856.824044902372</v>
        <stp/>
        <stp>##V3_BQLV12</stp>
        <stp>[MODL_CRM_US1.xlsx]Single Period!R117C24</stp>
        <stp>CRM US Equity</stp>
        <stp>BS_TOTAL_NON_CURRENT_ASSETS/1M</stp>
        <stp>FPR=2022Y</stp>
        <stp>FPT=A</stp>
        <stp>FA_ACT_EST_DATA=E, EST_SOURCE=FBC</stp>
        <stp>ACT_EST_MAPPING=PRECISE</stp>
        <stp>FS=MRC</stp>
        <stp>CURRENCY=USD</stp>
        <stp>XLFILL=b</stp>
        <tr r="X117" s="2"/>
      </tp>
      <tp t="s">
        <v/>
        <stp/>
        <stp>##V3_BQLV12</stp>
        <stp>[MODL_CRM_US1.xlsx]Single Period!R100C53</stp>
        <stp>CRM US Equity</stp>
        <stp>IS_SBC_ATTRIB_TO_COGS_PRETX/1M</stp>
        <stp>FPR=2022Y</stp>
        <stp>FPT=A</stp>
        <stp>FA_ACT_EST_DATA=E, EST_SOURCE=NIK</stp>
        <stp>ACT_EST_MAPPING=PRECISE</stp>
        <stp>FS=MRC</stp>
        <stp>CURRENCY=USD</stp>
        <stp>XLFILL=b</stp>
        <tr r="BA100" s="2"/>
      </tp>
      <tp t="s">
        <v/>
        <stp/>
        <stp>##V3_BQLV12</stp>
        <stp>[MODL_CRM_US1.xlsx]Single Period!R117C11</stp>
        <stp>CRM US Equity</stp>
        <stp>BS_TOTAL_NON_CURRENT_ASSETS/1M</stp>
        <stp>FPR=2022Y</stp>
        <stp>FPT=A</stp>
        <stp>FA_ACT_EST_DATA=E, EST_SOURCE=WBL</stp>
        <stp>ACT_EST_MAPPING=PRECISE</stp>
        <stp>FS=MRC</stp>
        <stp>CURRENCY=USD</stp>
        <stp>XLFILL=b</stp>
        <tr r="K117" s="2"/>
      </tp>
      <tp t="s">
        <v/>
        <stp/>
        <stp>##V3_BQLV12</stp>
        <stp>[MODL_CRM_US1.xlsx]Single Period!R85C23</stp>
        <stp>CRM US Equity</stp>
        <stp>CB_IS_S_AND_M_EXPENSE/1M</stp>
        <stp>FPR=2022Y</stp>
        <stp>FPT=A</stp>
        <stp>FA_ACT_EST_DATA=E, EST_SOURCE=JPM</stp>
        <stp>ACT_EST_MAPPING=PRECISE</stp>
        <stp>FS=MRC</stp>
        <stp>CURRENCY=USD</stp>
        <stp>XLFILL=b</stp>
        <tr r="W85" s="2"/>
      </tp>
      <tp>
        <v>1.2849999666213989</v>
        <stp/>
        <stp>##V3_BQLV12</stp>
        <stp>[MODL_CRM_US1.xlsx]Single Period!R95C10</stp>
        <stp>CRM US Equity</stp>
        <stp>IS_COMP_EPS_GAAP</stp>
        <stp>FPR=2022Y</stp>
        <stp>FPT=A</stp>
        <stp>FA_ACT_EST_DATA=E, EST_SOURCE=CMPY</stp>
        <stp>ACT_EST_MAPPING=PRECISE</stp>
        <stp>FS=MRC</stp>
        <stp>CURRENCY=USD</stp>
        <stp>XLFILL=b</stp>
        <tr r="J95" s="2"/>
      </tp>
      <tp t="s">
        <v/>
        <stp/>
        <stp>##V3_BQLV12</stp>
        <stp>[MODL_CRM_US1.xlsx]Single Period!R38C32</stp>
        <stp>SEG0000269228 Segment</stp>
        <stp>SALES_REV_TURN/1M</stp>
        <stp>FPR=2022Y</stp>
        <stp>FPT=A</stp>
        <stp>FA_ACT_EST_DATA=E, EST_SOURCE=UBS</stp>
        <stp>ACT_EST_MAPPING=PRECISE</stp>
        <stp>FS=MRC</stp>
        <stp>CURRENCY=USD</stp>
        <stp>XLFILL=b</stp>
        <tr r="AF38" s="2"/>
      </tp>
      <tp t="s">
        <v/>
        <stp/>
        <stp>##V3_BQLV12</stp>
        <stp>[MODL_CRM_US1.xlsx]Single Period!R48C32</stp>
        <stp>SEG0000269229 Segment</stp>
        <stp>SALES_REV_TURN/1M</stp>
        <stp>FPR=2022Y</stp>
        <stp>FPT=A</stp>
        <stp>FA_ACT_EST_DATA=E, EST_SOURCE=UBS</stp>
        <stp>ACT_EST_MAPPING=PRECISE</stp>
        <stp>FS=MRC</stp>
        <stp>CURRENCY=USD</stp>
        <stp>XLFILL=b</stp>
        <tr r="AF48" s="2"/>
      </tp>
      <tp>
        <v>1617.92</v>
        <stp/>
        <stp>##V3_BQLV12</stp>
        <stp>[MODL_CRM_US1.xlsx]Single Period!R65C23</stp>
        <stp>CRM US Equity</stp>
        <stp>IS_AMORT_OF_TOT_INTANG_PRETX/1M</stp>
        <stp>FPR=2022Y</stp>
        <stp>FPT=A</stp>
        <stp>FA_ACT_EST_DATA=E, EST_SOURCE=JPM</stp>
        <stp>ACT_EST_MAPPING=PRECISE</stp>
        <stp>FS=MRC</stp>
        <stp>CURRENCY=USD</stp>
        <stp>XLFILL=b</stp>
        <tr r="W65" s="2"/>
      </tp>
      <tp t="s">
        <v/>
        <stp/>
        <stp>##V3_BQLV12</stp>
        <stp>[MODL_CRM_US1.xlsx]Single Period!R83C41</stp>
        <stp>CRM US Equity</stp>
        <stp>IS_OPEX_R_AND_D_GAAP/1M</stp>
        <stp>FPR=2022Y</stp>
        <stp>FPT=A</stp>
        <stp>FA_ACT_EST_DATA=E, EST_SOURCE=GSR</stp>
        <stp>ACT_EST_MAPPING=PRECISE</stp>
        <stp>FS=MRC</stp>
        <stp>CURRENCY=USD</stp>
        <stp>XLFILL=b</stp>
        <tr r="AO83" s="2"/>
      </tp>
      <tp t="s">
        <v/>
        <stp/>
        <stp>##V3_BQLV12</stp>
        <stp>[MODL_CRM_US1.xlsx]Single Period!R29C32</stp>
        <stp>SEG0000269233 Segment</stp>
        <stp>SALES_REV_TURN/1M</stp>
        <stp>FPR=2022Y</stp>
        <stp>FPT=A</stp>
        <stp>FA_ACT_EST_DATA=E, EST_SOURCE=UBS</stp>
        <stp>ACT_EST_MAPPING=PRECISE</stp>
        <stp>FS=MRC</stp>
        <stp>CURRENCY=USD</stp>
        <stp>XLFILL=b</stp>
        <tr r="AF29" s="2"/>
      </tp>
      <tp t="s">
        <v/>
        <stp/>
        <stp>##V3_BQLV12</stp>
        <stp>[MODL_CRM_US1.xlsx]Single Period!R149C32</stp>
        <stp>CRM US Equity</stp>
        <stp>TOT_FUTURE_REV_UNDER_CONTRACT/1M</stp>
        <stp>FPR=2022Y</stp>
        <stp>FPT=A</stp>
        <stp>FA_ACT_EST_DATA=E, EST_SOURCE=UBS</stp>
        <stp>ACT_EST_MAPPING=PRECISE</stp>
        <stp>FS=MRC</stp>
        <stp>CURRENCY=USD</stp>
        <stp>XLFILL=b</stp>
        <tr r="AF149" s="2"/>
      </tp>
      <tp t="s">
        <v/>
        <stp/>
        <stp>##V3_BQLV12</stp>
        <stp>[MODL_CRM_US1.xlsx]Single Period!R32C33</stp>
        <stp>SEG0000269227 Segment</stp>
        <stp>SALES_REV_TURN/1M</stp>
        <stp>FPR=2022Y</stp>
        <stp>FPT=A</stp>
        <stp>FA_ACT_EST_DATA=E, EST_SOURCE=RHR</stp>
        <stp>ACT_EST_MAPPING=PRECISE</stp>
        <stp>FS=MRC</stp>
        <stp>CURRENCY=USD</stp>
        <stp>XLFILL=b</stp>
        <tr r="AG32" s="2"/>
      </tp>
      <tp t="s">
        <v/>
        <stp/>
        <stp>##V3_BQLV12</stp>
        <stp>[MODL_CRM_US1.xlsx]Single Period!R38C31</stp>
        <stp>SEG0000269228 Segment</stp>
        <stp>SALES_REV_TURN/1M</stp>
        <stp>FPR=2022Y</stp>
        <stp>FPT=A</stp>
        <stp>FA_ACT_EST_DATA=E, EST_SOURCE=RBC</stp>
        <stp>ACT_EST_MAPPING=PRECISE</stp>
        <stp>FS=MRC</stp>
        <stp>CURRENCY=USD</stp>
        <stp>XLFILL=b</stp>
        <tr r="AE38" s="2"/>
      </tp>
      <tp t="s">
        <v/>
        <stp/>
        <stp>##V3_BQLV12</stp>
        <stp>[MODL_CRM_US1.xlsx]Single Period!R38C24</stp>
        <stp>SEG0000269228 Segment</stp>
        <stp>SALES_REV_TURN/1M</stp>
        <stp>FPR=2022Y</stp>
        <stp>FPT=A</stp>
        <stp>FA_ACT_EST_DATA=E, EST_SOURCE=FBC</stp>
        <stp>ACT_EST_MAPPING=PRECISE</stp>
        <stp>FS=MRC</stp>
        <stp>CURRENCY=USD</stp>
        <stp>XLFILL=b</stp>
        <tr r="X38" s="2"/>
      </tp>
      <tp t="s">
        <v/>
        <stp/>
        <stp>##V3_BQLV12</stp>
        <stp>[MODL_CRM_US1.xlsx]Single Period!R101C50</stp>
        <stp>CRM US Equity</stp>
        <stp>IS_SBC_ATTRIBUTABLE_TO_R_AND_D_PRETX/1M</stp>
        <stp>FPR=2022Y</stp>
        <stp>FPT=A</stp>
        <stp>FA_ACT_EST_DATA=E, EST_SOURCE=MZS</stp>
        <stp>ACT_EST_MAPPING=PRECISE</stp>
        <stp>FS=MRC</stp>
        <stp>CURRENCY=USD</stp>
        <stp>XLFILL=b</stp>
        <tr r="AX101" s="2"/>
      </tp>
      <tp>
        <v>8199</v>
        <stp/>
        <stp>##V3_BQLV12</stp>
        <stp>[MODL_CRM_US1.xlsx]Single Period!R28C17</stp>
        <stp>SEG0000269242 Segment</stp>
        <stp>SALES_REV_TURN/1M</stp>
        <stp>FPR=2022Y</stp>
        <stp>FPT=A</stp>
        <stp>FA_ACT_EST_DATA=E, EST_SOURCE=NDH</stp>
        <stp>ACT_EST_MAPPING=PRECISE</stp>
        <stp>FS=MRC</stp>
        <stp>CURRENCY=USD</stp>
        <stp>XLFILL=b</stp>
        <tr r="Q28" s="2"/>
      </tp>
      <tp t="s">
        <v/>
        <stp/>
        <stp>##V3_BQLV12</stp>
        <stp>[MODL_CRM_US1.xlsx]Single Period!R83C35</stp>
        <stp>CRM US Equity</stp>
        <stp>IS_OPEX_R_AND_D_GAAP/1M</stp>
        <stp>FPR=2022Y</stp>
        <stp>FPT=A</stp>
        <stp>FA_ACT_EST_DATA=E, EST_SOURCE=ATL</stp>
        <stp>ACT_EST_MAPPING=PRECISE</stp>
        <stp>FS=MRC</stp>
        <stp>CURRENCY=USD</stp>
        <stp>XLFILL=b</stp>
        <tr r="AI83" s="2"/>
      </tp>
      <tp t="s">
        <v/>
        <stp/>
        <stp>##V3_BQLV12</stp>
        <stp>[MODL_CRM_US1.xlsx]Single Period!R48C31</stp>
        <stp>SEG0000269229 Segment</stp>
        <stp>SALES_REV_TURN/1M</stp>
        <stp>FPR=2022Y</stp>
        <stp>FPT=A</stp>
        <stp>FA_ACT_EST_DATA=E, EST_SOURCE=RBC</stp>
        <stp>ACT_EST_MAPPING=PRECISE</stp>
        <stp>FS=MRC</stp>
        <stp>CURRENCY=USD</stp>
        <stp>XLFILL=b</stp>
        <tr r="AE48" s="2"/>
      </tp>
      <tp t="s">
        <v/>
        <stp/>
        <stp>##V3_BQLV12</stp>
        <stp>[MODL_CRM_US1.xlsx]Single Period!R48C24</stp>
        <stp>SEG0000269229 Segment</stp>
        <stp>SALES_REV_TURN/1M</stp>
        <stp>FPR=2022Y</stp>
        <stp>FPT=A</stp>
        <stp>FA_ACT_EST_DATA=E, EST_SOURCE=FBC</stp>
        <stp>ACT_EST_MAPPING=PRECISE</stp>
        <stp>FS=MRC</stp>
        <stp>CURRENCY=USD</stp>
        <stp>XLFILL=b</stp>
        <tr r="X48" s="2"/>
      </tp>
      <tp>
        <v>2873.8583723242023</v>
        <stp/>
        <stp>##V3_BQLV12</stp>
        <stp>[MODL_CRM_US1.xlsx]Single Period!R156C24</stp>
        <stp>CRM US Equity</stp>
        <stp>CF_DEPR_AMORT/1M</stp>
        <stp>FPR=2022Y</stp>
        <stp>FPT=A</stp>
        <stp>FA_ACT_EST_DATA=E, EST_SOURCE=FBC</stp>
        <stp>ACT_EST_MAPPING=PRECISE</stp>
        <stp>FS=MRC</stp>
        <stp>CURRENCY=USD</stp>
        <stp>XLFILL=b</stp>
        <tr r="X156" s="2"/>
      </tp>
      <tp>
        <v>351.38018901140953</v>
        <stp/>
        <stp>##V3_BQLV12</stp>
        <stp>[MODL_CRM_US1.xlsx]Single Period!R65C15</stp>
        <stp>CRM US Equity</stp>
        <stp>IS_AMORT_OF_TOT_INTANG_PRETX/1M</stp>
        <stp>FPR=2022Y</stp>
        <stp>FPT=A</stp>
        <stp>FA_ACT_EST_DATA=E, EST_SOURCE=MSV</stp>
        <stp>ACT_EST_MAPPING=PRECISE</stp>
        <stp>FS=MRC</stp>
        <stp>CURRENCY=USD</stp>
        <stp>XLFILL=b</stp>
        <tr r="O65" s="2"/>
      </tp>
      <tp>
        <v>6244</v>
        <stp/>
        <stp>##V3_BQLV12</stp>
        <stp>[MODL_CRM_US1.xlsx]Single Period!R64C33</stp>
        <stp>CRM US Equity</stp>
        <stp>IS_COMPARABLE_EBITDA/1M</stp>
        <stp>FPR=2022Y</stp>
        <stp>FPT=A</stp>
        <stp>FA_ACT_EST_DATA=E, EST_SOURCE=RHR</stp>
        <stp>ACT_EST_MAPPING=PRECISE</stp>
        <stp>FS=MRC</stp>
        <stp>CURRENCY=USD</stp>
        <stp>XLFILL=b</stp>
        <tr r="AG64" s="2"/>
      </tp>
      <tp t="s">
        <v/>
        <stp/>
        <stp>##V3_BQLV12</stp>
        <stp>[MODL_CRM_US1.xlsx]Single Period!R38C16</stp>
        <stp>SEG0000269228 Segment</stp>
        <stp>SALES_REV_TURN/1M</stp>
        <stp>FPR=2022Y</stp>
        <stp>FPT=A</stp>
        <stp>FA_ACT_EST_DATA=E, EST_SOURCE=DBG</stp>
        <stp>ACT_EST_MAPPING=PRECISE</stp>
        <stp>FS=MRC</stp>
        <stp>CURRENCY=USD</stp>
        <stp>XLFILL=b</stp>
        <tr r="P38" s="2"/>
      </tp>
      <tp t="s">
        <v/>
        <stp/>
        <stp>##V3_BQLV12</stp>
        <stp>[MODL_CRM_US1.xlsx]Single Period!R29C11</stp>
        <stp>SEG0000269233 Segment</stp>
        <stp>SALES_REV_TURN/1M</stp>
        <stp>FPR=2022Y</stp>
        <stp>FPT=A</stp>
        <stp>FA_ACT_EST_DATA=E, EST_SOURCE=WBL</stp>
        <stp>ACT_EST_MAPPING=PRECISE</stp>
        <stp>FS=MRC</stp>
        <stp>CURRENCY=USD</stp>
        <stp>XLFILL=b</stp>
        <tr r="K29" s="2"/>
      </tp>
      <tp t="s">
        <v/>
        <stp/>
        <stp>##V3_BQLV12</stp>
        <stp>[MODL_CRM_US1.xlsx]Single Period!R48C16</stp>
        <stp>SEG0000269229 Segment</stp>
        <stp>SALES_REV_TURN/1M</stp>
        <stp>FPR=2022Y</stp>
        <stp>FPT=A</stp>
        <stp>FA_ACT_EST_DATA=E, EST_SOURCE=DBG</stp>
        <stp>ACT_EST_MAPPING=PRECISE</stp>
        <stp>FS=MRC</stp>
        <stp>CURRENCY=USD</stp>
        <stp>XLFILL=b</stp>
        <tr r="P48" s="2"/>
      </tp>
      <tp t="s">
        <v/>
        <stp/>
        <stp>##V3_BQLV12</stp>
        <stp>[MODL_CRM_US1.xlsx]Single Period!R29C31</stp>
        <stp>SEG0000269233 Segment</stp>
        <stp>SALES_REV_TURN/1M</stp>
        <stp>FPR=2022Y</stp>
        <stp>FPT=A</stp>
        <stp>FA_ACT_EST_DATA=E, EST_SOURCE=RBC</stp>
        <stp>ACT_EST_MAPPING=PRECISE</stp>
        <stp>FS=MRC</stp>
        <stp>CURRENCY=USD</stp>
        <stp>XLFILL=b</stp>
        <tr r="AE29" s="2"/>
      </tp>
      <tp t="s">
        <v/>
        <stp/>
        <stp>##V3_BQLV12</stp>
        <stp>[MODL_CRM_US1.xlsx]Single Period!R29C24</stp>
        <stp>SEG0000269233 Segment</stp>
        <stp>SALES_REV_TURN/1M</stp>
        <stp>FPR=2022Y</stp>
        <stp>FPT=A</stp>
        <stp>FA_ACT_EST_DATA=E, EST_SOURCE=FBC</stp>
        <stp>ACT_EST_MAPPING=PRECISE</stp>
        <stp>FS=MRC</stp>
        <stp>CURRENCY=USD</stp>
        <stp>XLFILL=b</stp>
        <tr r="X29" s="2"/>
      </tp>
      <tp t="s">
        <v/>
        <stp/>
        <stp>##V3_BQLV12</stp>
        <stp>[MODL_CRM_US1.xlsx]Single Period!R149C55</stp>
        <stp>CRM US Equity</stp>
        <stp>TOT_FUTURE_REV_UNDER_CONTRACT/1M</stp>
        <stp>FPR=2022Y</stp>
        <stp>FPT=A</stp>
        <stp>FA_ACT_EST_DATA=E, EST_SOURCE=RED</stp>
        <stp>ACT_EST_MAPPING=PRECISE</stp>
        <stp>FS=MRC</stp>
        <stp>CURRENCY=USD</stp>
        <stp>XLFILL=b</stp>
        <tr r="BC149" s="2"/>
      </tp>
      <tp t="s">
        <v/>
        <stp/>
        <stp>##V3_BQLV12</stp>
        <stp>[MODL_CRM_US1.xlsx]Single Period!R83C54</stp>
        <stp>CRM US Equity</stp>
        <stp>IS_OPEX_R_AND_D_GAAP/1M</stp>
        <stp>FPR=2022Y</stp>
        <stp>FPT=A</stp>
        <stp>FA_ACT_EST_DATA=E, EST_SOURCE=ARE</stp>
        <stp>ACT_EST_MAPPING=PRECISE</stp>
        <stp>FS=MRC</stp>
        <stp>CURRENCY=USD</stp>
        <stp>XLFILL=b</stp>
        <tr r="BB83" s="2"/>
      </tp>
      <tp t="s">
        <v/>
        <stp/>
        <stp>##V3_BQLV12</stp>
        <stp>[MODL_CRM_US1.xlsx]Single Period!R26C48</stp>
        <stp>SEG0000269247 Segment</stp>
        <stp>SALES_REV_TURN/1M</stp>
        <stp>FPR=2022Y</stp>
        <stp>FPT=A</stp>
        <stp>FA_ACT_EST_DATA=E, EST_SOURCE=PJE</stp>
        <stp>ACT_EST_MAPPING=PRECISE</stp>
        <stp>FS=MRC</stp>
        <stp>CURRENCY=USD</stp>
        <stp>XLFILL=b</stp>
        <tr r="AV26" s="2"/>
      </tp>
      <tp t="s">
        <v/>
        <stp/>
        <stp>##V3_BQLV12</stp>
        <stp>[MODL_CRM_US1.xlsx]Single Period!R48C11</stp>
        <stp>SEG0000269229 Segment</stp>
        <stp>SALES_REV_TURN/1M</stp>
        <stp>FPR=2022Y</stp>
        <stp>FPT=A</stp>
        <stp>FA_ACT_EST_DATA=E, EST_SOURCE=WBL</stp>
        <stp>ACT_EST_MAPPING=PRECISE</stp>
        <stp>FS=MRC</stp>
        <stp>CURRENCY=USD</stp>
        <stp>XLFILL=b</stp>
        <tr r="K48" s="2"/>
      </tp>
      <tp t="s">
        <v/>
        <stp/>
        <stp>##V3_BQLV12</stp>
        <stp>[MODL_CRM_US1.xlsx]Single Period!R29C16</stp>
        <stp>SEG0000269233 Segment</stp>
        <stp>SALES_REV_TURN/1M</stp>
        <stp>FPR=2022Y</stp>
        <stp>FPT=A</stp>
        <stp>FA_ACT_EST_DATA=E, EST_SOURCE=DBG</stp>
        <stp>ACT_EST_MAPPING=PRECISE</stp>
        <stp>FS=MRC</stp>
        <stp>CURRENCY=USD</stp>
        <stp>XLFILL=b</stp>
        <tr r="P29" s="2"/>
      </tp>
      <tp t="s">
        <v/>
        <stp/>
        <stp>##V3_BQLV12</stp>
        <stp>[MODL_CRM_US1.xlsx]Single Period!R38C11</stp>
        <stp>SEG0000269228 Segment</stp>
        <stp>SALES_REV_TURN/1M</stp>
        <stp>FPR=2022Y</stp>
        <stp>FPT=A</stp>
        <stp>FA_ACT_EST_DATA=E, EST_SOURCE=WBL</stp>
        <stp>ACT_EST_MAPPING=PRECISE</stp>
        <stp>FS=MRC</stp>
        <stp>CURRENCY=USD</stp>
        <stp>XLFILL=b</stp>
        <tr r="K38" s="2"/>
      </tp>
      <tp>
        <v>1635</v>
        <stp/>
        <stp>##V3_BQLV12</stp>
        <stp>[MODL_CRM_US1.xlsx]Single Period!R65C22</stp>
        <stp>CRM US Equity</stp>
        <stp>IS_AMORT_OF_TOT_INTANG_PRETX/1M</stp>
        <stp>FPR=2022Y</stp>
        <stp>FPT=A</stp>
        <stp>FA_ACT_EST_DATA=E, EST_SOURCE=OPY</stp>
        <stp>ACT_EST_MAPPING=PRECISE</stp>
        <stp>FS=MRC</stp>
        <stp>CURRENCY=USD</stp>
        <stp>XLFILL=b</stp>
        <tr r="V65" s="2"/>
      </tp>
      <tp t="s">
        <v/>
        <stp/>
        <stp>##V3_BQLV12</stp>
        <stp>[MODL_CRM_US1.xlsx]Single Period!R149C13</stp>
        <stp>CRM US Equity</stp>
        <stp>TOT_FUTURE_REV_UNDER_CONTRACT/1M</stp>
        <stp>FPR=2022Y</stp>
        <stp>FPT=A</stp>
        <stp>FA_ACT_EST_DATA=E, EST_SOURCE=BCA</stp>
        <stp>ACT_EST_MAPPING=PRECISE</stp>
        <stp>FS=MRC</stp>
        <stp>CURRENCY=USD</stp>
        <stp>XLFILL=b</stp>
        <tr r="M149" s="2"/>
      </tp>
      <tp t="s">
        <v/>
        <stp/>
        <stp>##V3_BQLV12</stp>
        <stp>[MODL_CRM_US1.xlsx]Single Period!R83C42</stp>
        <stp>CRM US Equity</stp>
        <stp>IS_OPEX_R_AND_D_GAAP/1M</stp>
        <stp>FPR=2022Y</stp>
        <stp>FPT=A</stp>
        <stp>FA_ACT_EST_DATA=E, EST_SOURCE=PSG</stp>
        <stp>ACT_EST_MAPPING=PRECISE</stp>
        <stp>FS=MRC</stp>
        <stp>CURRENCY=USD</stp>
        <stp>XLFILL=b</stp>
        <tr r="AP83" s="2"/>
      </tp>
      <tp t="s">
        <v/>
        <stp/>
        <stp>##V3_BQLV12</stp>
        <stp>[MODL_CRM_US1.xlsx]Single Period!R26C21</stp>
        <stp>SEG0000269247 Segment</stp>
        <stp>SALES_REV_TURN/1M</stp>
        <stp>FPR=2022Y</stp>
        <stp>FPT=A</stp>
        <stp>FA_ACT_EST_DATA=E, EST_SOURCE=RJA</stp>
        <stp>ACT_EST_MAPPING=PRECISE</stp>
        <stp>FS=MRC</stp>
        <stp>CURRENCY=USD</stp>
        <stp>XLFILL=b</stp>
        <tr r="U26" s="2"/>
      </tp>
      <tp t="s">
        <v/>
        <stp/>
        <stp>##V3_BQLV12</stp>
        <stp>[MODL_CRM_US1.xlsx]Single Period!R183C13</stp>
        <stp>CRM US Equity</stp>
        <stp>CASH_FLOW_PER_SH</stp>
        <stp>FPR=2022Y</stp>
        <stp>FPT=A</stp>
        <stp>FA_ACT_EST_DATA=E, EST_SOURCE=BCA</stp>
        <stp>ACT_EST_MAPPING=PRECISE</stp>
        <stp>FS=MRC</stp>
        <stp>CURRENCY=USD</stp>
        <stp>XLFILL=b</stp>
        <tr r="M183" s="2"/>
      </tp>
      <tp t="s">
        <v/>
        <stp/>
        <stp>##V3_BQLV12</stp>
        <stp>[MODL_CRM_US1.xlsx]Single Period!R183C55</stp>
        <stp>CRM US Equity</stp>
        <stp>CASH_FLOW_PER_SH</stp>
        <stp>FPR=2022Y</stp>
        <stp>FPT=A</stp>
        <stp>FA_ACT_EST_DATA=E, EST_SOURCE=RED</stp>
        <stp>ACT_EST_MAPPING=PRECISE</stp>
        <stp>FS=MRC</stp>
        <stp>CURRENCY=USD</stp>
        <stp>XLFILL=b</stp>
        <tr r="BC183" s="2"/>
      </tp>
      <tp t="s">
        <v/>
        <stp/>
        <stp>##V3_BQLV12</stp>
        <stp>[MODL_CRM_US1.xlsx]Single Period!R183C32</stp>
        <stp>CRM US Equity</stp>
        <stp>CASH_FLOW_PER_SH</stp>
        <stp>FPR=2022Y</stp>
        <stp>FPT=A</stp>
        <stp>FA_ACT_EST_DATA=E, EST_SOURCE=UBS</stp>
        <stp>ACT_EST_MAPPING=PRECISE</stp>
        <stp>FS=MRC</stp>
        <stp>CURRENCY=USD</stp>
        <stp>XLFILL=b</stp>
        <tr r="AF183" s="2"/>
      </tp>
      <tp t="s">
        <v/>
        <stp/>
        <stp>##V3_BQLV12</stp>
        <stp>[MODL_CRM_US1.xlsx]Single Period!R82C21</stp>
        <stp>CRM US Equity</stp>
        <stp>OPERATING_EXPENSES_TO_NET_SALES</stp>
        <stp>FPR=2022Y</stp>
        <stp>FPT=A</stp>
        <stp>FA_ACT_EST_DATA=E, EST_SOURCE=RJA</stp>
        <stp>ACT_EST_MAPPING=PRECISE</stp>
        <stp>FS=MRC</stp>
        <stp>CURRENCY=USD</stp>
        <stp>XLFILL=b</stp>
        <tr r="U82" s="2"/>
      </tp>
      <tp t="s">
        <v/>
        <stp/>
        <stp>##V3_BQLV12</stp>
        <stp>[MODL_CRM_US1.xlsx]Single Period!R189C33</stp>
        <stp>CRM US Equity</stp>
        <stp>CF_CASH_AND_CASH_EQUIV_BEG_BAL/1M</stp>
        <stp>FPR=2022Y</stp>
        <stp>FPT=A</stp>
        <stp>FA_ACT_EST_DATA=E, EST_SOURCE=RHR</stp>
        <stp>ACT_EST_MAPPING=PRECISE</stp>
        <stp>FS=MRC</stp>
        <stp>CURRENCY=USD</stp>
        <stp>XLFILL=b</stp>
        <tr r="AG189" s="2"/>
      </tp>
      <tp>
        <v>-607</v>
        <stp/>
        <stp>##V3_BQLV12</stp>
        <stp>[MODL_CRM_US1.xlsx]Single Period!R166C17</stp>
        <stp>CRM US Equity</stp>
        <stp>CF_CHANGE_IN_OPER_LEASE_LIBLTS/1M</stp>
        <stp>FPR=2022Y</stp>
        <stp>FPT=A</stp>
        <stp>FA_ACT_EST_DATA=E, EST_SOURCE=NDH</stp>
        <stp>ACT_EST_MAPPING=PRECISE</stp>
        <stp>FS=MRC</stp>
        <stp>CURRENCY=USD</stp>
        <stp>XLFILL=b</stp>
        <tr r="Q166" s="2"/>
      </tp>
      <tp t="s">
        <v/>
        <stp/>
        <stp>##V3_BQLV12</stp>
        <stp>[MODL_CRM_US1.xlsx]Single Period!R162C30</stp>
        <stp>CRM US Equity</stp>
        <stp>CF_CHANGE_IN_PREPAID_EXPNSS/1M</stp>
        <stp>FPR=2022Y</stp>
        <stp>FPT=A</stp>
        <stp>FA_ACT_EST_DATA=E, EST_SOURCE=BAM</stp>
        <stp>ACT_EST_MAPPING=PRECISE</stp>
        <stp>FS=MRC</stp>
        <stp>CURRENCY=USD</stp>
        <stp>XLFILL=b</stp>
        <tr r="AD162" s="2"/>
      </tp>
      <tp t="s">
        <v/>
        <stp/>
        <stp>##V3_BQLV12</stp>
        <stp>[MODL_CRM_US1.xlsx]Single Period!R85C41</stp>
        <stp>CRM US Equity</stp>
        <stp>CB_IS_S_AND_M_EXPENSE/1M</stp>
        <stp>FPR=2022Y</stp>
        <stp>FPT=A</stp>
        <stp>FA_ACT_EST_DATA=E, EST_SOURCE=GSR</stp>
        <stp>ACT_EST_MAPPING=PRECISE</stp>
        <stp>FS=MRC</stp>
        <stp>CURRENCY=USD</stp>
        <stp>XLFILL=b</stp>
        <tr r="AO85" s="2"/>
      </tp>
      <tp t="s">
        <v/>
        <stp/>
        <stp>##V3_BQLV12</stp>
        <stp>[MODL_CRM_US1.xlsx]Single Period!R162C18</stp>
        <stp>CRM US Equity</stp>
        <stp>CF_CHANGE_IN_PREPAID_EXPNSS/1M</stp>
        <stp>FPR=2022Y</stp>
        <stp>FPT=A</stp>
        <stp>FA_ACT_EST_DATA=E, EST_SOURCE=CAN</stp>
        <stp>ACT_EST_MAPPING=PRECISE</stp>
        <stp>FS=MRC</stp>
        <stp>CURRENCY=USD</stp>
        <stp>XLFILL=b</stp>
        <tr r="R162" s="2"/>
      </tp>
      <tp t="s">
        <v/>
        <stp/>
        <stp>##V3_BQLV12</stp>
        <stp>[MODL_CRM_US1.xlsx]Single Period!R12C24</stp>
        <stp>CRM US Equity</stp>
        <stp>TOT_FUTURE_REV_UNDER_CONTRACT/1M</stp>
        <stp>FPR=2022Y</stp>
        <stp>FPT=A</stp>
        <stp>FA_ACT_EST_DATA=E, EST_SOURCE=FBC</stp>
        <stp>ACT_EST_MAPPING=PRECISE</stp>
        <stp>FS=MRC</stp>
        <stp>CURRENCY=USD</stp>
        <stp>XLFILL=b</stp>
        <tr r="X12" s="2"/>
      </tp>
      <tp t="s">
        <v/>
        <stp/>
        <stp>##V3_BQLV12</stp>
        <stp>[MODL_CRM_US1.xlsx]Single Period!R117C51</stp>
        <stp>CRM US Equity</stp>
        <stp>BS_TOTAL_NON_CURRENT_ASSETS/1M</stp>
        <stp>FPR=2022Y</stp>
        <stp>FPT=A</stp>
        <stp>FA_ACT_EST_DATA=E, EST_SOURCE=RCP</stp>
        <stp>ACT_EST_MAPPING=PRECISE</stp>
        <stp>FS=MRC</stp>
        <stp>CURRENCY=USD</stp>
        <stp>XLFILL=b</stp>
        <tr r="AY117" s="2"/>
      </tp>
      <tp>
        <v>2873.8583723242023</v>
        <stp/>
        <stp>##V3_BQLV12</stp>
        <stp>[MODL_CRM_US1.xlsx]Single Period!R63C24</stp>
        <stp>CRM US Equity</stp>
        <stp>CF_DEPR_AMORT/1M</stp>
        <stp>FPR=2022Y</stp>
        <stp>FPT=A</stp>
        <stp>FA_ACT_EST_DATA=E, EST_SOURCE=FBC</stp>
        <stp>ACT_EST_MAPPING=PRECISE</stp>
        <stp>FS=MRC</stp>
        <stp>CURRENCY=USD</stp>
        <stp>XLFILL=b</stp>
        <tr r="X63" s="2"/>
      </tp>
      <tp t="s">
        <v/>
        <stp/>
        <stp>##V3_BQLV12</stp>
        <stp>[MODL_CRM_US1.xlsx]Single Period!R132C49</stp>
        <stp>CRM US Equity</stp>
        <stp>BS_ADJ_TOTAL_LT_LIABILITIES/1M</stp>
        <stp>FPR=2022Y</stp>
        <stp>FPT=A</stp>
        <stp>FA_ACT_EST_DATA=E, EST_SOURCE=SGE</stp>
        <stp>ACT_EST_MAPPING=PRECISE</stp>
        <stp>FS=MRC</stp>
        <stp>CURRENCY=USD</stp>
        <stp>XLFILL=b</stp>
        <tr r="AW132" s="2"/>
      </tp>
      <tp t="s">
        <v/>
        <stp/>
        <stp>##V3_BQLV12</stp>
        <stp>[MODL_CRM_US1.xlsx]Single Period!R100C33</stp>
        <stp>CRM US Equity</stp>
        <stp>IS_SBC_ATTRIB_TO_COGS_PRETX/1M</stp>
        <stp>FPR=2022Y</stp>
        <stp>FPT=A</stp>
        <stp>FA_ACT_EST_DATA=E, EST_SOURCE=RHR</stp>
        <stp>ACT_EST_MAPPING=PRECISE</stp>
        <stp>FS=MRC</stp>
        <stp>CURRENCY=USD</stp>
        <stp>XLFILL=b</stp>
        <tr r="AG100" s="2"/>
      </tp>
      <tp t="s">
        <v/>
        <stp/>
        <stp>##V3_BQLV12</stp>
        <stp>[MODL_CRM_US1.xlsx]Single Period!R130C36</stp>
        <stp>CRM US Equity</stp>
        <stp>BS_ST_OPERATING_LEASE_LIABS/1M</stp>
        <stp>FPR=2022Y</stp>
        <stp>FPT=A</stp>
        <stp>FA_ACT_EST_DATA=E, EST_SOURCE=MAC</stp>
        <stp>ACT_EST_MAPPING=PRECISE</stp>
        <stp>FS=MRC</stp>
        <stp>CURRENCY=USD</stp>
        <stp>XLFILL=b</stp>
        <tr r="AJ130" s="2"/>
      </tp>
      <tp t="s">
        <v/>
        <stp/>
        <stp>##V3_BQLV12</stp>
        <stp>[MODL_CRM_US1.xlsx]Single Period!R130C18</stp>
        <stp>CRM US Equity</stp>
        <stp>BS_ST_OPERATING_LEASE_LIABS/1M</stp>
        <stp>FPR=2022Y</stp>
        <stp>FPT=A</stp>
        <stp>FA_ACT_EST_DATA=E, EST_SOURCE=CAN</stp>
        <stp>ACT_EST_MAPPING=PRECISE</stp>
        <stp>FS=MRC</stp>
        <stp>CURRENCY=USD</stp>
        <stp>XLFILL=b</stp>
        <tr r="R130" s="2"/>
      </tp>
      <tp t="s">
        <v/>
        <stp/>
        <stp>##V3_BQLV12</stp>
        <stp>[MODL_CRM_US1.xlsx]Single Period!R130C30</stp>
        <stp>CRM US Equity</stp>
        <stp>BS_ST_OPERATING_LEASE_LIABS/1M</stp>
        <stp>FPR=2022Y</stp>
        <stp>FPT=A</stp>
        <stp>FA_ACT_EST_DATA=E, EST_SOURCE=BAM</stp>
        <stp>ACT_EST_MAPPING=PRECISE</stp>
        <stp>FS=MRC</stp>
        <stp>CURRENCY=USD</stp>
        <stp>XLFILL=b</stp>
        <tr r="AD130" s="2"/>
      </tp>
      <tp t="s">
        <v/>
        <stp/>
        <stp>##V3_BQLV12</stp>
        <stp>[MODL_CRM_US1.xlsx]Single Period!R85C22</stp>
        <stp>CRM US Equity</stp>
        <stp>CB_IS_S_AND_M_EXPENSE/1M</stp>
        <stp>FPR=2022Y</stp>
        <stp>FPT=A</stp>
        <stp>FA_ACT_EST_DATA=E, EST_SOURCE=OPY</stp>
        <stp>ACT_EST_MAPPING=PRECISE</stp>
        <stp>FS=MRC</stp>
        <stp>CURRENCY=USD</stp>
        <stp>XLFILL=b</stp>
        <tr r="V85" s="2"/>
      </tp>
      <tp t="s">
        <v/>
        <stp/>
        <stp>##V3_BQLV12</stp>
        <stp>[MODL_CRM_US1.xlsx]Single Period!R94C46</stp>
        <stp>CRM US Equity</stp>
        <stp>IS_SH_FOR_DILUTED_EPS/1M</stp>
        <stp>FPR=2022Y</stp>
        <stp>FPT=A</stp>
        <stp>FA_ACT_EST_DATA=E, EST_SOURCE=CTI</stp>
        <stp>ACT_EST_MAPPING=PRECISE</stp>
        <stp>FS=MRC</stp>
        <stp>CURRENCY=USD</stp>
        <stp>XLFILL=b</stp>
        <tr r="AT94" s="2"/>
      </tp>
      <tp t="s">
        <v/>
        <stp/>
        <stp>##V3_BQLV12</stp>
        <stp>[MODL_CRM_US1.xlsx]Single Period!R137C46</stp>
        <stp>CRM US Equity</stp>
        <stp>BS_EQTY_BEFORE_MINORITY_INT/1M</stp>
        <stp>FPR=2022Y</stp>
        <stp>FPT=A</stp>
        <stp>FA_ACT_EST_DATA=E, EST_SOURCE=CTI</stp>
        <stp>ACT_EST_MAPPING=PRECISE</stp>
        <stp>FS=MRC</stp>
        <stp>CURRENCY=USD</stp>
        <stp>XLFILL=b</stp>
        <tr r="AT137" s="2"/>
      </tp>
      <tp t="s">
        <v/>
        <stp/>
        <stp>##V3_BQLV12</stp>
        <stp>[MODL_CRM_US1.xlsx]Single Period!R162C36</stp>
        <stp>CRM US Equity</stp>
        <stp>CF_CHANGE_IN_PREPAID_EXPNSS/1M</stp>
        <stp>FPR=2022Y</stp>
        <stp>FPT=A</stp>
        <stp>FA_ACT_EST_DATA=E, EST_SOURCE=MAC</stp>
        <stp>ACT_EST_MAPPING=PRECISE</stp>
        <stp>FS=MRC</stp>
        <stp>CURRENCY=USD</stp>
        <stp>XLFILL=b</stp>
        <tr r="AJ162" s="2"/>
      </tp>
      <tp t="s">
        <v/>
        <stp/>
        <stp>##V3_BQLV12</stp>
        <stp>[MODL_CRM_US1.xlsx]Single Period!R14C50</stp>
        <stp>CRM US Equity</stp>
        <stp>NON_CURRENT_FUTURE_REV_UNDER_CONTRACT/1M</stp>
        <stp>FPR=2022Y</stp>
        <stp>FPT=A</stp>
        <stp>FA_ACT_EST_DATA=E, EST_SOURCE=MZS</stp>
        <stp>ACT_EST_MAPPING=PRECISE</stp>
        <stp>FS=MRC</stp>
        <stp>CURRENCY=USD</stp>
        <stp>XLFILL=b</stp>
        <tr r="AX14" s="2"/>
      </tp>
      <tp t="s">
        <v/>
        <stp/>
        <stp>##V3_BQLV12</stp>
        <stp>[MODL_CRM_US1.xlsx]Single Period!R132C39</stp>
        <stp>CRM US Equity</stp>
        <stp>BS_ADJ_TOTAL_LT_LIABILITIES/1M</stp>
        <stp>FPR=2022Y</stp>
        <stp>FPT=A</stp>
        <stp>FA_ACT_EST_DATA=E, EST_SOURCE=KGI</stp>
        <stp>ACT_EST_MAPPING=PRECISE</stp>
        <stp>FS=MRC</stp>
        <stp>CURRENCY=USD</stp>
        <stp>XLFILL=b</stp>
        <tr r="AM132" s="2"/>
      </tp>
      <tp t="s">
        <v/>
        <stp/>
        <stp>##V3_BQLV12</stp>
        <stp>[MODL_CRM_US1.xlsx]Single Period!R102C53</stp>
        <stp>CRM US Equity</stp>
        <stp>IS_SBC_ATT_TO_S_AND_M_PRETX/1M</stp>
        <stp>FPR=2022Y</stp>
        <stp>FPT=A</stp>
        <stp>FA_ACT_EST_DATA=E, EST_SOURCE=NIK</stp>
        <stp>ACT_EST_MAPPING=PRECISE</stp>
        <stp>FS=MRC</stp>
        <stp>CURRENCY=USD</stp>
        <stp>XLFILL=b</stp>
        <tr r="BA102" s="2"/>
      </tp>
      <tp t="s">
        <v/>
        <stp/>
        <stp>##V3_BQLV12</stp>
        <stp>[MODL_CRM_US1.xlsx]Single Period!R137C35</stp>
        <stp>CRM US Equity</stp>
        <stp>BS_EQTY_BEFORE_MINORITY_INT/1M</stp>
        <stp>FPR=2022Y</stp>
        <stp>FPT=A</stp>
        <stp>FA_ACT_EST_DATA=E, EST_SOURCE=ATL</stp>
        <stp>ACT_EST_MAPPING=PRECISE</stp>
        <stp>FS=MRC</stp>
        <stp>CURRENCY=USD</stp>
        <stp>XLFILL=b</stp>
        <tr r="AI137" s="2"/>
      </tp>
      <tp t="s">
        <v/>
        <stp/>
        <stp>##V3_BQLV12</stp>
        <stp>[MODL_CRM_US1.xlsx]Single Period!R94C41</stp>
        <stp>CRM US Equity</stp>
        <stp>IS_SH_FOR_DILUTED_EPS/1M</stp>
        <stp>FPR=2022Y</stp>
        <stp>FPT=A</stp>
        <stp>FA_ACT_EST_DATA=E, EST_SOURCE=GSR</stp>
        <stp>ACT_EST_MAPPING=PRECISE</stp>
        <stp>FS=MRC</stp>
        <stp>CURRENCY=USD</stp>
        <stp>XLFILL=b</stp>
        <tr r="AO94" s="2"/>
      </tp>
      <tp t="s">
        <v/>
        <stp/>
        <stp>##V3_BQLV12</stp>
        <stp>[MODL_CRM_US1.xlsx]Single Period!R117C40</stp>
        <stp>CRM US Equity</stp>
        <stp>BS_TOTAL_NON_CURRENT_ASSETS/1M</stp>
        <stp>FPR=2022Y</stp>
        <stp>FPT=A</stp>
        <stp>FA_ACT_EST_DATA=E, EST_SOURCE=ACC</stp>
        <stp>ACT_EST_MAPPING=PRECISE</stp>
        <stp>FS=MRC</stp>
        <stp>CURRENCY=USD</stp>
        <stp>XLFILL=b</stp>
        <tr r="AN117" s="2"/>
      </tp>
      <tp t="s">
        <v/>
        <stp/>
        <stp>##V3_BQLV12</stp>
        <stp>[MODL_CRM_US1.xlsx]Single Period!R98C23</stp>
        <stp>CRM US Equity</stp>
        <stp>IS_INC_TAX_EFFECT_NONGAAP_REC/1M</stp>
        <stp>FPR=2022Y</stp>
        <stp>FPT=A</stp>
        <stp>FA_ACT_EST_DATA=E, EST_SOURCE=JPM</stp>
        <stp>ACT_EST_MAPPING=PRECISE</stp>
        <stp>FS=MRC</stp>
        <stp>CURRENCY=USD</stp>
        <stp>XLFILL=b</stp>
        <tr r="W98" s="2"/>
      </tp>
      <tp t="s">
        <v/>
        <stp/>
        <stp>##V3_BQLV12</stp>
        <stp>[MODL_CRM_US1.xlsx]Single Period!R117C19</stp>
        <stp>CRM US Equity</stp>
        <stp>BS_TOTAL_NON_CURRENT_ASSETS/1M</stp>
        <stp>FPR=2022Y</stp>
        <stp>FPT=A</stp>
        <stp>FA_ACT_EST_DATA=E, EST_SOURCE=SCB</stp>
        <stp>ACT_EST_MAPPING=PRECISE</stp>
        <stp>FS=MRC</stp>
        <stp>CURRENCY=USD</stp>
        <stp>XLFILL=b</stp>
        <tr r="S117" s="2"/>
      </tp>
      <tp t="s">
        <v/>
        <stp/>
        <stp>##V3_BQLV12</stp>
        <stp>[MODL_CRM_US1.xlsx]Single Period!R134C30</stp>
        <stp>CRM US Equity</stp>
        <stp>BS_LT_OPERATING_LEASE_LIABS/1M</stp>
        <stp>FPR=2022Y</stp>
        <stp>FPT=A</stp>
        <stp>FA_ACT_EST_DATA=E, EST_SOURCE=BAM</stp>
        <stp>ACT_EST_MAPPING=PRECISE</stp>
        <stp>FS=MRC</stp>
        <stp>CURRENCY=USD</stp>
        <stp>XLFILL=b</stp>
        <tr r="AD134" s="2"/>
      </tp>
      <tp t="s">
        <v/>
        <stp/>
        <stp>##V3_BQLV12</stp>
        <stp>[MODL_CRM_US1.xlsx]Single Period!R102C56</stp>
        <stp>CRM US Equity</stp>
        <stp>IS_SBC_ATT_TO_S_AND_M_PRETX/1M</stp>
        <stp>FPR=2022Y</stp>
        <stp>FPT=A</stp>
        <stp>FA_ACT_EST_DATA=E, EST_SOURCE=DIR</stp>
        <stp>ACT_EST_MAPPING=PRECISE</stp>
        <stp>FS=MRC</stp>
        <stp>CURRENCY=USD</stp>
        <stp>XLFILL=b</stp>
        <tr r="BD102" s="2"/>
      </tp>
      <tp>
        <v>71280.41879292723</v>
        <stp/>
        <stp>##V3_BQLV12</stp>
        <stp>[MODL_CRM_US1.xlsx]Single Period!R117C13</stp>
        <stp>CRM US Equity</stp>
        <stp>BS_TOTAL_NON_CURRENT_ASSETS/1M</stp>
        <stp>FPR=2022Y</stp>
        <stp>FPT=A</stp>
        <stp>FA_ACT_EST_DATA=E, EST_SOURCE=BCA</stp>
        <stp>ACT_EST_MAPPING=PRECISE</stp>
        <stp>FS=MRC</stp>
        <stp>CURRENCY=USD</stp>
        <stp>XLFILL=b</stp>
        <tr r="M117" s="2"/>
      </tp>
      <tp t="s">
        <v/>
        <stp/>
        <stp>##V3_BQLV12</stp>
        <stp>[MODL_CRM_US1.xlsx]Single Period!R134C18</stp>
        <stp>CRM US Equity</stp>
        <stp>BS_LT_OPERATING_LEASE_LIABS/1M</stp>
        <stp>FPR=2022Y</stp>
        <stp>FPT=A</stp>
        <stp>FA_ACT_EST_DATA=E, EST_SOURCE=CAN</stp>
        <stp>ACT_EST_MAPPING=PRECISE</stp>
        <stp>FS=MRC</stp>
        <stp>CURRENCY=USD</stp>
        <stp>XLFILL=b</stp>
        <tr r="R134" s="2"/>
      </tp>
      <tp t="s">
        <v/>
        <stp/>
        <stp>##V3_BQLV12</stp>
        <stp>[MODL_CRM_US1.xlsx]Single Period!R114C36</stp>
        <stp>CRM US Equity</stp>
        <stp>BS_ACCTS_REC_EXCL_NOTES_REC/1M</stp>
        <stp>FPR=2022Y</stp>
        <stp>FPT=A</stp>
        <stp>FA_ACT_EST_DATA=E, EST_SOURCE=MAC</stp>
        <stp>ACT_EST_MAPPING=PRECISE</stp>
        <stp>FS=MRC</stp>
        <stp>CURRENCY=USD</stp>
        <stp>XLFILL=b</stp>
        <tr r="AJ114" s="2"/>
      </tp>
      <tp t="s">
        <v/>
        <stp/>
        <stp>##V3_BQLV12</stp>
        <stp>[MODL_CRM_US1.xlsx]Single Period!R134C36</stp>
        <stp>CRM US Equity</stp>
        <stp>BS_LT_OPERATING_LEASE_LIABS/1M</stp>
        <stp>FPR=2022Y</stp>
        <stp>FPT=A</stp>
        <stp>FA_ACT_EST_DATA=E, EST_SOURCE=MAC</stp>
        <stp>ACT_EST_MAPPING=PRECISE</stp>
        <stp>FS=MRC</stp>
        <stp>CURRENCY=USD</stp>
        <stp>XLFILL=b</stp>
        <tr r="AJ134" s="2"/>
      </tp>
      <tp>
        <v>16916.913</v>
        <stp/>
        <stp>##V3_BQLV12</stp>
        <stp>[MODL_CRM_US1.xlsx]Single Period!R131C17</stp>
        <stp>CRM US Equity</stp>
        <stp>ST_DEFERRED_REVENUE/1M</stp>
        <stp>FPR=2022Y</stp>
        <stp>FPT=A</stp>
        <stp>FA_ACT_EST_DATA=E, EST_SOURCE=NDH</stp>
        <stp>ACT_EST_MAPPING=PRECISE</stp>
        <stp>FS=MRC</stp>
        <stp>CURRENCY=USD</stp>
        <stp>XLFILL=b</stp>
        <tr r="Q131" s="2"/>
      </tp>
      <tp t="s">
        <v/>
        <stp/>
        <stp>##V3_BQLV12</stp>
        <stp>[MODL_CRM_US1.xlsx]Single Period!R114C18</stp>
        <stp>CRM US Equity</stp>
        <stp>BS_ACCTS_REC_EXCL_NOTES_REC/1M</stp>
        <stp>FPR=2022Y</stp>
        <stp>FPT=A</stp>
        <stp>FA_ACT_EST_DATA=E, EST_SOURCE=CAN</stp>
        <stp>ACT_EST_MAPPING=PRECISE</stp>
        <stp>FS=MRC</stp>
        <stp>CURRENCY=USD</stp>
        <stp>XLFILL=b</stp>
        <tr r="R114" s="2"/>
      </tp>
      <tp t="s">
        <v/>
        <stp/>
        <stp>##V3_BQLV12</stp>
        <stp>[MODL_CRM_US1.xlsx]Single Period!R117C27</stp>
        <stp>CRM US Equity</stp>
        <stp>BS_TOTAL_NON_CURRENT_ASSETS/1M</stp>
        <stp>FPR=2022Y</stp>
        <stp>FPT=A</stp>
        <stp>FA_ACT_EST_DATA=E, EST_SOURCE=LCM</stp>
        <stp>ACT_EST_MAPPING=PRECISE</stp>
        <stp>FS=MRC</stp>
        <stp>CURRENCY=USD</stp>
        <stp>XLFILL=b</stp>
        <tr r="AA117" s="2"/>
      </tp>
      <tp t="s">
        <v/>
        <stp/>
        <stp>##V3_BQLV12</stp>
        <stp>[MODL_CRM_US1.xlsx]Single Period!R114C30</stp>
        <stp>CRM US Equity</stp>
        <stp>BS_ACCTS_REC_EXCL_NOTES_REC/1M</stp>
        <stp>FPR=2022Y</stp>
        <stp>FPT=A</stp>
        <stp>FA_ACT_EST_DATA=E, EST_SOURCE=BAM</stp>
        <stp>ACT_EST_MAPPING=PRECISE</stp>
        <stp>FS=MRC</stp>
        <stp>CURRENCY=USD</stp>
        <stp>XLFILL=b</stp>
        <tr r="AD114" s="2"/>
      </tp>
      <tp t="s">
        <v/>
        <stp/>
        <stp>##V3_BQLV12</stp>
        <stp>[MODL_CRM_US1.xlsx]Single Period!R85C46</stp>
        <stp>CRM US Equity</stp>
        <stp>CB_IS_S_AND_M_EXPENSE/1M</stp>
        <stp>FPR=2022Y</stp>
        <stp>FPT=A</stp>
        <stp>FA_ACT_EST_DATA=E, EST_SOURCE=CTI</stp>
        <stp>ACT_EST_MAPPING=PRECISE</stp>
        <stp>FS=MRC</stp>
        <stp>CURRENCY=USD</stp>
        <stp>XLFILL=b</stp>
        <tr r="AT85" s="2"/>
      </tp>
      <tp>
        <v>4910.5</v>
        <stp/>
        <stp>##V3_BQLV12</stp>
        <stp>[MODL_CRM_US1.xlsx]Single Period!R19C9</stp>
        <stp>CRM US Equity</stp>
        <stp>CONTRIBUTOR_STATS(IS_COMPARABLE_EBIT, MEDIAN)/1M</stp>
        <stp>FPR=2022Y</stp>
        <stp>FPT=A</stp>
        <stp>FA_ACT_EST_DATA=E</stp>
        <stp>ACT_EST_MAPPING=PRECISE</stp>
        <stp>FS=MRC</stp>
        <stp>CURRENCY=USD</stp>
        <stp>XLFILL=b</stp>
        <tr r="I19" s="2"/>
      </tp>
      <tp t="s">
        <v/>
        <stp/>
        <stp>##V3_BQLV12</stp>
        <stp>[MODL_CRM_US1.xlsx]Single Period!R94C22</stp>
        <stp>CRM US Equity</stp>
        <stp>IS_SH_FOR_DILUTED_EPS/1M</stp>
        <stp>FPR=2022Y</stp>
        <stp>FPT=A</stp>
        <stp>FA_ACT_EST_DATA=E, EST_SOURCE=OPY</stp>
        <stp>ACT_EST_MAPPING=PRECISE</stp>
        <stp>FS=MRC</stp>
        <stp>CURRENCY=USD</stp>
        <stp>XLFILL=b</stp>
        <tr r="V94" s="2"/>
      </tp>
      <tp t="s">
        <v/>
        <stp/>
        <stp>##V3_BQLV12</stp>
        <stp>[MODL_CRM_US1.xlsx]Single Period!R98C44</stp>
        <stp>CRM US Equity</stp>
        <stp>IS_INC_TAX_EFFECT_NONGAAP_REC/1M</stp>
        <stp>FPR=2022Y</stp>
        <stp>FPT=A</stp>
        <stp>FA_ACT_EST_DATA=E, EST_SOURCE=RWB</stp>
        <stp>ACT_EST_MAPPING=PRECISE</stp>
        <stp>FS=MRC</stp>
        <stp>CURRENCY=USD</stp>
        <stp>XLFILL=b</stp>
        <tr r="AR98" s="2"/>
      </tp>
      <tp>
        <v>4910.5</v>
        <stp/>
        <stp>##V3_BQLV12</stp>
        <stp>[MODL_CRM_US1.xlsx]Single Period!R60C9</stp>
        <stp>CRM US Equity</stp>
        <stp>CONTRIBUTOR_STATS(IS_COMPARABLE_EBIT, MEDIAN)/1M</stp>
        <stp>FPR=2022Y</stp>
        <stp>FPT=A</stp>
        <stp>FA_ACT_EST_DATA=E</stp>
        <stp>ACT_EST_MAPPING=PRECISE</stp>
        <stp>FS=MRC</stp>
        <stp>CURRENCY=USD</stp>
        <stp>XLFILL=b</stp>
        <tr r="I60" s="2"/>
      </tp>
      <tp t="s">
        <v/>
        <stp/>
        <stp>##V3_BQLV12</stp>
        <stp>[MODL_CRM_US1.xlsx]Single Period!R65C44</stp>
        <stp>CRM US Equity</stp>
        <stp>IS_AMORT_OF_TOT_INTANG_PRETX/1M</stp>
        <stp>FPR=2022Y</stp>
        <stp>FPT=A</stp>
        <stp>FA_ACT_EST_DATA=E, EST_SOURCE=RWB</stp>
        <stp>ACT_EST_MAPPING=PRECISE</stp>
        <stp>FS=MRC</stp>
        <stp>CURRENCY=USD</stp>
        <stp>XLFILL=b</stp>
        <tr r="AR65" s="2"/>
      </tp>
      <tp t="s">
        <v/>
        <stp/>
        <stp>##V3_BQLV12</stp>
        <stp>[MODL_CRM_US1.xlsx]Single Period!R48C51</stp>
        <stp>SEG0000269229 Segment</stp>
        <stp>SALES_REV_TURN/1M</stp>
        <stp>FPR=2022Y</stp>
        <stp>FPT=A</stp>
        <stp>FA_ACT_EST_DATA=E, EST_SOURCE=RCP</stp>
        <stp>ACT_EST_MAPPING=PRECISE</stp>
        <stp>FS=MRC</stp>
        <stp>CURRENCY=USD</stp>
        <stp>XLFILL=b</stp>
        <tr r="AY48" s="2"/>
      </tp>
      <tp t="s">
        <v/>
        <stp/>
        <stp>##V3_BQLV12</stp>
        <stp>[MODL_CRM_US1.xlsx]Single Period!R38C51</stp>
        <stp>SEG0000269228 Segment</stp>
        <stp>SALES_REV_TURN/1M</stp>
        <stp>FPR=2022Y</stp>
        <stp>FPT=A</stp>
        <stp>FA_ACT_EST_DATA=E, EST_SOURCE=RCP</stp>
        <stp>ACT_EST_MAPPING=PRECISE</stp>
        <stp>FS=MRC</stp>
        <stp>CURRENCY=USD</stp>
        <stp>XLFILL=b</stp>
        <tr r="AY38" s="2"/>
      </tp>
      <tp t="s">
        <v/>
        <stp/>
        <stp>##V3_BQLV12</stp>
        <stp>[MODL_CRM_US1.xlsx]Single Period!R24C29</stp>
        <stp>SEG0000269238 Segment</stp>
        <stp>SALES_REV_TURN/1M</stp>
        <stp>FPR=2022Y</stp>
        <stp>FPT=A</stp>
        <stp>FA_ACT_EST_DATA=E, EST_SOURCE=BNS</stp>
        <stp>ACT_EST_MAPPING=PRECISE</stp>
        <stp>FS=MRC</stp>
        <stp>CURRENCY=USD</stp>
        <stp>XLFILL=b</stp>
        <tr r="AC24" s="2"/>
      </tp>
      <tp>
        <v>8226.1144999999997</v>
        <stp/>
        <stp>##V3_BQLV12</stp>
        <stp>[MODL_CRM_US1.xlsx]Single Period!R28C26</stp>
        <stp>SEG0000269242 Segment</stp>
        <stp>SALES_REV_TURN/1M</stp>
        <stp>FPR=2022Y</stp>
        <stp>FPT=A</stp>
        <stp>FA_ACT_EST_DATA=E, EST_SOURCE=KEY</stp>
        <stp>ACT_EST_MAPPING=PRECISE</stp>
        <stp>FS=MRC</stp>
        <stp>CURRENCY=USD</stp>
        <stp>XLFILL=b</stp>
        <tr r="Z28" s="2"/>
      </tp>
      <tp t="s">
        <v/>
        <stp/>
        <stp>##V3_BQLV12</stp>
        <stp>[MODL_CRM_US1.xlsx]Single Period!R24C14</stp>
        <stp>SEG0000269238 Segment</stp>
        <stp>SALES_REV_TURN/1M</stp>
        <stp>FPR=2022Y</stp>
        <stp>FPT=A</stp>
        <stp>FA_ACT_EST_DATA=E, EST_SOURCE=SNR</stp>
        <stp>ACT_EST_MAPPING=PRECISE</stp>
        <stp>FS=MRC</stp>
        <stp>CURRENCY=USD</stp>
        <stp>XLFILL=b</stp>
        <tr r="N24" s="2"/>
      </tp>
      <tp t="s">
        <v/>
        <stp/>
        <stp>##V3_BQLV12</stp>
        <stp>[MODL_CRM_US1.xlsx]Single Period!R156C29</stp>
        <stp>CRM US Equity</stp>
        <stp>CF_DEPR_AMORT/1M</stp>
        <stp>FPR=2022Y</stp>
        <stp>FPT=A</stp>
        <stp>FA_ACT_EST_DATA=E, EST_SOURCE=BNS</stp>
        <stp>ACT_EST_MAPPING=PRECISE</stp>
        <stp>FS=MRC</stp>
        <stp>CURRENCY=USD</stp>
        <stp>XLFILL=b</stp>
        <tr r="AC156" s="2"/>
      </tp>
      <tp t="s">
        <v/>
        <stp/>
        <stp>##V3_BQLV12</stp>
        <stp>[MODL_CRM_US1.xlsx]Single Period!R43C29</stp>
        <stp>SEG0000269240 Segment</stp>
        <stp>SALES_REV_TURN/1M</stp>
        <stp>FPR=2022Y</stp>
        <stp>FPT=A</stp>
        <stp>FA_ACT_EST_DATA=E, EST_SOURCE=BNS</stp>
        <stp>ACT_EST_MAPPING=PRECISE</stp>
        <stp>FS=MRC</stp>
        <stp>CURRENCY=USD</stp>
        <stp>XLFILL=b</stp>
        <tr r="AC43" s="2"/>
      </tp>
      <tp t="s">
        <v/>
        <stp/>
        <stp>##V3_BQLV12</stp>
        <stp>[MODL_CRM_US1.xlsx]Single Period!R29C51</stp>
        <stp>SEG0000269233 Segment</stp>
        <stp>SALES_REV_TURN/1M</stp>
        <stp>FPR=2022Y</stp>
        <stp>FPT=A</stp>
        <stp>FA_ACT_EST_DATA=E, EST_SOURCE=RCP</stp>
        <stp>ACT_EST_MAPPING=PRECISE</stp>
        <stp>FS=MRC</stp>
        <stp>CURRENCY=USD</stp>
        <stp>XLFILL=b</stp>
        <tr r="AY29" s="2"/>
      </tp>
      <tp t="s">
        <v/>
        <stp/>
        <stp>##V3_BQLV12</stp>
        <stp>[MODL_CRM_US1.xlsx]Single Period!R149C47</stp>
        <stp>CRM US Equity</stp>
        <stp>TOT_FUTURE_REV_UNDER_CONTRACT/1M</stp>
        <stp>FPR=2022Y</stp>
        <stp>FPT=A</stp>
        <stp>FA_ACT_EST_DATA=E, EST_SOURCE=WFT</stp>
        <stp>ACT_EST_MAPPING=PRECISE</stp>
        <stp>FS=MRC</stp>
        <stp>CURRENCY=USD</stp>
        <stp>XLFILL=b</stp>
        <tr r="AU149" s="2"/>
      </tp>
      <tp t="s">
        <v/>
        <stp/>
        <stp>##V3_BQLV12</stp>
        <stp>[MODL_CRM_US1.xlsx]Single Period!R43C14</stp>
        <stp>SEG0000269240 Segment</stp>
        <stp>SALES_REV_TURN/1M</stp>
        <stp>FPR=2022Y</stp>
        <stp>FPT=A</stp>
        <stp>FA_ACT_EST_DATA=E, EST_SOURCE=SNR</stp>
        <stp>ACT_EST_MAPPING=PRECISE</stp>
        <stp>FS=MRC</stp>
        <stp>CURRENCY=USD</stp>
        <stp>XLFILL=b</stp>
        <tr r="N43" s="2"/>
      </tp>
      <tp t="s">
        <v/>
        <stp/>
        <stp>##V3_BQLV12</stp>
        <stp>[MODL_CRM_US1.xlsx]Single Period!R65C43</stp>
        <stp>CRM US Equity</stp>
        <stp>IS_AMORT_OF_TOT_INTANG_PRETX/1M</stp>
        <stp>FPR=2022Y</stp>
        <stp>FPT=A</stp>
        <stp>FA_ACT_EST_DATA=E, EST_SOURCE=DWI</stp>
        <stp>ACT_EST_MAPPING=PRECISE</stp>
        <stp>FS=MRC</stp>
        <stp>CURRENCY=USD</stp>
        <stp>XLFILL=b</stp>
        <tr r="AQ65" s="2"/>
      </tp>
      <tp t="s">
        <v/>
        <stp/>
        <stp>##V3_BQLV12</stp>
        <stp>[MODL_CRM_US1.xlsx]Single Period!R32C56</stp>
        <stp>SEG0000269227 Segment</stp>
        <stp>SALES_REV_TURN/1M</stp>
        <stp>FPR=2022Y</stp>
        <stp>FPT=A</stp>
        <stp>FA_ACT_EST_DATA=E, EST_SOURCE=DIR</stp>
        <stp>ACT_EST_MAPPING=PRECISE</stp>
        <stp>FS=MRC</stp>
        <stp>CURRENCY=USD</stp>
        <stp>XLFILL=b</stp>
        <tr r="BD32" s="2"/>
      </tp>
      <tp t="s">
        <v/>
        <stp/>
        <stp>##V3_BQLV12</stp>
        <stp>[MODL_CRM_US1.xlsx]Single Period!R38C13</stp>
        <stp>SEG0000269228 Segment</stp>
        <stp>SALES_REV_TURN/1M</stp>
        <stp>FPR=2022Y</stp>
        <stp>FPT=A</stp>
        <stp>FA_ACT_EST_DATA=E, EST_SOURCE=BCA</stp>
        <stp>ACT_EST_MAPPING=PRECISE</stp>
        <stp>FS=MRC</stp>
        <stp>CURRENCY=USD</stp>
        <stp>XLFILL=b</stp>
        <tr r="M38" s="2"/>
      </tp>
      <tp>
        <v>24571.602999999999</v>
        <stp/>
        <stp>##V3_BQLV12</stp>
        <stp>[MODL_CRM_US1.xlsx]Single Period!R10C21</stp>
        <stp>SEG0000269238 Segment</stp>
        <stp>SALES_REV_TURN/1M</stp>
        <stp>FPR=2022Y</stp>
        <stp>FPT=A</stp>
        <stp>FA_ACT_EST_DATA=E, EST_SOURCE=RJA</stp>
        <stp>ACT_EST_MAPPING=PRECISE</stp>
        <stp>FS=MRC</stp>
        <stp>CURRENCY=USD</stp>
        <stp>XLFILL=b</stp>
        <tr r="U10" s="2"/>
      </tp>
      <tp t="s">
        <v/>
        <stp/>
        <stp>##V3_BQLV12</stp>
        <stp>[MODL_CRM_US1.xlsx]Single Period!R123C43</stp>
        <stp>CRM US Equity</stp>
        <stp>TOT_OPER_LEA_RT_OF_USE_ASSETS/1M</stp>
        <stp>FPR=2022Y</stp>
        <stp>FPT=A</stp>
        <stp>FA_ACT_EST_DATA=E, EST_SOURCE=DWI</stp>
        <stp>ACT_EST_MAPPING=PRECISE</stp>
        <stp>FS=MRC</stp>
        <stp>CURRENCY=USD</stp>
        <stp>XLFILL=b</stp>
        <tr r="AQ123" s="2"/>
      </tp>
      <tp t="s">
        <v/>
        <stp/>
        <stp>##V3_BQLV12</stp>
        <stp>[MODL_CRM_US1.xlsx]Single Period!R48C13</stp>
        <stp>SEG0000269229 Segment</stp>
        <stp>SALES_REV_TURN/1M</stp>
        <stp>FPR=2022Y</stp>
        <stp>FPT=A</stp>
        <stp>FA_ACT_EST_DATA=E, EST_SOURCE=BCA</stp>
        <stp>ACT_EST_MAPPING=PRECISE</stp>
        <stp>FS=MRC</stp>
        <stp>CURRENCY=USD</stp>
        <stp>XLFILL=b</stp>
        <tr r="M48" s="2"/>
      </tp>
      <tp t="s">
        <v/>
        <stp/>
        <stp>##V3_BQLV12</stp>
        <stp>[MODL_CRM_US1.xlsx]Single Period!R149C30</stp>
        <stp>CRM US Equity</stp>
        <stp>TOT_FUTURE_REV_UNDER_CONTRACT/1M</stp>
        <stp>FPR=2022Y</stp>
        <stp>FPT=A</stp>
        <stp>FA_ACT_EST_DATA=E, EST_SOURCE=BAM</stp>
        <stp>ACT_EST_MAPPING=PRECISE</stp>
        <stp>FS=MRC</stp>
        <stp>CURRENCY=USD</stp>
        <stp>XLFILL=b</stp>
        <tr r="AD149" s="2"/>
      </tp>
      <tp t="s">
        <v/>
        <stp/>
        <stp>##V3_BQLV12</stp>
        <stp>[MODL_CRM_US1.xlsx]Single Period!R48C19</stp>
        <stp>SEG0000269229 Segment</stp>
        <stp>SALES_REV_TURN/1M</stp>
        <stp>FPR=2022Y</stp>
        <stp>FPT=A</stp>
        <stp>FA_ACT_EST_DATA=E, EST_SOURCE=SCB</stp>
        <stp>ACT_EST_MAPPING=PRECISE</stp>
        <stp>FS=MRC</stp>
        <stp>CURRENCY=USD</stp>
        <stp>XLFILL=b</stp>
        <tr r="S48" s="2"/>
      </tp>
      <tp t="s">
        <v/>
        <stp/>
        <stp>##V3_BQLV12</stp>
        <stp>[MODL_CRM_US1.xlsx]Single Period!R38C40</stp>
        <stp>SEG0000269228 Segment</stp>
        <stp>SALES_REV_TURN/1M</stp>
        <stp>FPR=2022Y</stp>
        <stp>FPT=A</stp>
        <stp>FA_ACT_EST_DATA=E, EST_SOURCE=ACC</stp>
        <stp>ACT_EST_MAPPING=PRECISE</stp>
        <stp>FS=MRC</stp>
        <stp>CURRENCY=USD</stp>
        <stp>XLFILL=b</stp>
        <tr r="AN38" s="2"/>
      </tp>
      <tp t="s">
        <v/>
        <stp/>
        <stp>##V3_BQLV12</stp>
        <stp>[MODL_CRM_US1.xlsx]Single Period!R38C19</stp>
        <stp>SEG0000269228 Segment</stp>
        <stp>SALES_REV_TURN/1M</stp>
        <stp>FPR=2022Y</stp>
        <stp>FPT=A</stp>
        <stp>FA_ACT_EST_DATA=E, EST_SOURCE=SCB</stp>
        <stp>ACT_EST_MAPPING=PRECISE</stp>
        <stp>FS=MRC</stp>
        <stp>CURRENCY=USD</stp>
        <stp>XLFILL=b</stp>
        <tr r="S38" s="2"/>
      </tp>
      <tp t="s">
        <v/>
        <stp/>
        <stp>##V3_BQLV12</stp>
        <stp>[MODL_CRM_US1.xlsx]Single Period!R48C40</stp>
        <stp>SEG0000269229 Segment</stp>
        <stp>SALES_REV_TURN/1M</stp>
        <stp>FPR=2022Y</stp>
        <stp>FPT=A</stp>
        <stp>FA_ACT_EST_DATA=E, EST_SOURCE=ACC</stp>
        <stp>ACT_EST_MAPPING=PRECISE</stp>
        <stp>FS=MRC</stp>
        <stp>CURRENCY=USD</stp>
        <stp>XLFILL=b</stp>
        <tr r="AN48" s="2"/>
      </tp>
      <tp t="s">
        <v/>
        <stp/>
        <stp>##V3_BQLV12</stp>
        <stp>[MODL_CRM_US1.xlsx]Single Period!R156C36</stp>
        <stp>CRM US Equity</stp>
        <stp>CF_DEPR_AMORT/1M</stp>
        <stp>FPR=2022Y</stp>
        <stp>FPT=A</stp>
        <stp>FA_ACT_EST_DATA=E, EST_SOURCE=MAC</stp>
        <stp>ACT_EST_MAPPING=PRECISE</stp>
        <stp>FS=MRC</stp>
        <stp>CURRENCY=USD</stp>
        <stp>XLFILL=b</stp>
        <tr r="AJ156" s="2"/>
      </tp>
      <tp t="s">
        <v/>
        <stp/>
        <stp>##V3_BQLV12</stp>
        <stp>[MODL_CRM_US1.xlsx]Single Period!R10C48</stp>
        <stp>SEG0000269238 Segment</stp>
        <stp>SALES_REV_TURN/1M</stp>
        <stp>FPR=2022Y</stp>
        <stp>FPT=A</stp>
        <stp>FA_ACT_EST_DATA=E, EST_SOURCE=PJE</stp>
        <stp>ACT_EST_MAPPING=PRECISE</stp>
        <stp>FS=MRC</stp>
        <stp>CURRENCY=USD</stp>
        <stp>XLFILL=b</stp>
        <tr r="AV10" s="2"/>
      </tp>
      <tp t="s">
        <v/>
        <stp/>
        <stp>##V3_BQLV12</stp>
        <stp>[MODL_CRM_US1.xlsx]Single Period!R32C53</stp>
        <stp>SEG0000269227 Segment</stp>
        <stp>SALES_REV_TURN/1M</stp>
        <stp>FPR=2022Y</stp>
        <stp>FPT=A</stp>
        <stp>FA_ACT_EST_DATA=E, EST_SOURCE=NIK</stp>
        <stp>ACT_EST_MAPPING=PRECISE</stp>
        <stp>FS=MRC</stp>
        <stp>CURRENCY=USD</stp>
        <stp>XLFILL=b</stp>
        <tr r="BA32" s="2"/>
      </tp>
      <tp t="s">
        <v/>
        <stp/>
        <stp>##V3_BQLV12</stp>
        <stp>[MODL_CRM_US1.xlsx]Single Period!R29C27</stp>
        <stp>SEG0000269233 Segment</stp>
        <stp>SALES_REV_TURN/1M</stp>
        <stp>FPR=2022Y</stp>
        <stp>FPT=A</stp>
        <stp>FA_ACT_EST_DATA=E, EST_SOURCE=LCM</stp>
        <stp>ACT_EST_MAPPING=PRECISE</stp>
        <stp>FS=MRC</stp>
        <stp>CURRENCY=USD</stp>
        <stp>XLFILL=b</stp>
        <tr r="AA29" s="2"/>
      </tp>
      <tp t="s">
        <v/>
        <stp/>
        <stp>##V3_BQLV12</stp>
        <stp>[MODL_CRM_US1.xlsx]Single Period!R29C19</stp>
        <stp>SEG0000269233 Segment</stp>
        <stp>SALES_REV_TURN/1M</stp>
        <stp>FPR=2022Y</stp>
        <stp>FPT=A</stp>
        <stp>FA_ACT_EST_DATA=E, EST_SOURCE=SCB</stp>
        <stp>ACT_EST_MAPPING=PRECISE</stp>
        <stp>FS=MRC</stp>
        <stp>CURRENCY=USD</stp>
        <stp>XLFILL=b</stp>
        <tr r="S29" s="2"/>
      </tp>
      <tp t="s">
        <v/>
        <stp/>
        <stp>##V3_BQLV12</stp>
        <stp>[MODL_CRM_US1.xlsx]Single Period!R83C45</stp>
        <stp>CRM US Equity</stp>
        <stp>IS_OPEX_R_AND_D_GAAP/1M</stp>
        <stp>FPR=2022Y</stp>
        <stp>FPT=A</stp>
        <stp>FA_ACT_EST_DATA=E, EST_SOURCE=ARG</stp>
        <stp>ACT_EST_MAPPING=PRECISE</stp>
        <stp>FS=MRC</stp>
        <stp>CURRENCY=USD</stp>
        <stp>XLFILL=b</stp>
        <tr r="AS83" s="2"/>
      </tp>
      <tp t="s">
        <v/>
        <stp/>
        <stp>##V3_BQLV12</stp>
        <stp>[MODL_CRM_US1.xlsx]Single Period!R149C34</stp>
        <stp>CRM US Equity</stp>
        <stp>TOT_FUTURE_REV_UNDER_CONTRACT/1M</stp>
        <stp>FPR=2022Y</stp>
        <stp>FPT=A</stp>
        <stp>FA_ACT_EST_DATA=E, EST_SOURCE=JEF</stp>
        <stp>ACT_EST_MAPPING=PRECISE</stp>
        <stp>FS=MRC</stp>
        <stp>CURRENCY=USD</stp>
        <stp>XLFILL=b</stp>
        <tr r="AH149" s="2"/>
      </tp>
      <tp t="s">
        <v/>
        <stp/>
        <stp>##V3_BQLV12</stp>
        <stp>[MODL_CRM_US1.xlsx]Single Period!R27C21</stp>
        <stp>SEG0000269241 Segment</stp>
        <stp>SALES_REV_TURN/1M</stp>
        <stp>FPR=2022Y</stp>
        <stp>FPT=A</stp>
        <stp>FA_ACT_EST_DATA=E, EST_SOURCE=RJA</stp>
        <stp>ACT_EST_MAPPING=PRECISE</stp>
        <stp>FS=MRC</stp>
        <stp>CURRENCY=USD</stp>
        <stp>XLFILL=b</stp>
        <tr r="U27" s="2"/>
      </tp>
      <tp t="s">
        <v/>
        <stp/>
        <stp>##V3_BQLV12</stp>
        <stp>[MODL_CRM_US1.xlsx]Single Period!R29C40</stp>
        <stp>SEG0000269233 Segment</stp>
        <stp>SALES_REV_TURN/1M</stp>
        <stp>FPR=2022Y</stp>
        <stp>FPT=A</stp>
        <stp>FA_ACT_EST_DATA=E, EST_SOURCE=ACC</stp>
        <stp>ACT_EST_MAPPING=PRECISE</stp>
        <stp>FS=MRC</stp>
        <stp>CURRENCY=USD</stp>
        <stp>XLFILL=b</stp>
        <tr r="AN29" s="2"/>
      </tp>
      <tp t="s">
        <v/>
        <stp/>
        <stp>##V3_BQLV12</stp>
        <stp>[MODL_CRM_US1.xlsx]Single Period!R29C13</stp>
        <stp>SEG0000269233 Segment</stp>
        <stp>SALES_REV_TURN/1M</stp>
        <stp>FPR=2022Y</stp>
        <stp>FPT=A</stp>
        <stp>FA_ACT_EST_DATA=E, EST_SOURCE=BCA</stp>
        <stp>ACT_EST_MAPPING=PRECISE</stp>
        <stp>FS=MRC</stp>
        <stp>CURRENCY=USD</stp>
        <stp>XLFILL=b</stp>
        <tr r="M29" s="2"/>
      </tp>
      <tp t="s">
        <v/>
        <stp/>
        <stp>##V3_BQLV12</stp>
        <stp>[MODL_CRM_US1.xlsx]Single Period!R38C27</stp>
        <stp>SEG0000269228 Segment</stp>
        <stp>SALES_REV_TURN/1M</stp>
        <stp>FPR=2022Y</stp>
        <stp>FPT=A</stp>
        <stp>FA_ACT_EST_DATA=E, EST_SOURCE=LCM</stp>
        <stp>ACT_EST_MAPPING=PRECISE</stp>
        <stp>FS=MRC</stp>
        <stp>CURRENCY=USD</stp>
        <stp>XLFILL=b</stp>
        <tr r="AA38" s="2"/>
      </tp>
      <tp t="s">
        <v/>
        <stp/>
        <stp>##V3_BQLV12</stp>
        <stp>[MODL_CRM_US1.xlsx]Single Period!R28C34</stp>
        <stp>SEG0000269242 Segment</stp>
        <stp>SALES_REV_TURN/1M</stp>
        <stp>FPR=2022Y</stp>
        <stp>FPT=A</stp>
        <stp>FA_ACT_EST_DATA=E, EST_SOURCE=JEF</stp>
        <stp>ACT_EST_MAPPING=PRECISE</stp>
        <stp>FS=MRC</stp>
        <stp>CURRENCY=USD</stp>
        <stp>XLFILL=b</stp>
        <tr r="AH28" s="2"/>
      </tp>
      <tp t="s">
        <v/>
        <stp/>
        <stp>##V3_BQLV12</stp>
        <stp>[MODL_CRM_US1.xlsx]Single Period!R48C27</stp>
        <stp>SEG0000269229 Segment</stp>
        <stp>SALES_REV_TURN/1M</stp>
        <stp>FPR=2022Y</stp>
        <stp>FPT=A</stp>
        <stp>FA_ACT_EST_DATA=E, EST_SOURCE=LCM</stp>
        <stp>ACT_EST_MAPPING=PRECISE</stp>
        <stp>FS=MRC</stp>
        <stp>CURRENCY=USD</stp>
        <stp>XLFILL=b</stp>
        <tr r="AA48" s="2"/>
      </tp>
      <tp t="s">
        <v/>
        <stp/>
        <stp>##V3_BQLV12</stp>
        <stp>[MODL_CRM_US1.xlsx]Single Period!R27C48</stp>
        <stp>SEG0000269241 Segment</stp>
        <stp>SALES_REV_TURN/1M</stp>
        <stp>FPR=2022Y</stp>
        <stp>FPT=A</stp>
        <stp>FA_ACT_EST_DATA=E, EST_SOURCE=PJE</stp>
        <stp>ACT_EST_MAPPING=PRECISE</stp>
        <stp>FS=MRC</stp>
        <stp>CURRENCY=USD</stp>
        <stp>XLFILL=b</stp>
        <tr r="AV27" s="2"/>
      </tp>
      <tp t="s">
        <v/>
        <stp/>
        <stp>##V3_BQLV12</stp>
        <stp>[MODL_CRM_US1.xlsx]Single Period!R28C55</stp>
        <stp>SEG0000269242 Segment</stp>
        <stp>SALES_REV_TURN/1M</stp>
        <stp>FPR=2022Y</stp>
        <stp>FPT=A</stp>
        <stp>FA_ACT_EST_DATA=E, EST_SOURCE=RED</stp>
        <stp>ACT_EST_MAPPING=PRECISE</stp>
        <stp>FS=MRC</stp>
        <stp>CURRENCY=USD</stp>
        <stp>XLFILL=b</stp>
        <tr r="BC28" s="2"/>
      </tp>
      <tp t="s">
        <v/>
        <stp/>
        <stp>##V3_BQLV12</stp>
        <stp>[MODL_CRM_US1.xlsx]Single Period!R183C31</stp>
        <stp>CRM US Equity</stp>
        <stp>CASH_FLOW_PER_SH</stp>
        <stp>FPR=2022Y</stp>
        <stp>FPT=A</stp>
        <stp>FA_ACT_EST_DATA=E, EST_SOURCE=RBC</stp>
        <stp>ACT_EST_MAPPING=PRECISE</stp>
        <stp>FS=MRC</stp>
        <stp>CURRENCY=USD</stp>
        <stp>XLFILL=b</stp>
        <tr r="AE183" s="2"/>
      </tp>
      <tp t="s">
        <v/>
        <stp/>
        <stp>##V3_BQLV12</stp>
        <stp>[MODL_CRM_US1.xlsx]Single Period!R183C40</stp>
        <stp>CRM US Equity</stp>
        <stp>CASH_FLOW_PER_SH</stp>
        <stp>FPR=2022Y</stp>
        <stp>FPT=A</stp>
        <stp>FA_ACT_EST_DATA=E, EST_SOURCE=ACC</stp>
        <stp>ACT_EST_MAPPING=PRECISE</stp>
        <stp>FS=MRC</stp>
        <stp>CURRENCY=USD</stp>
        <stp>XLFILL=b</stp>
        <tr r="AN183" s="2"/>
      </tp>
      <tp t="s">
        <v/>
        <stp/>
        <stp>##V3_BQLV12</stp>
        <stp>[MODL_CRM_US1.xlsx]Single Period!R82C33</stp>
        <stp>CRM US Equity</stp>
        <stp>OPERATING_EXPENSES_TO_NET_SALES</stp>
        <stp>FPR=2022Y</stp>
        <stp>FPT=A</stp>
        <stp>FA_ACT_EST_DATA=E, EST_SOURCE=RHR</stp>
        <stp>ACT_EST_MAPPING=PRECISE</stp>
        <stp>FS=MRC</stp>
        <stp>CURRENCY=USD</stp>
        <stp>XLFILL=b</stp>
        <tr r="AG82" s="2"/>
      </tp>
      <tp t="s">
        <v>Argus</v>
        <stp/>
        <stp>##V3_BQLV12</stp>
        <stp>[MODL_CRM_US1.xlsx]Single Period!R3C45</stp>
        <stp>CRM US Equity</stp>
        <stp>LAST(IS_COMP_SALES(FA_ACT_EST_DATA=E, EST_SOURCE=ARG).firm_name)</stp>
        <stp>FPR=2022Y</stp>
        <stp>FPT=A</stp>
        <stp>ACT_EST_MAPPING=PRECISE</stp>
        <stp>FS=MRC</stp>
        <stp>CURRENCY=USD</stp>
        <stp>XLFILL=b</stp>
        <tr r="AS3" s="2"/>
      </tp>
      <tp t="s">
        <v/>
        <stp/>
        <stp>##V3_BQLV12</stp>
        <stp>[MODL_CRM_US1.xlsx]Single Period!R183C17</stp>
        <stp>CRM US Equity</stp>
        <stp>CASH_FLOW_PER_SH</stp>
        <stp>FPR=2022Y</stp>
        <stp>FPT=A</stp>
        <stp>FA_ACT_EST_DATA=E, EST_SOURCE=NDH</stp>
        <stp>ACT_EST_MAPPING=PRECISE</stp>
        <stp>FS=MRC</stp>
        <stp>CURRENCY=USD</stp>
        <stp>XLFILL=b</stp>
        <tr r="Q183" s="2"/>
      </tp>
      <tp t="s">
        <v>Arete Research</v>
        <stp/>
        <stp>##V3_BQLV12</stp>
        <stp>[MODL_CRM_US1.xlsx]Single Period!R3C54</stp>
        <stp>CRM US Equity</stp>
        <stp>LAST(IS_COMP_SALES(FA_ACT_EST_DATA=E, EST_SOURCE=ARE).firm_name)</stp>
        <stp>FPR=2022Y</stp>
        <stp>FPT=A</stp>
        <stp>ACT_EST_MAPPING=PRECISE</stp>
        <stp>FS=MRC</stp>
        <stp>CURRENCY=USD</stp>
        <stp>XLFILL=b</stp>
        <tr r="BB3" s="2"/>
      </tp>
      <tp t="s">
        <v/>
        <stp/>
        <stp>##V3_BQLV12</stp>
        <stp>[MODL_CRM_US1.xlsx]Single Period!R183C11</stp>
        <stp>CRM US Equity</stp>
        <stp>CASH_FLOW_PER_SH</stp>
        <stp>FPR=2022Y</stp>
        <stp>FPT=A</stp>
        <stp>FA_ACT_EST_DATA=E, EST_SOURCE=WBL</stp>
        <stp>ACT_EST_MAPPING=PRECISE</stp>
        <stp>FS=MRC</stp>
        <stp>CURRENCY=USD</stp>
        <stp>XLFILL=b</stp>
        <tr r="K183" s="2"/>
      </tp>
      <tp t="s">
        <v/>
        <stp/>
        <stp>##V3_BQLV12</stp>
        <stp>[MODL_CRM_US1.xlsx]Single Period!R183C26</stp>
        <stp>CRM US Equity</stp>
        <stp>CASH_FLOW_PER_SH</stp>
        <stp>FPR=2022Y</stp>
        <stp>FPT=A</stp>
        <stp>FA_ACT_EST_DATA=E, EST_SOURCE=KEY</stp>
        <stp>ACT_EST_MAPPING=PRECISE</stp>
        <stp>FS=MRC</stp>
        <stp>CURRENCY=USD</stp>
        <stp>XLFILL=b</stp>
        <tr r="Z183" s="2"/>
      </tp>
      <tp>
        <v>1.039268849133212</v>
        <stp/>
        <stp>##V3_BQLV12</stp>
        <stp>[MODL_CRM_US1.xlsx]Single Period!R146C5</stp>
        <stp>CRM US Equity</stp>
        <stp>CUR_RATIO</stp>
        <stp>FPR=2022Y</stp>
        <stp>FPT=A</stp>
        <stp>FA_ACT_EST_DATA=E</stp>
        <stp>ACT_EST_MAPPING=PRECISE</stp>
        <stp>FS=MRC</stp>
        <stp>CURRENCY=USD</stp>
        <stp>XLFILL=b</stp>
        <tr r="E146" s="2"/>
      </tp>
      <tp>
        <v>267.61063339278911</v>
        <stp/>
        <stp>##V3_BQLV12</stp>
        <stp>[MODL_CRM_US1.xlsx]Single Period!R63C8</stp>
        <stp>CRM US Equity</stp>
        <stp>CONTRIBUTOR_STATS(CF_DEPR_AMORT, STD)/1M</stp>
        <stp>FPR=2022Y</stp>
        <stp>FPT=A</stp>
        <stp>FA_ACT_EST_DATA=E</stp>
        <stp>ACT_EST_MAPPING=PRECISE</stp>
        <stp>FS=MRC</stp>
        <stp>CURRENCY=USD</stp>
        <stp>XLFILL=b</stp>
        <tr r="H63" s="2"/>
      </tp>
      <tp t="s">
        <v/>
        <stp/>
        <stp>##V3_BQLV12</stp>
        <stp>[MODL_CRM_US1.xlsx]Single Period!R166C49</stp>
        <stp>CRM US Equity</stp>
        <stp>CF_CHANGE_IN_OPER_LEASE_LIBLTS/1M</stp>
        <stp>FPR=2022Y</stp>
        <stp>FPT=A</stp>
        <stp>FA_ACT_EST_DATA=E, EST_SOURCE=SGE</stp>
        <stp>ACT_EST_MAPPING=PRECISE</stp>
        <stp>FS=MRC</stp>
        <stp>CURRENCY=USD</stp>
        <stp>XLFILL=b</stp>
        <tr r="AW166" s="2"/>
      </tp>
      <tp t="s">
        <v/>
        <stp/>
        <stp>##V3_BQLV12</stp>
        <stp>[MODL_CRM_US1.xlsx]Single Period!R166C39</stp>
        <stp>CRM US Equity</stp>
        <stp>CF_CHANGE_IN_OPER_LEASE_LIBLTS/1M</stp>
        <stp>FPR=2022Y</stp>
        <stp>FPT=A</stp>
        <stp>FA_ACT_EST_DATA=E, EST_SOURCE=KGI</stp>
        <stp>ACT_EST_MAPPING=PRECISE</stp>
        <stp>FS=MRC</stp>
        <stp>CURRENCY=USD</stp>
        <stp>XLFILL=b</stp>
        <tr r="AM166" s="2"/>
      </tp>
      <tp t="s">
        <v/>
        <stp/>
        <stp>##V3_BQLV12</stp>
        <stp>[MODL_CRM_US1.xlsx]Single Period!R112C37</stp>
        <stp>CRM US Equity</stp>
        <stp>BS_CASH_NEAR_CASH_ITEM/1M</stp>
        <stp>FPR=2022Y</stp>
        <stp>FPT=A</stp>
        <stp>FA_ACT_EST_DATA=E, EST_SOURCE=EVR</stp>
        <stp>ACT_EST_MAPPING=PRECISE</stp>
        <stp>FS=MRC</stp>
        <stp>CURRENCY=USD</stp>
        <stp>XLFILL=b</stp>
        <tr r="AK112" s="2"/>
      </tp>
      <tp t="s">
        <v/>
        <stp/>
        <stp>##V3_BQLV12</stp>
        <stp>[MODL_CRM_US1.xlsx]Single Period!R105C33</stp>
        <stp>CRM US Equity</stp>
        <stp>IS_AMORT_ACQD_INTANGIBLES_COGS/1M</stp>
        <stp>FPR=2022Y</stp>
        <stp>FPT=A</stp>
        <stp>FA_ACT_EST_DATA=E, EST_SOURCE=RHR</stp>
        <stp>ACT_EST_MAPPING=PRECISE</stp>
        <stp>FS=MRC</stp>
        <stp>CURRENCY=USD</stp>
        <stp>XLFILL=b</stp>
        <tr r="AG105" s="2"/>
      </tp>
      <tp>
        <v>973</v>
        <stp/>
        <stp>##V3_BQLV12</stp>
        <stp>[MODL_CRM_US1.xlsx]Single Period!R73C6</stp>
        <stp>CRM US Equity</stp>
        <stp>CONTRIBUTOR_STATS(IS_SH_FOR_DILUTED_EPS, MIN)/1M</stp>
        <stp>FPR=2022Y</stp>
        <stp>FPT=A</stp>
        <stp>FA_ACT_EST_DATA=E</stp>
        <stp>ACT_EST_MAPPING=PRECISE</stp>
        <stp>FS=MRC</stp>
        <stp>CURRENCY=USD</stp>
        <stp>XLFILL=b</stp>
        <tr r="F73" s="2"/>
      </tp>
      <tp t="s">
        <v/>
        <stp/>
        <stp>##V3_BQLV12</stp>
        <stp>[MODL_CRM_US1.xlsx]Single Period!R34C10</stp>
        <stp>SEG0000269227 Segment</stp>
        <stp>IS_COGS_TO_FE_AND_PP_AND_G/1M</stp>
        <stp>FPR=2022Y</stp>
        <stp>FPT=A</stp>
        <stp>FA_ACT_EST_DATA=E, EST_SOURCE=CMPY</stp>
        <stp>ACT_EST_MAPPING=PRECISE</stp>
        <stp>FS=MRC</stp>
        <stp>CURRENCY=USD</stp>
        <stp>XLFILL=b</stp>
        <tr r="J34" s="2"/>
      </tp>
      <tp>
        <v>973</v>
        <stp/>
        <stp>##V3_BQLV12</stp>
        <stp>[MODL_CRM_US1.xlsx]Single Period!R94C6</stp>
        <stp>CRM US Equity</stp>
        <stp>CONTRIBUTOR_STATS(IS_SH_FOR_DILUTED_EPS, MIN)/1M</stp>
        <stp>FPR=2022Y</stp>
        <stp>FPT=A</stp>
        <stp>FA_ACT_EST_DATA=E</stp>
        <stp>ACT_EST_MAPPING=PRECISE</stp>
        <stp>FS=MRC</stp>
        <stp>CURRENCY=USD</stp>
        <stp>XLFILL=b</stp>
        <tr r="F94" s="2"/>
      </tp>
      <tp>
        <v>26300</v>
        <stp/>
        <stp>##V3_BQLV12</stp>
        <stp>[MODL_CRM_US1.xlsx]Single Period!R52C44</stp>
        <stp>CRM US Equity</stp>
        <stp>IS_COMP_SALES/1M</stp>
        <stp>FPR=2022Y</stp>
        <stp>FPT=A</stp>
        <stp>FA_ACT_EST_DATA=E, EST_SOURCE=RWB</stp>
        <stp>ACT_EST_MAPPING=PRECISE</stp>
        <stp>FS=MRC</stp>
        <stp>CURRENCY=USD</stp>
        <stp>XLFILL=b</stp>
        <tr r="AR52" s="2"/>
      </tp>
      <tp t="s">
        <v/>
        <stp/>
        <stp>##V3_BQLV12</stp>
        <stp>[MODL_CRM_US1.xlsx]Single Period!R102C48</stp>
        <stp>CRM US Equity</stp>
        <stp>IS_SBC_ATT_TO_S_AND_M_PRETX/1M</stp>
        <stp>FPR=2022Y</stp>
        <stp>FPT=A</stp>
        <stp>FA_ACT_EST_DATA=E, EST_SOURCE=PJE</stp>
        <stp>ACT_EST_MAPPING=PRECISE</stp>
        <stp>FS=MRC</stp>
        <stp>CURRENCY=USD</stp>
        <stp>XLFILL=b</stp>
        <tr r="AV102" s="2"/>
      </tp>
      <tp t="s">
        <v/>
        <stp/>
        <stp>##V3_BQLV12</stp>
        <stp>[MODL_CRM_US1.xlsx]Single Period!R85C37</stp>
        <stp>CRM US Equity</stp>
        <stp>CB_IS_S_AND_M_EXPENSE/1M</stp>
        <stp>FPR=2022Y</stp>
        <stp>FPT=A</stp>
        <stp>FA_ACT_EST_DATA=E, EST_SOURCE=EVR</stp>
        <stp>ACT_EST_MAPPING=PRECISE</stp>
        <stp>FS=MRC</stp>
        <stp>CURRENCY=USD</stp>
        <stp>XLFILL=b</stp>
        <tr r="AK85" s="2"/>
      </tp>
      <tp>
        <v>688</v>
        <stp/>
        <stp>##V3_BQLV12</stp>
        <stp>[MODL_CRM_US1.xlsx]Single Period!R130C16</stp>
        <stp>CRM US Equity</stp>
        <stp>BS_ST_OPERATING_LEASE_LIABS/1M</stp>
        <stp>FPR=2022Y</stp>
        <stp>FPT=A</stp>
        <stp>FA_ACT_EST_DATA=E, EST_SOURCE=DBG</stp>
        <stp>ACT_EST_MAPPING=PRECISE</stp>
        <stp>FS=MRC</stp>
        <stp>CURRENCY=USD</stp>
        <stp>XLFILL=b</stp>
        <tr r="P130" s="2"/>
      </tp>
      <tp t="s">
        <v/>
        <stp/>
        <stp>##V3_BQLV12</stp>
        <stp>[MODL_CRM_US1.xlsx]Single Period!R102C21</stp>
        <stp>CRM US Equity</stp>
        <stp>IS_SBC_ATT_TO_S_AND_M_PRETX/1M</stp>
        <stp>FPR=2022Y</stp>
        <stp>FPT=A</stp>
        <stp>FA_ACT_EST_DATA=E, EST_SOURCE=RJA</stp>
        <stp>ACT_EST_MAPPING=PRECISE</stp>
        <stp>FS=MRC</stp>
        <stp>CURRENCY=USD</stp>
        <stp>XLFILL=b</stp>
        <tr r="U102" s="2"/>
      </tp>
      <tp t="s">
        <v/>
        <stp/>
        <stp>##V3_BQLV12</stp>
        <stp>[MODL_CRM_US1.xlsx]Single Period!R162C11</stp>
        <stp>CRM US Equity</stp>
        <stp>CF_CHANGE_IN_PREPAID_EXPNSS/1M</stp>
        <stp>FPR=2022Y</stp>
        <stp>FPT=A</stp>
        <stp>FA_ACT_EST_DATA=E, EST_SOURCE=WBL</stp>
        <stp>ACT_EST_MAPPING=PRECISE</stp>
        <stp>FS=MRC</stp>
        <stp>CURRENCY=USD</stp>
        <stp>XLFILL=b</stp>
        <tr r="K162" s="2"/>
      </tp>
      <tp t="s">
        <v/>
        <stp/>
        <stp>##V3_BQLV12</stp>
        <stp>[MODL_CRM_US1.xlsx]Single Period!R94C42</stp>
        <stp>CRM US Equity</stp>
        <stp>IS_SH_FOR_DILUTED_EPS/1M</stp>
        <stp>FPR=2022Y</stp>
        <stp>FPT=A</stp>
        <stp>FA_ACT_EST_DATA=E, EST_SOURCE=PSG</stp>
        <stp>ACT_EST_MAPPING=PRECISE</stp>
        <stp>FS=MRC</stp>
        <stp>CURRENCY=USD</stp>
        <stp>XLFILL=b</stp>
        <tr r="AP94" s="2"/>
      </tp>
      <tp>
        <v>713</v>
        <stp/>
        <stp>##V3_BQLV12</stp>
        <stp>[MODL_CRM_US1.xlsx]Single Period!R130C24</stp>
        <stp>CRM US Equity</stp>
        <stp>BS_ST_OPERATING_LEASE_LIABS/1M</stp>
        <stp>FPR=2022Y</stp>
        <stp>FPT=A</stp>
        <stp>FA_ACT_EST_DATA=E, EST_SOURCE=FBC</stp>
        <stp>ACT_EST_MAPPING=PRECISE</stp>
        <stp>FS=MRC</stp>
        <stp>CURRENCY=USD</stp>
        <stp>XLFILL=b</stp>
        <tr r="X130" s="2"/>
      </tp>
      <tp t="s">
        <v/>
        <stp/>
        <stp>##V3_BQLV12</stp>
        <stp>[MODL_CRM_US1.xlsx]Single Period!R137C44</stp>
        <stp>CRM US Equity</stp>
        <stp>BS_EQTY_BEFORE_MINORITY_INT/1M</stp>
        <stp>FPR=2022Y</stp>
        <stp>FPT=A</stp>
        <stp>FA_ACT_EST_DATA=E, EST_SOURCE=RWB</stp>
        <stp>ACT_EST_MAPPING=PRECISE</stp>
        <stp>FS=MRC</stp>
        <stp>CURRENCY=USD</stp>
        <stp>XLFILL=b</stp>
        <tr r="AR137" s="2"/>
      </tp>
      <tp t="s">
        <v/>
        <stp/>
        <stp>##V3_BQLV12</stp>
        <stp>[MODL_CRM_US1.xlsx]Single Period!R130C31</stp>
        <stp>CRM US Equity</stp>
        <stp>BS_ST_OPERATING_LEASE_LIABS/1M</stp>
        <stp>FPR=2022Y</stp>
        <stp>FPT=A</stp>
        <stp>FA_ACT_EST_DATA=E, EST_SOURCE=RBC</stp>
        <stp>ACT_EST_MAPPING=PRECISE</stp>
        <stp>FS=MRC</stp>
        <stp>CURRENCY=USD</stp>
        <stp>XLFILL=b</stp>
        <tr r="AE130" s="2"/>
      </tp>
      <tp t="s">
        <v/>
        <stp/>
        <stp>##V3_BQLV12</stp>
        <stp>[MODL_CRM_US1.xlsx]Single Period!R114C32</stp>
        <stp>CRM US Equity</stp>
        <stp>BS_ACCTS_REC_EXCL_NOTES_REC/1M</stp>
        <stp>FPR=2022Y</stp>
        <stp>FPT=A</stp>
        <stp>FA_ACT_EST_DATA=E, EST_SOURCE=UBS</stp>
        <stp>ACT_EST_MAPPING=PRECISE</stp>
        <stp>FS=MRC</stp>
        <stp>CURRENCY=USD</stp>
        <stp>XLFILL=b</stp>
        <tr r="AF114" s="2"/>
      </tp>
      <tp>
        <v>-151.20093540008472</v>
        <stp/>
        <stp>##V3_BQLV12</stp>
        <stp>[MODL_CRM_US1.xlsx]Single Period!R162C16</stp>
        <stp>CRM US Equity</stp>
        <stp>CF_CHANGE_IN_PREPAID_EXPNSS/1M</stp>
        <stp>FPR=2022Y</stp>
        <stp>FPT=A</stp>
        <stp>FA_ACT_EST_DATA=E, EST_SOURCE=DBG</stp>
        <stp>ACT_EST_MAPPING=PRECISE</stp>
        <stp>FS=MRC</stp>
        <stp>CURRENCY=USD</stp>
        <stp>XLFILL=b</stp>
        <tr r="P162" s="2"/>
      </tp>
      <tp t="s">
        <v/>
        <stp/>
        <stp>##V3_BQLV12</stp>
        <stp>[MODL_CRM_US1.xlsx]Single Period!R134C32</stp>
        <stp>CRM US Equity</stp>
        <stp>BS_LT_OPERATING_LEASE_LIABS/1M</stp>
        <stp>FPR=2022Y</stp>
        <stp>FPT=A</stp>
        <stp>FA_ACT_EST_DATA=E, EST_SOURCE=UBS</stp>
        <stp>ACT_EST_MAPPING=PRECISE</stp>
        <stp>FS=MRC</stp>
        <stp>CURRENCY=USD</stp>
        <stp>XLFILL=b</stp>
        <tr r="AF134" s="2"/>
      </tp>
      <tp t="s">
        <v/>
        <stp/>
        <stp>##V3_BQLV12</stp>
        <stp>[MODL_CRM_US1.xlsx]Single Period!R130C11</stp>
        <stp>CRM US Equity</stp>
        <stp>BS_ST_OPERATING_LEASE_LIABS/1M</stp>
        <stp>FPR=2022Y</stp>
        <stp>FPT=A</stp>
        <stp>FA_ACT_EST_DATA=E, EST_SOURCE=WBL</stp>
        <stp>ACT_EST_MAPPING=PRECISE</stp>
        <stp>FS=MRC</stp>
        <stp>CURRENCY=USD</stp>
        <stp>XLFILL=b</stp>
        <tr r="K130" s="2"/>
      </tp>
      <tp t="s">
        <v/>
        <stp/>
        <stp>##V3_BQLV12</stp>
        <stp>[MODL_CRM_US1.xlsx]Single Period!R73C28</stp>
        <stp>CRM US Equity</stp>
        <stp>IS_SH_FOR_DILUTED_EPS/1M</stp>
        <stp>FPR=2022Y</stp>
        <stp>FPT=A</stp>
        <stp>FA_ACT_EST_DATA=E, EST_SOURCE=CWN</stp>
        <stp>ACT_EST_MAPPING=PRECISE</stp>
        <stp>FS=MRC</stp>
        <stp>CURRENCY=USD</stp>
        <stp>XLFILL=b</stp>
        <tr r="AB73" s="2"/>
      </tp>
      <tp t="s">
        <v/>
        <stp/>
        <stp>##V3_BQLV12</stp>
        <stp>[MODL_CRM_US1.xlsx]Single Period!R146C54</stp>
        <stp>CRM US Equity</stp>
        <stp>CUR_RATIO</stp>
        <stp>FPR=2022Y</stp>
        <stp>FPT=A</stp>
        <stp>FA_ACT_EST_DATA=E, EST_SOURCE=ARE</stp>
        <stp>ACT_EST_MAPPING=PRECISE</stp>
        <stp>FS=MRC</stp>
        <stp>CURRENCY=USD</stp>
        <stp>XLFILL=b</stp>
        <tr r="BB146" s="2"/>
      </tp>
      <tp t="s">
        <v/>
        <stp/>
        <stp>##V3_BQLV12</stp>
        <stp>[MODL_CRM_US1.xlsx]Single Period!R132C17</stp>
        <stp>CRM US Equity</stp>
        <stp>BS_ADJ_TOTAL_LT_LIABILITIES/1M</stp>
        <stp>FPR=2022Y</stp>
        <stp>FPT=A</stp>
        <stp>FA_ACT_EST_DATA=E, EST_SOURCE=NDH</stp>
        <stp>ACT_EST_MAPPING=PRECISE</stp>
        <stp>FS=MRC</stp>
        <stp>CURRENCY=USD</stp>
        <stp>XLFILL=b</stp>
        <tr r="Q132" s="2"/>
      </tp>
      <tp t="s">
        <v/>
        <stp/>
        <stp>##V3_BQLV12</stp>
        <stp>[MODL_CRM_US1.xlsx]Single Period!R137C28</stp>
        <stp>CRM US Equity</stp>
        <stp>BS_EQTY_BEFORE_MINORITY_INT/1M</stp>
        <stp>FPR=2022Y</stp>
        <stp>FPT=A</stp>
        <stp>FA_ACT_EST_DATA=E, EST_SOURCE=CWN</stp>
        <stp>ACT_EST_MAPPING=PRECISE</stp>
        <stp>FS=MRC</stp>
        <stp>CURRENCY=USD</stp>
        <stp>XLFILL=b</stp>
        <tr r="AB137" s="2"/>
      </tp>
      <tp t="s">
        <v/>
        <stp/>
        <stp>##V3_BQLV12</stp>
        <stp>[MODL_CRM_US1.xlsx]Single Period!R137C43</stp>
        <stp>CRM US Equity</stp>
        <stp>BS_EQTY_BEFORE_MINORITY_INT/1M</stp>
        <stp>FPR=2022Y</stp>
        <stp>FPT=A</stp>
        <stp>FA_ACT_EST_DATA=E, EST_SOURCE=DWI</stp>
        <stp>ACT_EST_MAPPING=PRECISE</stp>
        <stp>FS=MRC</stp>
        <stp>CURRENCY=USD</stp>
        <stp>XLFILL=b</stp>
        <tr r="AQ137" s="2"/>
      </tp>
      <tp t="s">
        <v/>
        <stp/>
        <stp>##V3_BQLV12</stp>
        <stp>[MODL_CRM_US1.xlsx]Single Period!R94C35</stp>
        <stp>CRM US Equity</stp>
        <stp>IS_SH_FOR_DILUTED_EPS/1M</stp>
        <stp>FPR=2022Y</stp>
        <stp>FPT=A</stp>
        <stp>FA_ACT_EST_DATA=E, EST_SOURCE=ATL</stp>
        <stp>ACT_EST_MAPPING=PRECISE</stp>
        <stp>FS=MRC</stp>
        <stp>CURRENCY=USD</stp>
        <stp>XLFILL=b</stp>
        <tr r="AI94" s="2"/>
      </tp>
      <tp t="s">
        <v/>
        <stp/>
        <stp>##V3_BQLV12</stp>
        <stp>[MODL_CRM_US1.xlsx]Single Period!R162C31</stp>
        <stp>CRM US Equity</stp>
        <stp>CF_CHANGE_IN_PREPAID_EXPNSS/1M</stp>
        <stp>FPR=2022Y</stp>
        <stp>FPT=A</stp>
        <stp>FA_ACT_EST_DATA=E, EST_SOURCE=RBC</stp>
        <stp>ACT_EST_MAPPING=PRECISE</stp>
        <stp>FS=MRC</stp>
        <stp>CURRENCY=USD</stp>
        <stp>XLFILL=b</stp>
        <tr r="AE162" s="2"/>
      </tp>
      <tp t="s">
        <v/>
        <stp/>
        <stp>##V3_BQLV12</stp>
        <stp>[MODL_CRM_US1.xlsx]Single Period!R146C45</stp>
        <stp>CRM US Equity</stp>
        <stp>CUR_RATIO</stp>
        <stp>FPR=2022Y</stp>
        <stp>FPT=A</stp>
        <stp>FA_ACT_EST_DATA=E, EST_SOURCE=ARG</stp>
        <stp>ACT_EST_MAPPING=PRECISE</stp>
        <stp>FS=MRC</stp>
        <stp>CURRENCY=USD</stp>
        <stp>XLFILL=b</stp>
        <tr r="AS146" s="2"/>
      </tp>
      <tp>
        <v>26396</v>
        <stp/>
        <stp>##V3_BQLV12</stp>
        <stp>[MODL_CRM_US1.xlsx]Single Period!R52C23</stp>
        <stp>CRM US Equity</stp>
        <stp>IS_COMP_SALES/1M</stp>
        <stp>FPR=2022Y</stp>
        <stp>FPT=A</stp>
        <stp>FA_ACT_EST_DATA=E, EST_SOURCE=JPM</stp>
        <stp>ACT_EST_MAPPING=PRECISE</stp>
        <stp>FS=MRC</stp>
        <stp>CURRENCY=USD</stp>
        <stp>XLFILL=b</stp>
        <tr r="W52" s="2"/>
      </tp>
      <tp>
        <v>-144.93170415028339</v>
        <stp/>
        <stp>##V3_BQLV12</stp>
        <stp>[MODL_CRM_US1.xlsx]Single Period!R162C24</stp>
        <stp>CRM US Equity</stp>
        <stp>CF_CHANGE_IN_PREPAID_EXPNSS/1M</stp>
        <stp>FPR=2022Y</stp>
        <stp>FPT=A</stp>
        <stp>FA_ACT_EST_DATA=E, EST_SOURCE=FBC</stp>
        <stp>ACT_EST_MAPPING=PRECISE</stp>
        <stp>FS=MRC</stp>
        <stp>CURRENCY=USD</stp>
        <stp>XLFILL=b</stp>
        <tr r="X162" s="2"/>
      </tp>
      <tp>
        <v>5818</v>
        <stp/>
        <stp>##V3_BQLV12</stp>
        <stp>[MODL_CRM_US1.xlsx]Single Period!R68C28</stp>
        <stp>CRM US Equity</stp>
        <stp>IS_COMP_PTP_EX_STK_BASED_COMP/1M</stp>
        <stp>FPR=2022Y</stp>
        <stp>FPT=A</stp>
        <stp>FA_ACT_EST_DATA=E, EST_SOURCE=CWN</stp>
        <stp>ACT_EST_MAPPING=PRECISE</stp>
        <stp>FS=MRC</stp>
        <stp>CURRENCY=USD</stp>
        <stp>XLFILL=b</stp>
        <tr r="AB68" s="2"/>
      </tp>
      <tp t="s">
        <v/>
        <stp/>
        <stp>##V3_BQLV12</stp>
        <stp>[MODL_CRM_US1.xlsx]Single Period!R94C37</stp>
        <stp>CRM US Equity</stp>
        <stp>IS_SH_FOR_DILUTED_EPS/1M</stp>
        <stp>FPR=2022Y</stp>
        <stp>FPT=A</stp>
        <stp>FA_ACT_EST_DATA=E, EST_SOURCE=EVR</stp>
        <stp>ACT_EST_MAPPING=PRECISE</stp>
        <stp>FS=MRC</stp>
        <stp>CURRENCY=USD</stp>
        <stp>XLFILL=b</stp>
        <tr r="AK94" s="2"/>
      </tp>
      <tp t="s">
        <v/>
        <stp/>
        <stp>##V3_BQLV12</stp>
        <stp>[MODL_CRM_US1.xlsx]Single Period!R131C49</stp>
        <stp>CRM US Equity</stp>
        <stp>ST_DEFERRED_REVENUE/1M</stp>
        <stp>FPR=2022Y</stp>
        <stp>FPT=A</stp>
        <stp>FA_ACT_EST_DATA=E, EST_SOURCE=SGE</stp>
        <stp>ACT_EST_MAPPING=PRECISE</stp>
        <stp>FS=MRC</stp>
        <stp>CURRENCY=USD</stp>
        <stp>XLFILL=b</stp>
        <tr r="AW131" s="2"/>
      </tp>
      <tp>
        <v>8846.040920674528</v>
        <stp/>
        <stp>##V3_BQLV12</stp>
        <stp>[MODL_CRM_US1.xlsx]Single Period!R114C16</stp>
        <stp>CRM US Equity</stp>
        <stp>BS_ACCTS_REC_EXCL_NOTES_REC/1M</stp>
        <stp>FPR=2022Y</stp>
        <stp>FPT=A</stp>
        <stp>FA_ACT_EST_DATA=E, EST_SOURCE=DBG</stp>
        <stp>ACT_EST_MAPPING=PRECISE</stp>
        <stp>FS=MRC</stp>
        <stp>CURRENCY=USD</stp>
        <stp>XLFILL=b</stp>
        <tr r="P114" s="2"/>
      </tp>
      <tp t="s">
        <v/>
        <stp/>
        <stp>##V3_BQLV12</stp>
        <stp>[MODL_CRM_US1.xlsx]Single Period!R85C42</stp>
        <stp>CRM US Equity</stp>
        <stp>CB_IS_S_AND_M_EXPENSE/1M</stp>
        <stp>FPR=2022Y</stp>
        <stp>FPT=A</stp>
        <stp>FA_ACT_EST_DATA=E, EST_SOURCE=PSG</stp>
        <stp>ACT_EST_MAPPING=PRECISE</stp>
        <stp>FS=MRC</stp>
        <stp>CURRENCY=USD</stp>
        <stp>XLFILL=b</stp>
        <tr r="AP85" s="2"/>
      </tp>
      <tp t="s">
        <v/>
        <stp/>
        <stp>##V3_BQLV12</stp>
        <stp>[MODL_CRM_US1.xlsx]Single Period!R134C11</stp>
        <stp>CRM US Equity</stp>
        <stp>BS_LT_OPERATING_LEASE_LIABS/1M</stp>
        <stp>FPR=2022Y</stp>
        <stp>FPT=A</stp>
        <stp>FA_ACT_EST_DATA=E, EST_SOURCE=WBL</stp>
        <stp>ACT_EST_MAPPING=PRECISE</stp>
        <stp>FS=MRC</stp>
        <stp>CURRENCY=USD</stp>
        <stp>XLFILL=b</stp>
        <tr r="K134" s="2"/>
      </tp>
      <tp t="s">
        <v/>
        <stp/>
        <stp>##V3_BQLV12</stp>
        <stp>[MODL_CRM_US1.xlsx]Single Period!R93C50</stp>
        <stp>CRM US Equity</stp>
        <stp>IS_AVG_NUM_SH_FOR_EPS/1M</stp>
        <stp>FPR=2022Y</stp>
        <stp>FPT=A</stp>
        <stp>FA_ACT_EST_DATA=E, EST_SOURCE=MZS</stp>
        <stp>ACT_EST_MAPPING=PRECISE</stp>
        <stp>FS=MRC</stp>
        <stp>CURRENCY=USD</stp>
        <stp>XLFILL=b</stp>
        <tr r="AX93" s="2"/>
      </tp>
      <tp>
        <v>9215.6425944188759</v>
        <stp/>
        <stp>##V3_BQLV12</stp>
        <stp>[MODL_CRM_US1.xlsx]Single Period!R114C24</stp>
        <stp>CRM US Equity</stp>
        <stp>BS_ACCTS_REC_EXCL_NOTES_REC/1M</stp>
        <stp>FPR=2022Y</stp>
        <stp>FPT=A</stp>
        <stp>FA_ACT_EST_DATA=E, EST_SOURCE=FBC</stp>
        <stp>ACT_EST_MAPPING=PRECISE</stp>
        <stp>FS=MRC</stp>
        <stp>CURRENCY=USD</stp>
        <stp>XLFILL=b</stp>
        <tr r="X114" s="2"/>
      </tp>
      <tp t="s">
        <v/>
        <stp/>
        <stp>##V3_BQLV12</stp>
        <stp>[MODL_CRM_US1.xlsx]Single Period!R130C32</stp>
        <stp>CRM US Equity</stp>
        <stp>BS_ST_OPERATING_LEASE_LIABS/1M</stp>
        <stp>FPR=2022Y</stp>
        <stp>FPT=A</stp>
        <stp>FA_ACT_EST_DATA=E, EST_SOURCE=UBS</stp>
        <stp>ACT_EST_MAPPING=PRECISE</stp>
        <stp>FS=MRC</stp>
        <stp>CURRENCY=USD</stp>
        <stp>XLFILL=b</stp>
        <tr r="AF130" s="2"/>
      </tp>
      <tp t="s">
        <v/>
        <stp/>
        <stp>##V3_BQLV12</stp>
        <stp>[MODL_CRM_US1.xlsx]Single Period!R114C31</stp>
        <stp>CRM US Equity</stp>
        <stp>BS_ACCTS_REC_EXCL_NOTES_REC/1M</stp>
        <stp>FPR=2022Y</stp>
        <stp>FPT=A</stp>
        <stp>FA_ACT_EST_DATA=E, EST_SOURCE=RBC</stp>
        <stp>ACT_EST_MAPPING=PRECISE</stp>
        <stp>FS=MRC</stp>
        <stp>CURRENCY=USD</stp>
        <stp>XLFILL=b</stp>
        <tr r="AE114" s="2"/>
      </tp>
      <tp>
        <v>-925.44759234623587</v>
        <stp/>
        <stp>##V3_BQLV12</stp>
        <stp>[MODL_CRM_US1.xlsx]Single Period!R67C5</stp>
        <stp>CRM US Equity</stp>
        <stp>IS_NON_OPERATING_INC_LOSS_GAAP/1M</stp>
        <stp>FPR=2022Y</stp>
        <stp>FPT=A</stp>
        <stp>FA_ACT_EST_DATA=E</stp>
        <stp>ACT_EST_MAPPING=PRECISE</stp>
        <stp>FS=MRC</stp>
        <stp>CURRENCY=USD</stp>
        <stp>XLFILL=b</stp>
        <tr r="E67" s="2"/>
      </tp>
      <tp t="s">
        <v/>
        <stp/>
        <stp>##V3_BQLV12</stp>
        <stp>[MODL_CRM_US1.xlsx]Single Period!R134C31</stp>
        <stp>CRM US Equity</stp>
        <stp>BS_LT_OPERATING_LEASE_LIABS/1M</stp>
        <stp>FPR=2022Y</stp>
        <stp>FPT=A</stp>
        <stp>FA_ACT_EST_DATA=E, EST_SOURCE=RBC</stp>
        <stp>ACT_EST_MAPPING=PRECISE</stp>
        <stp>FS=MRC</stp>
        <stp>CURRENCY=USD</stp>
        <stp>XLFILL=b</stp>
        <tr r="AE134" s="2"/>
      </tp>
      <tp>
        <v>2878</v>
        <stp/>
        <stp>##V3_BQLV12</stp>
        <stp>[MODL_CRM_US1.xlsx]Single Period!R134C24</stp>
        <stp>CRM US Equity</stp>
        <stp>BS_LT_OPERATING_LEASE_LIABS/1M</stp>
        <stp>FPR=2022Y</stp>
        <stp>FPT=A</stp>
        <stp>FA_ACT_EST_DATA=E, EST_SOURCE=FBC</stp>
        <stp>ACT_EST_MAPPING=PRECISE</stp>
        <stp>FS=MRC</stp>
        <stp>CURRENCY=USD</stp>
        <stp>XLFILL=b</stp>
        <tr r="X134" s="2"/>
      </tp>
      <tp t="s">
        <v/>
        <stp/>
        <stp>##V3_BQLV12</stp>
        <stp>[MODL_CRM_US1.xlsx]Single Period!R114C11</stp>
        <stp>CRM US Equity</stp>
        <stp>BS_ACCTS_REC_EXCL_NOTES_REC/1M</stp>
        <stp>FPR=2022Y</stp>
        <stp>FPT=A</stp>
        <stp>FA_ACT_EST_DATA=E, EST_SOURCE=WBL</stp>
        <stp>ACT_EST_MAPPING=PRECISE</stp>
        <stp>FS=MRC</stp>
        <stp>CURRENCY=USD</stp>
        <stp>XLFILL=b</stp>
        <tr r="K114" s="2"/>
      </tp>
      <tp>
        <v>955.51935099515867</v>
        <stp/>
        <stp>##V3_BQLV12</stp>
        <stp>[MODL_CRM_US1.xlsx]Single Period!R93C5</stp>
        <stp>CRM US Equity</stp>
        <stp>IS_AVG_NUM_SH_FOR_EPS/1M</stp>
        <stp>FPR=2022Y</stp>
        <stp>FPT=A</stp>
        <stp>FA_ACT_EST_DATA=E</stp>
        <stp>ACT_EST_MAPPING=PRECISE</stp>
        <stp>FS=MRC</stp>
        <stp>CURRENCY=USD</stp>
        <stp>XLFILL=b</stp>
        <tr r="E93" s="2"/>
      </tp>
      <tp t="s">
        <v/>
        <stp/>
        <stp>##V3_BQLV12</stp>
        <stp>[MODL_CRM_US1.xlsx]Single Period!R131C39</stp>
        <stp>CRM US Equity</stp>
        <stp>ST_DEFERRED_REVENUE/1M</stp>
        <stp>FPR=2022Y</stp>
        <stp>FPT=A</stp>
        <stp>FA_ACT_EST_DATA=E, EST_SOURCE=KGI</stp>
        <stp>ACT_EST_MAPPING=PRECISE</stp>
        <stp>FS=MRC</stp>
        <stp>CURRENCY=USD</stp>
        <stp>XLFILL=b</stp>
        <tr r="AM131" s="2"/>
      </tp>
      <tp t="s">
        <v/>
        <stp/>
        <stp>##V3_BQLV12</stp>
        <stp>[MODL_CRM_US1.xlsx]Single Period!R128C33</stp>
        <stp>CRM US Equity</stp>
        <stp>BS_CUR_LIAB/1M</stp>
        <stp>FPR=2022Y</stp>
        <stp>FPT=A</stp>
        <stp>FA_ACT_EST_DATA=E, EST_SOURCE=RHR</stp>
        <stp>ACT_EST_MAPPING=PRECISE</stp>
        <stp>FS=MRC</stp>
        <stp>CURRENCY=USD</stp>
        <stp>XLFILL=b</stp>
        <tr r="AG128" s="2"/>
      </tp>
      <tp t="s">
        <v/>
        <stp/>
        <stp>##V3_BQLV12</stp>
        <stp>[MODL_CRM_US1.xlsx]Single Period!R185C33</stp>
        <stp>CRM US Equity</stp>
        <stp>CF_EFFECT_FOREIGN_EXCHANGES/1M</stp>
        <stp>FPR=2022Y</stp>
        <stp>FPT=A</stp>
        <stp>FA_ACT_EST_DATA=E, EST_SOURCE=RHR</stp>
        <stp>ACT_EST_MAPPING=PRECISE</stp>
        <stp>FS=MRC</stp>
        <stp>CURRENCY=USD</stp>
        <stp>XLFILL=b</stp>
        <tr r="AG185" s="2"/>
      </tp>
      <tp t="s">
        <v/>
        <stp/>
        <stp>##V3_BQLV12</stp>
        <stp>[MODL_CRM_US1.xlsx]Single Period!R162C32</stp>
        <stp>CRM US Equity</stp>
        <stp>CF_CHANGE_IN_PREPAID_EXPNSS/1M</stp>
        <stp>FPR=2022Y</stp>
        <stp>FPT=A</stp>
        <stp>FA_ACT_EST_DATA=E, EST_SOURCE=UBS</stp>
        <stp>ACT_EST_MAPPING=PRECISE</stp>
        <stp>FS=MRC</stp>
        <stp>CURRENCY=USD</stp>
        <stp>XLFILL=b</stp>
        <tr r="AF162" s="2"/>
      </tp>
      <tp>
        <v>2722</v>
        <stp/>
        <stp>##V3_BQLV12</stp>
        <stp>[MODL_CRM_US1.xlsx]Single Period!R134C16</stp>
        <stp>CRM US Equity</stp>
        <stp>BS_LT_OPERATING_LEASE_LIABS/1M</stp>
        <stp>FPR=2022Y</stp>
        <stp>FPT=A</stp>
        <stp>FA_ACT_EST_DATA=E, EST_SOURCE=DBG</stp>
        <stp>ACT_EST_MAPPING=PRECISE</stp>
        <stp>FS=MRC</stp>
        <stp>CURRENCY=USD</stp>
        <stp>XLFILL=b</stp>
        <tr r="P134" s="2"/>
      </tp>
      <tp t="s">
        <v/>
        <stp/>
        <stp>##V3_BQLV12</stp>
        <stp>[MODL_CRM_US1.xlsx]Single Period!R85C35</stp>
        <stp>CRM US Equity</stp>
        <stp>CB_IS_S_AND_M_EXPENSE/1M</stp>
        <stp>FPR=2022Y</stp>
        <stp>FPT=A</stp>
        <stp>FA_ACT_EST_DATA=E, EST_SOURCE=ATL</stp>
        <stp>ACT_EST_MAPPING=PRECISE</stp>
        <stp>FS=MRC</stp>
        <stp>CURRENCY=USD</stp>
        <stp>XLFILL=b</stp>
        <tr r="AI85" s="2"/>
      </tp>
      <tp>
        <v>24604</v>
        <stp/>
        <stp>##V3_BQLV12</stp>
        <stp>[MODL_CRM_US1.xlsx]Single Period!R24C20</stp>
        <stp>SEG0000269238 Segment</stp>
        <stp>SALES_REV_TURN/1M</stp>
        <stp>FPR=2022Y</stp>
        <stp>FPT=A</stp>
        <stp>FA_ACT_EST_DATA=E, EST_SOURCE=JMP</stp>
        <stp>ACT_EST_MAPPING=PRECISE</stp>
        <stp>FS=MRC</stp>
        <stp>CURRENCY=USD</stp>
        <stp>XLFILL=b</stp>
        <tr r="T24" s="2"/>
      </tp>
      <tp t="s">
        <v/>
        <stp/>
        <stp>##V3_BQLV12</stp>
        <stp>[MODL_CRM_US1.xlsx]Single Period!R151C28</stp>
        <stp>CRM US Equity</stp>
        <stp>NON_CURRENT_FUTURE_REV_UNDER_CONTRACT/1M</stp>
        <stp>FPR=2022Y</stp>
        <stp>FPT=A</stp>
        <stp>FA_ACT_EST_DATA=E, EST_SOURCE=CWN</stp>
        <stp>ACT_EST_MAPPING=PRECISE</stp>
        <stp>FS=MRC</stp>
        <stp>CURRENCY=USD</stp>
        <stp>XLFILL=b</stp>
        <tr r="AB151" s="2"/>
      </tp>
      <tp>
        <v>24373.085999999999</v>
        <stp/>
        <stp>##V3_BQLV12</stp>
        <stp>[MODL_CRM_US1.xlsx]Single Period!R24C25</stp>
        <stp>SEG0000269238 Segment</stp>
        <stp>SALES_REV_TURN/1M</stp>
        <stp>FPR=2022Y</stp>
        <stp>FPT=A</stp>
        <stp>FA_ACT_EST_DATA=E, EST_SOURCE=WMS</stp>
        <stp>ACT_EST_MAPPING=PRECISE</stp>
        <stp>FS=MRC</stp>
        <stp>CURRENCY=USD</stp>
        <stp>XLFILL=b</stp>
        <tr r="Y24" s="2"/>
      </tp>
      <tp t="s">
        <v/>
        <stp/>
        <stp>##V3_BQLV12</stp>
        <stp>[MODL_CRM_US1.xlsx]Single Period!R10C56</stp>
        <stp>SEG0000269238 Segment</stp>
        <stp>SALES_REV_TURN/1M</stp>
        <stp>FPR=2022Y</stp>
        <stp>FPT=A</stp>
        <stp>FA_ACT_EST_DATA=E, EST_SOURCE=DIR</stp>
        <stp>ACT_EST_MAPPING=PRECISE</stp>
        <stp>FS=MRC</stp>
        <stp>CURRENCY=USD</stp>
        <stp>XLFILL=b</stp>
        <tr r="BD10" s="2"/>
      </tp>
      <tp t="s">
        <v/>
        <stp/>
        <stp>##V3_BQLV12</stp>
        <stp>[MODL_CRM_US1.xlsx]Single Period!R156C52</stp>
        <stp>CRM US Equity</stp>
        <stp>CF_DEPR_AMORT/1M</stp>
        <stp>FPR=2022Y</stp>
        <stp>FPT=A</stp>
        <stp>FA_ACT_EST_DATA=E, EST_SOURCE=WFR</stp>
        <stp>ACT_EST_MAPPING=PRECISE</stp>
        <stp>FS=MRC</stp>
        <stp>CURRENCY=USD</stp>
        <stp>XLFILL=b</stp>
        <tr r="AZ156" s="2"/>
      </tp>
      <tp t="s">
        <v/>
        <stp/>
        <stp>##V3_BQLV12</stp>
        <stp>[MODL_CRM_US1.xlsx]Single Period!R140C28</stp>
        <stp>CRM US Equity</stp>
        <stp>BS_ACCUMULATED_OTHER_COMP_INC/1M</stp>
        <stp>FPR=2022Y</stp>
        <stp>FPT=A</stp>
        <stp>FA_ACT_EST_DATA=E, EST_SOURCE=CWN</stp>
        <stp>ACT_EST_MAPPING=PRECISE</stp>
        <stp>FS=MRC</stp>
        <stp>CURRENCY=USD</stp>
        <stp>XLFILL=b</stp>
        <tr r="AB140" s="2"/>
      </tp>
      <tp t="s">
        <v/>
        <stp/>
        <stp>##V3_BQLV12</stp>
        <stp>[MODL_CRM_US1.xlsx]Single Period!R65C46</stp>
        <stp>CRM US Equity</stp>
        <stp>IS_AMORT_OF_TOT_INTANG_PRETX/1M</stp>
        <stp>FPR=2022Y</stp>
        <stp>FPT=A</stp>
        <stp>FA_ACT_EST_DATA=E, EST_SOURCE=CTI</stp>
        <stp>ACT_EST_MAPPING=PRECISE</stp>
        <stp>FS=MRC</stp>
        <stp>CURRENCY=USD</stp>
        <stp>XLFILL=b</stp>
        <tr r="AT65" s="2"/>
      </tp>
      <tp t="s">
        <v/>
        <stp/>
        <stp>##V3_BQLV12</stp>
        <stp>[MODL_CRM_US1.xlsx]Single Period!R43C20</stp>
        <stp>SEG0000269240 Segment</stp>
        <stp>SALES_REV_TURN/1M</stp>
        <stp>FPR=2022Y</stp>
        <stp>FPT=A</stp>
        <stp>FA_ACT_EST_DATA=E, EST_SOURCE=JMP</stp>
        <stp>ACT_EST_MAPPING=PRECISE</stp>
        <stp>FS=MRC</stp>
        <stp>CURRENCY=USD</stp>
        <stp>XLFILL=b</stp>
        <tr r="T43" s="2"/>
      </tp>
      <tp t="s">
        <v/>
        <stp/>
        <stp>##V3_BQLV12</stp>
        <stp>[MODL_CRM_US1.xlsx]Single Period!R28C52</stp>
        <stp>SEG0000269242 Segment</stp>
        <stp>SALES_REV_TURN/1M</stp>
        <stp>FPR=2022Y</stp>
        <stp>FPT=A</stp>
        <stp>FA_ACT_EST_DATA=E, EST_SOURCE=WFR</stp>
        <stp>ACT_EST_MAPPING=PRECISE</stp>
        <stp>FS=MRC</stp>
        <stp>CURRENCY=USD</stp>
        <stp>XLFILL=b</stp>
        <tr r="AZ28" s="2"/>
      </tp>
      <tp t="s">
        <v/>
        <stp/>
        <stp>##V3_BQLV12</stp>
        <stp>[MODL_CRM_US1.xlsx]Single Period!R43C25</stp>
        <stp>SEG0000269240 Segment</stp>
        <stp>SALES_REV_TURN/1M</stp>
        <stp>FPR=2022Y</stp>
        <stp>FPT=A</stp>
        <stp>FA_ACT_EST_DATA=E, EST_SOURCE=WMS</stp>
        <stp>ACT_EST_MAPPING=PRECISE</stp>
        <stp>FS=MRC</stp>
        <stp>CURRENCY=USD</stp>
        <stp>XLFILL=b</stp>
        <tr r="Y43" s="2"/>
      </tp>
      <tp t="s">
        <v/>
        <stp/>
        <stp>##V3_BQLV12</stp>
        <stp>[MODL_CRM_US1.xlsx]Single Period!R27C56</stp>
        <stp>SEG0000269241 Segment</stp>
        <stp>SALES_REV_TURN/1M</stp>
        <stp>FPR=2022Y</stp>
        <stp>FPT=A</stp>
        <stp>FA_ACT_EST_DATA=E, EST_SOURCE=DIR</stp>
        <stp>ACT_EST_MAPPING=PRECISE</stp>
        <stp>FS=MRC</stp>
        <stp>CURRENCY=USD</stp>
        <stp>XLFILL=b</stp>
        <tr r="BD27" s="2"/>
      </tp>
      <tp t="s">
        <v/>
        <stp/>
        <stp>##V3_BQLV12</stp>
        <stp>[MODL_CRM_US1.xlsx]Single Period!R26C33</stp>
        <stp>SEG0000269247 Segment</stp>
        <stp>SALES_REV_TURN/1M</stp>
        <stp>FPR=2022Y</stp>
        <stp>FPT=A</stp>
        <stp>FA_ACT_EST_DATA=E, EST_SOURCE=RHR</stp>
        <stp>ACT_EST_MAPPING=PRECISE</stp>
        <stp>FS=MRC</stp>
        <stp>CURRENCY=USD</stp>
        <stp>XLFILL=b</stp>
        <tr r="AG26" s="2"/>
      </tp>
      <tp t="s">
        <v/>
        <stp/>
        <stp>##V3_BQLV12</stp>
        <stp>[MODL_CRM_US1.xlsx]Single Period!R149C51</stp>
        <stp>CRM US Equity</stp>
        <stp>TOT_FUTURE_REV_UNDER_CONTRACT/1M</stp>
        <stp>FPR=2022Y</stp>
        <stp>FPT=A</stp>
        <stp>FA_ACT_EST_DATA=E, EST_SOURCE=RCP</stp>
        <stp>ACT_EST_MAPPING=PRECISE</stp>
        <stp>FS=MRC</stp>
        <stp>CURRENCY=USD</stp>
        <stp>XLFILL=b</stp>
        <tr r="AY149" s="2"/>
      </tp>
      <tp t="s">
        <v/>
        <stp/>
        <stp>##V3_BQLV12</stp>
        <stp>[MODL_CRM_US1.xlsx]Single Period!R83C37</stp>
        <stp>CRM US Equity</stp>
        <stp>IS_OPEX_R_AND_D_GAAP/1M</stp>
        <stp>FPR=2022Y</stp>
        <stp>FPT=A</stp>
        <stp>FA_ACT_EST_DATA=E, EST_SOURCE=EVR</stp>
        <stp>ACT_EST_MAPPING=PRECISE</stp>
        <stp>FS=MRC</stp>
        <stp>CURRENCY=USD</stp>
        <stp>XLFILL=b</stp>
        <tr r="AK83" s="2"/>
      </tp>
      <tp t="s">
        <v/>
        <stp/>
        <stp>##V3_BQLV12</stp>
        <stp>[MODL_CRM_US1.xlsx]Single Period!R28C47</stp>
        <stp>SEG0000269242 Segment</stp>
        <stp>SALES_REV_TURN/1M</stp>
        <stp>FPR=2022Y</stp>
        <stp>FPT=A</stp>
        <stp>FA_ACT_EST_DATA=E, EST_SOURCE=WFT</stp>
        <stp>ACT_EST_MAPPING=PRECISE</stp>
        <stp>FS=MRC</stp>
        <stp>CURRENCY=USD</stp>
        <stp>XLFILL=b</stp>
        <tr r="AU28" s="2"/>
      </tp>
      <tp>
        <v>3152.8</v>
        <stp/>
        <stp>##V3_BQLV12</stp>
        <stp>[MODL_CRM_US1.xlsx]Single Period!R156C16</stp>
        <stp>CRM US Equity</stp>
        <stp>CF_DEPR_AMORT/1M</stp>
        <stp>FPR=2022Y</stp>
        <stp>FPT=A</stp>
        <stp>FA_ACT_EST_DATA=E, EST_SOURCE=DBG</stp>
        <stp>ACT_EST_MAPPING=PRECISE</stp>
        <stp>FS=MRC</stp>
        <stp>CURRENCY=USD</stp>
        <stp>XLFILL=b</stp>
        <tr r="P156" s="2"/>
      </tp>
      <tp t="s">
        <v/>
        <stp/>
        <stp>##V3_BQLV12</stp>
        <stp>[MODL_CRM_US1.xlsx]Single Period!R27C53</stp>
        <stp>SEG0000269241 Segment</stp>
        <stp>SALES_REV_TURN/1M</stp>
        <stp>FPR=2022Y</stp>
        <stp>FPT=A</stp>
        <stp>FA_ACT_EST_DATA=E, EST_SOURCE=NIK</stp>
        <stp>ACT_EST_MAPPING=PRECISE</stp>
        <stp>FS=MRC</stp>
        <stp>CURRENCY=USD</stp>
        <stp>XLFILL=b</stp>
        <tr r="BA27" s="2"/>
      </tp>
      <tp t="s">
        <v/>
        <stp/>
        <stp>##V3_BQLV12</stp>
        <stp>[MODL_CRM_US1.xlsx]Single Period!R43C12</stp>
        <stp>SEG0000269240 Segment</stp>
        <stp>SALES_REV_TURN/1M</stp>
        <stp>FPR=2022Y</stp>
        <stp>FPT=A</stp>
        <stp>FA_ACT_EST_DATA=E, EST_SOURCE=BMO</stp>
        <stp>ACT_EST_MAPPING=PRECISE</stp>
        <stp>FS=MRC</stp>
        <stp>CURRENCY=USD</stp>
        <stp>XLFILL=b</stp>
        <tr r="L43" s="2"/>
      </tp>
      <tp t="s">
        <v/>
        <stp/>
        <stp>##V3_BQLV12</stp>
        <stp>[MODL_CRM_US1.xlsx]Single Period!R149C48</stp>
        <stp>CRM US Equity</stp>
        <stp>TOT_FUTURE_REV_UNDER_CONTRACT/1M</stp>
        <stp>FPR=2022Y</stp>
        <stp>FPT=A</stp>
        <stp>FA_ACT_EST_DATA=E, EST_SOURCE=PJE</stp>
        <stp>ACT_EST_MAPPING=PRECISE</stp>
        <stp>FS=MRC</stp>
        <stp>CURRENCY=USD</stp>
        <stp>XLFILL=b</stp>
        <tr r="AV149" s="2"/>
      </tp>
      <tp t="s">
        <v/>
        <stp/>
        <stp>##V3_BQLV12</stp>
        <stp>[MODL_CRM_US1.xlsx]Single Period!R156C27</stp>
        <stp>CRM US Equity</stp>
        <stp>CF_DEPR_AMORT/1M</stp>
        <stp>FPR=2022Y</stp>
        <stp>FPT=A</stp>
        <stp>FA_ACT_EST_DATA=E, EST_SOURCE=LCM</stp>
        <stp>ACT_EST_MAPPING=PRECISE</stp>
        <stp>FS=MRC</stp>
        <stp>CURRENCY=USD</stp>
        <stp>XLFILL=b</stp>
        <tr r="AA156" s="2"/>
      </tp>
      <tp t="s">
        <v/>
        <stp/>
        <stp>##V3_BQLV12</stp>
        <stp>[MODL_CRM_US1.xlsx]Single Period!R10C53</stp>
        <stp>SEG0000269238 Segment</stp>
        <stp>SALES_REV_TURN/1M</stp>
        <stp>FPR=2022Y</stp>
        <stp>FPT=A</stp>
        <stp>FA_ACT_EST_DATA=E, EST_SOURCE=NIK</stp>
        <stp>ACT_EST_MAPPING=PRECISE</stp>
        <stp>FS=MRC</stp>
        <stp>CURRENCY=USD</stp>
        <stp>XLFILL=b</stp>
        <tr r="BA10" s="2"/>
      </tp>
      <tp t="s">
        <v/>
        <stp/>
        <stp>##V3_BQLV12</stp>
        <stp>[MODL_CRM_US1.xlsx]Single Period!R32C48</stp>
        <stp>SEG0000269227 Segment</stp>
        <stp>SALES_REV_TURN/1M</stp>
        <stp>FPR=2022Y</stp>
        <stp>FPT=A</stp>
        <stp>FA_ACT_EST_DATA=E, EST_SOURCE=PJE</stp>
        <stp>ACT_EST_MAPPING=PRECISE</stp>
        <stp>FS=MRC</stp>
        <stp>CURRENCY=USD</stp>
        <stp>XLFILL=b</stp>
        <tr r="AV32" s="2"/>
      </tp>
      <tp t="s">
        <v/>
        <stp/>
        <stp>##V3_BQLV12</stp>
        <stp>[MODL_CRM_US1.xlsx]Single Period!R83C28</stp>
        <stp>CRM US Equity</stp>
        <stp>IS_OPEX_R_AND_D_GAAP/1M</stp>
        <stp>FPR=2022Y</stp>
        <stp>FPT=A</stp>
        <stp>FA_ACT_EST_DATA=E, EST_SOURCE=CWN</stp>
        <stp>ACT_EST_MAPPING=PRECISE</stp>
        <stp>FS=MRC</stp>
        <stp>CURRENCY=USD</stp>
        <stp>XLFILL=b</stp>
        <tr r="AB83" s="2"/>
      </tp>
      <tp t="s">
        <v/>
        <stp/>
        <stp>##V3_BQLV12</stp>
        <stp>[MODL_CRM_US1.xlsx]Single Period!R65C38</stp>
        <stp>CRM US Equity</stp>
        <stp>IS_AMORT_OF_TOT_INTANG_PRETX/1M</stp>
        <stp>FPR=2022Y</stp>
        <stp>FPT=A</stp>
        <stp>FA_ACT_EST_DATA=E, EST_SOURCE=MSR</stp>
        <stp>ACT_EST_MAPPING=PRECISE</stp>
        <stp>FS=MRC</stp>
        <stp>CURRENCY=USD</stp>
        <stp>XLFILL=b</stp>
        <tr r="AL65" s="2"/>
      </tp>
      <tp t="s">
        <v/>
        <stp/>
        <stp>##V3_BQLV12</stp>
        <stp>[MODL_CRM_US1.xlsx]Single Period!R24C12</stp>
        <stp>SEG0000269238 Segment</stp>
        <stp>SALES_REV_TURN/1M</stp>
        <stp>FPR=2022Y</stp>
        <stp>FPT=A</stp>
        <stp>FA_ACT_EST_DATA=E, EST_SOURCE=BMO</stp>
        <stp>ACT_EST_MAPPING=PRECISE</stp>
        <stp>FS=MRC</stp>
        <stp>CURRENCY=USD</stp>
        <stp>XLFILL=b</stp>
        <tr r="L24" s="2"/>
      </tp>
      <tp t="s">
        <v/>
        <stp/>
        <stp>##V3_BQLV12</stp>
        <stp>[MODL_CRM_US1.xlsx]Single Period!R123C45</stp>
        <stp>CRM US Equity</stp>
        <stp>TOT_OPER_LEA_RT_OF_USE_ASSETS/1M</stp>
        <stp>FPR=2022Y</stp>
        <stp>FPT=A</stp>
        <stp>FA_ACT_EST_DATA=E, EST_SOURCE=ARG</stp>
        <stp>ACT_EST_MAPPING=PRECISE</stp>
        <stp>FS=MRC</stp>
        <stp>CURRENCY=USD</stp>
        <stp>XLFILL=b</stp>
        <tr r="AS123" s="2"/>
      </tp>
      <tp>
        <v>1823.42</v>
        <stp/>
        <stp>##V3_BQLV12</stp>
        <stp>[MODL_CRM_US1.xlsx]Single Period!R32C21</stp>
        <stp>SEG0000269227 Segment</stp>
        <stp>SALES_REV_TURN/1M</stp>
        <stp>FPR=2022Y</stp>
        <stp>FPT=A</stp>
        <stp>FA_ACT_EST_DATA=E, EST_SOURCE=RJA</stp>
        <stp>ACT_EST_MAPPING=PRECISE</stp>
        <stp>FS=MRC</stp>
        <stp>CURRENCY=USD</stp>
        <stp>XLFILL=b</stp>
        <tr r="U32" s="2"/>
      </tp>
      <tp t="s">
        <v/>
        <stp/>
        <stp>##V3_BQLV12</stp>
        <stp>[MODL_CRM_US1.xlsx]Single Period!R183C48</stp>
        <stp>CRM US Equity</stp>
        <stp>CASH_FLOW_PER_SH</stp>
        <stp>FPR=2022Y</stp>
        <stp>FPT=A</stp>
        <stp>FA_ACT_EST_DATA=E, EST_SOURCE=PJE</stp>
        <stp>ACT_EST_MAPPING=PRECISE</stp>
        <stp>FS=MRC</stp>
        <stp>CURRENCY=USD</stp>
        <stp>XLFILL=b</stp>
        <tr r="AV183" s="2"/>
      </tp>
      <tp t="s">
        <v>President Capital Management Corp</v>
        <stp/>
        <stp>##V3_BQLV12</stp>
        <stp>[MODL_CRM_US1.xlsx]Single Period!R3C42</stp>
        <stp>CRM US Equity</stp>
        <stp>LAST(IS_COMP_SALES(FA_ACT_EST_DATA=E, EST_SOURCE=PSG).firm_name)</stp>
        <stp>FPR=2022Y</stp>
        <stp>FPT=A</stp>
        <stp>ACT_EST_MAPPING=PRECISE</stp>
        <stp>FS=MRC</stp>
        <stp>CURRENCY=USD</stp>
        <stp>XLFILL=b</stp>
        <tr r="AP3" s="2"/>
      </tp>
      <tp t="s">
        <v/>
        <stp/>
        <stp>##V3_BQLV12</stp>
        <stp>[MODL_CRM_US1.xlsx]Single Period!R183C51</stp>
        <stp>CRM US Equity</stp>
        <stp>CASH_FLOW_PER_SH</stp>
        <stp>FPR=2022Y</stp>
        <stp>FPT=A</stp>
        <stp>FA_ACT_EST_DATA=E, EST_SOURCE=RCP</stp>
        <stp>ACT_EST_MAPPING=PRECISE</stp>
        <stp>FS=MRC</stp>
        <stp>CURRENCY=USD</stp>
        <stp>XLFILL=b</stp>
        <tr r="AY183" s="2"/>
      </tp>
      <tp>
        <v>78.8</v>
        <stp/>
        <stp>##V3_BQLV12</stp>
        <stp>[MODL_CRM_US1.xlsx]Single Period!R17C33</stp>
        <stp>CRM US Equity</stp>
        <stp>IS_COMP_GROSS_MARGIN_PERCENTAGE</stp>
        <stp>FPR=2022Y</stp>
        <stp>FPT=A</stp>
        <stp>FA_ACT_EST_DATA=E, EST_SOURCE=RHR</stp>
        <stp>ACT_EST_MAPPING=PRECISE</stp>
        <stp>FS=MRC</stp>
        <stp>CURRENCY=USD</stp>
        <stp>XLFILL=b</stp>
        <tr r="AG17" s="2"/>
      </tp>
      <tp t="s">
        <v>Morgan Stanley</v>
        <stp/>
        <stp>##V3_BQLV12</stp>
        <stp>[MODL_CRM_US1.xlsx]Single Period!R3C38</stp>
        <stp>CRM US Equity</stp>
        <stp>LAST(IS_COMP_SALES(FA_ACT_EST_DATA=E, EST_SOURCE=MSR).firm_name)</stp>
        <stp>FPR=2022Y</stp>
        <stp>FPT=A</stp>
        <stp>ACT_EST_MAPPING=PRECISE</stp>
        <stp>FS=MRC</stp>
        <stp>CURRENCY=USD</stp>
        <stp>XLFILL=b</stp>
        <tr r="AL3" s="2"/>
      </tp>
      <tp>
        <v>78.8</v>
        <stp/>
        <stp>##V3_BQLV12</stp>
        <stp>[MODL_CRM_US1.xlsx]Single Period!R56C33</stp>
        <stp>CRM US Equity</stp>
        <stp>IS_COMP_GROSS_MARGIN_PERCENTAGE</stp>
        <stp>FPR=2022Y</stp>
        <stp>FPT=A</stp>
        <stp>FA_ACT_EST_DATA=E, EST_SOURCE=RHR</stp>
        <stp>ACT_EST_MAPPING=PRECISE</stp>
        <stp>FS=MRC</stp>
        <stp>CURRENCY=USD</stp>
        <stp>XLFILL=b</stp>
        <tr r="AG56" s="2"/>
      </tp>
      <tp t="s">
        <v>Goldman Sachs</v>
        <stp/>
        <stp>##V3_BQLV12</stp>
        <stp>[MODL_CRM_US1.xlsx]Single Period!R3C41</stp>
        <stp>CRM US Equity</stp>
        <stp>LAST(IS_COMP_SALES(FA_ACT_EST_DATA=E, EST_SOURCE=GSR).firm_name)</stp>
        <stp>FPR=2022Y</stp>
        <stp>FPT=A</stp>
        <stp>ACT_EST_MAPPING=PRECISE</stp>
        <stp>FS=MRC</stp>
        <stp>CURRENCY=USD</stp>
        <stp>XLFILL=b</stp>
        <tr r="AO3" s="2"/>
      </tp>
      <tp t="s">
        <v>Morningstar</v>
        <stp/>
        <stp>##V3_BQLV12</stp>
        <stp>[MODL_CRM_US1.xlsx]Single Period!R3C15</stp>
        <stp>CRM US Equity</stp>
        <stp>LAST(IS_COMP_SALES(FA_ACT_EST_DATA=E, EST_SOURCE=MSV).firm_name)</stp>
        <stp>FPR=2022Y</stp>
        <stp>FPT=A</stp>
        <stp>ACT_EST_MAPPING=PRECISE</stp>
        <stp>FS=MRC</stp>
        <stp>CURRENCY=USD</stp>
        <stp>XLFILL=b</stp>
        <tr r="O3" s="2"/>
      </tp>
      <tp>
        <v>84.983645050150315</v>
        <stp/>
        <stp>##V3_BQLV12</stp>
        <stp>[MODL_CRM_US1.xlsx]Single Period!R85C8</stp>
        <stp>CRM US Equity</stp>
        <stp>CONTRIBUTOR_STATS(CB_IS_S_AND_M_EXPENSE, STD)/1M</stp>
        <stp>FPR=2022Y</stp>
        <stp>FPT=A</stp>
        <stp>FA_ACT_EST_DATA=E</stp>
        <stp>ACT_EST_MAPPING=PRECISE</stp>
        <stp>FS=MRC</stp>
        <stp>CURRENCY=USD</stp>
        <stp>XLFILL=b</stp>
        <tr r="H85" s="2"/>
      </tp>
      <tp t="s">
        <v/>
        <stp/>
        <stp>##V3_BQLV12</stp>
        <stp>[MODL_CRM_US1.xlsx]Single Period!R105C53</stp>
        <stp>CRM US Equity</stp>
        <stp>IS_AMORT_ACQD_INTANGIBLES_COGS/1M</stp>
        <stp>FPR=2022Y</stp>
        <stp>FPT=A</stp>
        <stp>FA_ACT_EST_DATA=E, EST_SOURCE=NIK</stp>
        <stp>ACT_EST_MAPPING=PRECISE</stp>
        <stp>FS=MRC</stp>
        <stp>CURRENCY=USD</stp>
        <stp>XLFILL=b</stp>
        <tr r="BA105" s="2"/>
      </tp>
      <tp t="s">
        <v/>
        <stp/>
        <stp>##V3_BQLV12</stp>
        <stp>[MODL_CRM_US1.xlsx]Single Period!R112C28</stp>
        <stp>CRM US Equity</stp>
        <stp>BS_CASH_NEAR_CASH_ITEM/1M</stp>
        <stp>FPR=2022Y</stp>
        <stp>FPT=A</stp>
        <stp>FA_ACT_EST_DATA=E, EST_SOURCE=CWN</stp>
        <stp>ACT_EST_MAPPING=PRECISE</stp>
        <stp>FS=MRC</stp>
        <stp>CURRENCY=USD</stp>
        <stp>XLFILL=b</stp>
        <tr r="AB112" s="2"/>
      </tp>
      <tp t="s">
        <v/>
        <stp/>
        <stp>##V3_BQLV12</stp>
        <stp>[MODL_CRM_US1.xlsx]Single Period!R189C21</stp>
        <stp>CRM US Equity</stp>
        <stp>CF_CASH_AND_CASH_EQUIV_BEG_BAL/1M</stp>
        <stp>FPR=2022Y</stp>
        <stp>FPT=A</stp>
        <stp>FA_ACT_EST_DATA=E, EST_SOURCE=RJA</stp>
        <stp>ACT_EST_MAPPING=PRECISE</stp>
        <stp>FS=MRC</stp>
        <stp>CURRENCY=USD</stp>
        <stp>XLFILL=b</stp>
        <tr r="U189" s="2"/>
      </tp>
      <tp t="s">
        <v/>
        <stp/>
        <stp>##V3_BQLV12</stp>
        <stp>[MODL_CRM_US1.xlsx]Single Period!R166C52</stp>
        <stp>CRM US Equity</stp>
        <stp>CF_CHANGE_IN_OPER_LEASE_LIBLTS/1M</stp>
        <stp>FPR=2022Y</stp>
        <stp>FPT=A</stp>
        <stp>FA_ACT_EST_DATA=E, EST_SOURCE=WFR</stp>
        <stp>ACT_EST_MAPPING=PRECISE</stp>
        <stp>FS=MRC</stp>
        <stp>CURRENCY=USD</stp>
        <stp>XLFILL=b</stp>
        <tr r="AZ166" s="2"/>
      </tp>
      <tp>
        <v>40.179522919993367</v>
        <stp/>
        <stp>##V3_BQLV12</stp>
        <stp>[MODL_CRM_US1.xlsx]Single Period!R52C8</stp>
        <stp>CRM US Equity</stp>
        <stp>CONTRIBUTOR_STATS(IS_COMP_SALES, STD)/1M</stp>
        <stp>FPR=2022Y</stp>
        <stp>FPT=A</stp>
        <stp>FA_ACT_EST_DATA=E</stp>
        <stp>ACT_EST_MAPPING=PRECISE</stp>
        <stp>FS=MRC</stp>
        <stp>CURRENCY=USD</stp>
        <stp>XLFILL=b</stp>
        <tr r="H52" s="2"/>
      </tp>
      <tp t="s">
        <v/>
        <stp/>
        <stp>##V3_BQLV12</stp>
        <stp>[MODL_CRM_US1.xlsx]Single Period!R165C29</stp>
        <stp>CRM US Equity</stp>
        <stp>CF_CHG_IN_DEFER_UNEARND_REV_ST/1M</stp>
        <stp>FPR=2022Y</stp>
        <stp>FPT=A</stp>
        <stp>FA_ACT_EST_DATA=E, EST_SOURCE=BNS</stp>
        <stp>ACT_EST_MAPPING=PRECISE</stp>
        <stp>FS=MRC</stp>
        <stp>CURRENCY=USD</stp>
        <stp>XLFILL=b</stp>
        <tr r="AC165" s="2"/>
      </tp>
      <tp t="s">
        <v/>
        <stp/>
        <stp>##V3_BQLV12</stp>
        <stp>[MODL_CRM_US1.xlsx]Single Period!R165C14</stp>
        <stp>CRM US Equity</stp>
        <stp>CF_CHG_IN_DEFER_UNEARND_REV_ST/1M</stp>
        <stp>FPR=2022Y</stp>
        <stp>FPT=A</stp>
        <stp>FA_ACT_EST_DATA=E, EST_SOURCE=SNR</stp>
        <stp>ACT_EST_MAPPING=PRECISE</stp>
        <stp>FS=MRC</stp>
        <stp>CURRENCY=USD</stp>
        <stp>XLFILL=b</stp>
        <tr r="N165" s="2"/>
      </tp>
      <tp t="s">
        <v/>
        <stp/>
        <stp>##V3_BQLV12</stp>
        <stp>[MODL_CRM_US1.xlsx]Single Period!R105C56</stp>
        <stp>CRM US Equity</stp>
        <stp>IS_AMORT_ACQD_INTANGIBLES_COGS/1M</stp>
        <stp>FPR=2022Y</stp>
        <stp>FPT=A</stp>
        <stp>FA_ACT_EST_DATA=E, EST_SOURCE=DIR</stp>
        <stp>ACT_EST_MAPPING=PRECISE</stp>
        <stp>FS=MRC</stp>
        <stp>CURRENCY=USD</stp>
        <stp>XLFILL=b</stp>
        <tr r="BD105" s="2"/>
      </tp>
      <tp t="s">
        <v/>
        <stp/>
        <stp>##V3_BQLV12</stp>
        <stp>[MODL_CRM_US1.xlsx]Single Period!R189C48</stp>
        <stp>CRM US Equity</stp>
        <stp>CF_CASH_AND_CASH_EQUIV_BEG_BAL/1M</stp>
        <stp>FPR=2022Y</stp>
        <stp>FPT=A</stp>
        <stp>FA_ACT_EST_DATA=E, EST_SOURCE=PJE</stp>
        <stp>ACT_EST_MAPPING=PRECISE</stp>
        <stp>FS=MRC</stp>
        <stp>CURRENCY=USD</stp>
        <stp>XLFILL=b</stp>
        <tr r="AV189" s="2"/>
      </tp>
      <tp>
        <v>978.29531249999991</v>
        <stp/>
        <stp>##V3_BQLV12</stp>
        <stp>[MODL_CRM_US1.xlsx]Single Period!R73C7</stp>
        <stp>CRM US Equity</stp>
        <stp>CONTRIBUTOR_STATS(IS_SH_FOR_DILUTED_EPS, MAX)/1M</stp>
        <stp>FPR=2022Y</stp>
        <stp>FPT=A</stp>
        <stp>FA_ACT_EST_DATA=E</stp>
        <stp>ACT_EST_MAPPING=PRECISE</stp>
        <stp>FS=MRC</stp>
        <stp>CURRENCY=USD</stp>
        <stp>XLFILL=b</stp>
        <tr r="G73" s="2"/>
      </tp>
      <tp t="s">
        <v/>
        <stp/>
        <stp>##V3_BQLV12</stp>
        <stp>[MODL_CRM_US1.xlsx]Single Period!R112C43</stp>
        <stp>CRM US Equity</stp>
        <stp>BS_CASH_NEAR_CASH_ITEM/1M</stp>
        <stp>FPR=2022Y</stp>
        <stp>FPT=A</stp>
        <stp>FA_ACT_EST_DATA=E, EST_SOURCE=DWI</stp>
        <stp>ACT_EST_MAPPING=PRECISE</stp>
        <stp>FS=MRC</stp>
        <stp>CURRENCY=USD</stp>
        <stp>XLFILL=b</stp>
        <tr r="AQ112" s="2"/>
      </tp>
      <tp t="s">
        <v/>
        <stp/>
        <stp>##V3_BQLV12</stp>
        <stp>[MODL_CRM_US1.xlsx]Single Period!R166C47</stp>
        <stp>CRM US Equity</stp>
        <stp>CF_CHANGE_IN_OPER_LEASE_LIBLTS/1M</stp>
        <stp>FPR=2022Y</stp>
        <stp>FPT=A</stp>
        <stp>FA_ACT_EST_DATA=E, EST_SOURCE=WFT</stp>
        <stp>ACT_EST_MAPPING=PRECISE</stp>
        <stp>FS=MRC</stp>
        <stp>CURRENCY=USD</stp>
        <stp>XLFILL=b</stp>
        <tr r="AU166" s="2"/>
      </tp>
      <tp>
        <v>978.29531249999991</v>
        <stp/>
        <stp>##V3_BQLV12</stp>
        <stp>[MODL_CRM_US1.xlsx]Single Period!R94C7</stp>
        <stp>CRM US Equity</stp>
        <stp>CONTRIBUTOR_STATS(IS_SH_FOR_DILUTED_EPS, MAX)/1M</stp>
        <stp>FPR=2022Y</stp>
        <stp>FPT=A</stp>
        <stp>FA_ACT_EST_DATA=E</stp>
        <stp>ACT_EST_MAPPING=PRECISE</stp>
        <stp>FS=MRC</stp>
        <stp>CURRENCY=USD</stp>
        <stp>XLFILL=b</stp>
        <tr r="G94" s="2"/>
      </tp>
      <tp t="s">
        <v/>
        <stp/>
        <stp>##V3_BQLV12</stp>
        <stp>[MODL_CRM_US1.xlsx]Single Period!R112C44</stp>
        <stp>CRM US Equity</stp>
        <stp>BS_CASH_NEAR_CASH_ITEM/1M</stp>
        <stp>FPR=2022Y</stp>
        <stp>FPT=A</stp>
        <stp>FA_ACT_EST_DATA=E, EST_SOURCE=RWB</stp>
        <stp>ACT_EST_MAPPING=PRECISE</stp>
        <stp>FS=MRC</stp>
        <stp>CURRENCY=USD</stp>
        <stp>XLFILL=b</stp>
        <tr r="AR112" s="2"/>
      </tp>
      <tp>
        <v>3152.8</v>
        <stp/>
        <stp>##V3_BQLV12</stp>
        <stp>[MODL_CRM_US1.xlsx]Single Period!R63C16</stp>
        <stp>CRM US Equity</stp>
        <stp>CF_DEPR_AMORT/1M</stp>
        <stp>FPR=2022Y</stp>
        <stp>FPT=A</stp>
        <stp>FA_ACT_EST_DATA=E, EST_SOURCE=DBG</stp>
        <stp>ACT_EST_MAPPING=PRECISE</stp>
        <stp>FS=MRC</stp>
        <stp>CURRENCY=USD</stp>
        <stp>XLFILL=b</stp>
        <tr r="P63" s="2"/>
      </tp>
      <tp t="s">
        <v/>
        <stp/>
        <stp>##V3_BQLV12</stp>
        <stp>[MODL_CRM_US1.xlsx]Single Period!R130C40</stp>
        <stp>CRM US Equity</stp>
        <stp>BS_ST_OPERATING_LEASE_LIABS/1M</stp>
        <stp>FPR=2022Y</stp>
        <stp>FPT=A</stp>
        <stp>FA_ACT_EST_DATA=E, EST_SOURCE=ACC</stp>
        <stp>ACT_EST_MAPPING=PRECISE</stp>
        <stp>FS=MRC</stp>
        <stp>CURRENCY=USD</stp>
        <stp>XLFILL=b</stp>
        <tr r="AN130" s="2"/>
      </tp>
      <tp t="s">
        <v/>
        <stp/>
        <stp>##V3_BQLV12</stp>
        <stp>[MODL_CRM_US1.xlsx]Single Period!R132C34</stp>
        <stp>CRM US Equity</stp>
        <stp>BS_ADJ_TOTAL_LT_LIABILITIES/1M</stp>
        <stp>FPR=2022Y</stp>
        <stp>FPT=A</stp>
        <stp>FA_ACT_EST_DATA=E, EST_SOURCE=JEF</stp>
        <stp>ACT_EST_MAPPING=PRECISE</stp>
        <stp>FS=MRC</stp>
        <stp>CURRENCY=USD</stp>
        <stp>XLFILL=b</stp>
        <tr r="AH132" s="2"/>
      </tp>
      <tp t="s">
        <v/>
        <stp/>
        <stp>##V3_BQLV12</stp>
        <stp>[MODL_CRM_US1.xlsx]Single Period!R162C27</stp>
        <stp>CRM US Equity</stp>
        <stp>CF_CHANGE_IN_PREPAID_EXPNSS/1M</stp>
        <stp>FPR=2022Y</stp>
        <stp>FPT=A</stp>
        <stp>FA_ACT_EST_DATA=E, EST_SOURCE=LCM</stp>
        <stp>ACT_EST_MAPPING=PRECISE</stp>
        <stp>FS=MRC</stp>
        <stp>CURRENCY=USD</stp>
        <stp>XLFILL=b</stp>
        <tr r="AA162" s="2"/>
      </tp>
      <tp t="s">
        <v/>
        <stp/>
        <stp>##V3_BQLV12</stp>
        <stp>[MODL_CRM_US1.xlsx]Single Period!R131C47</stp>
        <stp>CRM US Equity</stp>
        <stp>ST_DEFERRED_REVENUE/1M</stp>
        <stp>FPR=2022Y</stp>
        <stp>FPT=A</stp>
        <stp>FA_ACT_EST_DATA=E, EST_SOURCE=WFT</stp>
        <stp>ACT_EST_MAPPING=PRECISE</stp>
        <stp>FS=MRC</stp>
        <stp>CURRENCY=USD</stp>
        <stp>XLFILL=b</stp>
        <tr r="AU131" s="2"/>
      </tp>
      <tp t="s">
        <v/>
        <stp/>
        <stp>##V3_BQLV12</stp>
        <stp>[MODL_CRM_US1.xlsx]Single Period!R114C51</stp>
        <stp>CRM US Equity</stp>
        <stp>BS_ACCTS_REC_EXCL_NOTES_REC/1M</stp>
        <stp>FPR=2022Y</stp>
        <stp>FPT=A</stp>
        <stp>FA_ACT_EST_DATA=E, EST_SOURCE=RCP</stp>
        <stp>ACT_EST_MAPPING=PRECISE</stp>
        <stp>FS=MRC</stp>
        <stp>CURRENCY=USD</stp>
        <stp>XLFILL=b</stp>
        <tr r="AY114" s="2"/>
      </tp>
      <tp t="s">
        <v/>
        <stp/>
        <stp>##V3_BQLV12</stp>
        <stp>[MODL_CRM_US1.xlsx]Single Period!R185C53</stp>
        <stp>CRM US Equity</stp>
        <stp>CF_EFFECT_FOREIGN_EXCHANGES/1M</stp>
        <stp>FPR=2022Y</stp>
        <stp>FPT=A</stp>
        <stp>FA_ACT_EST_DATA=E, EST_SOURCE=NIK</stp>
        <stp>ACT_EST_MAPPING=PRECISE</stp>
        <stp>FS=MRC</stp>
        <stp>CURRENCY=USD</stp>
        <stp>XLFILL=b</stp>
        <tr r="BA185" s="2"/>
      </tp>
      <tp t="s">
        <v/>
        <stp/>
        <stp>##V3_BQLV12</stp>
        <stp>[MODL_CRM_US1.xlsx]Single Period!R130C19</stp>
        <stp>CRM US Equity</stp>
        <stp>BS_ST_OPERATING_LEASE_LIABS/1M</stp>
        <stp>FPR=2022Y</stp>
        <stp>FPT=A</stp>
        <stp>FA_ACT_EST_DATA=E, EST_SOURCE=SCB</stp>
        <stp>ACT_EST_MAPPING=PRECISE</stp>
        <stp>FS=MRC</stp>
        <stp>CURRENCY=USD</stp>
        <stp>XLFILL=b</stp>
        <tr r="S130" s="2"/>
      </tp>
      <tp t="s">
        <v/>
        <stp/>
        <stp>##V3_BQLV12</stp>
        <stp>[MODL_CRM_US1.xlsx]Single Period!R132C55</stp>
        <stp>CRM US Equity</stp>
        <stp>BS_ADJ_TOTAL_LT_LIABILITIES/1M</stp>
        <stp>FPR=2022Y</stp>
        <stp>FPT=A</stp>
        <stp>FA_ACT_EST_DATA=E, EST_SOURCE=RED</stp>
        <stp>ACT_EST_MAPPING=PRECISE</stp>
        <stp>FS=MRC</stp>
        <stp>CURRENCY=USD</stp>
        <stp>XLFILL=b</stp>
        <tr r="BC132" s="2"/>
      </tp>
      <tp t="s">
        <v/>
        <stp/>
        <stp>##V3_BQLV12</stp>
        <stp>[MODL_CRM_US1.xlsx]Single Period!R128C53</stp>
        <stp>CRM US Equity</stp>
        <stp>BS_CUR_LIAB/1M</stp>
        <stp>FPR=2022Y</stp>
        <stp>FPT=A</stp>
        <stp>FA_ACT_EST_DATA=E, EST_SOURCE=NIK</stp>
        <stp>ACT_EST_MAPPING=PRECISE</stp>
        <stp>FS=MRC</stp>
        <stp>CURRENCY=USD</stp>
        <stp>XLFILL=b</stp>
        <tr r="BA128" s="2"/>
      </tp>
      <tp t="s">
        <v/>
        <stp/>
        <stp>##V3_BQLV12</stp>
        <stp>[MODL_CRM_US1.xlsx]Single Period!R12C16</stp>
        <stp>CRM US Equity</stp>
        <stp>TOT_FUTURE_REV_UNDER_CONTRACT/1M</stp>
        <stp>FPR=2022Y</stp>
        <stp>FPT=A</stp>
        <stp>FA_ACT_EST_DATA=E, EST_SOURCE=DBG</stp>
        <stp>ACT_EST_MAPPING=PRECISE</stp>
        <stp>FS=MRC</stp>
        <stp>CURRENCY=USD</stp>
        <stp>XLFILL=b</stp>
        <tr r="P12" s="2"/>
      </tp>
      <tp t="s">
        <v/>
        <stp/>
        <stp>##V3_BQLV12</stp>
        <stp>[MODL_CRM_US1.xlsx]Single Period!R131C52</stp>
        <stp>CRM US Equity</stp>
        <stp>ST_DEFERRED_REVENUE/1M</stp>
        <stp>FPR=2022Y</stp>
        <stp>FPT=A</stp>
        <stp>FA_ACT_EST_DATA=E, EST_SOURCE=WFR</stp>
        <stp>ACT_EST_MAPPING=PRECISE</stp>
        <stp>FS=MRC</stp>
        <stp>CURRENCY=USD</stp>
        <stp>XLFILL=b</stp>
        <tr r="AZ131" s="2"/>
      </tp>
      <tp t="s">
        <v/>
        <stp/>
        <stp>##V3_BQLV12</stp>
        <stp>[MODL_CRM_US1.xlsx]Single Period!R130C13</stp>
        <stp>CRM US Equity</stp>
        <stp>BS_ST_OPERATING_LEASE_LIABS/1M</stp>
        <stp>FPR=2022Y</stp>
        <stp>FPT=A</stp>
        <stp>FA_ACT_EST_DATA=E, EST_SOURCE=BCA</stp>
        <stp>ACT_EST_MAPPING=PRECISE</stp>
        <stp>FS=MRC</stp>
        <stp>CURRENCY=USD</stp>
        <stp>XLFILL=b</stp>
        <tr r="M130" s="2"/>
      </tp>
      <tp t="s">
        <v/>
        <stp/>
        <stp>##V3_BQLV12</stp>
        <stp>[MODL_CRM_US1.xlsx]Single Period!R130C27</stp>
        <stp>CRM US Equity</stp>
        <stp>BS_ST_OPERATING_LEASE_LIABS/1M</stp>
        <stp>FPR=2022Y</stp>
        <stp>FPT=A</stp>
        <stp>FA_ACT_EST_DATA=E, EST_SOURCE=LCM</stp>
        <stp>ACT_EST_MAPPING=PRECISE</stp>
        <stp>FS=MRC</stp>
        <stp>CURRENCY=USD</stp>
        <stp>XLFILL=b</stp>
        <tr r="AA130" s="2"/>
      </tp>
      <tp t="s">
        <v/>
        <stp/>
        <stp>##V3_BQLV12</stp>
        <stp>[MODL_CRM_US1.xlsx]Single Period!R162C40</stp>
        <stp>CRM US Equity</stp>
        <stp>CF_CHANGE_IN_PREPAID_EXPNSS/1M</stp>
        <stp>FPR=2022Y</stp>
        <stp>FPT=A</stp>
        <stp>FA_ACT_EST_DATA=E, EST_SOURCE=ACC</stp>
        <stp>ACT_EST_MAPPING=PRECISE</stp>
        <stp>FS=MRC</stp>
        <stp>CURRENCY=USD</stp>
        <stp>XLFILL=b</stp>
        <tr r="AN162" s="2"/>
      </tp>
      <tp t="s">
        <v/>
        <stp/>
        <stp>##V3_BQLV12</stp>
        <stp>[MODL_CRM_US1.xlsx]Single Period!R63C27</stp>
        <stp>CRM US Equity</stp>
        <stp>CF_DEPR_AMORT/1M</stp>
        <stp>FPR=2022Y</stp>
        <stp>FPT=A</stp>
        <stp>FA_ACT_EST_DATA=E, EST_SOURCE=LCM</stp>
        <stp>ACT_EST_MAPPING=PRECISE</stp>
        <stp>FS=MRC</stp>
        <stp>CURRENCY=USD</stp>
        <stp>XLFILL=b</stp>
        <tr r="AA63" s="2"/>
      </tp>
      <tp t="s">
        <v/>
        <stp/>
        <stp>##V3_BQLV12</stp>
        <stp>[MODL_CRM_US1.xlsx]Single Period!R52C46</stp>
        <stp>CRM US Equity</stp>
        <stp>IS_COMP_SALES/1M</stp>
        <stp>FPR=2022Y</stp>
        <stp>FPT=A</stp>
        <stp>FA_ACT_EST_DATA=E, EST_SOURCE=CTI</stp>
        <stp>ACT_EST_MAPPING=PRECISE</stp>
        <stp>FS=MRC</stp>
        <stp>CURRENCY=USD</stp>
        <stp>XLFILL=b</stp>
        <tr r="AT52" s="2"/>
      </tp>
      <tp t="s">
        <v/>
        <stp/>
        <stp>##V3_BQLV12</stp>
        <stp>[MODL_CRM_US1.xlsx]Single Period!R98C37</stp>
        <stp>CRM US Equity</stp>
        <stp>IS_INC_TAX_EFFECT_NONGAAP_REC/1M</stp>
        <stp>FPR=2022Y</stp>
        <stp>FPT=A</stp>
        <stp>FA_ACT_EST_DATA=E, EST_SOURCE=EVR</stp>
        <stp>ACT_EST_MAPPING=PRECISE</stp>
        <stp>FS=MRC</stp>
        <stp>CURRENCY=USD</stp>
        <stp>XLFILL=b</stp>
        <tr r="AK98" s="2"/>
      </tp>
      <tp t="s">
        <v/>
        <stp/>
        <stp>##V3_BQLV12</stp>
        <stp>[MODL_CRM_US1.xlsx]Single Period!R12C27</stp>
        <stp>CRM US Equity</stp>
        <stp>TOT_FUTURE_REV_UNDER_CONTRACT/1M</stp>
        <stp>FPR=2022Y</stp>
        <stp>FPT=A</stp>
        <stp>FA_ACT_EST_DATA=E, EST_SOURCE=LCM</stp>
        <stp>ACT_EST_MAPPING=PRECISE</stp>
        <stp>FS=MRC</stp>
        <stp>CURRENCY=USD</stp>
        <stp>XLFILL=b</stp>
        <tr r="AA12" s="2"/>
      </tp>
      <tp t="s">
        <v/>
        <stp/>
        <stp>##V3_BQLV12</stp>
        <stp>[MODL_CRM_US1.xlsx]Single Period!R134C51</stp>
        <stp>CRM US Equity</stp>
        <stp>BS_LT_OPERATING_LEASE_LIABS/1M</stp>
        <stp>FPR=2022Y</stp>
        <stp>FPT=A</stp>
        <stp>FA_ACT_EST_DATA=E, EST_SOURCE=RCP</stp>
        <stp>ACT_EST_MAPPING=PRECISE</stp>
        <stp>FS=MRC</stp>
        <stp>CURRENCY=USD</stp>
        <stp>XLFILL=b</stp>
        <tr r="AY134" s="2"/>
      </tp>
      <tp t="s">
        <v/>
        <stp/>
        <stp>##V3_BQLV12</stp>
        <stp>[MODL_CRM_US1.xlsx]Single Period!R162C19</stp>
        <stp>CRM US Equity</stp>
        <stp>CF_CHANGE_IN_PREPAID_EXPNSS/1M</stp>
        <stp>FPR=2022Y</stp>
        <stp>FPT=A</stp>
        <stp>FA_ACT_EST_DATA=E, EST_SOURCE=SCB</stp>
        <stp>ACT_EST_MAPPING=PRECISE</stp>
        <stp>FS=MRC</stp>
        <stp>CURRENCY=USD</stp>
        <stp>XLFILL=b</stp>
        <tr r="S162" s="2"/>
      </tp>
      <tp>
        <v>164.35000000000008</v>
        <stp/>
        <stp>##V3_BQLV12</stp>
        <stp>[MODL_CRM_US1.xlsx]Single Period!R162C13</stp>
        <stp>CRM US Equity</stp>
        <stp>CF_CHANGE_IN_PREPAID_EXPNSS/1M</stp>
        <stp>FPR=2022Y</stp>
        <stp>FPT=A</stp>
        <stp>FA_ACT_EST_DATA=E, EST_SOURCE=BCA</stp>
        <stp>ACT_EST_MAPPING=PRECISE</stp>
        <stp>FS=MRC</stp>
        <stp>CURRENCY=USD</stp>
        <stp>XLFILL=b</stp>
        <tr r="M162" s="2"/>
      </tp>
      <tp t="s">
        <v/>
        <stp/>
        <stp>##V3_BQLV12</stp>
        <stp>[MODL_CRM_US1.xlsx]Single Period!R146C42</stp>
        <stp>CRM US Equity</stp>
        <stp>CUR_RATIO</stp>
        <stp>FPR=2022Y</stp>
        <stp>FPT=A</stp>
        <stp>FA_ACT_EST_DATA=E, EST_SOURCE=PSG</stp>
        <stp>ACT_EST_MAPPING=PRECISE</stp>
        <stp>FS=MRC</stp>
        <stp>CURRENCY=USD</stp>
        <stp>XLFILL=b</stp>
        <tr r="AP146" s="2"/>
      </tp>
      <tp>
        <v>26400</v>
        <stp/>
        <stp>##V3_BQLV12</stp>
        <stp>[MODL_CRM_US1.xlsx]Single Period!R52C41</stp>
        <stp>CRM US Equity</stp>
        <stp>IS_COMP_SALES/1M</stp>
        <stp>FPR=2022Y</stp>
        <stp>FPT=A</stp>
        <stp>FA_ACT_EST_DATA=E, EST_SOURCE=GSR</stp>
        <stp>ACT_EST_MAPPING=PRECISE</stp>
        <stp>FS=MRC</stp>
        <stp>CURRENCY=USD</stp>
        <stp>XLFILL=b</stp>
        <tr r="AO52" s="2"/>
      </tp>
      <tp t="s">
        <v/>
        <stp/>
        <stp>##V3_BQLV12</stp>
        <stp>[MODL_CRM_US1.xlsx]Single Period!R114C40</stp>
        <stp>CRM US Equity</stp>
        <stp>BS_ACCTS_REC_EXCL_NOTES_REC/1M</stp>
        <stp>FPR=2022Y</stp>
        <stp>FPT=A</stp>
        <stp>FA_ACT_EST_DATA=E, EST_SOURCE=ACC</stp>
        <stp>ACT_EST_MAPPING=PRECISE</stp>
        <stp>FS=MRC</stp>
        <stp>CURRENCY=USD</stp>
        <stp>XLFILL=b</stp>
        <tr r="AN114" s="2"/>
      </tp>
      <tp t="s">
        <v/>
        <stp/>
        <stp>##V3_BQLV12</stp>
        <stp>[MODL_CRM_US1.xlsx]Single Period!R137C37</stp>
        <stp>CRM US Equity</stp>
        <stp>BS_EQTY_BEFORE_MINORITY_INT/1M</stp>
        <stp>FPR=2022Y</stp>
        <stp>FPT=A</stp>
        <stp>FA_ACT_EST_DATA=E, EST_SOURCE=EVR</stp>
        <stp>ACT_EST_MAPPING=PRECISE</stp>
        <stp>FS=MRC</stp>
        <stp>CURRENCY=USD</stp>
        <stp>XLFILL=b</stp>
        <tr r="AK137" s="2"/>
      </tp>
      <tp t="s">
        <v/>
        <stp/>
        <stp>##V3_BQLV12</stp>
        <stp>[MODL_CRM_US1.xlsx]Single Period!R98C35</stp>
        <stp>CRM US Equity</stp>
        <stp>IS_INC_TAX_EFFECT_NONGAAP_REC/1M</stp>
        <stp>FPR=2022Y</stp>
        <stp>FPT=A</stp>
        <stp>FA_ACT_EST_DATA=E, EST_SOURCE=ATL</stp>
        <stp>ACT_EST_MAPPING=PRECISE</stp>
        <stp>FS=MRC</stp>
        <stp>CURRENCY=USD</stp>
        <stp>XLFILL=b</stp>
        <tr r="AI98" s="2"/>
      </tp>
      <tp t="s">
        <v/>
        <stp/>
        <stp>##V3_BQLV12</stp>
        <stp>[MODL_CRM_US1.xlsx]Single Period!R130C51</stp>
        <stp>CRM US Equity</stp>
        <stp>BS_ST_OPERATING_LEASE_LIABS/1M</stp>
        <stp>FPR=2022Y</stp>
        <stp>FPT=A</stp>
        <stp>FA_ACT_EST_DATA=E, EST_SOURCE=RCP</stp>
        <stp>ACT_EST_MAPPING=PRECISE</stp>
        <stp>FS=MRC</stp>
        <stp>CURRENCY=USD</stp>
        <stp>XLFILL=b</stp>
        <tr r="AY130" s="2"/>
      </tp>
      <tp t="s">
        <v/>
        <stp/>
        <stp>##V3_BQLV12</stp>
        <stp>[MODL_CRM_US1.xlsx]Single Period!R12C52</stp>
        <stp>CRM US Equity</stp>
        <stp>TOT_FUTURE_REV_UNDER_CONTRACT/1M</stp>
        <stp>FPR=2022Y</stp>
        <stp>FPT=A</stp>
        <stp>FA_ACT_EST_DATA=E, EST_SOURCE=WFR</stp>
        <stp>ACT_EST_MAPPING=PRECISE</stp>
        <stp>FS=MRC</stp>
        <stp>CURRENCY=USD</stp>
        <stp>XLFILL=b</stp>
        <tr r="AZ12" s="2"/>
      </tp>
      <tp t="s">
        <v/>
        <stp/>
        <stp>##V3_BQLV12</stp>
        <stp>[MODL_CRM_US1.xlsx]Single Period!R114C19</stp>
        <stp>CRM US Equity</stp>
        <stp>BS_ACCTS_REC_EXCL_NOTES_REC/1M</stp>
        <stp>FPR=2022Y</stp>
        <stp>FPT=A</stp>
        <stp>FA_ACT_EST_DATA=E, EST_SOURCE=SCB</stp>
        <stp>ACT_EST_MAPPING=PRECISE</stp>
        <stp>FS=MRC</stp>
        <stp>CURRENCY=USD</stp>
        <stp>XLFILL=b</stp>
        <tr r="S114" s="2"/>
      </tp>
      <tp t="s">
        <v/>
        <stp/>
        <stp>##V3_BQLV12</stp>
        <stp>[MODL_CRM_US1.xlsx]Single Period!R63C52</stp>
        <stp>CRM US Equity</stp>
        <stp>CF_DEPR_AMORT/1M</stp>
        <stp>FPR=2022Y</stp>
        <stp>FPT=A</stp>
        <stp>FA_ACT_EST_DATA=E, EST_SOURCE=WFR</stp>
        <stp>ACT_EST_MAPPING=PRECISE</stp>
        <stp>FS=MRC</stp>
        <stp>CURRENCY=USD</stp>
        <stp>XLFILL=b</stp>
        <tr r="AZ63" s="2"/>
      </tp>
      <tp t="s">
        <v/>
        <stp/>
        <stp>##V3_BQLV12</stp>
        <stp>[MODL_CRM_US1.xlsx]Single Period!R100C48</stp>
        <stp>CRM US Equity</stp>
        <stp>IS_SBC_ATTRIB_TO_COGS_PRETX/1M</stp>
        <stp>FPR=2022Y</stp>
        <stp>FPT=A</stp>
        <stp>FA_ACT_EST_DATA=E, EST_SOURCE=PJE</stp>
        <stp>ACT_EST_MAPPING=PRECISE</stp>
        <stp>FS=MRC</stp>
        <stp>CURRENCY=USD</stp>
        <stp>XLFILL=b</stp>
        <tr r="AV100" s="2"/>
      </tp>
      <tp t="s">
        <v/>
        <stp/>
        <stp>##V3_BQLV12</stp>
        <stp>[MODL_CRM_US1.xlsx]Single Period!R117C36</stp>
        <stp>CRM US Equity</stp>
        <stp>BS_TOTAL_NON_CURRENT_ASSETS/1M</stp>
        <stp>FPR=2022Y</stp>
        <stp>FPT=A</stp>
        <stp>FA_ACT_EST_DATA=E, EST_SOURCE=MAC</stp>
        <stp>ACT_EST_MAPPING=PRECISE</stp>
        <stp>FS=MRC</stp>
        <stp>CURRENCY=USD</stp>
        <stp>XLFILL=b</stp>
        <tr r="AJ117" s="2"/>
      </tp>
      <tp t="s">
        <v/>
        <stp/>
        <stp>##V3_BQLV12</stp>
        <stp>[MODL_CRM_US1.xlsx]Single Period!R93C38</stp>
        <stp>CRM US Equity</stp>
        <stp>IS_AVG_NUM_SH_FOR_EPS/1M</stp>
        <stp>FPR=2022Y</stp>
        <stp>FPT=A</stp>
        <stp>FA_ACT_EST_DATA=E, EST_SOURCE=MSR</stp>
        <stp>ACT_EST_MAPPING=PRECISE</stp>
        <stp>FS=MRC</stp>
        <stp>CURRENCY=USD</stp>
        <stp>XLFILL=b</stp>
        <tr r="AL93" s="2"/>
      </tp>
      <tp t="s">
        <v/>
        <stp/>
        <stp>##V3_BQLV12</stp>
        <stp>[MODL_CRM_US1.xlsx]Single Period!R100C21</stp>
        <stp>CRM US Equity</stp>
        <stp>IS_SBC_ATTRIB_TO_COGS_PRETX/1M</stp>
        <stp>FPR=2022Y</stp>
        <stp>FPT=A</stp>
        <stp>FA_ACT_EST_DATA=E, EST_SOURCE=RJA</stp>
        <stp>ACT_EST_MAPPING=PRECISE</stp>
        <stp>FS=MRC</stp>
        <stp>CURRENCY=USD</stp>
        <stp>XLFILL=b</stp>
        <tr r="U100" s="2"/>
      </tp>
      <tp t="s">
        <v/>
        <stp/>
        <stp>##V3_BQLV12</stp>
        <stp>[MODL_CRM_US1.xlsx]Single Period!R134C27</stp>
        <stp>CRM US Equity</stp>
        <stp>BS_LT_OPERATING_LEASE_LIABS/1M</stp>
        <stp>FPR=2022Y</stp>
        <stp>FPT=A</stp>
        <stp>FA_ACT_EST_DATA=E, EST_SOURCE=LCM</stp>
        <stp>ACT_EST_MAPPING=PRECISE</stp>
        <stp>FS=MRC</stp>
        <stp>CURRENCY=USD</stp>
        <stp>XLFILL=b</stp>
        <tr r="AA134" s="2"/>
      </tp>
      <tp>
        <v>10120.09274179915</v>
        <stp/>
        <stp>##V3_BQLV12</stp>
        <stp>[MODL_CRM_US1.xlsx]Single Period!R114C13</stp>
        <stp>CRM US Equity</stp>
        <stp>BS_ACCTS_REC_EXCL_NOTES_REC/1M</stp>
        <stp>FPR=2022Y</stp>
        <stp>FPT=A</stp>
        <stp>FA_ACT_EST_DATA=E, EST_SOURCE=BCA</stp>
        <stp>ACT_EST_MAPPING=PRECISE</stp>
        <stp>FS=MRC</stp>
        <stp>CURRENCY=USD</stp>
        <stp>XLFILL=b</stp>
        <tr r="M114" s="2"/>
      </tp>
      <tp t="s">
        <v/>
        <stp/>
        <stp>##V3_BQLV12</stp>
        <stp>[MODL_CRM_US1.xlsx]Single Period!R134C13</stp>
        <stp>CRM US Equity</stp>
        <stp>BS_LT_OPERATING_LEASE_LIABS/1M</stp>
        <stp>FPR=2022Y</stp>
        <stp>FPT=A</stp>
        <stp>FA_ACT_EST_DATA=E, EST_SOURCE=BCA</stp>
        <stp>ACT_EST_MAPPING=PRECISE</stp>
        <stp>FS=MRC</stp>
        <stp>CURRENCY=USD</stp>
        <stp>XLFILL=b</stp>
        <tr r="M134" s="2"/>
      </tp>
      <tp t="s">
        <v/>
        <stp/>
        <stp>##V3_BQLV12</stp>
        <stp>[MODL_CRM_US1.xlsx]Single Period!R117C30</stp>
        <stp>CRM US Equity</stp>
        <stp>BS_TOTAL_NON_CURRENT_ASSETS/1M</stp>
        <stp>FPR=2022Y</stp>
        <stp>FPT=A</stp>
        <stp>FA_ACT_EST_DATA=E, EST_SOURCE=BAM</stp>
        <stp>ACT_EST_MAPPING=PRECISE</stp>
        <stp>FS=MRC</stp>
        <stp>CURRENCY=USD</stp>
        <stp>XLFILL=b</stp>
        <tr r="AD117" s="2"/>
      </tp>
      <tp t="s">
        <v/>
        <stp/>
        <stp>##V3_BQLV12</stp>
        <stp>[MODL_CRM_US1.xlsx]Single Period!R114C27</stp>
        <stp>CRM US Equity</stp>
        <stp>BS_ACCTS_REC_EXCL_NOTES_REC/1M</stp>
        <stp>FPR=2022Y</stp>
        <stp>FPT=A</stp>
        <stp>FA_ACT_EST_DATA=E, EST_SOURCE=LCM</stp>
        <stp>ACT_EST_MAPPING=PRECISE</stp>
        <stp>FS=MRC</stp>
        <stp>CURRENCY=USD</stp>
        <stp>XLFILL=b</stp>
        <tr r="AA114" s="2"/>
      </tp>
      <tp t="s">
        <v/>
        <stp/>
        <stp>##V3_BQLV12</stp>
        <stp>[MODL_CRM_US1.xlsx]Single Period!R98C42</stp>
        <stp>CRM US Equity</stp>
        <stp>IS_INC_TAX_EFFECT_NONGAAP_REC/1M</stp>
        <stp>FPR=2022Y</stp>
        <stp>FPT=A</stp>
        <stp>FA_ACT_EST_DATA=E, EST_SOURCE=PSG</stp>
        <stp>ACT_EST_MAPPING=PRECISE</stp>
        <stp>FS=MRC</stp>
        <stp>CURRENCY=USD</stp>
        <stp>XLFILL=b</stp>
        <tr r="AP98" s="2"/>
      </tp>
      <tp t="s">
        <v/>
        <stp/>
        <stp>##V3_BQLV12</stp>
        <stp>[MODL_CRM_US1.xlsx]Single Period!R117C18</stp>
        <stp>CRM US Equity</stp>
        <stp>BS_TOTAL_NON_CURRENT_ASSETS/1M</stp>
        <stp>FPR=2022Y</stp>
        <stp>FPT=A</stp>
        <stp>FA_ACT_EST_DATA=E, EST_SOURCE=CAN</stp>
        <stp>ACT_EST_MAPPING=PRECISE</stp>
        <stp>FS=MRC</stp>
        <stp>CURRENCY=USD</stp>
        <stp>XLFILL=b</stp>
        <tr r="R117" s="2"/>
      </tp>
      <tp t="s">
        <v/>
        <stp/>
        <stp>##V3_BQLV12</stp>
        <stp>[MODL_CRM_US1.xlsx]Single Period!R185C56</stp>
        <stp>CRM US Equity</stp>
        <stp>CF_EFFECT_FOREIGN_EXCHANGES/1M</stp>
        <stp>FPR=2022Y</stp>
        <stp>FPT=A</stp>
        <stp>FA_ACT_EST_DATA=E, EST_SOURCE=DIR</stp>
        <stp>ACT_EST_MAPPING=PRECISE</stp>
        <stp>FS=MRC</stp>
        <stp>CURRENCY=USD</stp>
        <stp>XLFILL=b</stp>
        <tr r="BD185" s="2"/>
      </tp>
      <tp>
        <v>26395</v>
        <stp/>
        <stp>##V3_BQLV12</stp>
        <stp>[MODL_CRM_US1.xlsx]Single Period!R52C22</stp>
        <stp>CRM US Equity</stp>
        <stp>IS_COMP_SALES/1M</stp>
        <stp>FPR=2022Y</stp>
        <stp>FPT=A</stp>
        <stp>FA_ACT_EST_DATA=E, EST_SOURCE=OPY</stp>
        <stp>ACT_EST_MAPPING=PRECISE</stp>
        <stp>FS=MRC</stp>
        <stp>CURRENCY=USD</stp>
        <stp>XLFILL=b</stp>
        <tr r="V52" s="2"/>
      </tp>
      <tp t="s">
        <v/>
        <stp/>
        <stp>##V3_BQLV12</stp>
        <stp>[MODL_CRM_US1.xlsx]Single Period!R162C51</stp>
        <stp>CRM US Equity</stp>
        <stp>CF_CHANGE_IN_PREPAID_EXPNSS/1M</stp>
        <stp>FPR=2022Y</stp>
        <stp>FPT=A</stp>
        <stp>FA_ACT_EST_DATA=E, EST_SOURCE=RCP</stp>
        <stp>ACT_EST_MAPPING=PRECISE</stp>
        <stp>FS=MRC</stp>
        <stp>CURRENCY=USD</stp>
        <stp>XLFILL=b</stp>
        <tr r="AY162" s="2"/>
      </tp>
      <tp t="s">
        <v/>
        <stp/>
        <stp>##V3_BQLV12</stp>
        <stp>[MODL_CRM_US1.xlsx]Single Period!R146C41</stp>
        <stp>CRM US Equity</stp>
        <stp>CUR_RATIO</stp>
        <stp>FPR=2022Y</stp>
        <stp>FPT=A</stp>
        <stp>FA_ACT_EST_DATA=E, EST_SOURCE=GSR</stp>
        <stp>ACT_EST_MAPPING=PRECISE</stp>
        <stp>FS=MRC</stp>
        <stp>CURRENCY=USD</stp>
        <stp>XLFILL=b</stp>
        <tr r="AO146" s="2"/>
      </tp>
      <tp t="s">
        <v/>
        <stp/>
        <stp>##V3_BQLV12</stp>
        <stp>[MODL_CRM_US1.xlsx]Single Period!R134C19</stp>
        <stp>CRM US Equity</stp>
        <stp>BS_LT_OPERATING_LEASE_LIABS/1M</stp>
        <stp>FPR=2022Y</stp>
        <stp>FPT=A</stp>
        <stp>FA_ACT_EST_DATA=E, EST_SOURCE=SCB</stp>
        <stp>ACT_EST_MAPPING=PRECISE</stp>
        <stp>FS=MRC</stp>
        <stp>CURRENCY=USD</stp>
        <stp>XLFILL=b</stp>
        <tr r="S134" s="2"/>
      </tp>
      <tp t="s">
        <v/>
        <stp/>
        <stp>##V3_BQLV12</stp>
        <stp>[MODL_CRM_US1.xlsx]Single Period!R146C38</stp>
        <stp>CRM US Equity</stp>
        <stp>CUR_RATIO</stp>
        <stp>FPR=2022Y</stp>
        <stp>FPT=A</stp>
        <stp>FA_ACT_EST_DATA=E, EST_SOURCE=MSR</stp>
        <stp>ACT_EST_MAPPING=PRECISE</stp>
        <stp>FS=MRC</stp>
        <stp>CURRENCY=USD</stp>
        <stp>XLFILL=b</stp>
        <tr r="AL146" s="2"/>
      </tp>
      <tp t="s">
        <v/>
        <stp/>
        <stp>##V3_BQLV12</stp>
        <stp>[MODL_CRM_US1.xlsx]Single Period!R128C56</stp>
        <stp>CRM US Equity</stp>
        <stp>BS_CUR_LIAB/1M</stp>
        <stp>FPR=2022Y</stp>
        <stp>FPT=A</stp>
        <stp>FA_ACT_EST_DATA=E, EST_SOURCE=DIR</stp>
        <stp>ACT_EST_MAPPING=PRECISE</stp>
        <stp>FS=MRC</stp>
        <stp>CURRENCY=USD</stp>
        <stp>XLFILL=b</stp>
        <tr r="BD128" s="2"/>
      </tp>
      <tp t="s">
        <v/>
        <stp/>
        <stp>##V3_BQLV12</stp>
        <stp>[MODL_CRM_US1.xlsx]Single Period!R132C26</stp>
        <stp>CRM US Equity</stp>
        <stp>BS_ADJ_TOTAL_LT_LIABILITIES/1M</stp>
        <stp>FPR=2022Y</stp>
        <stp>FPT=A</stp>
        <stp>FA_ACT_EST_DATA=E, EST_SOURCE=KEY</stp>
        <stp>ACT_EST_MAPPING=PRECISE</stp>
        <stp>FS=MRC</stp>
        <stp>CURRENCY=USD</stp>
        <stp>XLFILL=b</stp>
        <tr r="Z132" s="2"/>
      </tp>
      <tp t="s">
        <v/>
        <stp/>
        <stp>##V3_BQLV12</stp>
        <stp>[MODL_CRM_US1.xlsx]Single Period!R134C40</stp>
        <stp>CRM US Equity</stp>
        <stp>BS_LT_OPERATING_LEASE_LIABS/1M</stp>
        <stp>FPR=2022Y</stp>
        <stp>FPT=A</stp>
        <stp>FA_ACT_EST_DATA=E, EST_SOURCE=ACC</stp>
        <stp>ACT_EST_MAPPING=PRECISE</stp>
        <stp>FS=MRC</stp>
        <stp>CURRENCY=USD</stp>
        <stp>XLFILL=b</stp>
        <tr r="AN134" s="2"/>
      </tp>
      <tp>
        <v>0.92920327342314724</v>
        <stp/>
        <stp>##V3_BQLV12</stp>
        <stp>[MODL_CRM_US1.xlsx]Single Period!R146C15</stp>
        <stp>CRM US Equity</stp>
        <stp>CUR_RATIO</stp>
        <stp>FPR=2022Y</stp>
        <stp>FPT=A</stp>
        <stp>FA_ACT_EST_DATA=E, EST_SOURCE=MSV</stp>
        <stp>ACT_EST_MAPPING=PRECISE</stp>
        <stp>FS=MRC</stp>
        <stp>CURRENCY=USD</stp>
        <stp>XLFILL=b</stp>
        <tr r="O146" s="2"/>
      </tp>
      <tp t="s">
        <v/>
        <stp/>
        <stp>##V3_BQLV12</stp>
        <stp>[MODL_CRM_US1.xlsx]Single Period!R10C33</stp>
        <stp>SEG0000269238 Segment</stp>
        <stp>SALES_REV_TURN/1M</stp>
        <stp>FPR=2022Y</stp>
        <stp>FPT=A</stp>
        <stp>FA_ACT_EST_DATA=E, EST_SOURCE=RHR</stp>
        <stp>ACT_EST_MAPPING=PRECISE</stp>
        <stp>FS=MRC</stp>
        <stp>CURRENCY=USD</stp>
        <stp>XLFILL=b</stp>
        <tr r="AG10" s="2"/>
      </tp>
      <tp>
        <v>5654</v>
        <stp/>
        <stp>##V3_BQLV12</stp>
        <stp>[MODL_CRM_US1.xlsx]Single Period!R64C21</stp>
        <stp>CRM US Equity</stp>
        <stp>IS_COMPARABLE_EBITDA/1M</stp>
        <stp>FPR=2022Y</stp>
        <stp>FPT=A</stp>
        <stp>FA_ACT_EST_DATA=E, EST_SOURCE=RJA</stp>
        <stp>ACT_EST_MAPPING=PRECISE</stp>
        <stp>FS=MRC</stp>
        <stp>CURRENCY=USD</stp>
        <stp>XLFILL=b</stp>
        <tr r="U64" s="2"/>
      </tp>
      <tp>
        <v>41876</v>
        <stp/>
        <stp>##V3_BQLV12</stp>
        <stp>[MODL_CRM_US1.xlsx]Single Period!R149C26</stp>
        <stp>CRM US Equity</stp>
        <stp>TOT_FUTURE_REV_UNDER_CONTRACT/1M</stp>
        <stp>FPR=2022Y</stp>
        <stp>FPT=A</stp>
        <stp>FA_ACT_EST_DATA=E, EST_SOURCE=KEY</stp>
        <stp>ACT_EST_MAPPING=PRECISE</stp>
        <stp>FS=MRC</stp>
        <stp>CURRENCY=USD</stp>
        <stp>XLFILL=b</stp>
        <tr r="Z149" s="2"/>
      </tp>
      <tp t="s">
        <v/>
        <stp/>
        <stp>##V3_BQLV12</stp>
        <stp>[MODL_CRM_US1.xlsx]Single Period!R27C33</stp>
        <stp>SEG0000269241 Segment</stp>
        <stp>SALES_REV_TURN/1M</stp>
        <stp>FPR=2022Y</stp>
        <stp>FPT=A</stp>
        <stp>FA_ACT_EST_DATA=E, EST_SOURCE=RHR</stp>
        <stp>ACT_EST_MAPPING=PRECISE</stp>
        <stp>FS=MRC</stp>
        <stp>CURRENCY=USD</stp>
        <stp>XLFILL=b</stp>
        <tr r="AG27" s="2"/>
      </tp>
      <tp t="s">
        <v/>
        <stp/>
        <stp>##V3_BQLV12</stp>
        <stp>[MODL_CRM_US1.xlsx]Single Period!R26C56</stp>
        <stp>SEG0000269247 Segment</stp>
        <stp>SALES_REV_TURN/1M</stp>
        <stp>FPR=2022Y</stp>
        <stp>FPT=A</stp>
        <stp>FA_ACT_EST_DATA=E, EST_SOURCE=DIR</stp>
        <stp>ACT_EST_MAPPING=PRECISE</stp>
        <stp>FS=MRC</stp>
        <stp>CURRENCY=USD</stp>
        <stp>XLFILL=b</stp>
        <tr r="BD26" s="2"/>
      </tp>
      <tp t="s">
        <v/>
        <stp/>
        <stp>##V3_BQLV12</stp>
        <stp>[MODL_CRM_US1.xlsx]Single Period!R123C15</stp>
        <stp>CRM US Equity</stp>
        <stp>TOT_OPER_LEA_RT_OF_USE_ASSETS/1M</stp>
        <stp>FPR=2022Y</stp>
        <stp>FPT=A</stp>
        <stp>FA_ACT_EST_DATA=E, EST_SOURCE=MSV</stp>
        <stp>ACT_EST_MAPPING=PRECISE</stp>
        <stp>FS=MRC</stp>
        <stp>CURRENCY=USD</stp>
        <stp>XLFILL=b</stp>
        <tr r="O123" s="2"/>
      </tp>
      <tp t="s">
        <v/>
        <stp/>
        <stp>##V3_BQLV12</stp>
        <stp>[MODL_CRM_US1.xlsx]Single Period!R119C28</stp>
        <stp>CRM US Equity</stp>
        <stp>CB_BS_OTHER_NONCURRENT_ASSETS/1M</stp>
        <stp>FPR=2022Y</stp>
        <stp>FPT=A</stp>
        <stp>FA_ACT_EST_DATA=E, EST_SOURCE=CWN</stp>
        <stp>ACT_EST_MAPPING=PRECISE</stp>
        <stp>FS=MRC</stp>
        <stp>CURRENCY=USD</stp>
        <stp>XLFILL=b</stp>
        <tr r="AB119" s="2"/>
      </tp>
      <tp t="s">
        <v/>
        <stp/>
        <stp>##V3_BQLV12</stp>
        <stp>[MODL_CRM_US1.xlsx]Single Period!R38C36</stp>
        <stp>SEG0000269228 Segment</stp>
        <stp>SALES_REV_TURN/1M</stp>
        <stp>FPR=2022Y</stp>
        <stp>FPT=A</stp>
        <stp>FA_ACT_EST_DATA=E, EST_SOURCE=MAC</stp>
        <stp>ACT_EST_MAPPING=PRECISE</stp>
        <stp>FS=MRC</stp>
        <stp>CURRENCY=USD</stp>
        <stp>XLFILL=b</stp>
        <tr r="AJ38" s="2"/>
      </tp>
      <tp t="s">
        <v/>
        <stp/>
        <stp>##V3_BQLV12</stp>
        <stp>[MODL_CRM_US1.xlsx]Single Period!R28C39</stp>
        <stp>SEG0000269242 Segment</stp>
        <stp>SALES_REV_TURN/1M</stp>
        <stp>FPR=2022Y</stp>
        <stp>FPT=A</stp>
        <stp>FA_ACT_EST_DATA=E, EST_SOURCE=KGI</stp>
        <stp>ACT_EST_MAPPING=PRECISE</stp>
        <stp>FS=MRC</stp>
        <stp>CURRENCY=USD</stp>
        <stp>XLFILL=b</stp>
        <tr r="AM28" s="2"/>
      </tp>
      <tp t="s">
        <v/>
        <stp/>
        <stp>##V3_BQLV12</stp>
        <stp>[MODL_CRM_US1.xlsx]Single Period!R149C11</stp>
        <stp>CRM US Equity</stp>
        <stp>TOT_FUTURE_REV_UNDER_CONTRACT/1M</stp>
        <stp>FPR=2022Y</stp>
        <stp>FPT=A</stp>
        <stp>FA_ACT_EST_DATA=E, EST_SOURCE=WBL</stp>
        <stp>ACT_EST_MAPPING=PRECISE</stp>
        <stp>FS=MRC</stp>
        <stp>CURRENCY=USD</stp>
        <stp>XLFILL=b</stp>
        <tr r="K149" s="2"/>
      </tp>
      <tp t="s">
        <v/>
        <stp/>
        <stp>##V3_BQLV12</stp>
        <stp>[MODL_CRM_US1.xlsx]Single Period!R48C36</stp>
        <stp>SEG0000269229 Segment</stp>
        <stp>SALES_REV_TURN/1M</stp>
        <stp>FPR=2022Y</stp>
        <stp>FPT=A</stp>
        <stp>FA_ACT_EST_DATA=E, EST_SOURCE=MAC</stp>
        <stp>ACT_EST_MAPPING=PRECISE</stp>
        <stp>FS=MRC</stp>
        <stp>CURRENCY=USD</stp>
        <stp>XLFILL=b</stp>
        <tr r="AJ48" s="2"/>
      </tp>
      <tp t="s">
        <v/>
        <stp/>
        <stp>##V3_BQLV12</stp>
        <stp>[MODL_CRM_US1.xlsx]Single Period!R29C18</stp>
        <stp>SEG0000269233 Segment</stp>
        <stp>SALES_REV_TURN/1M</stp>
        <stp>FPR=2022Y</stp>
        <stp>FPT=A</stp>
        <stp>FA_ACT_EST_DATA=E, EST_SOURCE=CAN</stp>
        <stp>ACT_EST_MAPPING=PRECISE</stp>
        <stp>FS=MRC</stp>
        <stp>CURRENCY=USD</stp>
        <stp>XLFILL=b</stp>
        <tr r="R29" s="2"/>
      </tp>
      <tp t="s">
        <v/>
        <stp/>
        <stp>##V3_BQLV12</stp>
        <stp>[MODL_CRM_US1.xlsx]Single Period!R26C53</stp>
        <stp>SEG0000269247 Segment</stp>
        <stp>SALES_REV_TURN/1M</stp>
        <stp>FPR=2022Y</stp>
        <stp>FPT=A</stp>
        <stp>FA_ACT_EST_DATA=E, EST_SOURCE=NIK</stp>
        <stp>ACT_EST_MAPPING=PRECISE</stp>
        <stp>FS=MRC</stp>
        <stp>CURRENCY=USD</stp>
        <stp>XLFILL=b</stp>
        <tr r="BA26" s="2"/>
      </tp>
      <tp>
        <v>26396</v>
        <stp/>
        <stp>##V3_BQLV12</stp>
        <stp>[MODL_CRM_US1.xlsx]Single Period!R52C9</stp>
        <stp>CRM US Equity</stp>
        <stp>CONTRIBUTOR_STATS(IS_COMP_SALES, MEDIAN)/1M</stp>
        <stp>FPR=2022Y</stp>
        <stp>FPT=A</stp>
        <stp>FA_ACT_EST_DATA=E</stp>
        <stp>ACT_EST_MAPPING=PRECISE</stp>
        <stp>FS=MRC</stp>
        <stp>CURRENCY=USD</stp>
        <stp>XLFILL=b</stp>
        <tr r="I52" s="2"/>
      </tp>
      <tp t="s">
        <v/>
        <stp/>
        <stp>##V3_BQLV12</stp>
        <stp>[MODL_CRM_US1.xlsx]Single Period!R149C17</stp>
        <stp>CRM US Equity</stp>
        <stp>TOT_FUTURE_REV_UNDER_CONTRACT/1M</stp>
        <stp>FPR=2022Y</stp>
        <stp>FPT=A</stp>
        <stp>FA_ACT_EST_DATA=E, EST_SOURCE=NDH</stp>
        <stp>ACT_EST_MAPPING=PRECISE</stp>
        <stp>FS=MRC</stp>
        <stp>CURRENCY=USD</stp>
        <stp>XLFILL=b</stp>
        <tr r="Q149" s="2"/>
      </tp>
      <tp t="s">
        <v/>
        <stp/>
        <stp>##V3_BQLV12</stp>
        <stp>[MODL_CRM_US1.xlsx]Single Period!R29C30</stp>
        <stp>SEG0000269233 Segment</stp>
        <stp>SALES_REV_TURN/1M</stp>
        <stp>FPR=2022Y</stp>
        <stp>FPT=A</stp>
        <stp>FA_ACT_EST_DATA=E, EST_SOURCE=BAM</stp>
        <stp>ACT_EST_MAPPING=PRECISE</stp>
        <stp>FS=MRC</stp>
        <stp>CURRENCY=USD</stp>
        <stp>XLFILL=b</stp>
        <tr r="AD29" s="2"/>
      </tp>
      <tp t="s">
        <v/>
        <stp/>
        <stp>##V3_BQLV12</stp>
        <stp>[MODL_CRM_US1.xlsx]Single Period!R29C36</stp>
        <stp>SEG0000269233 Segment</stp>
        <stp>SALES_REV_TURN/1M</stp>
        <stp>FPR=2022Y</stp>
        <stp>FPT=A</stp>
        <stp>FA_ACT_EST_DATA=E, EST_SOURCE=MAC</stp>
        <stp>ACT_EST_MAPPING=PRECISE</stp>
        <stp>FS=MRC</stp>
        <stp>CURRENCY=USD</stp>
        <stp>XLFILL=b</stp>
        <tr r="AJ29" s="2"/>
      </tp>
      <tp t="s">
        <v/>
        <stp/>
        <stp>##V3_BQLV12</stp>
        <stp>[MODL_CRM_US1.xlsx]Single Period!R149C31</stp>
        <stp>CRM US Equity</stp>
        <stp>TOT_FUTURE_REV_UNDER_CONTRACT/1M</stp>
        <stp>FPR=2022Y</stp>
        <stp>FPT=A</stp>
        <stp>FA_ACT_EST_DATA=E, EST_SOURCE=RBC</stp>
        <stp>ACT_EST_MAPPING=PRECISE</stp>
        <stp>FS=MRC</stp>
        <stp>CURRENCY=USD</stp>
        <stp>XLFILL=b</stp>
        <tr r="AE149" s="2"/>
      </tp>
      <tp t="s">
        <v/>
        <stp/>
        <stp>##V3_BQLV12</stp>
        <stp>[MODL_CRM_US1.xlsx]Single Period!R149C40</stp>
        <stp>CRM US Equity</stp>
        <stp>TOT_FUTURE_REV_UNDER_CONTRACT/1M</stp>
        <stp>FPR=2022Y</stp>
        <stp>FPT=A</stp>
        <stp>FA_ACT_EST_DATA=E, EST_SOURCE=ACC</stp>
        <stp>ACT_EST_MAPPING=PRECISE</stp>
        <stp>FS=MRC</stp>
        <stp>CURRENCY=USD</stp>
        <stp>XLFILL=b</stp>
        <tr r="AN149" s="2"/>
      </tp>
      <tp t="s">
        <v/>
        <stp/>
        <stp>##V3_BQLV12</stp>
        <stp>[MODL_CRM_US1.xlsx]Single Period!R38C30</stp>
        <stp>SEG0000269228 Segment</stp>
        <stp>SALES_REV_TURN/1M</stp>
        <stp>FPR=2022Y</stp>
        <stp>FPT=A</stp>
        <stp>FA_ACT_EST_DATA=E, EST_SOURCE=BAM</stp>
        <stp>ACT_EST_MAPPING=PRECISE</stp>
        <stp>FS=MRC</stp>
        <stp>CURRENCY=USD</stp>
        <stp>XLFILL=b</stp>
        <tr r="AD38" s="2"/>
      </tp>
      <tp t="s">
        <v/>
        <stp/>
        <stp>##V3_BQLV12</stp>
        <stp>[MODL_CRM_US1.xlsx]Single Period!R123C54</stp>
        <stp>CRM US Equity</stp>
        <stp>TOT_OPER_LEA_RT_OF_USE_ASSETS/1M</stp>
        <stp>FPR=2022Y</stp>
        <stp>FPT=A</stp>
        <stp>FA_ACT_EST_DATA=E, EST_SOURCE=ARE</stp>
        <stp>ACT_EST_MAPPING=PRECISE</stp>
        <stp>FS=MRC</stp>
        <stp>CURRENCY=USD</stp>
        <stp>XLFILL=b</stp>
        <tr r="BB123" s="2"/>
      </tp>
      <tp t="s">
        <v/>
        <stp/>
        <stp>##V3_BQLV12</stp>
        <stp>[MODL_CRM_US1.xlsx]Single Period!R48C30</stp>
        <stp>SEG0000269229 Segment</stp>
        <stp>SALES_REV_TURN/1M</stp>
        <stp>FPR=2022Y</stp>
        <stp>FPT=A</stp>
        <stp>FA_ACT_EST_DATA=E, EST_SOURCE=BAM</stp>
        <stp>ACT_EST_MAPPING=PRECISE</stp>
        <stp>FS=MRC</stp>
        <stp>CURRENCY=USD</stp>
        <stp>XLFILL=b</stp>
        <tr r="AD48" s="2"/>
      </tp>
      <tp t="s">
        <v/>
        <stp/>
        <stp>##V3_BQLV12</stp>
        <stp>[MODL_CRM_US1.xlsx]Single Period!R48C18</stp>
        <stp>SEG0000269229 Segment</stp>
        <stp>SALES_REV_TURN/1M</stp>
        <stp>FPR=2022Y</stp>
        <stp>FPT=A</stp>
        <stp>FA_ACT_EST_DATA=E, EST_SOURCE=CAN</stp>
        <stp>ACT_EST_MAPPING=PRECISE</stp>
        <stp>FS=MRC</stp>
        <stp>CURRENCY=USD</stp>
        <stp>XLFILL=b</stp>
        <tr r="R48" s="2"/>
      </tp>
      <tp t="s">
        <v/>
        <stp/>
        <stp>##V3_BQLV12</stp>
        <stp>[MODL_CRM_US1.xlsx]Single Period!R28C49</stp>
        <stp>SEG0000269242 Segment</stp>
        <stp>SALES_REV_TURN/1M</stp>
        <stp>FPR=2022Y</stp>
        <stp>FPT=A</stp>
        <stp>FA_ACT_EST_DATA=E, EST_SOURCE=SGE</stp>
        <stp>ACT_EST_MAPPING=PRECISE</stp>
        <stp>FS=MRC</stp>
        <stp>CURRENCY=USD</stp>
        <stp>XLFILL=b</stp>
        <tr r="AW28" s="2"/>
      </tp>
      <tp t="s">
        <v/>
        <stp/>
        <stp>##V3_BQLV12</stp>
        <stp>[MODL_CRM_US1.xlsx]Single Period!R38C18</stp>
        <stp>SEG0000269228 Segment</stp>
        <stp>SALES_REV_TURN/1M</stp>
        <stp>FPR=2022Y</stp>
        <stp>FPT=A</stp>
        <stp>FA_ACT_EST_DATA=E, EST_SOURCE=CAN</stp>
        <stp>ACT_EST_MAPPING=PRECISE</stp>
        <stp>FS=MRC</stp>
        <stp>CURRENCY=USD</stp>
        <stp>XLFILL=b</stp>
        <tr r="R38" s="2"/>
      </tp>
      <tp t="s">
        <v/>
        <stp/>
        <stp>##V3_BQLV12</stp>
        <stp>[MODL_CRM_US1.xlsx]Single Period!R170C10</stp>
        <stp>CRM US Equity</stp>
        <stp>CF_CASH_FOR_ACQUIS_SUBSIDIARIES/1M</stp>
        <stp>FPR=2022Y</stp>
        <stp>FPT=A</stp>
        <stp>FA_ACT_EST_DATA=E, EST_SOURCE=CMPY</stp>
        <stp>ACT_EST_MAPPING=PRECISE</stp>
        <stp>FS=MRC</stp>
        <stp>CURRENCY=USD</stp>
        <stp>XLFILL=b</stp>
        <tr r="J170" s="2"/>
      </tp>
      <tp>
        <v>78.7</v>
        <stp/>
        <stp>##V3_BQLV12</stp>
        <stp>[MODL_CRM_US1.xlsx]Single Period!R17C39</stp>
        <stp>CRM US Equity</stp>
        <stp>IS_COMP_GROSS_MARGIN_PERCENTAGE</stp>
        <stp>FPR=2022Y</stp>
        <stp>FPT=A</stp>
        <stp>FA_ACT_EST_DATA=E, EST_SOURCE=KGI</stp>
        <stp>ACT_EST_MAPPING=PRECISE</stp>
        <stp>FS=MRC</stp>
        <stp>CURRENCY=USD</stp>
        <stp>XLFILL=b</stp>
        <tr r="AM17" s="2"/>
      </tp>
      <tp>
        <v>78.7</v>
        <stp/>
        <stp>##V3_BQLV12</stp>
        <stp>[MODL_CRM_US1.xlsx]Single Period!R56C39</stp>
        <stp>CRM US Equity</stp>
        <stp>IS_COMP_GROSS_MARGIN_PERCENTAGE</stp>
        <stp>FPR=2022Y</stp>
        <stp>FPT=A</stp>
        <stp>FA_ACT_EST_DATA=E, EST_SOURCE=KGI</stp>
        <stp>ACT_EST_MAPPING=PRECISE</stp>
        <stp>FS=MRC</stp>
        <stp>CURRENCY=USD</stp>
        <stp>XLFILL=b</stp>
        <tr r="AM56" s="2"/>
      </tp>
      <tp t="s">
        <v/>
        <stp/>
        <stp>##V3_BQLV12</stp>
        <stp>[MODL_CRM_US1.xlsx]Single Period!R183C20</stp>
        <stp>CRM US Equity</stp>
        <stp>CASH_FLOW_PER_SH</stp>
        <stp>FPR=2022Y</stp>
        <stp>FPT=A</stp>
        <stp>FA_ACT_EST_DATA=E, EST_SOURCE=JMP</stp>
        <stp>ACT_EST_MAPPING=PRECISE</stp>
        <stp>FS=MRC</stp>
        <stp>CURRENCY=USD</stp>
        <stp>XLFILL=b</stp>
        <tr r="T183" s="2"/>
      </tp>
      <tp t="s">
        <v/>
        <stp/>
        <stp>##V3_BQLV12</stp>
        <stp>[MODL_CRM_US1.xlsx]Single Period!R82C17</stp>
        <stp>CRM US Equity</stp>
        <stp>OPERATING_EXPENSES_TO_NET_SALES</stp>
        <stp>FPR=2022Y</stp>
        <stp>FPT=A</stp>
        <stp>FA_ACT_EST_DATA=E, EST_SOURCE=NDH</stp>
        <stp>ACT_EST_MAPPING=PRECISE</stp>
        <stp>FS=MRC</stp>
        <stp>CURRENCY=USD</stp>
        <stp>XLFILL=b</stp>
        <tr r="Q82" s="2"/>
      </tp>
      <tp t="s">
        <v/>
        <stp/>
        <stp>##V3_BQLV12</stp>
        <stp>[MODL_CRM_US1.xlsx]Single Period!R165C36</stp>
        <stp>CRM US Equity</stp>
        <stp>CF_CHG_IN_DEFER_UNEARND_REV_ST/1M</stp>
        <stp>FPR=2022Y</stp>
        <stp>FPT=A</stp>
        <stp>FA_ACT_EST_DATA=E, EST_SOURCE=MAC</stp>
        <stp>ACT_EST_MAPPING=PRECISE</stp>
        <stp>FS=MRC</stp>
        <stp>CURRENCY=USD</stp>
        <stp>XLFILL=b</stp>
        <tr r="AJ165" s="2"/>
      </tp>
      <tp>
        <v>1.268635456086121</v>
        <stp/>
        <stp>##V3_BQLV12</stp>
        <stp>[MODL_CRM_US1.xlsx]Single Period!R94C8</stp>
        <stp>CRM US Equity</stp>
        <stp>CONTRIBUTOR_STATS(IS_SH_FOR_DILUTED_EPS, STD)/1M</stp>
        <stp>FPR=2022Y</stp>
        <stp>FPT=A</stp>
        <stp>FA_ACT_EST_DATA=E</stp>
        <stp>ACT_EST_MAPPING=PRECISE</stp>
        <stp>FS=MRC</stp>
        <stp>CURRENCY=USD</stp>
        <stp>XLFILL=b</stp>
        <tr r="H94" s="2"/>
      </tp>
      <tp t="s">
        <v/>
        <stp/>
        <stp>##V3_BQLV12</stp>
        <stp>[MODL_CRM_US1.xlsx]Single Period!R166C53</stp>
        <stp>CRM US Equity</stp>
        <stp>CF_CHANGE_IN_OPER_LEASE_LIBLTS/1M</stp>
        <stp>FPR=2022Y</stp>
        <stp>FPT=A</stp>
        <stp>FA_ACT_EST_DATA=E, EST_SOURCE=NIK</stp>
        <stp>ACT_EST_MAPPING=PRECISE</stp>
        <stp>FS=MRC</stp>
        <stp>CURRENCY=USD</stp>
        <stp>XLFILL=b</stp>
        <tr r="BA166" s="2"/>
      </tp>
      <tp>
        <v>6195</v>
        <stp/>
        <stp>##V3_BQLV12</stp>
        <stp>[MODL_CRM_US1.xlsx]Single Period!R189C26</stp>
        <stp>CRM US Equity</stp>
        <stp>CF_CASH_AND_CASH_EQUIV_BEG_BAL/1M</stp>
        <stp>FPR=2022Y</stp>
        <stp>FPT=A</stp>
        <stp>FA_ACT_EST_DATA=E, EST_SOURCE=KEY</stp>
        <stp>ACT_EST_MAPPING=PRECISE</stp>
        <stp>FS=MRC</stp>
        <stp>CURRENCY=USD</stp>
        <stp>XLFILL=b</stp>
        <tr r="Z189" s="2"/>
      </tp>
      <tp>
        <v>1.268635456086121</v>
        <stp/>
        <stp>##V3_BQLV12</stp>
        <stp>[MODL_CRM_US1.xlsx]Single Period!R73C8</stp>
        <stp>CRM US Equity</stp>
        <stp>CONTRIBUTOR_STATS(IS_SH_FOR_DILUTED_EPS, STD)/1M</stp>
        <stp>FPR=2022Y</stp>
        <stp>FPT=A</stp>
        <stp>FA_ACT_EST_DATA=E</stp>
        <stp>ACT_EST_MAPPING=PRECISE</stp>
        <stp>FS=MRC</stp>
        <stp>CURRENCY=USD</stp>
        <stp>XLFILL=b</stp>
        <tr r="H73" s="2"/>
      </tp>
      <tp t="s">
        <v/>
        <stp/>
        <stp>##V3_BQLV12</stp>
        <stp>[MODL_CRM_US1.xlsx]Single Period!R165C30</stp>
        <stp>CRM US Equity</stp>
        <stp>CF_CHG_IN_DEFER_UNEARND_REV_ST/1M</stp>
        <stp>FPR=2022Y</stp>
        <stp>FPT=A</stp>
        <stp>FA_ACT_EST_DATA=E, EST_SOURCE=BAM</stp>
        <stp>ACT_EST_MAPPING=PRECISE</stp>
        <stp>FS=MRC</stp>
        <stp>CURRENCY=USD</stp>
        <stp>XLFILL=b</stp>
        <tr r="AD165" s="2"/>
      </tp>
      <tp t="s">
        <v/>
        <stp/>
        <stp>##V3_BQLV12</stp>
        <stp>[MODL_CRM_US1.xlsx]Single Period!R165C18</stp>
        <stp>CRM US Equity</stp>
        <stp>CF_CHG_IN_DEFER_UNEARND_REV_ST/1M</stp>
        <stp>FPR=2022Y</stp>
        <stp>FPT=A</stp>
        <stp>FA_ACT_EST_DATA=E, EST_SOURCE=CAN</stp>
        <stp>ACT_EST_MAPPING=PRECISE</stp>
        <stp>FS=MRC</stp>
        <stp>CURRENCY=USD</stp>
        <stp>XLFILL=b</stp>
        <tr r="R165" s="2"/>
      </tp>
      <tp>
        <v>26505</v>
        <stp/>
        <stp>##V3_BQLV12</stp>
        <stp>[MODL_CRM_US1.xlsx]Single Period!R52C7</stp>
        <stp>CRM US Equity</stp>
        <stp>CONTRIBUTOR_STATS(IS_COMP_SALES, MAX)/1M</stp>
        <stp>FPR=2022Y</stp>
        <stp>FPT=A</stp>
        <stp>FA_ACT_EST_DATA=E</stp>
        <stp>ACT_EST_MAPPING=PRECISE</stp>
        <stp>FS=MRC</stp>
        <stp>CURRENCY=USD</stp>
        <stp>XLFILL=b</stp>
        <tr r="G52" s="2"/>
      </tp>
      <tp t="s">
        <v/>
        <stp/>
        <stp>##V3_BQLV12</stp>
        <stp>[MODL_CRM_US1.xlsx]Single Period!R166C56</stp>
        <stp>CRM US Equity</stp>
        <stp>CF_CHANGE_IN_OPER_LEASE_LIBLTS/1M</stp>
        <stp>FPR=2022Y</stp>
        <stp>FPT=A</stp>
        <stp>FA_ACT_EST_DATA=E, EST_SOURCE=DIR</stp>
        <stp>ACT_EST_MAPPING=PRECISE</stp>
        <stp>FS=MRC</stp>
        <stp>CURRENCY=USD</stp>
        <stp>XLFILL=b</stp>
        <tr r="BD166" s="2"/>
      </tp>
      <tp t="s">
        <v/>
        <stp/>
        <stp>##V3_BQLV12</stp>
        <stp>[MODL_CRM_US1.xlsx]Single Period!R105C47</stp>
        <stp>CRM US Equity</stp>
        <stp>IS_AMORT_ACQD_INTANGIBLES_COGS/1M</stp>
        <stp>FPR=2022Y</stp>
        <stp>FPT=A</stp>
        <stp>FA_ACT_EST_DATA=E, EST_SOURCE=WFT</stp>
        <stp>ACT_EST_MAPPING=PRECISE</stp>
        <stp>FS=MRC</stp>
        <stp>CURRENCY=USD</stp>
        <stp>XLFILL=b</stp>
        <tr r="AU105" s="2"/>
      </tp>
      <tp t="s">
        <v/>
        <stp/>
        <stp>##V3_BQLV12</stp>
        <stp>[MODL_CRM_US1.xlsx]Single Period!R105C52</stp>
        <stp>CRM US Equity</stp>
        <stp>IS_AMORT_ACQD_INTANGIBLES_COGS/1M</stp>
        <stp>FPR=2022Y</stp>
        <stp>FPT=A</stp>
        <stp>FA_ACT_EST_DATA=E, EST_SOURCE=WFR</stp>
        <stp>ACT_EST_MAPPING=PRECISE</stp>
        <stp>FS=MRC</stp>
        <stp>CURRENCY=USD</stp>
        <stp>XLFILL=b</stp>
        <tr r="AZ105" s="2"/>
      </tp>
      <tp t="s">
        <v/>
        <stp/>
        <stp>##V3_BQLV12</stp>
        <stp>[MODL_CRM_US1.xlsx]Single Period!R189C55</stp>
        <stp>CRM US Equity</stp>
        <stp>CF_CASH_AND_CASH_EQUIV_BEG_BAL/1M</stp>
        <stp>FPR=2022Y</stp>
        <stp>FPT=A</stp>
        <stp>FA_ACT_EST_DATA=E, EST_SOURCE=RED</stp>
        <stp>ACT_EST_MAPPING=PRECISE</stp>
        <stp>FS=MRC</stp>
        <stp>CURRENCY=USD</stp>
        <stp>XLFILL=b</stp>
        <tr r="BC189" s="2"/>
      </tp>
      <tp t="s">
        <v/>
        <stp/>
        <stp>##V3_BQLV12</stp>
        <stp>[MODL_CRM_US1.xlsx]Single Period!R189C34</stp>
        <stp>CRM US Equity</stp>
        <stp>CF_CASH_AND_CASH_EQUIV_BEG_BAL/1M</stp>
        <stp>FPR=2022Y</stp>
        <stp>FPT=A</stp>
        <stp>FA_ACT_EST_DATA=E, EST_SOURCE=JEF</stp>
        <stp>ACT_EST_MAPPING=PRECISE</stp>
        <stp>FS=MRC</stp>
        <stp>CURRENCY=USD</stp>
        <stp>XLFILL=b</stp>
        <tr r="AH189" s="2"/>
      </tp>
      <tp>
        <v>1.25</v>
        <stp/>
        <stp>##V3_BQLV12</stp>
        <stp>[MODL_CRM_US1.xlsx]Single Period!R95C23</stp>
        <stp>CRM US Equity</stp>
        <stp>IS_COMP_EPS_GAAP</stp>
        <stp>FPR=2022Y</stp>
        <stp>FPT=A</stp>
        <stp>FA_ACT_EST_DATA=E, EST_SOURCE=JPM</stp>
        <stp>ACT_EST_MAPPING=PRECISE</stp>
        <stp>FS=MRC</stp>
        <stp>CURRENCY=USD</stp>
        <stp>XLFILL=b</stp>
        <tr r="W95" s="2"/>
      </tp>
      <tp t="s">
        <v/>
        <stp/>
        <stp>##V3_BQLV12</stp>
        <stp>[MODL_CRM_US1.xlsx]Single Period!R95C44</stp>
        <stp>CRM US Equity</stp>
        <stp>IS_COMP_EPS_GAAP</stp>
        <stp>FPR=2022Y</stp>
        <stp>FPT=A</stp>
        <stp>FA_ACT_EST_DATA=E, EST_SOURCE=RWB</stp>
        <stp>ACT_EST_MAPPING=PRECISE</stp>
        <stp>FS=MRC</stp>
        <stp>CURRENCY=USD</stp>
        <stp>XLFILL=b</stp>
        <tr r="AR95" s="2"/>
      </tp>
      <tp t="s">
        <v/>
        <stp/>
        <stp>##V3_BQLV12</stp>
        <stp>[MODL_CRM_US1.xlsx]Single Period!R188C45</stp>
        <stp>CRM US Equity</stp>
        <stp>BS_CASH_NEAR_CASH_ITEM/1M</stp>
        <stp>FPR=2022Y</stp>
        <stp>FPT=A</stp>
        <stp>FA_ACT_EST_DATA=E, EST_SOURCE=ARG</stp>
        <stp>ACT_EST_MAPPING=PRECISE</stp>
        <stp>FS=MRC</stp>
        <stp>CURRENCY=USD</stp>
        <stp>XLFILL=b</stp>
        <tr r="AS188" s="2"/>
      </tp>
      <tp>
        <v>12008.890784243989</v>
        <stp/>
        <stp>##V3_BQLV12</stp>
        <stp>[MODL_CRM_US1.xlsx]Single Period!R85C7</stp>
        <stp>CRM US Equity</stp>
        <stp>CONTRIBUTOR_STATS(CB_IS_S_AND_M_EXPENSE, MAX)/1M</stp>
        <stp>FPR=2022Y</stp>
        <stp>FPT=A</stp>
        <stp>FA_ACT_EST_DATA=E</stp>
        <stp>ACT_EST_MAPPING=PRECISE</stp>
        <stp>FS=MRC</stp>
        <stp>CURRENCY=USD</stp>
        <stp>XLFILL=b</stp>
        <tr r="G85" s="2"/>
      </tp>
      <tp t="s">
        <v/>
        <stp/>
        <stp>##V3_BQLV12</stp>
        <stp>[MODL_CRM_US1.xlsx]Single Period!R188C54</stp>
        <stp>CRM US Equity</stp>
        <stp>BS_CASH_NEAR_CASH_ITEM/1M</stp>
        <stp>FPR=2022Y</stp>
        <stp>FPT=A</stp>
        <stp>FA_ACT_EST_DATA=E, EST_SOURCE=ARE</stp>
        <stp>ACT_EST_MAPPING=PRECISE</stp>
        <stp>FS=MRC</stp>
        <stp>CURRENCY=USD</stp>
        <stp>XLFILL=b</stp>
        <tr r="BB188" s="2"/>
      </tp>
      <tp>
        <v>2367</v>
        <stp/>
        <stp>##V3_BQLV12</stp>
        <stp>[MODL_CRM_US1.xlsx]Single Period!R63C6</stp>
        <stp>CRM US Equity</stp>
        <stp>CONTRIBUTOR_STATS(CF_DEPR_AMORT, MIN)/1M</stp>
        <stp>FPR=2022Y</stp>
        <stp>FPT=A</stp>
        <stp>FA_ACT_EST_DATA=E</stp>
        <stp>ACT_EST_MAPPING=PRECISE</stp>
        <stp>FS=MRC</stp>
        <stp>CURRENCY=USD</stp>
        <stp>XLFILL=b</stp>
        <tr r="F63" s="2"/>
      </tp>
      <tp t="s">
        <v/>
        <stp/>
        <stp>##V3_BQLV12</stp>
        <stp>[MODL_CRM_US1.xlsx]Single Period!R12C21</stp>
        <stp>CRM US Equity</stp>
        <stp>TOT_FUTURE_REV_UNDER_CONTRACT/1M</stp>
        <stp>FPR=2022Y</stp>
        <stp>FPT=A</stp>
        <stp>FA_ACT_EST_DATA=E, EST_SOURCE=RJA</stp>
        <stp>ACT_EST_MAPPING=PRECISE</stp>
        <stp>FS=MRC</stp>
        <stp>CURRENCY=USD</stp>
        <stp>XLFILL=b</stp>
        <tr r="U12" s="2"/>
      </tp>
      <tp t="s">
        <v/>
        <stp/>
        <stp>##V3_BQLV12</stp>
        <stp>[MODL_CRM_US1.xlsx]Single Period!R110C22</stp>
        <stp>CRM US Equity</stp>
        <stp>BS_CUR_ASSET_REPORT/1M</stp>
        <stp>FPR=2022Y</stp>
        <stp>FPT=A</stp>
        <stp>FA_ACT_EST_DATA=E, EST_SOURCE=OPY</stp>
        <stp>ACT_EST_MAPPING=PRECISE</stp>
        <stp>FS=MRC</stp>
        <stp>CURRENCY=USD</stp>
        <stp>XLFILL=b</stp>
        <tr r="V110" s="2"/>
      </tp>
      <tp t="s">
        <v/>
        <stp/>
        <stp>##V3_BQLV12</stp>
        <stp>[MODL_CRM_US1.xlsx]Single Period!R73C42</stp>
        <stp>CRM US Equity</stp>
        <stp>IS_SH_FOR_DILUTED_EPS/1M</stp>
        <stp>FPR=2022Y</stp>
        <stp>FPT=A</stp>
        <stp>FA_ACT_EST_DATA=E, EST_SOURCE=PSG</stp>
        <stp>ACT_EST_MAPPING=PRECISE</stp>
        <stp>FS=MRC</stp>
        <stp>CURRENCY=USD</stp>
        <stp>XLFILL=b</stp>
        <tr r="AP73" s="2"/>
      </tp>
      <tp>
        <v>40318</v>
        <stp/>
        <stp>##V3_BQLV12</stp>
        <stp>[MODL_CRM_US1.xlsx]Single Period!R122C15</stp>
        <stp>CRM US Equity</stp>
        <stp>BS_GOODWILL/1M</stp>
        <stp>FPR=2022Y</stp>
        <stp>FPT=A</stp>
        <stp>FA_ACT_EST_DATA=E, EST_SOURCE=MSV</stp>
        <stp>ACT_EST_MAPPING=PRECISE</stp>
        <stp>FS=MRC</stp>
        <stp>CURRENCY=USD</stp>
        <stp>XLFILL=b</stp>
        <tr r="O122" s="2"/>
      </tp>
      <tp t="s">
        <v/>
        <stp/>
        <stp>##V3_BQLV12</stp>
        <stp>[MODL_CRM_US1.xlsx]Single Period!R122C41</stp>
        <stp>CRM US Equity</stp>
        <stp>BS_GOODWILL/1M</stp>
        <stp>FPR=2022Y</stp>
        <stp>FPT=A</stp>
        <stp>FA_ACT_EST_DATA=E, EST_SOURCE=GSR</stp>
        <stp>ACT_EST_MAPPING=PRECISE</stp>
        <stp>FS=MRC</stp>
        <stp>CURRENCY=USD</stp>
        <stp>XLFILL=b</stp>
        <tr r="AO122" s="2"/>
      </tp>
      <tp t="s">
        <v/>
        <stp/>
        <stp>##V3_BQLV12</stp>
        <stp>[MODL_CRM_US1.xlsx]Single Period!R132C48</stp>
        <stp>CRM US Equity</stp>
        <stp>BS_ADJ_TOTAL_LT_LIABILITIES/1M</stp>
        <stp>FPR=2022Y</stp>
        <stp>FPT=A</stp>
        <stp>FA_ACT_EST_DATA=E, EST_SOURCE=PJE</stp>
        <stp>ACT_EST_MAPPING=PRECISE</stp>
        <stp>FS=MRC</stp>
        <stp>CURRENCY=USD</stp>
        <stp>XLFILL=b</stp>
        <tr r="AV132" s="2"/>
      </tp>
      <tp t="s">
        <v/>
        <stp/>
        <stp>##V3_BQLV12</stp>
        <stp>[MODL_CRM_US1.xlsx]Single Period!R122C38</stp>
        <stp>CRM US Equity</stp>
        <stp>BS_GOODWILL/1M</stp>
        <stp>FPR=2022Y</stp>
        <stp>FPT=A</stp>
        <stp>FA_ACT_EST_DATA=E, EST_SOURCE=MSR</stp>
        <stp>ACT_EST_MAPPING=PRECISE</stp>
        <stp>FS=MRC</stp>
        <stp>CURRENCY=USD</stp>
        <stp>XLFILL=b</stp>
        <tr r="AL122" s="2"/>
      </tp>
      <tp t="s">
        <v/>
        <stp/>
        <stp>##V3_BQLV12</stp>
        <stp>[MODL_CRM_US1.xlsx]Single Period!R117C14</stp>
        <stp>CRM US Equity</stp>
        <stp>BS_TOTAL_NON_CURRENT_ASSETS/1M</stp>
        <stp>FPR=2022Y</stp>
        <stp>FPT=A</stp>
        <stp>FA_ACT_EST_DATA=E, EST_SOURCE=SNR</stp>
        <stp>ACT_EST_MAPPING=PRECISE</stp>
        <stp>FS=MRC</stp>
        <stp>CURRENCY=USD</stp>
        <stp>XLFILL=b</stp>
        <tr r="N117" s="2"/>
      </tp>
      <tp>
        <v>3338.0665805975659</v>
        <stp/>
        <stp>##V3_BQLV12</stp>
        <stp>[MODL_CRM_US1.xlsx]Single Period!R63C21</stp>
        <stp>CRM US Equity</stp>
        <stp>CF_DEPR_AMORT/1M</stp>
        <stp>FPR=2022Y</stp>
        <stp>FPT=A</stp>
        <stp>FA_ACT_EST_DATA=E, EST_SOURCE=RJA</stp>
        <stp>ACT_EST_MAPPING=PRECISE</stp>
        <stp>FS=MRC</stp>
        <stp>CURRENCY=USD</stp>
        <stp>XLFILL=b</stp>
        <tr r="U63" s="2"/>
      </tp>
      <tp t="s">
        <v/>
        <stp/>
        <stp>##V3_BQLV12</stp>
        <stp>[MODL_CRM_US1.xlsx]Single Period!R132C21</stp>
        <stp>CRM US Equity</stp>
        <stp>BS_ADJ_TOTAL_LT_LIABILITIES/1M</stp>
        <stp>FPR=2022Y</stp>
        <stp>FPT=A</stp>
        <stp>FA_ACT_EST_DATA=E, EST_SOURCE=RJA</stp>
        <stp>ACT_EST_MAPPING=PRECISE</stp>
        <stp>FS=MRC</stp>
        <stp>CURRENCY=USD</stp>
        <stp>XLFILL=b</stp>
        <tr r="U132" s="2"/>
      </tp>
      <tp t="s">
        <v/>
        <stp/>
        <stp>##V3_BQLV12</stp>
        <stp>[MODL_CRM_US1.xlsx]Single Period!R131C56</stp>
        <stp>CRM US Equity</stp>
        <stp>ST_DEFERRED_REVENUE/1M</stp>
        <stp>FPR=2022Y</stp>
        <stp>FPT=A</stp>
        <stp>FA_ACT_EST_DATA=E, EST_SOURCE=DIR</stp>
        <stp>ACT_EST_MAPPING=PRECISE</stp>
        <stp>FS=MRC</stp>
        <stp>CURRENCY=USD</stp>
        <stp>XLFILL=b</stp>
        <tr r="BD131" s="2"/>
      </tp>
      <tp t="s">
        <v/>
        <stp/>
        <stp>##V3_BQLV12</stp>
        <stp>[MODL_CRM_US1.xlsx]Single Period!R117C29</stp>
        <stp>CRM US Equity</stp>
        <stp>BS_TOTAL_NON_CURRENT_ASSETS/1M</stp>
        <stp>FPR=2022Y</stp>
        <stp>FPT=A</stp>
        <stp>FA_ACT_EST_DATA=E, EST_SOURCE=BNS</stp>
        <stp>ACT_EST_MAPPING=PRECISE</stp>
        <stp>FS=MRC</stp>
        <stp>CURRENCY=USD</stp>
        <stp>XLFILL=b</stp>
        <tr r="AC117" s="2"/>
      </tp>
      <tp t="s">
        <v/>
        <stp/>
        <stp>##V3_BQLV12</stp>
        <stp>[MODL_CRM_US1.xlsx]Single Period!R102C17</stp>
        <stp>CRM US Equity</stp>
        <stp>IS_SBC_ATT_TO_S_AND_M_PRETX/1M</stp>
        <stp>FPR=2022Y</stp>
        <stp>FPT=A</stp>
        <stp>FA_ACT_EST_DATA=E, EST_SOURCE=NDH</stp>
        <stp>ACT_EST_MAPPING=PRECISE</stp>
        <stp>FS=MRC</stp>
        <stp>CURRENCY=USD</stp>
        <stp>XLFILL=b</stp>
        <tr r="Q102" s="2"/>
      </tp>
      <tp t="s">
        <v/>
        <stp/>
        <stp>##V3_BQLV12</stp>
        <stp>[MODL_CRM_US1.xlsx]Single Period!R73C35</stp>
        <stp>CRM US Equity</stp>
        <stp>IS_SH_FOR_DILUTED_EPS/1M</stp>
        <stp>FPR=2022Y</stp>
        <stp>FPT=A</stp>
        <stp>FA_ACT_EST_DATA=E, EST_SOURCE=ATL</stp>
        <stp>ACT_EST_MAPPING=PRECISE</stp>
        <stp>FS=MRC</stp>
        <stp>CURRENCY=USD</stp>
        <stp>XLFILL=b</stp>
        <tr r="AI73" s="2"/>
      </tp>
      <tp t="s">
        <v/>
        <stp/>
        <stp>##V3_BQLV12</stp>
        <stp>[MODL_CRM_US1.xlsx]Single Period!R68C37</stp>
        <stp>CRM US Equity</stp>
        <stp>IS_COMP_PTP_EX_STK_BASED_COMP/1M</stp>
        <stp>FPR=2022Y</stp>
        <stp>FPT=A</stp>
        <stp>FA_ACT_EST_DATA=E, EST_SOURCE=EVR</stp>
        <stp>ACT_EST_MAPPING=PRECISE</stp>
        <stp>FS=MRC</stp>
        <stp>CURRENCY=USD</stp>
        <stp>XLFILL=b</stp>
        <tr r="AK68" s="2"/>
      </tp>
      <tp t="s">
        <v/>
        <stp/>
        <stp>##V3_BQLV12</stp>
        <stp>[MODL_CRM_US1.xlsx]Single Period!R93C43</stp>
        <stp>CRM US Equity</stp>
        <stp>IS_AVG_NUM_SH_FOR_EPS/1M</stp>
        <stp>FPR=2022Y</stp>
        <stp>FPT=A</stp>
        <stp>FA_ACT_EST_DATA=E, EST_SOURCE=DWI</stp>
        <stp>ACT_EST_MAPPING=PRECISE</stp>
        <stp>FS=MRC</stp>
        <stp>CURRENCY=USD</stp>
        <stp>XLFILL=b</stp>
        <tr r="AQ93" s="2"/>
      </tp>
      <tp t="s">
        <v/>
        <stp/>
        <stp>##V3_BQLV12</stp>
        <stp>[MODL_CRM_US1.xlsx]Single Period!R94C28</stp>
        <stp>CRM US Equity</stp>
        <stp>IS_SH_FOR_DILUTED_EPS/1M</stp>
        <stp>FPR=2022Y</stp>
        <stp>FPT=A</stp>
        <stp>FA_ACT_EST_DATA=E, EST_SOURCE=CWN</stp>
        <stp>ACT_EST_MAPPING=PRECISE</stp>
        <stp>FS=MRC</stp>
        <stp>CURRENCY=USD</stp>
        <stp>XLFILL=b</stp>
        <tr r="AB94" s="2"/>
      </tp>
      <tp>
        <v>414.41186755599369</v>
        <stp/>
        <stp>##V3_BQLV12</stp>
        <stp>[MODL_CRM_US1.xlsx]Single Period!R100C26</stp>
        <stp>CRM US Equity</stp>
        <stp>IS_SBC_ATTRIB_TO_COGS_PRETX/1M</stp>
        <stp>FPR=2022Y</stp>
        <stp>FPT=A</stp>
        <stp>FA_ACT_EST_DATA=E, EST_SOURCE=KEY</stp>
        <stp>ACT_EST_MAPPING=PRECISE</stp>
        <stp>FS=MRC</stp>
        <stp>CURRENCY=USD</stp>
        <stp>XLFILL=b</stp>
        <tr r="Z100" s="2"/>
      </tp>
      <tp t="s">
        <v/>
        <stp/>
        <stp>##V3_BQLV12</stp>
        <stp>[MODL_CRM_US1.xlsx]Single Period!R100C34</stp>
        <stp>CRM US Equity</stp>
        <stp>IS_SBC_ATTRIB_TO_COGS_PRETX/1M</stp>
        <stp>FPR=2022Y</stp>
        <stp>FPT=A</stp>
        <stp>FA_ACT_EST_DATA=E, EST_SOURCE=JEF</stp>
        <stp>ACT_EST_MAPPING=PRECISE</stp>
        <stp>FS=MRC</stp>
        <stp>CURRENCY=USD</stp>
        <stp>XLFILL=b</stp>
        <tr r="AH100" s="2"/>
      </tp>
      <tp>
        <v>5584</v>
        <stp/>
        <stp>##V3_BQLV12</stp>
        <stp>[MODL_CRM_US1.xlsx]Single Period!R68C35</stp>
        <stp>CRM US Equity</stp>
        <stp>IS_COMP_PTP_EX_STK_BASED_COMP/1M</stp>
        <stp>FPR=2022Y</stp>
        <stp>FPT=A</stp>
        <stp>FA_ACT_EST_DATA=E, EST_SOURCE=ATL</stp>
        <stp>ACT_EST_MAPPING=PRECISE</stp>
        <stp>FS=MRC</stp>
        <stp>CURRENCY=USD</stp>
        <stp>XLFILL=b</stp>
        <tr r="AI68" s="2"/>
      </tp>
      <tp t="s">
        <v/>
        <stp/>
        <stp>##V3_BQLV12</stp>
        <stp>[MODL_CRM_US1.xlsx]Single Period!R12C33</stp>
        <stp>CRM US Equity</stp>
        <stp>TOT_FUTURE_REV_UNDER_CONTRACT/1M</stp>
        <stp>FPR=2022Y</stp>
        <stp>FPT=A</stp>
        <stp>FA_ACT_EST_DATA=E, EST_SOURCE=RHR</stp>
        <stp>ACT_EST_MAPPING=PRECISE</stp>
        <stp>FS=MRC</stp>
        <stp>CURRENCY=USD</stp>
        <stp>XLFILL=b</stp>
        <tr r="AG12" s="2"/>
      </tp>
      <tp t="s">
        <v/>
        <stp/>
        <stp>##V3_BQLV12</stp>
        <stp>[MODL_CRM_US1.xlsx]Single Period!R110C23</stp>
        <stp>CRM US Equity</stp>
        <stp>BS_CUR_ASSET_REPORT/1M</stp>
        <stp>FPR=2022Y</stp>
        <stp>FPT=A</stp>
        <stp>FA_ACT_EST_DATA=E, EST_SOURCE=JPM</stp>
        <stp>ACT_EST_MAPPING=PRECISE</stp>
        <stp>FS=MRC</stp>
        <stp>CURRENCY=USD</stp>
        <stp>XLFILL=b</stp>
        <tr r="W110" s="2"/>
      </tp>
      <tp t="s">
        <v/>
        <stp/>
        <stp>##V3_BQLV12</stp>
        <stp>[MODL_CRM_US1.xlsx]Single Period!R63C33</stp>
        <stp>CRM US Equity</stp>
        <stp>CF_DEPR_AMORT/1M</stp>
        <stp>FPR=2022Y</stp>
        <stp>FPT=A</stp>
        <stp>FA_ACT_EST_DATA=E, EST_SOURCE=RHR</stp>
        <stp>ACT_EST_MAPPING=PRECISE</stp>
        <stp>FS=MRC</stp>
        <stp>CURRENCY=USD</stp>
        <stp>XLFILL=b</stp>
        <tr r="AG63" s="2"/>
      </tp>
      <tp t="s">
        <v/>
        <stp/>
        <stp>##V3_BQLV12</stp>
        <stp>[MODL_CRM_US1.xlsx]Single Period!R100C55</stp>
        <stp>CRM US Equity</stp>
        <stp>IS_SBC_ATTRIB_TO_COGS_PRETX/1M</stp>
        <stp>FPR=2022Y</stp>
        <stp>FPT=A</stp>
        <stp>FA_ACT_EST_DATA=E, EST_SOURCE=RED</stp>
        <stp>ACT_EST_MAPPING=PRECISE</stp>
        <stp>FS=MRC</stp>
        <stp>CURRENCY=USD</stp>
        <stp>XLFILL=b</stp>
        <tr r="BC100" s="2"/>
      </tp>
      <tp t="s">
        <v/>
        <stp/>
        <stp>##V3_BQLV12</stp>
        <stp>[MODL_CRM_US1.xlsx]Single Period!R122C42</stp>
        <stp>CRM US Equity</stp>
        <stp>BS_GOODWILL/1M</stp>
        <stp>FPR=2022Y</stp>
        <stp>FPT=A</stp>
        <stp>FA_ACT_EST_DATA=E, EST_SOURCE=PSG</stp>
        <stp>ACT_EST_MAPPING=PRECISE</stp>
        <stp>FS=MRC</stp>
        <stp>CURRENCY=USD</stp>
        <stp>XLFILL=b</stp>
        <tr r="AP122" s="2"/>
      </tp>
      <tp t="s">
        <v/>
        <stp/>
        <stp>##V3_BQLV12</stp>
        <stp>[MODL_CRM_US1.xlsx]Single Period!R73C37</stp>
        <stp>CRM US Equity</stp>
        <stp>IS_SH_FOR_DILUTED_EPS/1M</stp>
        <stp>FPR=2022Y</stp>
        <stp>FPT=A</stp>
        <stp>FA_ACT_EST_DATA=E, EST_SOURCE=EVR</stp>
        <stp>ACT_EST_MAPPING=PRECISE</stp>
        <stp>FS=MRC</stp>
        <stp>CURRENCY=USD</stp>
        <stp>XLFILL=b</stp>
        <tr r="AK73" s="2"/>
      </tp>
      <tp t="s">
        <v/>
        <stp/>
        <stp>##V3_BQLV12</stp>
        <stp>[MODL_CRM_US1.xlsx]Single Period!R68C42</stp>
        <stp>CRM US Equity</stp>
        <stp>IS_COMP_PTP_EX_STK_BASED_COMP/1M</stp>
        <stp>FPR=2022Y</stp>
        <stp>FPT=A</stp>
        <stp>FA_ACT_EST_DATA=E, EST_SOURCE=PSG</stp>
        <stp>ACT_EST_MAPPING=PRECISE</stp>
        <stp>FS=MRC</stp>
        <stp>CURRENCY=USD</stp>
        <stp>XLFILL=b</stp>
        <tr r="AP68" s="2"/>
      </tp>
      <tp t="s">
        <v/>
        <stp/>
        <stp>##V3_BQLV12</stp>
        <stp>[MODL_CRM_US1.xlsx]Single Period!R128C47</stp>
        <stp>CRM US Equity</stp>
        <stp>BS_CUR_LIAB/1M</stp>
        <stp>FPR=2022Y</stp>
        <stp>FPT=A</stp>
        <stp>FA_ACT_EST_DATA=E, EST_SOURCE=WFT</stp>
        <stp>ACT_EST_MAPPING=PRECISE</stp>
        <stp>FS=MRC</stp>
        <stp>CURRENCY=USD</stp>
        <stp>XLFILL=b</stp>
        <tr r="AU128" s="2"/>
      </tp>
      <tp t="s">
        <v/>
        <stp/>
        <stp>##V3_BQLV12</stp>
        <stp>[MODL_CRM_US1.xlsx]Single Period!R185C52</stp>
        <stp>CRM US Equity</stp>
        <stp>CF_EFFECT_FOREIGN_EXCHANGES/1M</stp>
        <stp>FPR=2022Y</stp>
        <stp>FPT=A</stp>
        <stp>FA_ACT_EST_DATA=E, EST_SOURCE=WFR</stp>
        <stp>ACT_EST_MAPPING=PRECISE</stp>
        <stp>FS=MRC</stp>
        <stp>CURRENCY=USD</stp>
        <stp>XLFILL=b</stp>
        <tr r="AZ185" s="2"/>
      </tp>
      <tp t="s">
        <v/>
        <stp/>
        <stp>##V3_BQLV12</stp>
        <stp>[MODL_CRM_US1.xlsx]Single Period!R14C45</stp>
        <stp>CRM US Equity</stp>
        <stp>NON_CURRENT_FUTURE_REV_UNDER_CONTRACT/1M</stp>
        <stp>FPR=2022Y</stp>
        <stp>FPT=A</stp>
        <stp>FA_ACT_EST_DATA=E, EST_SOURCE=ARG</stp>
        <stp>ACT_EST_MAPPING=PRECISE</stp>
        <stp>FS=MRC</stp>
        <stp>CURRENCY=USD</stp>
        <stp>XLFILL=b</stp>
        <tr r="AS14" s="2"/>
      </tp>
      <tp t="s">
        <v/>
        <stp/>
        <stp>##V3_BQLV12</stp>
        <stp>[MODL_CRM_US1.xlsx]Single Period!R85C28</stp>
        <stp>CRM US Equity</stp>
        <stp>CB_IS_S_AND_M_EXPENSE/1M</stp>
        <stp>FPR=2022Y</stp>
        <stp>FPT=A</stp>
        <stp>FA_ACT_EST_DATA=E, EST_SOURCE=CWN</stp>
        <stp>ACT_EST_MAPPING=PRECISE</stp>
        <stp>FS=MRC</stp>
        <stp>CURRENCY=USD</stp>
        <stp>XLFILL=b</stp>
        <tr r="AB85" s="2"/>
      </tp>
      <tp t="s">
        <v/>
        <stp/>
        <stp>##V3_BQLV12</stp>
        <stp>[MODL_CRM_US1.xlsx]Single Period!R128C52</stp>
        <stp>CRM US Equity</stp>
        <stp>BS_CUR_LIAB/1M</stp>
        <stp>FPR=2022Y</stp>
        <stp>FPT=A</stp>
        <stp>FA_ACT_EST_DATA=E, EST_SOURCE=WFR</stp>
        <stp>ACT_EST_MAPPING=PRECISE</stp>
        <stp>FS=MRC</stp>
        <stp>CURRENCY=USD</stp>
        <stp>XLFILL=b</stp>
        <tr r="AZ128" s="2"/>
      </tp>
      <tp t="s">
        <v/>
        <stp/>
        <stp>##V3_BQLV12</stp>
        <stp>[MODL_CRM_US1.xlsx]Single Period!R185C47</stp>
        <stp>CRM US Equity</stp>
        <stp>CF_EFFECT_FOREIGN_EXCHANGES/1M</stp>
        <stp>FPR=2022Y</stp>
        <stp>FPT=A</stp>
        <stp>FA_ACT_EST_DATA=E, EST_SOURCE=WFT</stp>
        <stp>ACT_EST_MAPPING=PRECISE</stp>
        <stp>FS=MRC</stp>
        <stp>CURRENCY=USD</stp>
        <stp>XLFILL=b</stp>
        <tr r="AU185" s="2"/>
      </tp>
      <tp t="s">
        <v/>
        <stp/>
        <stp>##V3_BQLV12</stp>
        <stp>[MODL_CRM_US1.xlsx]Single Period!R131C53</stp>
        <stp>CRM US Equity</stp>
        <stp>ST_DEFERRED_REVENUE/1M</stp>
        <stp>FPR=2022Y</stp>
        <stp>FPT=A</stp>
        <stp>FA_ACT_EST_DATA=E, EST_SOURCE=NIK</stp>
        <stp>ACT_EST_MAPPING=PRECISE</stp>
        <stp>FS=MRC</stp>
        <stp>CURRENCY=USD</stp>
        <stp>XLFILL=b</stp>
        <tr r="BA131" s="2"/>
      </tp>
      <tp t="s">
        <v/>
        <stp/>
        <stp>##V3_BQLV12</stp>
        <stp>[MODL_CRM_US1.xlsx]Single Period!R151C35</stp>
        <stp>CRM US Equity</stp>
        <stp>NON_CURRENT_FUTURE_REV_UNDER_CONTRACT/1M</stp>
        <stp>FPR=2022Y</stp>
        <stp>FPT=A</stp>
        <stp>FA_ACT_EST_DATA=E, EST_SOURCE=ATL</stp>
        <stp>ACT_EST_MAPPING=PRECISE</stp>
        <stp>FS=MRC</stp>
        <stp>CURRENCY=USD</stp>
        <stp>XLFILL=b</stp>
        <tr r="AI151" s="2"/>
      </tp>
      <tp t="s">
        <v/>
        <stp/>
        <stp>##V3_BQLV12</stp>
        <stp>[MODL_CRM_US1.xlsx]Single Period!R140C42</stp>
        <stp>CRM US Equity</stp>
        <stp>BS_ACCUMULATED_OTHER_COMP_INC/1M</stp>
        <stp>FPR=2022Y</stp>
        <stp>FPT=A</stp>
        <stp>FA_ACT_EST_DATA=E, EST_SOURCE=PSG</stp>
        <stp>ACT_EST_MAPPING=PRECISE</stp>
        <stp>FS=MRC</stp>
        <stp>CURRENCY=USD</stp>
        <stp>XLFILL=b</stp>
        <tr r="AP140" s="2"/>
      </tp>
      <tp t="s">
        <v/>
        <stp/>
        <stp>##V3_BQLV12</stp>
        <stp>[MODL_CRM_US1.xlsx]Single Period!R24C51</stp>
        <stp>SEG0000269238 Segment</stp>
        <stp>SALES_REV_TURN/1M</stp>
        <stp>FPR=2022Y</stp>
        <stp>FPT=A</stp>
        <stp>FA_ACT_EST_DATA=E, EST_SOURCE=RCP</stp>
        <stp>ACT_EST_MAPPING=PRECISE</stp>
        <stp>FS=MRC</stp>
        <stp>CURRENCY=USD</stp>
        <stp>XLFILL=b</stp>
        <tr r="AY24" s="2"/>
      </tp>
      <tp t="s">
        <v/>
        <stp/>
        <stp>##V3_BQLV12</stp>
        <stp>[MODL_CRM_US1.xlsx]Single Period!R48C14</stp>
        <stp>SEG0000269229 Segment</stp>
        <stp>SALES_REV_TURN/1M</stp>
        <stp>FPR=2022Y</stp>
        <stp>FPT=A</stp>
        <stp>FA_ACT_EST_DATA=E, EST_SOURCE=SNR</stp>
        <stp>ACT_EST_MAPPING=PRECISE</stp>
        <stp>FS=MRC</stp>
        <stp>CURRENCY=USD</stp>
        <stp>XLFILL=b</stp>
        <tr r="N48" s="2"/>
      </tp>
      <tp t="s">
        <v/>
        <stp/>
        <stp>##V3_BQLV12</stp>
        <stp>[MODL_CRM_US1.xlsx]Single Period!R38C29</stp>
        <stp>SEG0000269228 Segment</stp>
        <stp>SALES_REV_TURN/1M</stp>
        <stp>FPR=2022Y</stp>
        <stp>FPT=A</stp>
        <stp>FA_ACT_EST_DATA=E, EST_SOURCE=BNS</stp>
        <stp>ACT_EST_MAPPING=PRECISE</stp>
        <stp>FS=MRC</stp>
        <stp>CURRENCY=USD</stp>
        <stp>XLFILL=b</stp>
        <tr r="AC38" s="2"/>
      </tp>
      <tp t="s">
        <v/>
        <stp/>
        <stp>##V3_BQLV12</stp>
        <stp>[MODL_CRM_US1.xlsx]Single Period!R38C14</stp>
        <stp>SEG0000269228 Segment</stp>
        <stp>SALES_REV_TURN/1M</stp>
        <stp>FPR=2022Y</stp>
        <stp>FPT=A</stp>
        <stp>FA_ACT_EST_DATA=E, EST_SOURCE=SNR</stp>
        <stp>ACT_EST_MAPPING=PRECISE</stp>
        <stp>FS=MRC</stp>
        <stp>CURRENCY=USD</stp>
        <stp>XLFILL=b</stp>
        <tr r="N38" s="2"/>
      </tp>
      <tp t="s">
        <v/>
        <stp/>
        <stp>##V3_BQLV12</stp>
        <stp>[MODL_CRM_US1.xlsx]Single Period!R48C29</stp>
        <stp>SEG0000269229 Segment</stp>
        <stp>SALES_REV_TURN/1M</stp>
        <stp>FPR=2022Y</stp>
        <stp>FPT=A</stp>
        <stp>FA_ACT_EST_DATA=E, EST_SOURCE=BNS</stp>
        <stp>ACT_EST_MAPPING=PRECISE</stp>
        <stp>FS=MRC</stp>
        <stp>CURRENCY=USD</stp>
        <stp>XLFILL=b</stp>
        <tr r="AC48" s="2"/>
      </tp>
      <tp t="s">
        <v/>
        <stp/>
        <stp>##V3_BQLV12</stp>
        <stp>[MODL_CRM_US1.xlsx]Single Period!R156C14</stp>
        <stp>CRM US Equity</stp>
        <stp>CF_DEPR_AMORT/1M</stp>
        <stp>FPR=2022Y</stp>
        <stp>FPT=A</stp>
        <stp>FA_ACT_EST_DATA=E, EST_SOURCE=SNR</stp>
        <stp>ACT_EST_MAPPING=PRECISE</stp>
        <stp>FS=MRC</stp>
        <stp>CURRENCY=USD</stp>
        <stp>XLFILL=b</stp>
        <tr r="N156" s="2"/>
      </tp>
      <tp t="s">
        <v/>
        <stp/>
        <stp>##V3_BQLV12</stp>
        <stp>[MODL_CRM_US1.xlsx]Single Period!R64C40</stp>
        <stp>CRM US Equity</stp>
        <stp>IS_COMPARABLE_EBITDA/1M</stp>
        <stp>FPR=2022Y</stp>
        <stp>FPT=A</stp>
        <stp>FA_ACT_EST_DATA=E, EST_SOURCE=ACC</stp>
        <stp>ACT_EST_MAPPING=PRECISE</stp>
        <stp>FS=MRC</stp>
        <stp>CURRENCY=USD</stp>
        <stp>XLFILL=b</stp>
        <tr r="AN64" s="2"/>
      </tp>
      <tp t="s">
        <v/>
        <stp/>
        <stp>##V3_BQLV12</stp>
        <stp>[MODL_CRM_US1.xlsx]Single Period!R101C44</stp>
        <stp>CRM US Equity</stp>
        <stp>IS_SBC_ATTRIBUTABLE_TO_R_AND_D_PRETX/1M</stp>
        <stp>FPR=2022Y</stp>
        <stp>FPT=A</stp>
        <stp>FA_ACT_EST_DATA=E, EST_SOURCE=RWB</stp>
        <stp>ACT_EST_MAPPING=PRECISE</stp>
        <stp>FS=MRC</stp>
        <stp>CURRENCY=USD</stp>
        <stp>XLFILL=b</stp>
        <tr r="AR101" s="2"/>
      </tp>
      <tp t="s">
        <v/>
        <stp/>
        <stp>##V3_BQLV12</stp>
        <stp>[MODL_CRM_US1.xlsx]Single Period!R29C14</stp>
        <stp>SEG0000269233 Segment</stp>
        <stp>SALES_REV_TURN/1M</stp>
        <stp>FPR=2022Y</stp>
        <stp>FPT=A</stp>
        <stp>FA_ACT_EST_DATA=E, EST_SOURCE=SNR</stp>
        <stp>ACT_EST_MAPPING=PRECISE</stp>
        <stp>FS=MRC</stp>
        <stp>CURRENCY=USD</stp>
        <stp>XLFILL=b</stp>
        <tr r="N29" s="2"/>
      </tp>
      <tp t="s">
        <v/>
        <stp/>
        <stp>##V3_BQLV12</stp>
        <stp>[MODL_CRM_US1.xlsx]Single Period!R28C33</stp>
        <stp>SEG0000269242 Segment</stp>
        <stp>SALES_REV_TURN/1M</stp>
        <stp>FPR=2022Y</stp>
        <stp>FPT=A</stp>
        <stp>FA_ACT_EST_DATA=E, EST_SOURCE=RHR</stp>
        <stp>ACT_EST_MAPPING=PRECISE</stp>
        <stp>FS=MRC</stp>
        <stp>CURRENCY=USD</stp>
        <stp>XLFILL=b</stp>
        <tr r="AG28" s="2"/>
      </tp>
      <tp t="s">
        <v/>
        <stp/>
        <stp>##V3_BQLV12</stp>
        <stp>[MODL_CRM_US1.xlsx]Single Period!R29C29</stp>
        <stp>SEG0000269233 Segment</stp>
        <stp>SALES_REV_TURN/1M</stp>
        <stp>FPR=2022Y</stp>
        <stp>FPT=A</stp>
        <stp>FA_ACT_EST_DATA=E, EST_SOURCE=BNS</stp>
        <stp>ACT_EST_MAPPING=PRECISE</stp>
        <stp>FS=MRC</stp>
        <stp>CURRENCY=USD</stp>
        <stp>XLFILL=b</stp>
        <tr r="AC29" s="2"/>
      </tp>
      <tp t="s">
        <v/>
        <stp/>
        <stp>##V3_BQLV12</stp>
        <stp>[MODL_CRM_US1.xlsx]Single Period!R43C51</stp>
        <stp>SEG0000269240 Segment</stp>
        <stp>SALES_REV_TURN/1M</stp>
        <stp>FPR=2022Y</stp>
        <stp>FPT=A</stp>
        <stp>FA_ACT_EST_DATA=E, EST_SOURCE=RCP</stp>
        <stp>ACT_EST_MAPPING=PRECISE</stp>
        <stp>FS=MRC</stp>
        <stp>CURRENCY=USD</stp>
        <stp>XLFILL=b</stp>
        <tr r="AY43" s="2"/>
      </tp>
      <tp t="s">
        <v/>
        <stp/>
        <stp>##V3_BQLV12</stp>
        <stp>[MODL_CRM_US1.xlsx]Single Period!R140C35</stp>
        <stp>CRM US Equity</stp>
        <stp>BS_ACCUMULATED_OTHER_COMP_INC/1M</stp>
        <stp>FPR=2022Y</stp>
        <stp>FPT=A</stp>
        <stp>FA_ACT_EST_DATA=E, EST_SOURCE=ATL</stp>
        <stp>ACT_EST_MAPPING=PRECISE</stp>
        <stp>FS=MRC</stp>
        <stp>CURRENCY=USD</stp>
        <stp>XLFILL=b</stp>
        <tr r="AI140" s="2"/>
      </tp>
      <tp t="s">
        <v/>
        <stp/>
        <stp>##V3_BQLV12</stp>
        <stp>[MODL_CRM_US1.xlsx]Single Period!R26C47</stp>
        <stp>SEG0000269247 Segment</stp>
        <stp>SALES_REV_TURN/1M</stp>
        <stp>FPR=2022Y</stp>
        <stp>FPT=A</stp>
        <stp>FA_ACT_EST_DATA=E, EST_SOURCE=WFT</stp>
        <stp>ACT_EST_MAPPING=PRECISE</stp>
        <stp>FS=MRC</stp>
        <stp>CURRENCY=USD</stp>
        <stp>XLFILL=b</stp>
        <tr r="AU26" s="2"/>
      </tp>
      <tp t="s">
        <v/>
        <stp/>
        <stp>##V3_BQLV12</stp>
        <stp>[MODL_CRM_US1.xlsx]Single Period!R151C42</stp>
        <stp>CRM US Equity</stp>
        <stp>NON_CURRENT_FUTURE_REV_UNDER_CONTRACT/1M</stp>
        <stp>FPR=2022Y</stp>
        <stp>FPT=A</stp>
        <stp>FA_ACT_EST_DATA=E, EST_SOURCE=PSG</stp>
        <stp>ACT_EST_MAPPING=PRECISE</stp>
        <stp>FS=MRC</stp>
        <stp>CURRENCY=USD</stp>
        <stp>XLFILL=b</stp>
        <tr r="AP151" s="2"/>
      </tp>
      <tp t="s">
        <v/>
        <stp/>
        <stp>##V3_BQLV12</stp>
        <stp>[MODL_CRM_US1.xlsx]Single Period!R101C43</stp>
        <stp>CRM US Equity</stp>
        <stp>IS_SBC_ATTRIBUTABLE_TO_R_AND_D_PRETX/1M</stp>
        <stp>FPR=2022Y</stp>
        <stp>FPT=A</stp>
        <stp>FA_ACT_EST_DATA=E, EST_SOURCE=DWI</stp>
        <stp>ACT_EST_MAPPING=PRECISE</stp>
        <stp>FS=MRC</stp>
        <stp>CURRENCY=USD</stp>
        <stp>XLFILL=b</stp>
        <tr r="AQ101" s="2"/>
      </tp>
      <tp t="s">
        <v/>
        <stp/>
        <stp>##V3_BQLV12</stp>
        <stp>[MODL_CRM_US1.xlsx]Single Period!R26C52</stp>
        <stp>SEG0000269247 Segment</stp>
        <stp>SALES_REV_TURN/1M</stp>
        <stp>FPR=2022Y</stp>
        <stp>FPT=A</stp>
        <stp>FA_ACT_EST_DATA=E, EST_SOURCE=WFR</stp>
        <stp>ACT_EST_MAPPING=PRECISE</stp>
        <stp>FS=MRC</stp>
        <stp>CURRENCY=USD</stp>
        <stp>XLFILL=b</stp>
        <tr r="AZ26" s="2"/>
      </tp>
      <tp>
        <v>24633.092672713679</v>
        <stp/>
        <stp>##V3_BQLV12</stp>
        <stp>[MODL_CRM_US1.xlsx]Single Period!R24C13</stp>
        <stp>SEG0000269238 Segment</stp>
        <stp>SALES_REV_TURN/1M</stp>
        <stp>FPR=2022Y</stp>
        <stp>FPT=A</stp>
        <stp>FA_ACT_EST_DATA=E, EST_SOURCE=BCA</stp>
        <stp>ACT_EST_MAPPING=PRECISE</stp>
        <stp>FS=MRC</stp>
        <stp>CURRENCY=USD</stp>
        <stp>XLFILL=b</stp>
        <tr r="M24" s="2"/>
      </tp>
      <tp t="s">
        <v/>
        <stp/>
        <stp>##V3_BQLV12</stp>
        <stp>[MODL_CRM_US1.xlsx]Single Period!R27C39</stp>
        <stp>SEG0000269241 Segment</stp>
        <stp>SALES_REV_TURN/1M</stp>
        <stp>FPR=2022Y</stp>
        <stp>FPT=A</stp>
        <stp>FA_ACT_EST_DATA=E, EST_SOURCE=KGI</stp>
        <stp>ACT_EST_MAPPING=PRECISE</stp>
        <stp>FS=MRC</stp>
        <stp>CURRENCY=USD</stp>
        <stp>XLFILL=b</stp>
        <tr r="AM27" s="2"/>
      </tp>
      <tp t="s">
        <v/>
        <stp/>
        <stp>##V3_BQLV12</stp>
        <stp>[MODL_CRM_US1.xlsx]Single Period!R24C40</stp>
        <stp>SEG0000269238 Segment</stp>
        <stp>SALES_REV_TURN/1M</stp>
        <stp>FPR=2022Y</stp>
        <stp>FPT=A</stp>
        <stp>FA_ACT_EST_DATA=E, EST_SOURCE=ACC</stp>
        <stp>ACT_EST_MAPPING=PRECISE</stp>
        <stp>FS=MRC</stp>
        <stp>CURRENCY=USD</stp>
        <stp>XLFILL=b</stp>
        <tr r="AN24" s="2"/>
      </tp>
      <tp t="s">
        <v/>
        <stp/>
        <stp>##V3_BQLV12</stp>
        <stp>[MODL_CRM_US1.xlsx]Single Period!R24C19</stp>
        <stp>SEG0000269238 Segment</stp>
        <stp>SALES_REV_TURN/1M</stp>
        <stp>FPR=2022Y</stp>
        <stp>FPT=A</stp>
        <stp>FA_ACT_EST_DATA=E, EST_SOURCE=SCB</stp>
        <stp>ACT_EST_MAPPING=PRECISE</stp>
        <stp>FS=MRC</stp>
        <stp>CURRENCY=USD</stp>
        <stp>XLFILL=b</stp>
        <tr r="S24" s="2"/>
      </tp>
      <tp t="s">
        <v/>
        <stp/>
        <stp>##V3_BQLV12</stp>
        <stp>[MODL_CRM_US1.xlsx]Single Period!R140C37</stp>
        <stp>CRM US Equity</stp>
        <stp>BS_ACCUMULATED_OTHER_COMP_INC/1M</stp>
        <stp>FPR=2022Y</stp>
        <stp>FPT=A</stp>
        <stp>FA_ACT_EST_DATA=E, EST_SOURCE=EVR</stp>
        <stp>ACT_EST_MAPPING=PRECISE</stp>
        <stp>FS=MRC</stp>
        <stp>CURRENCY=USD</stp>
        <stp>XLFILL=b</stp>
        <tr r="AK140" s="2"/>
      </tp>
      <tp t="s">
        <v/>
        <stp/>
        <stp>##V3_BQLV12</stp>
        <stp>[MODL_CRM_US1.xlsx]Single Period!R43C27</stp>
        <stp>SEG0000269240 Segment</stp>
        <stp>SALES_REV_TURN/1M</stp>
        <stp>FPR=2022Y</stp>
        <stp>FPT=A</stp>
        <stp>FA_ACT_EST_DATA=E, EST_SOURCE=LCM</stp>
        <stp>ACT_EST_MAPPING=PRECISE</stp>
        <stp>FS=MRC</stp>
        <stp>CURRENCY=USD</stp>
        <stp>XLFILL=b</stp>
        <tr r="AA43" s="2"/>
      </tp>
      <tp t="s">
        <v/>
        <stp/>
        <stp>##V3_BQLV12</stp>
        <stp>[MODL_CRM_US1.xlsx]Single Period!R10C49</stp>
        <stp>SEG0000269238 Segment</stp>
        <stp>SALES_REV_TURN/1M</stp>
        <stp>FPR=2022Y</stp>
        <stp>FPT=A</stp>
        <stp>FA_ACT_EST_DATA=E, EST_SOURCE=SGE</stp>
        <stp>ACT_EST_MAPPING=PRECISE</stp>
        <stp>FS=MRC</stp>
        <stp>CURRENCY=USD</stp>
        <stp>XLFILL=b</stp>
        <tr r="AW10" s="2"/>
      </tp>
      <tp t="s">
        <v/>
        <stp/>
        <stp>##V3_BQLV12</stp>
        <stp>[MODL_CRM_US1.xlsx]Single Period!R156C19</stp>
        <stp>CRM US Equity</stp>
        <stp>CF_DEPR_AMORT/1M</stp>
        <stp>FPR=2022Y</stp>
        <stp>FPT=A</stp>
        <stp>FA_ACT_EST_DATA=E, EST_SOURCE=SCB</stp>
        <stp>ACT_EST_MAPPING=PRECISE</stp>
        <stp>FS=MRC</stp>
        <stp>CURRENCY=USD</stp>
        <stp>XLFILL=b</stp>
        <tr r="S156" s="2"/>
      </tp>
      <tp>
        <v>1831.45</v>
        <stp/>
        <stp>##V3_BQLV12</stp>
        <stp>[MODL_CRM_US1.xlsx]Single Period!R32C17</stp>
        <stp>SEG0000269227 Segment</stp>
        <stp>SALES_REV_TURN/1M</stp>
        <stp>FPR=2022Y</stp>
        <stp>FPT=A</stp>
        <stp>FA_ACT_EST_DATA=E, EST_SOURCE=NDH</stp>
        <stp>ACT_EST_MAPPING=PRECISE</stp>
        <stp>FS=MRC</stp>
        <stp>CURRENCY=USD</stp>
        <stp>XLFILL=b</stp>
        <tr r="Q32" s="2"/>
      </tp>
      <tp t="s">
        <v/>
        <stp/>
        <stp>##V3_BQLV12</stp>
        <stp>[MODL_CRM_US1.xlsx]Single Period!R43C13</stp>
        <stp>SEG0000269240 Segment</stp>
        <stp>SALES_REV_TURN/1M</stp>
        <stp>FPR=2022Y</stp>
        <stp>FPT=A</stp>
        <stp>FA_ACT_EST_DATA=E, EST_SOURCE=BCA</stp>
        <stp>ACT_EST_MAPPING=PRECISE</stp>
        <stp>FS=MRC</stp>
        <stp>CURRENCY=USD</stp>
        <stp>XLFILL=b</stp>
        <tr r="M43" s="2"/>
      </tp>
      <tp t="s">
        <v/>
        <stp/>
        <stp>##V3_BQLV12</stp>
        <stp>[MODL_CRM_US1.xlsx]Single Period!R10C39</stp>
        <stp>SEG0000269238 Segment</stp>
        <stp>SALES_REV_TURN/1M</stp>
        <stp>FPR=2022Y</stp>
        <stp>FPT=A</stp>
        <stp>FA_ACT_EST_DATA=E, EST_SOURCE=KGI</stp>
        <stp>ACT_EST_MAPPING=PRECISE</stp>
        <stp>FS=MRC</stp>
        <stp>CURRENCY=USD</stp>
        <stp>XLFILL=b</stp>
        <tr r="AM10" s="2"/>
      </tp>
      <tp t="s">
        <v/>
        <stp/>
        <stp>##V3_BQLV12</stp>
        <stp>[MODL_CRM_US1.xlsx]Single Period!R43C40</stp>
        <stp>SEG0000269240 Segment</stp>
        <stp>SALES_REV_TURN/1M</stp>
        <stp>FPR=2022Y</stp>
        <stp>FPT=A</stp>
        <stp>FA_ACT_EST_DATA=E, EST_SOURCE=ACC</stp>
        <stp>ACT_EST_MAPPING=PRECISE</stp>
        <stp>FS=MRC</stp>
        <stp>CURRENCY=USD</stp>
        <stp>XLFILL=b</stp>
        <tr r="AN43" s="2"/>
      </tp>
      <tp t="s">
        <v/>
        <stp/>
        <stp>##V3_BQLV12</stp>
        <stp>[MODL_CRM_US1.xlsx]Single Period!R43C19</stp>
        <stp>SEG0000269240 Segment</stp>
        <stp>SALES_REV_TURN/1M</stp>
        <stp>FPR=2022Y</stp>
        <stp>FPT=A</stp>
        <stp>FA_ACT_EST_DATA=E, EST_SOURCE=SCB</stp>
        <stp>ACT_EST_MAPPING=PRECISE</stp>
        <stp>FS=MRC</stp>
        <stp>CURRENCY=USD</stp>
        <stp>XLFILL=b</stp>
        <tr r="S43" s="2"/>
      </tp>
      <tp t="s">
        <v/>
        <stp/>
        <stp>##V3_BQLV12</stp>
        <stp>[MODL_CRM_US1.xlsx]Single Period!R64C26</stp>
        <stp>CRM US Equity</stp>
        <stp>IS_COMPARABLE_EBITDA/1M</stp>
        <stp>FPR=2022Y</stp>
        <stp>FPT=A</stp>
        <stp>FA_ACT_EST_DATA=E, EST_SOURCE=KEY</stp>
        <stp>ACT_EST_MAPPING=PRECISE</stp>
        <stp>FS=MRC</stp>
        <stp>CURRENCY=USD</stp>
        <stp>XLFILL=b</stp>
        <tr r="Z64" s="2"/>
      </tp>
      <tp t="s">
        <v/>
        <stp/>
        <stp>##V3_BQLV12</stp>
        <stp>[MODL_CRM_US1.xlsx]Single Period!R156C53</stp>
        <stp>CRM US Equity</stp>
        <stp>CF_DEPR_AMORT/1M</stp>
        <stp>FPR=2022Y</stp>
        <stp>FPT=A</stp>
        <stp>FA_ACT_EST_DATA=E, EST_SOURCE=NIK</stp>
        <stp>ACT_EST_MAPPING=PRECISE</stp>
        <stp>FS=MRC</stp>
        <stp>CURRENCY=USD</stp>
        <stp>XLFILL=b</stp>
        <tr r="BA156" s="2"/>
      </tp>
      <tp t="s">
        <v/>
        <stp/>
        <stp>##V3_BQLV12</stp>
        <stp>[MODL_CRM_US1.xlsx]Single Period!R24C27</stp>
        <stp>SEG0000269238 Segment</stp>
        <stp>SALES_REV_TURN/1M</stp>
        <stp>FPR=2022Y</stp>
        <stp>FPT=A</stp>
        <stp>FA_ACT_EST_DATA=E, EST_SOURCE=LCM</stp>
        <stp>ACT_EST_MAPPING=PRECISE</stp>
        <stp>FS=MRC</stp>
        <stp>CURRENCY=USD</stp>
        <stp>XLFILL=b</stp>
        <tr r="AA24" s="2"/>
      </tp>
      <tp t="s">
        <v/>
        <stp/>
        <stp>##V3_BQLV12</stp>
        <stp>[MODL_CRM_US1.xlsx]Single Period!R27C49</stp>
        <stp>SEG0000269241 Segment</stp>
        <stp>SALES_REV_TURN/1M</stp>
        <stp>FPR=2022Y</stp>
        <stp>FPT=A</stp>
        <stp>FA_ACT_EST_DATA=E, EST_SOURCE=SGE</stp>
        <stp>ACT_EST_MAPPING=PRECISE</stp>
        <stp>FS=MRC</stp>
        <stp>CURRENCY=USD</stp>
        <stp>XLFILL=b</stp>
        <tr r="AW27" s="2"/>
      </tp>
      <tp t="s">
        <v/>
        <stp/>
        <stp>##V3_BQLV12</stp>
        <stp>[MODL_CRM_US1.xlsx]Single Period!R151C37</stp>
        <stp>CRM US Equity</stp>
        <stp>NON_CURRENT_FUTURE_REV_UNDER_CONTRACT/1M</stp>
        <stp>FPR=2022Y</stp>
        <stp>FPT=A</stp>
        <stp>FA_ACT_EST_DATA=E, EST_SOURCE=EVR</stp>
        <stp>ACT_EST_MAPPING=PRECISE</stp>
        <stp>FS=MRC</stp>
        <stp>CURRENCY=USD</stp>
        <stp>XLFILL=b</stp>
        <tr r="AK151" s="2"/>
      </tp>
      <tp>
        <v>78.2</v>
        <stp/>
        <stp>##V3_BQLV12</stp>
        <stp>[MODL_CRM_US1.xlsx]Single Period!R56C17</stp>
        <stp>CRM US Equity</stp>
        <stp>IS_COMP_GROSS_MARGIN_PERCENTAGE</stp>
        <stp>FPR=2022Y</stp>
        <stp>FPT=A</stp>
        <stp>FA_ACT_EST_DATA=E, EST_SOURCE=NDH</stp>
        <stp>ACT_EST_MAPPING=PRECISE</stp>
        <stp>FS=MRC</stp>
        <stp>CURRENCY=USD</stp>
        <stp>XLFILL=b</stp>
        <tr r="Q56" s="2"/>
      </tp>
      <tp>
        <v>78.2</v>
        <stp/>
        <stp>##V3_BQLV12</stp>
        <stp>[MODL_CRM_US1.xlsx]Single Period!R17C17</stp>
        <stp>CRM US Equity</stp>
        <stp>IS_COMP_GROSS_MARGIN_PERCENTAGE</stp>
        <stp>FPR=2022Y</stp>
        <stp>FPT=A</stp>
        <stp>FA_ACT_EST_DATA=E, EST_SOURCE=NDH</stp>
        <stp>ACT_EST_MAPPING=PRECISE</stp>
        <stp>FS=MRC</stp>
        <stp>CURRENCY=USD</stp>
        <stp>XLFILL=b</stp>
        <tr r="Q17" s="2"/>
      </tp>
      <tp t="s">
        <v/>
        <stp/>
        <stp>##V3_BQLV12</stp>
        <stp>[MODL_CRM_US1.xlsx]Single Period!R82C39</stp>
        <stp>CRM US Equity</stp>
        <stp>OPERATING_EXPENSES_TO_NET_SALES</stp>
        <stp>FPR=2022Y</stp>
        <stp>FPT=A</stp>
        <stp>FA_ACT_EST_DATA=E, EST_SOURCE=KGI</stp>
        <stp>ACT_EST_MAPPING=PRECISE</stp>
        <stp>FS=MRC</stp>
        <stp>CURRENCY=USD</stp>
        <stp>XLFILL=b</stp>
        <tr r="AM82" s="2"/>
      </tp>
      <tp t="s">
        <v/>
        <stp/>
        <stp>##V3_BQLV12</stp>
        <stp>[MODL_CRM_US1.xlsx]Single Period!R105C49</stp>
        <stp>CRM US Equity</stp>
        <stp>IS_AMORT_ACQD_INTANGIBLES_COGS/1M</stp>
        <stp>FPR=2022Y</stp>
        <stp>FPT=A</stp>
        <stp>FA_ACT_EST_DATA=E, EST_SOURCE=SGE</stp>
        <stp>ACT_EST_MAPPING=PRECISE</stp>
        <stp>FS=MRC</stp>
        <stp>CURRENCY=USD</stp>
        <stp>XLFILL=b</stp>
        <tr r="AW105" s="2"/>
      </tp>
      <tp>
        <v>1.29</v>
        <stp/>
        <stp>##V3_BQLV12</stp>
        <stp>[MODL_CRM_US1.xlsx]Single Period!R95C22</stp>
        <stp>CRM US Equity</stp>
        <stp>IS_COMP_EPS_GAAP</stp>
        <stp>FPR=2022Y</stp>
        <stp>FPT=A</stp>
        <stp>FA_ACT_EST_DATA=E, EST_SOURCE=OPY</stp>
        <stp>ACT_EST_MAPPING=PRECISE</stp>
        <stp>FS=MRC</stp>
        <stp>CURRENCY=USD</stp>
        <stp>XLFILL=b</stp>
        <tr r="V95" s="2"/>
      </tp>
      <tp>
        <v>10040.899011798349</v>
        <stp/>
        <stp>##V3_BQLV12</stp>
        <stp>[MODL_CRM_US1.xlsx]Single Period!R188C15</stp>
        <stp>CRM US Equity</stp>
        <stp>BS_CASH_NEAR_CASH_ITEM/1M</stp>
        <stp>FPR=2022Y</stp>
        <stp>FPT=A</stp>
        <stp>FA_ACT_EST_DATA=E, EST_SOURCE=MSV</stp>
        <stp>ACT_EST_MAPPING=PRECISE</stp>
        <stp>FS=MRC</stp>
        <stp>CURRENCY=USD</stp>
        <stp>XLFILL=b</stp>
        <tr r="O188" s="2"/>
      </tp>
      <tp t="s">
        <v/>
        <stp/>
        <stp>##V3_BQLV12</stp>
        <stp>[MODL_CRM_US1.xlsx]Single Period!R95C41</stp>
        <stp>CRM US Equity</stp>
        <stp>IS_COMP_EPS_GAAP</stp>
        <stp>FPR=2022Y</stp>
        <stp>FPT=A</stp>
        <stp>FA_ACT_EST_DATA=E, EST_SOURCE=GSR</stp>
        <stp>ACT_EST_MAPPING=PRECISE</stp>
        <stp>FS=MRC</stp>
        <stp>CURRENCY=USD</stp>
        <stp>XLFILL=b</stp>
        <tr r="AO95" s="2"/>
      </tp>
      <tp t="s">
        <v/>
        <stp/>
        <stp>##V3_BQLV12</stp>
        <stp>[MODL_CRM_US1.xlsx]Single Period!R188C38</stp>
        <stp>CRM US Equity</stp>
        <stp>BS_CASH_NEAR_CASH_ITEM/1M</stp>
        <stp>FPR=2022Y</stp>
        <stp>FPT=A</stp>
        <stp>FA_ACT_EST_DATA=E, EST_SOURCE=MSR</stp>
        <stp>ACT_EST_MAPPING=PRECISE</stp>
        <stp>FS=MRC</stp>
        <stp>CURRENCY=USD</stp>
        <stp>XLFILL=b</stp>
        <tr r="AL188" s="2"/>
      </tp>
      <tp t="s">
        <v/>
        <stp/>
        <stp>##V3_BQLV12</stp>
        <stp>[MODL_CRM_US1.xlsx]Single Period!R188C41</stp>
        <stp>CRM US Equity</stp>
        <stp>BS_CASH_NEAR_CASH_ITEM/1M</stp>
        <stp>FPR=2022Y</stp>
        <stp>FPT=A</stp>
        <stp>FA_ACT_EST_DATA=E, EST_SOURCE=GSR</stp>
        <stp>ACT_EST_MAPPING=PRECISE</stp>
        <stp>FS=MRC</stp>
        <stp>CURRENCY=USD</stp>
        <stp>XLFILL=b</stp>
        <tr r="AO188" s="2"/>
      </tp>
      <tp t="s">
        <v/>
        <stp/>
        <stp>##V3_BQLV12</stp>
        <stp>[MODL_CRM_US1.xlsx]Single Period!R105C39</stp>
        <stp>CRM US Equity</stp>
        <stp>IS_AMORT_ACQD_INTANGIBLES_COGS/1M</stp>
        <stp>FPR=2022Y</stp>
        <stp>FPT=A</stp>
        <stp>FA_ACT_EST_DATA=E, EST_SOURCE=KGI</stp>
        <stp>ACT_EST_MAPPING=PRECISE</stp>
        <stp>FS=MRC</stp>
        <stp>CURRENCY=USD</stp>
        <stp>XLFILL=b</stp>
        <tr r="AM105" s="2"/>
      </tp>
      <tp>
        <v>26236</v>
        <stp/>
        <stp>##V3_BQLV12</stp>
        <stp>[MODL_CRM_US1.xlsx]Single Period!R52C6</stp>
        <stp>CRM US Equity</stp>
        <stp>CONTRIBUTOR_STATS(IS_COMP_SALES, MIN)/1M</stp>
        <stp>FPR=2022Y</stp>
        <stp>FPT=A</stp>
        <stp>FA_ACT_EST_DATA=E</stp>
        <stp>ACT_EST_MAPPING=PRECISE</stp>
        <stp>FS=MRC</stp>
        <stp>CURRENCY=USD</stp>
        <stp>XLFILL=b</stp>
        <tr r="F52" s="2"/>
      </tp>
      <tp t="s">
        <v/>
        <stp/>
        <stp>##V3_BQLV12</stp>
        <stp>[MODL_CRM_US1.xlsx]Single Period!R166C33</stp>
        <stp>CRM US Equity</stp>
        <stp>CF_CHANGE_IN_OPER_LEASE_LIBLTS/1M</stp>
        <stp>FPR=2022Y</stp>
        <stp>FPT=A</stp>
        <stp>FA_ACT_EST_DATA=E, EST_SOURCE=RHR</stp>
        <stp>ACT_EST_MAPPING=PRECISE</stp>
        <stp>FS=MRC</stp>
        <stp>CURRENCY=USD</stp>
        <stp>XLFILL=b</stp>
        <tr r="AG166" s="2"/>
      </tp>
      <tp t="s">
        <v/>
        <stp/>
        <stp>##V3_BQLV12</stp>
        <stp>[MODL_CRM_US1.xlsx]Single Period!R95C46</stp>
        <stp>CRM US Equity</stp>
        <stp>IS_COMP_EPS_GAAP</stp>
        <stp>FPR=2022Y</stp>
        <stp>FPT=A</stp>
        <stp>FA_ACT_EST_DATA=E, EST_SOURCE=CTI</stp>
        <stp>ACT_EST_MAPPING=PRECISE</stp>
        <stp>FS=MRC</stp>
        <stp>CURRENCY=USD</stp>
        <stp>XLFILL=b</stp>
        <tr r="AT95" s="2"/>
      </tp>
      <tp t="s">
        <v/>
        <stp/>
        <stp>##V3_BQLV12</stp>
        <stp>[MODL_CRM_US1.xlsx]Single Period!R30C10</stp>
        <stp>SEG0000269238 Segment</stp>
        <stp>IS_COGS_TO_FE_AND_PP_AND_G/1M</stp>
        <stp>FPR=2022Y</stp>
        <stp>FPT=A</stp>
        <stp>FA_ACT_EST_DATA=E, EST_SOURCE=CMPY</stp>
        <stp>ACT_EST_MAPPING=PRECISE</stp>
        <stp>FS=MRC</stp>
        <stp>CURRENCY=USD</stp>
        <stp>XLFILL=b</stp>
        <tr r="J30" s="2"/>
      </tp>
      <tp t="s">
        <v/>
        <stp/>
        <stp>##V3_BQLV12</stp>
        <stp>[MODL_CRM_US1.xlsx]Single Period!R188C42</stp>
        <stp>CRM US Equity</stp>
        <stp>BS_CASH_NEAR_CASH_ITEM/1M</stp>
        <stp>FPR=2022Y</stp>
        <stp>FPT=A</stp>
        <stp>FA_ACT_EST_DATA=E, EST_SOURCE=PSG</stp>
        <stp>ACT_EST_MAPPING=PRECISE</stp>
        <stp>FS=MRC</stp>
        <stp>CURRENCY=USD</stp>
        <stp>XLFILL=b</stp>
        <tr r="AP188" s="2"/>
      </tp>
      <tp t="s">
        <v/>
        <stp/>
        <stp>##V3_BQLV12</stp>
        <stp>[MODL_CRM_US1.xlsx]Single Period!R189C17</stp>
        <stp>CRM US Equity</stp>
        <stp>CF_CASH_AND_CASH_EQUIV_BEG_BAL/1M</stp>
        <stp>FPR=2022Y</stp>
        <stp>FPT=A</stp>
        <stp>FA_ACT_EST_DATA=E, EST_SOURCE=NDH</stp>
        <stp>ACT_EST_MAPPING=PRECISE</stp>
        <stp>FS=MRC</stp>
        <stp>CURRENCY=USD</stp>
        <stp>XLFILL=b</stp>
        <tr r="Q189" s="2"/>
      </tp>
      <tp>
        <v>11724.16639802725</v>
        <stp/>
        <stp>##V3_BQLV12</stp>
        <stp>[MODL_CRM_US1.xlsx]Single Period!R85C6</stp>
        <stp>CRM US Equity</stp>
        <stp>CONTRIBUTOR_STATS(CB_IS_S_AND_M_EXPENSE, MIN)/1M</stp>
        <stp>FPR=2022Y</stp>
        <stp>FPT=A</stp>
        <stp>FA_ACT_EST_DATA=E</stp>
        <stp>ACT_EST_MAPPING=PRECISE</stp>
        <stp>FS=MRC</stp>
        <stp>CURRENCY=USD</stp>
        <stp>XLFILL=b</stp>
        <tr r="F85" s="2"/>
      </tp>
      <tp>
        <v>3451.4856</v>
        <stp/>
        <stp>##V3_BQLV12</stp>
        <stp>[MODL_CRM_US1.xlsx]Single Period!R63C7</stp>
        <stp>CRM US Equity</stp>
        <stp>CONTRIBUTOR_STATS(CF_DEPR_AMORT, MAX)/1M</stp>
        <stp>FPR=2022Y</stp>
        <stp>FPT=A</stp>
        <stp>FA_ACT_EST_DATA=E</stp>
        <stp>ACT_EST_MAPPING=PRECISE</stp>
        <stp>FS=MRC</stp>
        <stp>CURRENCY=USD</stp>
        <stp>XLFILL=b</stp>
        <tr r="G63" s="2"/>
      </tp>
      <tp t="s">
        <v/>
        <stp/>
        <stp>##V3_BQLV12</stp>
        <stp>[MODL_CRM_US1.xlsx]Single Period!R128C39</stp>
        <stp>CRM US Equity</stp>
        <stp>BS_CUR_LIAB/1M</stp>
        <stp>FPR=2022Y</stp>
        <stp>FPT=A</stp>
        <stp>FA_ACT_EST_DATA=E, EST_SOURCE=KGI</stp>
        <stp>ACT_EST_MAPPING=PRECISE</stp>
        <stp>FS=MRC</stp>
        <stp>CURRENCY=USD</stp>
        <stp>XLFILL=b</stp>
        <tr r="AM128" s="2"/>
      </tp>
      <tp t="s">
        <v/>
        <stp/>
        <stp>##V3_BQLV12</stp>
        <stp>[MODL_CRM_US1.xlsx]Single Period!R162C12</stp>
        <stp>CRM US Equity</stp>
        <stp>CF_CHANGE_IN_PREPAID_EXPNSS/1M</stp>
        <stp>FPR=2022Y</stp>
        <stp>FPT=A</stp>
        <stp>FA_ACT_EST_DATA=E, EST_SOURCE=BMO</stp>
        <stp>ACT_EST_MAPPING=PRECISE</stp>
        <stp>FS=MRC</stp>
        <stp>CURRENCY=USD</stp>
        <stp>XLFILL=b</stp>
        <tr r="L162" s="2"/>
      </tp>
      <tp t="s">
        <v/>
        <stp/>
        <stp>##V3_BQLV12</stp>
        <stp>[MODL_CRM_US1.xlsx]Single Period!R131C33</stp>
        <stp>CRM US Equity</stp>
        <stp>ST_DEFERRED_REVENUE/1M</stp>
        <stp>FPR=2022Y</stp>
        <stp>FPT=A</stp>
        <stp>FA_ACT_EST_DATA=E, EST_SOURCE=RHR</stp>
        <stp>ACT_EST_MAPPING=PRECISE</stp>
        <stp>FS=MRC</stp>
        <stp>CURRENCY=USD</stp>
        <stp>XLFILL=b</stp>
        <tr r="AG131" s="2"/>
      </tp>
      <tp t="s">
        <v/>
        <stp/>
        <stp>##V3_BQLV12</stp>
        <stp>[MODL_CRM_US1.xlsx]Single Period!R102C55</stp>
        <stp>CRM US Equity</stp>
        <stp>IS_SBC_ATT_TO_S_AND_M_PRETX/1M</stp>
        <stp>FPR=2022Y</stp>
        <stp>FPT=A</stp>
        <stp>FA_ACT_EST_DATA=E, EST_SOURCE=RED</stp>
        <stp>ACT_EST_MAPPING=PRECISE</stp>
        <stp>FS=MRC</stp>
        <stp>CURRENCY=USD</stp>
        <stp>XLFILL=b</stp>
        <tr r="BC102" s="2"/>
      </tp>
      <tp t="s">
        <v/>
        <stp/>
        <stp>##V3_BQLV12</stp>
        <stp>[MODL_CRM_US1.xlsx]Single Period!R12C19</stp>
        <stp>CRM US Equity</stp>
        <stp>TOT_FUTURE_REV_UNDER_CONTRACT/1M</stp>
        <stp>FPR=2022Y</stp>
        <stp>FPT=A</stp>
        <stp>FA_ACT_EST_DATA=E, EST_SOURCE=SCB</stp>
        <stp>ACT_EST_MAPPING=PRECISE</stp>
        <stp>FS=MRC</stp>
        <stp>CURRENCY=USD</stp>
        <stp>XLFILL=b</stp>
        <tr r="S12" s="2"/>
      </tp>
      <tp t="s">
        <v/>
        <stp/>
        <stp>##V3_BQLV12</stp>
        <stp>[MODL_CRM_US1.xlsx]Single Period!R102C34</stp>
        <stp>CRM US Equity</stp>
        <stp>IS_SBC_ATT_TO_S_AND_M_PRETX/1M</stp>
        <stp>FPR=2022Y</stp>
        <stp>FPT=A</stp>
        <stp>FA_ACT_EST_DATA=E, EST_SOURCE=JEF</stp>
        <stp>ACT_EST_MAPPING=PRECISE</stp>
        <stp>FS=MRC</stp>
        <stp>CURRENCY=USD</stp>
        <stp>XLFILL=b</stp>
        <tr r="AH102" s="2"/>
      </tp>
      <tp t="s">
        <v/>
        <stp/>
        <stp>##V3_BQLV12</stp>
        <stp>[MODL_CRM_US1.xlsx]Single Period!R63C19</stp>
        <stp>CRM US Equity</stp>
        <stp>CF_DEPR_AMORT/1M</stp>
        <stp>FPR=2022Y</stp>
        <stp>FPT=A</stp>
        <stp>FA_ACT_EST_DATA=E, EST_SOURCE=SCB</stp>
        <stp>ACT_EST_MAPPING=PRECISE</stp>
        <stp>FS=MRC</stp>
        <stp>CURRENCY=USD</stp>
        <stp>XLFILL=b</stp>
        <tr r="S63" s="2"/>
      </tp>
      <tp t="s">
        <v/>
        <stp/>
        <stp>##V3_BQLV12</stp>
        <stp>[MODL_CRM_US1.xlsx]Single Period!R114C20</stp>
        <stp>CRM US Equity</stp>
        <stp>BS_ACCTS_REC_EXCL_NOTES_REC/1M</stp>
        <stp>FPR=2022Y</stp>
        <stp>FPT=A</stp>
        <stp>FA_ACT_EST_DATA=E, EST_SOURCE=JMP</stp>
        <stp>ACT_EST_MAPPING=PRECISE</stp>
        <stp>FS=MRC</stp>
        <stp>CURRENCY=USD</stp>
        <stp>XLFILL=b</stp>
        <tr r="T114" s="2"/>
      </tp>
      <tp t="s">
        <v/>
        <stp/>
        <stp>##V3_BQLV12</stp>
        <stp>[MODL_CRM_US1.xlsx]Single Period!R114C25</stp>
        <stp>CRM US Equity</stp>
        <stp>BS_ACCTS_REC_EXCL_NOTES_REC/1M</stp>
        <stp>FPR=2022Y</stp>
        <stp>FPT=A</stp>
        <stp>FA_ACT_EST_DATA=E, EST_SOURCE=WMS</stp>
        <stp>ACT_EST_MAPPING=PRECISE</stp>
        <stp>FS=MRC</stp>
        <stp>CURRENCY=USD</stp>
        <stp>XLFILL=b</stp>
        <tr r="Y114" s="2"/>
      </tp>
      <tp t="s">
        <v/>
        <stp/>
        <stp>##V3_BQLV12</stp>
        <stp>[MODL_CRM_US1.xlsx]Single Period!R185C39</stp>
        <stp>CRM US Equity</stp>
        <stp>CF_EFFECT_FOREIGN_EXCHANGES/1M</stp>
        <stp>FPR=2022Y</stp>
        <stp>FPT=A</stp>
        <stp>FA_ACT_EST_DATA=E, EST_SOURCE=KGI</stp>
        <stp>ACT_EST_MAPPING=PRECISE</stp>
        <stp>FS=MRC</stp>
        <stp>CURRENCY=USD</stp>
        <stp>XLFILL=b</stp>
        <tr r="AM185" s="2"/>
      </tp>
      <tp t="s">
        <v/>
        <stp/>
        <stp>##V3_BQLV12</stp>
        <stp>[MODL_CRM_US1.xlsx]Single Period!R130C12</stp>
        <stp>CRM US Equity</stp>
        <stp>BS_ST_OPERATING_LEASE_LIABS/1M</stp>
        <stp>FPR=2022Y</stp>
        <stp>FPT=A</stp>
        <stp>FA_ACT_EST_DATA=E, EST_SOURCE=BMO</stp>
        <stp>ACT_EST_MAPPING=PRECISE</stp>
        <stp>FS=MRC</stp>
        <stp>CURRENCY=USD</stp>
        <stp>XLFILL=b</stp>
        <tr r="L130" s="2"/>
      </tp>
      <tp t="s">
        <v/>
        <stp/>
        <stp>##V3_BQLV12</stp>
        <stp>[MODL_CRM_US1.xlsx]Single Period!R134C25</stp>
        <stp>CRM US Equity</stp>
        <stp>BS_LT_OPERATING_LEASE_LIABS/1M</stp>
        <stp>FPR=2022Y</stp>
        <stp>FPT=A</stp>
        <stp>FA_ACT_EST_DATA=E, EST_SOURCE=WMS</stp>
        <stp>ACT_EST_MAPPING=PRECISE</stp>
        <stp>FS=MRC</stp>
        <stp>CURRENCY=USD</stp>
        <stp>XLFILL=b</stp>
        <tr r="Y134" s="2"/>
      </tp>
      <tp t="s">
        <v/>
        <stp/>
        <stp>##V3_BQLV12</stp>
        <stp>[MODL_CRM_US1.xlsx]Single Period!R14C15</stp>
        <stp>CRM US Equity</stp>
        <stp>NON_CURRENT_FUTURE_REV_UNDER_CONTRACT/1M</stp>
        <stp>FPR=2022Y</stp>
        <stp>FPT=A</stp>
        <stp>FA_ACT_EST_DATA=E, EST_SOURCE=MSV</stp>
        <stp>ACT_EST_MAPPING=PRECISE</stp>
        <stp>FS=MRC</stp>
        <stp>CURRENCY=USD</stp>
        <stp>XLFILL=b</stp>
        <tr r="O14" s="2"/>
      </tp>
      <tp t="s">
        <v/>
        <stp/>
        <stp>##V3_BQLV12</stp>
        <stp>[MODL_CRM_US1.xlsx]Single Period!R12C53</stp>
        <stp>CRM US Equity</stp>
        <stp>TOT_FUTURE_REV_UNDER_CONTRACT/1M</stp>
        <stp>FPR=2022Y</stp>
        <stp>FPT=A</stp>
        <stp>FA_ACT_EST_DATA=E, EST_SOURCE=NIK</stp>
        <stp>ACT_EST_MAPPING=PRECISE</stp>
        <stp>FS=MRC</stp>
        <stp>CURRENCY=USD</stp>
        <stp>XLFILL=b</stp>
        <tr r="BA12" s="2"/>
      </tp>
      <tp t="s">
        <v/>
        <stp/>
        <stp>##V3_BQLV12</stp>
        <stp>[MODL_CRM_US1.xlsx]Single Period!R134C20</stp>
        <stp>CRM US Equity</stp>
        <stp>BS_LT_OPERATING_LEASE_LIABS/1M</stp>
        <stp>FPR=2022Y</stp>
        <stp>FPT=A</stp>
        <stp>FA_ACT_EST_DATA=E, EST_SOURCE=JMP</stp>
        <stp>ACT_EST_MAPPING=PRECISE</stp>
        <stp>FS=MRC</stp>
        <stp>CURRENCY=USD</stp>
        <stp>XLFILL=b</stp>
        <tr r="T134" s="2"/>
      </tp>
      <tp t="s">
        <v/>
        <stp/>
        <stp>##V3_BQLV12</stp>
        <stp>[MODL_CRM_US1.xlsx]Single Period!R128C49</stp>
        <stp>CRM US Equity</stp>
        <stp>BS_CUR_LIAB/1M</stp>
        <stp>FPR=2022Y</stp>
        <stp>FPT=A</stp>
        <stp>FA_ACT_EST_DATA=E, EST_SOURCE=SGE</stp>
        <stp>ACT_EST_MAPPING=PRECISE</stp>
        <stp>FS=MRC</stp>
        <stp>CURRENCY=USD</stp>
        <stp>XLFILL=b</stp>
        <tr r="AW128" s="2"/>
      </tp>
      <tp t="s">
        <v/>
        <stp/>
        <stp>##V3_BQLV12</stp>
        <stp>[MODL_CRM_US1.xlsx]Single Period!R63C53</stp>
        <stp>CRM US Equity</stp>
        <stp>CF_DEPR_AMORT/1M</stp>
        <stp>FPR=2022Y</stp>
        <stp>FPT=A</stp>
        <stp>FA_ACT_EST_DATA=E, EST_SOURCE=NIK</stp>
        <stp>ACT_EST_MAPPING=PRECISE</stp>
        <stp>FS=MRC</stp>
        <stp>CURRENCY=USD</stp>
        <stp>XLFILL=b</stp>
        <tr r="BA63" s="2"/>
      </tp>
      <tp t="s">
        <v/>
        <stp/>
        <stp>##V3_BQLV12</stp>
        <stp>[MODL_CRM_US1.xlsx]Single Period!R185C49</stp>
        <stp>CRM US Equity</stp>
        <stp>CF_EFFECT_FOREIGN_EXCHANGES/1M</stp>
        <stp>FPR=2022Y</stp>
        <stp>FPT=A</stp>
        <stp>FA_ACT_EST_DATA=E, EST_SOURCE=SGE</stp>
        <stp>ACT_EST_MAPPING=PRECISE</stp>
        <stp>FS=MRC</stp>
        <stp>CURRENCY=USD</stp>
        <stp>XLFILL=b</stp>
        <tr r="AW185" s="2"/>
      </tp>
      <tp t="s">
        <v/>
        <stp/>
        <stp>##V3_BQLV12</stp>
        <stp>[MODL_CRM_US1.xlsx]Single Period!R98C28</stp>
        <stp>CRM US Equity</stp>
        <stp>IS_INC_TAX_EFFECT_NONGAAP_REC/1M</stp>
        <stp>FPR=2022Y</stp>
        <stp>FPT=A</stp>
        <stp>FA_ACT_EST_DATA=E, EST_SOURCE=CWN</stp>
        <stp>ACT_EST_MAPPING=PRECISE</stp>
        <stp>FS=MRC</stp>
        <stp>CURRENCY=USD</stp>
        <stp>XLFILL=b</stp>
        <tr r="AB98" s="2"/>
      </tp>
      <tp>
        <v>19494.119375402192</v>
        <stp/>
        <stp>##V3_BQLV12</stp>
        <stp>[MODL_CRM_US1.xlsx]Single Period!R79C9</stp>
        <stp>CRM US Equity</stp>
        <stp>CONTRIBUTOR_STATS(CB_IS_GROSS_PROFIT, MEDIAN)/1M</stp>
        <stp>FPR=2022Y</stp>
        <stp>FPT=A</stp>
        <stp>FA_ACT_EST_DATA=E</stp>
        <stp>ACT_EST_MAPPING=PRECISE</stp>
        <stp>FS=MRC</stp>
        <stp>CURRENCY=USD</stp>
        <stp>XLFILL=b</stp>
        <tr r="I79" s="2"/>
      </tp>
      <tp t="s">
        <v/>
        <stp/>
        <stp>##V3_BQLV12</stp>
        <stp>[MODL_CRM_US1.xlsx]Single Period!R12C14</stp>
        <stp>CRM US Equity</stp>
        <stp>TOT_FUTURE_REV_UNDER_CONTRACT/1M</stp>
        <stp>FPR=2022Y</stp>
        <stp>FPT=A</stp>
        <stp>FA_ACT_EST_DATA=E, EST_SOURCE=SNR</stp>
        <stp>ACT_EST_MAPPING=PRECISE</stp>
        <stp>FS=MRC</stp>
        <stp>CURRENCY=USD</stp>
        <stp>XLFILL=b</stp>
        <tr r="N12" s="2"/>
      </tp>
      <tp t="s">
        <v/>
        <stp/>
        <stp>##V3_BQLV12</stp>
        <stp>[MODL_CRM_US1.xlsx]Single Period!R63C14</stp>
        <stp>CRM US Equity</stp>
        <stp>CF_DEPR_AMORT/1M</stp>
        <stp>FPR=2022Y</stp>
        <stp>FPT=A</stp>
        <stp>FA_ACT_EST_DATA=E, EST_SOURCE=SNR</stp>
        <stp>ACT_EST_MAPPING=PRECISE</stp>
        <stp>FS=MRC</stp>
        <stp>CURRENCY=USD</stp>
        <stp>XLFILL=b</stp>
        <tr r="N63" s="2"/>
      </tp>
      <tp t="s">
        <v/>
        <stp/>
        <stp>##V3_BQLV12</stp>
        <stp>[MODL_CRM_US1.xlsx]Single Period!R130C20</stp>
        <stp>CRM US Equity</stp>
        <stp>BS_ST_OPERATING_LEASE_LIABS/1M</stp>
        <stp>FPR=2022Y</stp>
        <stp>FPT=A</stp>
        <stp>FA_ACT_EST_DATA=E, EST_SOURCE=JMP</stp>
        <stp>ACT_EST_MAPPING=PRECISE</stp>
        <stp>FS=MRC</stp>
        <stp>CURRENCY=USD</stp>
        <stp>XLFILL=b</stp>
        <tr r="T130" s="2"/>
      </tp>
      <tp t="s">
        <v/>
        <stp/>
        <stp>##V3_BQLV12</stp>
        <stp>[MODL_CRM_US1.xlsx]Single Period!R122C54</stp>
        <stp>CRM US Equity</stp>
        <stp>BS_GOODWILL/1M</stp>
        <stp>FPR=2022Y</stp>
        <stp>FPT=A</stp>
        <stp>FA_ACT_EST_DATA=E, EST_SOURCE=ARE</stp>
        <stp>ACT_EST_MAPPING=PRECISE</stp>
        <stp>FS=MRC</stp>
        <stp>CURRENCY=USD</stp>
        <stp>XLFILL=b</stp>
        <tr r="BB122" s="2"/>
      </tp>
      <tp t="s">
        <v/>
        <stp/>
        <stp>##V3_BQLV12</stp>
        <stp>[MODL_CRM_US1.xlsx]Single Period!R134C12</stp>
        <stp>CRM US Equity</stp>
        <stp>BS_LT_OPERATING_LEASE_LIABS/1M</stp>
        <stp>FPR=2022Y</stp>
        <stp>FPT=A</stp>
        <stp>FA_ACT_EST_DATA=E, EST_SOURCE=BMO</stp>
        <stp>ACT_EST_MAPPING=PRECISE</stp>
        <stp>FS=MRC</stp>
        <stp>CURRENCY=USD</stp>
        <stp>XLFILL=b</stp>
        <tr r="L134" s="2"/>
      </tp>
      <tp t="s">
        <v/>
        <stp/>
        <stp>##V3_BQLV12</stp>
        <stp>[MODL_CRM_US1.xlsx]Single Period!R130C25</stp>
        <stp>CRM US Equity</stp>
        <stp>BS_ST_OPERATING_LEASE_LIABS/1M</stp>
        <stp>FPR=2022Y</stp>
        <stp>FPT=A</stp>
        <stp>FA_ACT_EST_DATA=E, EST_SOURCE=WMS</stp>
        <stp>ACT_EST_MAPPING=PRECISE</stp>
        <stp>FS=MRC</stp>
        <stp>CURRENCY=USD</stp>
        <stp>XLFILL=b</stp>
        <tr r="Y130" s="2"/>
      </tp>
      <tp t="s">
        <v/>
        <stp/>
        <stp>##V3_BQLV12</stp>
        <stp>[MODL_CRM_US1.xlsx]Single Period!R122C45</stp>
        <stp>CRM US Equity</stp>
        <stp>BS_GOODWILL/1M</stp>
        <stp>FPR=2022Y</stp>
        <stp>FPT=A</stp>
        <stp>FA_ACT_EST_DATA=E, EST_SOURCE=ARG</stp>
        <stp>ACT_EST_MAPPING=PRECISE</stp>
        <stp>FS=MRC</stp>
        <stp>CURRENCY=USD</stp>
        <stp>XLFILL=b</stp>
        <tr r="AS122" s="2"/>
      </tp>
      <tp t="s">
        <v/>
        <stp/>
        <stp>##V3_BQLV12</stp>
        <stp>[MODL_CRM_US1.xlsx]Single Period!R14C54</stp>
        <stp>CRM US Equity</stp>
        <stp>NON_CURRENT_FUTURE_REV_UNDER_CONTRACT/1M</stp>
        <stp>FPR=2022Y</stp>
        <stp>FPT=A</stp>
        <stp>FA_ACT_EST_DATA=E, EST_SOURCE=ARE</stp>
        <stp>ACT_EST_MAPPING=PRECISE</stp>
        <stp>FS=MRC</stp>
        <stp>CURRENCY=USD</stp>
        <stp>XLFILL=b</stp>
        <tr r="BB14" s="2"/>
      </tp>
      <tp t="s">
        <v/>
        <stp/>
        <stp>##V3_BQLV12</stp>
        <stp>[MODL_CRM_US1.xlsx]Single Period!R114C12</stp>
        <stp>CRM US Equity</stp>
        <stp>BS_ACCTS_REC_EXCL_NOTES_REC/1M</stp>
        <stp>FPR=2022Y</stp>
        <stp>FPT=A</stp>
        <stp>FA_ACT_EST_DATA=E, EST_SOURCE=BMO</stp>
        <stp>ACT_EST_MAPPING=PRECISE</stp>
        <stp>FS=MRC</stp>
        <stp>CURRENCY=USD</stp>
        <stp>XLFILL=b</stp>
        <tr r="L114" s="2"/>
      </tp>
      <tp>
        <v>1158.256012286593</v>
        <stp/>
        <stp>##V3_BQLV12</stp>
        <stp>[MODL_CRM_US1.xlsx]Single Period!R102C26</stp>
        <stp>CRM US Equity</stp>
        <stp>IS_SBC_ATT_TO_S_AND_M_PRETX/1M</stp>
        <stp>FPR=2022Y</stp>
        <stp>FPT=A</stp>
        <stp>FA_ACT_EST_DATA=E, EST_SOURCE=KEY</stp>
        <stp>ACT_EST_MAPPING=PRECISE</stp>
        <stp>FS=MRC</stp>
        <stp>CURRENCY=USD</stp>
        <stp>XLFILL=b</stp>
        <tr r="Z102" s="2"/>
      </tp>
      <tp>
        <v>-1</v>
        <stp/>
        <stp>##V3_BQLV12</stp>
        <stp>[MODL_CRM_US1.xlsx]Single Period!R162C20</stp>
        <stp>CRM US Equity</stp>
        <stp>CF_CHANGE_IN_PREPAID_EXPNSS/1M</stp>
        <stp>FPR=2022Y</stp>
        <stp>FPT=A</stp>
        <stp>FA_ACT_EST_DATA=E, EST_SOURCE=JMP</stp>
        <stp>ACT_EST_MAPPING=PRECISE</stp>
        <stp>FS=MRC</stp>
        <stp>CURRENCY=USD</stp>
        <stp>XLFILL=b</stp>
        <tr r="T162" s="2"/>
      </tp>
      <tp t="s">
        <v/>
        <stp/>
        <stp>##V3_BQLV12</stp>
        <stp>[MODL_CRM_US1.xlsx]Single Period!R100C17</stp>
        <stp>CRM US Equity</stp>
        <stp>IS_SBC_ATTRIB_TO_COGS_PRETX/1M</stp>
        <stp>FPR=2022Y</stp>
        <stp>FPT=A</stp>
        <stp>FA_ACT_EST_DATA=E, EST_SOURCE=NDH</stp>
        <stp>ACT_EST_MAPPING=PRECISE</stp>
        <stp>FS=MRC</stp>
        <stp>CURRENCY=USD</stp>
        <stp>XLFILL=b</stp>
        <tr r="Q100" s="2"/>
      </tp>
      <tp>
        <v>29.426334442199959</v>
        <stp/>
        <stp>##V3_BQLV12</stp>
        <stp>[MODL_CRM_US1.xlsx]Single Period!R162C25</stp>
        <stp>CRM US Equity</stp>
        <stp>CF_CHANGE_IN_PREPAID_EXPNSS/1M</stp>
        <stp>FPR=2022Y</stp>
        <stp>FPT=A</stp>
        <stp>FA_ACT_EST_DATA=E, EST_SOURCE=WMS</stp>
        <stp>ACT_EST_MAPPING=PRECISE</stp>
        <stp>FS=MRC</stp>
        <stp>CURRENCY=USD</stp>
        <stp>XLFILL=b</stp>
        <tr r="Y162" s="2"/>
      </tp>
      <tp t="s">
        <v/>
        <stp/>
        <stp>##V3_BQLV12</stp>
        <stp>[MODL_CRM_US1.xlsx]Single Period!R24C32</stp>
        <stp>SEG0000269238 Segment</stp>
        <stp>SALES_REV_TURN/1M</stp>
        <stp>FPR=2022Y</stp>
        <stp>FPT=A</stp>
        <stp>FA_ACT_EST_DATA=E, EST_SOURCE=UBS</stp>
        <stp>ACT_EST_MAPPING=PRECISE</stp>
        <stp>FS=MRC</stp>
        <stp>CURRENCY=USD</stp>
        <stp>XLFILL=b</stp>
        <tr r="AF24" s="2"/>
      </tp>
      <tp t="s">
        <v/>
        <stp/>
        <stp>##V3_BQLV12</stp>
        <stp>[MODL_CRM_US1.xlsx]Single Period!R10C52</stp>
        <stp>SEG0000269238 Segment</stp>
        <stp>SALES_REV_TURN/1M</stp>
        <stp>FPR=2022Y</stp>
        <stp>FPT=A</stp>
        <stp>FA_ACT_EST_DATA=E, EST_SOURCE=WFR</stp>
        <stp>ACT_EST_MAPPING=PRECISE</stp>
        <stp>FS=MRC</stp>
        <stp>CURRENCY=USD</stp>
        <stp>XLFILL=b</stp>
        <tr r="AZ10" s="2"/>
      </tp>
      <tp t="s">
        <v/>
        <stp/>
        <stp>##V3_BQLV12</stp>
        <stp>[MODL_CRM_US1.xlsx]Single Period!R156C33</stp>
        <stp>CRM US Equity</stp>
        <stp>CF_DEPR_AMORT/1M</stp>
        <stp>FPR=2022Y</stp>
        <stp>FPT=A</stp>
        <stp>FA_ACT_EST_DATA=E, EST_SOURCE=RHR</stp>
        <stp>ACT_EST_MAPPING=PRECISE</stp>
        <stp>FS=MRC</stp>
        <stp>CURRENCY=USD</stp>
        <stp>XLFILL=b</stp>
        <tr r="AG156" s="2"/>
      </tp>
      <tp t="s">
        <v/>
        <stp/>
        <stp>##V3_BQLV12</stp>
        <stp>[MODL_CRM_US1.xlsx]Single Period!R10C47</stp>
        <stp>SEG0000269238 Segment</stp>
        <stp>SALES_REV_TURN/1M</stp>
        <stp>FPR=2022Y</stp>
        <stp>FPT=A</stp>
        <stp>FA_ACT_EST_DATA=E, EST_SOURCE=WFT</stp>
        <stp>ACT_EST_MAPPING=PRECISE</stp>
        <stp>FS=MRC</stp>
        <stp>CURRENCY=USD</stp>
        <stp>XLFILL=b</stp>
        <tr r="AU10" s="2"/>
      </tp>
      <tp t="s">
        <v/>
        <stp/>
        <stp>##V3_BQLV12</stp>
        <stp>[MODL_CRM_US1.xlsx]Single Period!R119C42</stp>
        <stp>CRM US Equity</stp>
        <stp>CB_BS_OTHER_NONCURRENT_ASSETS/1M</stp>
        <stp>FPR=2022Y</stp>
        <stp>FPT=A</stp>
        <stp>FA_ACT_EST_DATA=E, EST_SOURCE=PSG</stp>
        <stp>ACT_EST_MAPPING=PRECISE</stp>
        <stp>FS=MRC</stp>
        <stp>CURRENCY=USD</stp>
        <stp>XLFILL=b</stp>
        <tr r="AP119" s="2"/>
      </tp>
      <tp t="s">
        <v/>
        <stp/>
        <stp>##V3_BQLV12</stp>
        <stp>[MODL_CRM_US1.xlsx]Single Period!R64C34</stp>
        <stp>CRM US Equity</stp>
        <stp>IS_COMPARABLE_EBITDA/1M</stp>
        <stp>FPR=2022Y</stp>
        <stp>FPT=A</stp>
        <stp>FA_ACT_EST_DATA=E, EST_SOURCE=JEF</stp>
        <stp>ACT_EST_MAPPING=PRECISE</stp>
        <stp>FS=MRC</stp>
        <stp>CURRENCY=USD</stp>
        <stp>XLFILL=b</stp>
        <tr r="AH64" s="2"/>
      </tp>
      <tp>
        <v>1755.25</v>
        <stp/>
        <stp>##V3_BQLV12</stp>
        <stp>[MODL_CRM_US1.xlsx]Single Period!R32C26</stp>
        <stp>SEG0000269227 Segment</stp>
        <stp>SALES_REV_TURN/1M</stp>
        <stp>FPR=2022Y</stp>
        <stp>FPT=A</stp>
        <stp>FA_ACT_EST_DATA=E, EST_SOURCE=KEY</stp>
        <stp>ACT_EST_MAPPING=PRECISE</stp>
        <stp>FS=MRC</stp>
        <stp>CURRENCY=USD</stp>
        <stp>XLFILL=b</stp>
        <tr r="Z32" s="2"/>
      </tp>
      <tp t="s">
        <v/>
        <stp/>
        <stp>##V3_BQLV12</stp>
        <stp>[MODL_CRM_US1.xlsx]Single Period!R28C56</stp>
        <stp>SEG0000269242 Segment</stp>
        <stp>SALES_REV_TURN/1M</stp>
        <stp>FPR=2022Y</stp>
        <stp>FPT=A</stp>
        <stp>FA_ACT_EST_DATA=E, EST_SOURCE=DIR</stp>
        <stp>ACT_EST_MAPPING=PRECISE</stp>
        <stp>FS=MRC</stp>
        <stp>CURRENCY=USD</stp>
        <stp>XLFILL=b</stp>
        <tr r="BD28" s="2"/>
      </tp>
      <tp t="s">
        <v/>
        <stp/>
        <stp>##V3_BQLV12</stp>
        <stp>[MODL_CRM_US1.xlsx]Single Period!R43C32</stp>
        <stp>SEG0000269240 Segment</stp>
        <stp>SALES_REV_TURN/1M</stp>
        <stp>FPR=2022Y</stp>
        <stp>FPT=A</stp>
        <stp>FA_ACT_EST_DATA=E, EST_SOURCE=UBS</stp>
        <stp>ACT_EST_MAPPING=PRECISE</stp>
        <stp>FS=MRC</stp>
        <stp>CURRENCY=USD</stp>
        <stp>XLFILL=b</stp>
        <tr r="AF43" s="2"/>
      </tp>
      <tp t="s">
        <v/>
        <stp/>
        <stp>##V3_BQLV12</stp>
        <stp>[MODL_CRM_US1.xlsx]Single Period!R27C52</stp>
        <stp>SEG0000269241 Segment</stp>
        <stp>SALES_REV_TURN/1M</stp>
        <stp>FPR=2022Y</stp>
        <stp>FPT=A</stp>
        <stp>FA_ACT_EST_DATA=E, EST_SOURCE=WFR</stp>
        <stp>ACT_EST_MAPPING=PRECISE</stp>
        <stp>FS=MRC</stp>
        <stp>CURRENCY=USD</stp>
        <stp>XLFILL=b</stp>
        <tr r="AZ27" s="2"/>
      </tp>
      <tp t="s">
        <v/>
        <stp/>
        <stp>##V3_BQLV12</stp>
        <stp>[MODL_CRM_US1.xlsx]Single Period!R27C47</stp>
        <stp>SEG0000269241 Segment</stp>
        <stp>SALES_REV_TURN/1M</stp>
        <stp>FPR=2022Y</stp>
        <stp>FPT=A</stp>
        <stp>FA_ACT_EST_DATA=E, EST_SOURCE=WFT</stp>
        <stp>ACT_EST_MAPPING=PRECISE</stp>
        <stp>FS=MRC</stp>
        <stp>CURRENCY=USD</stp>
        <stp>XLFILL=b</stp>
        <tr r="AU27" s="2"/>
      </tp>
      <tp t="s">
        <v/>
        <stp/>
        <stp>##V3_BQLV12</stp>
        <stp>[MODL_CRM_US1.xlsx]Single Period!R119C35</stp>
        <stp>CRM US Equity</stp>
        <stp>CB_BS_OTHER_NONCURRENT_ASSETS/1M</stp>
        <stp>FPR=2022Y</stp>
        <stp>FPT=A</stp>
        <stp>FA_ACT_EST_DATA=E, EST_SOURCE=ATL</stp>
        <stp>ACT_EST_MAPPING=PRECISE</stp>
        <stp>FS=MRC</stp>
        <stp>CURRENCY=USD</stp>
        <stp>XLFILL=b</stp>
        <tr r="AI119" s="2"/>
      </tp>
      <tp t="s">
        <v/>
        <stp/>
        <stp>##V3_BQLV12</stp>
        <stp>[MODL_CRM_US1.xlsx]Single Period!R149C20</stp>
        <stp>CRM US Equity</stp>
        <stp>TOT_FUTURE_REV_UNDER_CONTRACT/1M</stp>
        <stp>FPR=2022Y</stp>
        <stp>FPT=A</stp>
        <stp>FA_ACT_EST_DATA=E, EST_SOURCE=JMP</stp>
        <stp>ACT_EST_MAPPING=PRECISE</stp>
        <stp>FS=MRC</stp>
        <stp>CURRENCY=USD</stp>
        <stp>XLFILL=b</stp>
        <tr r="T149" s="2"/>
      </tp>
      <tp t="s">
        <v/>
        <stp/>
        <stp>##V3_BQLV12</stp>
        <stp>[MODL_CRM_US1.xlsx]Single Period!R101C23</stp>
        <stp>CRM US Equity</stp>
        <stp>IS_SBC_ATTRIBUTABLE_TO_R_AND_D_PRETX/1M</stp>
        <stp>FPR=2022Y</stp>
        <stp>FPT=A</stp>
        <stp>FA_ACT_EST_DATA=E, EST_SOURCE=JPM</stp>
        <stp>ACT_EST_MAPPING=PRECISE</stp>
        <stp>FS=MRC</stp>
        <stp>CURRENCY=USD</stp>
        <stp>XLFILL=b</stp>
        <tr r="W101" s="2"/>
      </tp>
      <tp t="s">
        <v/>
        <stp/>
        <stp>##V3_BQLV12</stp>
        <stp>[MODL_CRM_US1.xlsx]Single Period!R28C53</stp>
        <stp>SEG0000269242 Segment</stp>
        <stp>SALES_REV_TURN/1M</stp>
        <stp>FPR=2022Y</stp>
        <stp>FPT=A</stp>
        <stp>FA_ACT_EST_DATA=E, EST_SOURCE=NIK</stp>
        <stp>ACT_EST_MAPPING=PRECISE</stp>
        <stp>FS=MRC</stp>
        <stp>CURRENCY=USD</stp>
        <stp>XLFILL=b</stp>
        <tr r="BA28" s="2"/>
      </tp>
      <tp t="s">
        <v/>
        <stp/>
        <stp>##V3_BQLV12</stp>
        <stp>[MODL_CRM_US1.xlsx]Single Period!R24C31</stp>
        <stp>SEG0000269238 Segment</stp>
        <stp>SALES_REV_TURN/1M</stp>
        <stp>FPR=2022Y</stp>
        <stp>FPT=A</stp>
        <stp>FA_ACT_EST_DATA=E, EST_SOURCE=RBC</stp>
        <stp>ACT_EST_MAPPING=PRECISE</stp>
        <stp>FS=MRC</stp>
        <stp>CURRENCY=USD</stp>
        <stp>XLFILL=b</stp>
        <tr r="AE24" s="2"/>
      </tp>
      <tp>
        <v>24534.46953324202</v>
        <stp/>
        <stp>##V3_BQLV12</stp>
        <stp>[MODL_CRM_US1.xlsx]Single Period!R24C24</stp>
        <stp>SEG0000269238 Segment</stp>
        <stp>SALES_REV_TURN/1M</stp>
        <stp>FPR=2022Y</stp>
        <stp>FPT=A</stp>
        <stp>FA_ACT_EST_DATA=E, EST_SOURCE=FBC</stp>
        <stp>ACT_EST_MAPPING=PRECISE</stp>
        <stp>FS=MRC</stp>
        <stp>CURRENCY=USD</stp>
        <stp>XLFILL=b</stp>
        <tr r="X24" s="2"/>
      </tp>
      <tp>
        <v>462.47262694022766</v>
        <stp/>
        <stp>##V3_BQLV12</stp>
        <stp>[MODL_CRM_US1.xlsx]Single Period!R101C15</stp>
        <stp>CRM US Equity</stp>
        <stp>IS_SBC_ATTRIBUTABLE_TO_R_AND_D_PRETX/1M</stp>
        <stp>FPR=2022Y</stp>
        <stp>FPT=A</stp>
        <stp>FA_ACT_EST_DATA=E, EST_SOURCE=MSV</stp>
        <stp>ACT_EST_MAPPING=PRECISE</stp>
        <stp>FS=MRC</stp>
        <stp>CURRENCY=USD</stp>
        <stp>XLFILL=b</stp>
        <tr r="O101" s="2"/>
      </tp>
      <tp t="s">
        <v/>
        <stp/>
        <stp>##V3_BQLV12</stp>
        <stp>[MODL_CRM_US1.xlsx]Single Period!R119C37</stp>
        <stp>CRM US Equity</stp>
        <stp>CB_BS_OTHER_NONCURRENT_ASSETS/1M</stp>
        <stp>FPR=2022Y</stp>
        <stp>FPT=A</stp>
        <stp>FA_ACT_EST_DATA=E, EST_SOURCE=EVR</stp>
        <stp>ACT_EST_MAPPING=PRECISE</stp>
        <stp>FS=MRC</stp>
        <stp>CURRENCY=USD</stp>
        <stp>XLFILL=b</stp>
        <tr r="AK119" s="2"/>
      </tp>
      <tp t="s">
        <v/>
        <stp/>
        <stp>##V3_BQLV12</stp>
        <stp>[MODL_CRM_US1.xlsx]Single Period!R43C11</stp>
        <stp>SEG0000269240 Segment</stp>
        <stp>SALES_REV_TURN/1M</stp>
        <stp>FPR=2022Y</stp>
        <stp>FPT=A</stp>
        <stp>FA_ACT_EST_DATA=E, EST_SOURCE=WBL</stp>
        <stp>ACT_EST_MAPPING=PRECISE</stp>
        <stp>FS=MRC</stp>
        <stp>CURRENCY=USD</stp>
        <stp>XLFILL=b</stp>
        <tr r="K43" s="2"/>
      </tp>
      <tp t="s">
        <v/>
        <stp/>
        <stp>##V3_BQLV12</stp>
        <stp>[MODL_CRM_US1.xlsx]Single Period!R65C50</stp>
        <stp>CRM US Equity</stp>
        <stp>IS_AMORT_OF_TOT_INTANG_PRETX/1M</stp>
        <stp>FPR=2022Y</stp>
        <stp>FPT=A</stp>
        <stp>FA_ACT_EST_DATA=E, EST_SOURCE=MZS</stp>
        <stp>ACT_EST_MAPPING=PRECISE</stp>
        <stp>FS=MRC</stp>
        <stp>CURRENCY=USD</stp>
        <stp>XLFILL=b</stp>
        <tr r="AX65" s="2"/>
      </tp>
      <tp t="s">
        <v/>
        <stp/>
        <stp>##V3_BQLV12</stp>
        <stp>[MODL_CRM_US1.xlsx]Single Period!R64C51</stp>
        <stp>CRM US Equity</stp>
        <stp>IS_COMPARABLE_EBITDA/1M</stp>
        <stp>FPR=2022Y</stp>
        <stp>FPT=A</stp>
        <stp>FA_ACT_EST_DATA=E, EST_SOURCE=RCP</stp>
        <stp>ACT_EST_MAPPING=PRECISE</stp>
        <stp>FS=MRC</stp>
        <stp>CURRENCY=USD</stp>
        <stp>XLFILL=b</stp>
        <tr r="AY64" s="2"/>
      </tp>
      <tp>
        <v>3338.0665805975659</v>
        <stp/>
        <stp>##V3_BQLV12</stp>
        <stp>[MODL_CRM_US1.xlsx]Single Period!R156C21</stp>
        <stp>CRM US Equity</stp>
        <stp>CF_DEPR_AMORT/1M</stp>
        <stp>FPR=2022Y</stp>
        <stp>FPT=A</stp>
        <stp>FA_ACT_EST_DATA=E, EST_SOURCE=RJA</stp>
        <stp>ACT_EST_MAPPING=PRECISE</stp>
        <stp>FS=MRC</stp>
        <stp>CURRENCY=USD</stp>
        <stp>XLFILL=b</stp>
        <tr r="U156" s="2"/>
      </tp>
      <tp>
        <v>24568.92073094744</v>
        <stp/>
        <stp>##V3_BQLV12</stp>
        <stp>[MODL_CRM_US1.xlsx]Single Period!R24C16</stp>
        <stp>SEG0000269238 Segment</stp>
        <stp>SALES_REV_TURN/1M</stp>
        <stp>FPR=2022Y</stp>
        <stp>FPT=A</stp>
        <stp>FA_ACT_EST_DATA=E, EST_SOURCE=DBG</stp>
        <stp>ACT_EST_MAPPING=PRECISE</stp>
        <stp>FS=MRC</stp>
        <stp>CURRENCY=USD</stp>
        <stp>XLFILL=b</stp>
        <tr r="P24" s="2"/>
      </tp>
      <tp>
        <v>11874.25384007217</v>
        <stp/>
        <stp>##V3_BQLV12</stp>
        <stp>[MODL_CRM_US1.xlsx]Single Period!R85C9</stp>
        <stp>CRM US Equity</stp>
        <stp>CONTRIBUTOR_STATS(CB_IS_S_AND_M_EXPENSE, MEDIAN)/1M</stp>
        <stp>FPR=2022Y</stp>
        <stp>FPT=A</stp>
        <stp>FA_ACT_EST_DATA=E</stp>
        <stp>ACT_EST_MAPPING=PRECISE</stp>
        <stp>FS=MRC</stp>
        <stp>CURRENCY=USD</stp>
        <stp>XLFILL=b</stp>
        <tr r="I85" s="2"/>
      </tp>
      <tp t="s">
        <v/>
        <stp/>
        <stp>##V3_BQLV12</stp>
        <stp>[MODL_CRM_US1.xlsx]Single Period!R26C39</stp>
        <stp>SEG0000269247 Segment</stp>
        <stp>SALES_REV_TURN/1M</stp>
        <stp>FPR=2022Y</stp>
        <stp>FPT=A</stp>
        <stp>FA_ACT_EST_DATA=E, EST_SOURCE=KGI</stp>
        <stp>ACT_EST_MAPPING=PRECISE</stp>
        <stp>FS=MRC</stp>
        <stp>CURRENCY=USD</stp>
        <stp>XLFILL=b</stp>
        <tr r="AM26" s="2"/>
      </tp>
      <tp t="s">
        <v/>
        <stp/>
        <stp>##V3_BQLV12</stp>
        <stp>[MODL_CRM_US1.xlsx]Single Period!R32C34</stp>
        <stp>SEG0000269227 Segment</stp>
        <stp>SALES_REV_TURN/1M</stp>
        <stp>FPR=2022Y</stp>
        <stp>FPT=A</stp>
        <stp>FA_ACT_EST_DATA=E, EST_SOURCE=JEF</stp>
        <stp>ACT_EST_MAPPING=PRECISE</stp>
        <stp>FS=MRC</stp>
        <stp>CURRENCY=USD</stp>
        <stp>XLFILL=b</stp>
        <tr r="AH32" s="2"/>
      </tp>
      <tp t="s">
        <v/>
        <stp/>
        <stp>##V3_BQLV12</stp>
        <stp>[MODL_CRM_US1.xlsx]Single Period!R43C31</stp>
        <stp>SEG0000269240 Segment</stp>
        <stp>SALES_REV_TURN/1M</stp>
        <stp>FPR=2022Y</stp>
        <stp>FPT=A</stp>
        <stp>FA_ACT_EST_DATA=E, EST_SOURCE=RBC</stp>
        <stp>ACT_EST_MAPPING=PRECISE</stp>
        <stp>FS=MRC</stp>
        <stp>CURRENCY=USD</stp>
        <stp>XLFILL=b</stp>
        <tr r="AE43" s="2"/>
      </tp>
      <tp t="s">
        <v/>
        <stp/>
        <stp>##V3_BQLV12</stp>
        <stp>[MODL_CRM_US1.xlsx]Single Period!R43C24</stp>
        <stp>SEG0000269240 Segment</stp>
        <stp>SALES_REV_TURN/1M</stp>
        <stp>FPR=2022Y</stp>
        <stp>FPT=A</stp>
        <stp>FA_ACT_EST_DATA=E, EST_SOURCE=FBC</stp>
        <stp>ACT_EST_MAPPING=PRECISE</stp>
        <stp>FS=MRC</stp>
        <stp>CURRENCY=USD</stp>
        <stp>XLFILL=b</stp>
        <tr r="X43" s="2"/>
      </tp>
      <tp t="s">
        <v/>
        <stp/>
        <stp>##V3_BQLV12</stp>
        <stp>[MODL_CRM_US1.xlsx]Single Period!R32C55</stp>
        <stp>SEG0000269227 Segment</stp>
        <stp>SALES_REV_TURN/1M</stp>
        <stp>FPR=2022Y</stp>
        <stp>FPT=A</stp>
        <stp>FA_ACT_EST_DATA=E, EST_SOURCE=RED</stp>
        <stp>ACT_EST_MAPPING=PRECISE</stp>
        <stp>FS=MRC</stp>
        <stp>CURRENCY=USD</stp>
        <stp>XLFILL=b</stp>
        <tr r="BC32" s="2"/>
      </tp>
      <tp t="s">
        <v/>
        <stp/>
        <stp>##V3_BQLV12</stp>
        <stp>[MODL_CRM_US1.xlsx]Single Period!R101C22</stp>
        <stp>CRM US Equity</stp>
        <stp>IS_SBC_ATTRIBUTABLE_TO_R_AND_D_PRETX/1M</stp>
        <stp>FPR=2022Y</stp>
        <stp>FPT=A</stp>
        <stp>FA_ACT_EST_DATA=E, EST_SOURCE=OPY</stp>
        <stp>ACT_EST_MAPPING=PRECISE</stp>
        <stp>FS=MRC</stp>
        <stp>CURRENCY=USD</stp>
        <stp>XLFILL=b</stp>
        <tr r="V101" s="2"/>
      </tp>
      <tp t="s">
        <v/>
        <stp/>
        <stp>##V3_BQLV12</stp>
        <stp>[MODL_CRM_US1.xlsx]Single Period!R26C49</stp>
        <stp>SEG0000269247 Segment</stp>
        <stp>SALES_REV_TURN/1M</stp>
        <stp>FPR=2022Y</stp>
        <stp>FPT=A</stp>
        <stp>FA_ACT_EST_DATA=E, EST_SOURCE=SGE</stp>
        <stp>ACT_EST_MAPPING=PRECISE</stp>
        <stp>FS=MRC</stp>
        <stp>CURRENCY=USD</stp>
        <stp>XLFILL=b</stp>
        <tr r="AW26" s="2"/>
      </tp>
      <tp t="s">
        <v/>
        <stp/>
        <stp>##V3_BQLV12</stp>
        <stp>[MODL_CRM_US1.xlsx]Single Period!R24C11</stp>
        <stp>SEG0000269238 Segment</stp>
        <stp>SALES_REV_TURN/1M</stp>
        <stp>FPR=2022Y</stp>
        <stp>FPT=A</stp>
        <stp>FA_ACT_EST_DATA=E, EST_SOURCE=WBL</stp>
        <stp>ACT_EST_MAPPING=PRECISE</stp>
        <stp>FS=MRC</stp>
        <stp>CURRENCY=USD</stp>
        <stp>XLFILL=b</stp>
        <tr r="K24" s="2"/>
      </tp>
      <tp t="s">
        <v/>
        <stp/>
        <stp>##V3_BQLV12</stp>
        <stp>[MODL_CRM_US1.xlsx]Single Period!R43C16</stp>
        <stp>SEG0000269240 Segment</stp>
        <stp>SALES_REV_TURN/1M</stp>
        <stp>FPR=2022Y</stp>
        <stp>FPT=A</stp>
        <stp>FA_ACT_EST_DATA=E, EST_SOURCE=DBG</stp>
        <stp>ACT_EST_MAPPING=PRECISE</stp>
        <stp>FS=MRC</stp>
        <stp>CURRENCY=USD</stp>
        <stp>XLFILL=b</stp>
        <tr r="P43" s="2"/>
      </tp>
      <tp t="s">
        <v/>
        <stp/>
        <stp>##V3_BQLV12</stp>
        <stp>[MODL_CRM_US1.xlsx]Single Period!R157C10</stp>
        <stp>CRM US Equity</stp>
        <stp>CF_AMORTIZATN_OF_DEFRRD_COMPNSTN/1M</stp>
        <stp>FPR=2022Y</stp>
        <stp>FPT=A</stp>
        <stp>FA_ACT_EST_DATA=E, EST_SOURCE=CMPY</stp>
        <stp>ACT_EST_MAPPING=PRECISE</stp>
        <stp>FS=MRC</stp>
        <stp>CURRENCY=USD</stp>
        <stp>XLFILL=b</stp>
        <tr r="J157" s="2"/>
      </tp>
      <tp t="s">
        <v/>
        <stp/>
        <stp>##V3_BQLV12</stp>
        <stp>[MODL_CRM_US1.xlsx]Single Period!R82C26</stp>
        <stp>CRM US Equity</stp>
        <stp>OPERATING_EXPENSES_TO_NET_SALES</stp>
        <stp>FPR=2022Y</stp>
        <stp>FPT=A</stp>
        <stp>FA_ACT_EST_DATA=E, EST_SOURCE=KEY</stp>
        <stp>ACT_EST_MAPPING=PRECISE</stp>
        <stp>FS=MRC</stp>
        <stp>CURRENCY=USD</stp>
        <stp>XLFILL=b</stp>
        <tr r="Z82" s="2"/>
      </tp>
      <tp>
        <v>78.900000000000006</v>
        <stp/>
        <stp>##V3_BQLV12</stp>
        <stp>[MODL_CRM_US1.xlsx]Single Period!R17C34</stp>
        <stp>CRM US Equity</stp>
        <stp>IS_COMP_GROSS_MARGIN_PERCENTAGE</stp>
        <stp>FPR=2022Y</stp>
        <stp>FPT=A</stp>
        <stp>FA_ACT_EST_DATA=E, EST_SOURCE=JEF</stp>
        <stp>ACT_EST_MAPPING=PRECISE</stp>
        <stp>FS=MRC</stp>
        <stp>CURRENCY=USD</stp>
        <stp>XLFILL=b</stp>
        <tr r="AH17" s="2"/>
      </tp>
      <tp t="s">
        <v/>
        <stp/>
        <stp>##V3_BQLV12</stp>
        <stp>[MODL_CRM_US1.xlsx]Single Period!R183C12</stp>
        <stp>CRM US Equity</stp>
        <stp>CASH_FLOW_PER_SH</stp>
        <stp>FPR=2022Y</stp>
        <stp>FPT=A</stp>
        <stp>FA_ACT_EST_DATA=E, EST_SOURCE=BMO</stp>
        <stp>ACT_EST_MAPPING=PRECISE</stp>
        <stp>FS=MRC</stp>
        <stp>CURRENCY=USD</stp>
        <stp>XLFILL=b</stp>
        <tr r="L183" s="2"/>
      </tp>
      <tp>
        <v>78.900000000000006</v>
        <stp/>
        <stp>##V3_BQLV12</stp>
        <stp>[MODL_CRM_US1.xlsx]Single Period!R56C34</stp>
        <stp>CRM US Equity</stp>
        <stp>IS_COMP_GROSS_MARGIN_PERCENTAGE</stp>
        <stp>FPR=2022Y</stp>
        <stp>FPT=A</stp>
        <stp>FA_ACT_EST_DATA=E, EST_SOURCE=JEF</stp>
        <stp>ACT_EST_MAPPING=PRECISE</stp>
        <stp>FS=MRC</stp>
        <stp>CURRENCY=USD</stp>
        <stp>XLFILL=b</stp>
        <tr r="AH56" s="2"/>
      </tp>
      <tp t="s">
        <v/>
        <stp/>
        <stp>##V3_BQLV12</stp>
        <stp>[MODL_CRM_US1.xlsx]Single Period!R183C56</stp>
        <stp>CRM US Equity</stp>
        <stp>CASH_FLOW_PER_SH</stp>
        <stp>FPR=2022Y</stp>
        <stp>FPT=A</stp>
        <stp>FA_ACT_EST_DATA=E, EST_SOURCE=DIR</stp>
        <stp>ACT_EST_MAPPING=PRECISE</stp>
        <stp>FS=MRC</stp>
        <stp>CURRENCY=USD</stp>
        <stp>XLFILL=b</stp>
        <tr r="BD183" s="2"/>
      </tp>
      <tp t="s">
        <v/>
        <stp/>
        <stp>##V3_BQLV12</stp>
        <stp>[MODL_CRM_US1.xlsx]Single Period!R82C40</stp>
        <stp>CRM US Equity</stp>
        <stp>OPERATING_EXPENSES_TO_NET_SALES</stp>
        <stp>FPR=2022Y</stp>
        <stp>FPT=A</stp>
        <stp>FA_ACT_EST_DATA=E, EST_SOURCE=ACC</stp>
        <stp>ACT_EST_MAPPING=PRECISE</stp>
        <stp>FS=MRC</stp>
        <stp>CURRENCY=USD</stp>
        <stp>XLFILL=b</stp>
        <tr r="AN82" s="2"/>
      </tp>
      <tp t="s">
        <v/>
        <stp/>
        <stp>##V3_BQLV12</stp>
        <stp>[MODL_CRM_US1.xlsx]Single Period!R17C51</stp>
        <stp>CRM US Equity</stp>
        <stp>IS_COMP_GROSS_MARGIN_PERCENTAGE</stp>
        <stp>FPR=2022Y</stp>
        <stp>FPT=A</stp>
        <stp>FA_ACT_EST_DATA=E, EST_SOURCE=RCP</stp>
        <stp>ACT_EST_MAPPING=PRECISE</stp>
        <stp>FS=MRC</stp>
        <stp>CURRENCY=USD</stp>
        <stp>XLFILL=b</stp>
        <tr r="AY17" s="2"/>
      </tp>
      <tp t="s">
        <v/>
        <stp/>
        <stp>##V3_BQLV12</stp>
        <stp>[MODL_CRM_US1.xlsx]Single Period!R56C51</stp>
        <stp>CRM US Equity</stp>
        <stp>IS_COMP_GROSS_MARGIN_PERCENTAGE</stp>
        <stp>FPR=2022Y</stp>
        <stp>FPT=A</stp>
        <stp>FA_ACT_EST_DATA=E, EST_SOURCE=RCP</stp>
        <stp>ACT_EST_MAPPING=PRECISE</stp>
        <stp>FS=MRC</stp>
        <stp>CURRENCY=USD</stp>
        <stp>XLFILL=b</stp>
        <tr r="AY56" s="2"/>
      </tp>
      <tp>
        <v>3011.0488392508178</v>
        <stp/>
        <stp>##V3_BQLV12</stp>
        <stp>[MODL_CRM_US1.xlsx]Single Period!R165C13</stp>
        <stp>CRM US Equity</stp>
        <stp>CF_CHG_IN_DEFER_UNEARND_REV_ST/1M</stp>
        <stp>FPR=2022Y</stp>
        <stp>FPT=A</stp>
        <stp>FA_ACT_EST_DATA=E, EST_SOURCE=BCA</stp>
        <stp>ACT_EST_MAPPING=PRECISE</stp>
        <stp>FS=MRC</stp>
        <stp>CURRENCY=USD</stp>
        <stp>XLFILL=b</stp>
        <tr r="M165" s="2"/>
      </tp>
      <tp t="s">
        <v/>
        <stp/>
        <stp>##V3_BQLV12</stp>
        <stp>[MODL_CRM_US1.xlsx]Single Period!R165C40</stp>
        <stp>CRM US Equity</stp>
        <stp>CF_CHG_IN_DEFER_UNEARND_REV_ST/1M</stp>
        <stp>FPR=2022Y</stp>
        <stp>FPT=A</stp>
        <stp>FA_ACT_EST_DATA=E, EST_SOURCE=ACC</stp>
        <stp>ACT_EST_MAPPING=PRECISE</stp>
        <stp>FS=MRC</stp>
        <stp>CURRENCY=USD</stp>
        <stp>XLFILL=b</stp>
        <tr r="AN165" s="2"/>
      </tp>
      <tp t="s">
        <v/>
        <stp/>
        <stp>##V3_BQLV12</stp>
        <stp>[MODL_CRM_US1.xlsx]Single Period!R165C19</stp>
        <stp>CRM US Equity</stp>
        <stp>CF_CHG_IN_DEFER_UNEARND_REV_ST/1M</stp>
        <stp>FPR=2022Y</stp>
        <stp>FPT=A</stp>
        <stp>FA_ACT_EST_DATA=E, EST_SOURCE=SCB</stp>
        <stp>ACT_EST_MAPPING=PRECISE</stp>
        <stp>FS=MRC</stp>
        <stp>CURRENCY=USD</stp>
        <stp>XLFILL=b</stp>
        <tr r="S165" s="2"/>
      </tp>
      <tp t="s">
        <v/>
        <stp/>
        <stp>##V3_BQLV12</stp>
        <stp>[MODL_CRM_US1.xlsx]Single Period!R188C22</stp>
        <stp>CRM US Equity</stp>
        <stp>BS_CASH_NEAR_CASH_ITEM/1M</stp>
        <stp>FPR=2022Y</stp>
        <stp>FPT=A</stp>
        <stp>FA_ACT_EST_DATA=E, EST_SOURCE=OPY</stp>
        <stp>ACT_EST_MAPPING=PRECISE</stp>
        <stp>FS=MRC</stp>
        <stp>CURRENCY=USD</stp>
        <stp>XLFILL=b</stp>
        <tr r="V188" s="2"/>
      </tp>
      <tp t="s">
        <v/>
        <stp/>
        <stp>##V3_BQLV12</stp>
        <stp>[MODL_CRM_US1.xlsx]Single Period!R95C37</stp>
        <stp>CRM US Equity</stp>
        <stp>IS_COMP_EPS_GAAP</stp>
        <stp>FPR=2022Y</stp>
        <stp>FPT=A</stp>
        <stp>FA_ACT_EST_DATA=E, EST_SOURCE=EVR</stp>
        <stp>ACT_EST_MAPPING=PRECISE</stp>
        <stp>FS=MRC</stp>
        <stp>CURRENCY=USD</stp>
        <stp>XLFILL=b</stp>
        <tr r="AK95" s="2"/>
      </tp>
      <tp>
        <v>25.549396414213739</v>
        <stp/>
        <stp>##V3_BQLV12</stp>
        <stp>[MODL_CRM_US1.xlsx]Single Period!R187C5</stp>
        <stp>CRM US Equity</stp>
        <stp>CF_NET_CHNG_CASH/1M</stp>
        <stp>FPR=2022Y</stp>
        <stp>FPT=A</stp>
        <stp>FA_ACT_EST_DATA=E</stp>
        <stp>ACT_EST_MAPPING=PRECISE</stp>
        <stp>FS=MRC</stp>
        <stp>CURRENCY=USD</stp>
        <stp>XLFILL=b</stp>
        <tr r="E187" s="2"/>
      </tp>
      <tp t="s">
        <v/>
        <stp/>
        <stp>##V3_BQLV12</stp>
        <stp>[MODL_CRM_US1.xlsx]Single Period!R165C27</stp>
        <stp>CRM US Equity</stp>
        <stp>CF_CHG_IN_DEFER_UNEARND_REV_ST/1M</stp>
        <stp>FPR=2022Y</stp>
        <stp>FPT=A</stp>
        <stp>FA_ACT_EST_DATA=E, EST_SOURCE=LCM</stp>
        <stp>ACT_EST_MAPPING=PRECISE</stp>
        <stp>FS=MRC</stp>
        <stp>CURRENCY=USD</stp>
        <stp>XLFILL=b</stp>
        <tr r="AA165" s="2"/>
      </tp>
      <tp t="s">
        <v/>
        <stp/>
        <stp>##V3_BQLV12</stp>
        <stp>[MODL_CRM_US1.xlsx]Single Period!R112C50</stp>
        <stp>CRM US Equity</stp>
        <stp>BS_CASH_NEAR_CASH_ITEM/1M</stp>
        <stp>FPR=2022Y</stp>
        <stp>FPT=A</stp>
        <stp>FA_ACT_EST_DATA=E, EST_SOURCE=MZS</stp>
        <stp>ACT_EST_MAPPING=PRECISE</stp>
        <stp>FS=MRC</stp>
        <stp>CURRENCY=USD</stp>
        <stp>XLFILL=b</stp>
        <tr r="AX112" s="2"/>
      </tp>
      <tp t="s">
        <v/>
        <stp/>
        <stp>##V3_BQLV12</stp>
        <stp>[MODL_CRM_US1.xlsx]Single Period!R105C17</stp>
        <stp>CRM US Equity</stp>
        <stp>IS_AMORT_ACQD_INTANGIBLES_COGS/1M</stp>
        <stp>FPR=2022Y</stp>
        <stp>FPT=A</stp>
        <stp>FA_ACT_EST_DATA=E, EST_SOURCE=NDH</stp>
        <stp>ACT_EST_MAPPING=PRECISE</stp>
        <stp>FS=MRC</stp>
        <stp>CURRENCY=USD</stp>
        <stp>XLFILL=b</stp>
        <tr r="Q105" s="2"/>
      </tp>
      <tp t="s">
        <v/>
        <stp/>
        <stp>##V3_BQLV12</stp>
        <stp>[MODL_CRM_US1.xlsx]Single Period!R165C51</stp>
        <stp>CRM US Equity</stp>
        <stp>CF_CHG_IN_DEFER_UNEARND_REV_ST/1M</stp>
        <stp>FPR=2022Y</stp>
        <stp>FPT=A</stp>
        <stp>FA_ACT_EST_DATA=E, EST_SOURCE=RCP</stp>
        <stp>ACT_EST_MAPPING=PRECISE</stp>
        <stp>FS=MRC</stp>
        <stp>CURRENCY=USD</stp>
        <stp>XLFILL=b</stp>
        <tr r="AY165" s="2"/>
      </tp>
      <tp t="s">
        <v/>
        <stp/>
        <stp>##V3_BQLV12</stp>
        <stp>[MODL_CRM_US1.xlsx]Single Period!R188C23</stp>
        <stp>CRM US Equity</stp>
        <stp>BS_CASH_NEAR_CASH_ITEM/1M</stp>
        <stp>FPR=2022Y</stp>
        <stp>FPT=A</stp>
        <stp>FA_ACT_EST_DATA=E, EST_SOURCE=JPM</stp>
        <stp>ACT_EST_MAPPING=PRECISE</stp>
        <stp>FS=MRC</stp>
        <stp>CURRENCY=USD</stp>
        <stp>XLFILL=b</stp>
        <tr r="W188" s="2"/>
      </tp>
      <tp t="s">
        <v/>
        <stp/>
        <stp>##V3_BQLV12</stp>
        <stp>[MODL_CRM_US1.xlsx]Single Period!R189C49</stp>
        <stp>CRM US Equity</stp>
        <stp>CF_CASH_AND_CASH_EQUIV_BEG_BAL/1M</stp>
        <stp>FPR=2022Y</stp>
        <stp>FPT=A</stp>
        <stp>FA_ACT_EST_DATA=E, EST_SOURCE=SGE</stp>
        <stp>ACT_EST_MAPPING=PRECISE</stp>
        <stp>FS=MRC</stp>
        <stp>CURRENCY=USD</stp>
        <stp>XLFILL=b</stp>
        <tr r="AW189" s="2"/>
      </tp>
      <tp>
        <v>0.79</v>
        <stp/>
        <stp>##V3_BQLV12</stp>
        <stp>[MODL_CRM_US1.xlsx]Single Period!R95C35</stp>
        <stp>CRM US Equity</stp>
        <stp>IS_COMP_EPS_GAAP</stp>
        <stp>FPR=2022Y</stp>
        <stp>FPT=A</stp>
        <stp>FA_ACT_EST_DATA=E, EST_SOURCE=ATL</stp>
        <stp>ACT_EST_MAPPING=PRECISE</stp>
        <stp>FS=MRC</stp>
        <stp>CURRENCY=USD</stp>
        <stp>XLFILL=b</stp>
        <tr r="AI95" s="2"/>
      </tp>
      <tp t="s">
        <v/>
        <stp/>
        <stp>##V3_BQLV12</stp>
        <stp>[MODL_CRM_US1.xlsx]Single Period!R189C39</stp>
        <stp>CRM US Equity</stp>
        <stp>CF_CASH_AND_CASH_EQUIV_BEG_BAL/1M</stp>
        <stp>FPR=2022Y</stp>
        <stp>FPT=A</stp>
        <stp>FA_ACT_EST_DATA=E, EST_SOURCE=KGI</stp>
        <stp>ACT_EST_MAPPING=PRECISE</stp>
        <stp>FS=MRC</stp>
        <stp>CURRENCY=USD</stp>
        <stp>XLFILL=b</stp>
        <tr r="AM189" s="2"/>
      </tp>
      <tp t="s">
        <v/>
        <stp/>
        <stp>##V3_BQLV12</stp>
        <stp>[MODL_CRM_US1.xlsx]Single Period!R95C42</stp>
        <stp>CRM US Equity</stp>
        <stp>IS_COMP_EPS_GAAP</stp>
        <stp>FPR=2022Y</stp>
        <stp>FPT=A</stp>
        <stp>FA_ACT_EST_DATA=E, EST_SOURCE=PSG</stp>
        <stp>ACT_EST_MAPPING=PRECISE</stp>
        <stp>FS=MRC</stp>
        <stp>CURRENCY=USD</stp>
        <stp>XLFILL=b</stp>
        <tr r="AP95" s="2"/>
      </tp>
      <tp t="s">
        <v/>
        <stp/>
        <stp>##V3_BQLV12</stp>
        <stp>[MODL_CRM_US1.xlsx]Single Period!R93C54</stp>
        <stp>CRM US Equity</stp>
        <stp>IS_AVG_NUM_SH_FOR_EPS/1M</stp>
        <stp>FPR=2022Y</stp>
        <stp>FPT=A</stp>
        <stp>FA_ACT_EST_DATA=E, EST_SOURCE=ARE</stp>
        <stp>ACT_EST_MAPPING=PRECISE</stp>
        <stp>FS=MRC</stp>
        <stp>CURRENCY=USD</stp>
        <stp>XLFILL=b</stp>
        <tr r="BB93" s="2"/>
      </tp>
      <tp>
        <v>22304.055499999999</v>
        <stp/>
        <stp>##V3_BQLV12</stp>
        <stp>[MODL_CRM_US1.xlsx]Single Period!R128C17</stp>
        <stp>CRM US Equity</stp>
        <stp>BS_CUR_LIAB/1M</stp>
        <stp>FPR=2022Y</stp>
        <stp>FPT=A</stp>
        <stp>FA_ACT_EST_DATA=E, EST_SOURCE=NDH</stp>
        <stp>ACT_EST_MAPPING=PRECISE</stp>
        <stp>FS=MRC</stp>
        <stp>CURRENCY=USD</stp>
        <stp>XLFILL=b</stp>
        <tr r="Q128" s="2"/>
      </tp>
      <tp>
        <v>-11</v>
        <stp/>
        <stp>##V3_BQLV12</stp>
        <stp>[MODL_CRM_US1.xlsx]Single Period!R185C17</stp>
        <stp>CRM US Equity</stp>
        <stp>CF_EFFECT_FOREIGN_EXCHANGES/1M</stp>
        <stp>FPR=2022Y</stp>
        <stp>FPT=A</stp>
        <stp>FA_ACT_EST_DATA=E, EST_SOURCE=NDH</stp>
        <stp>ACT_EST_MAPPING=PRECISE</stp>
        <stp>FS=MRC</stp>
        <stp>CURRENCY=USD</stp>
        <stp>XLFILL=b</stp>
        <tr r="Q185" s="2"/>
      </tp>
      <tp t="s">
        <v/>
        <stp/>
        <stp>##V3_BQLV12</stp>
        <stp>[MODL_CRM_US1.xlsx]Single Period!R114C14</stp>
        <stp>CRM US Equity</stp>
        <stp>BS_ACCTS_REC_EXCL_NOTES_REC/1M</stp>
        <stp>FPR=2022Y</stp>
        <stp>FPT=A</stp>
        <stp>FA_ACT_EST_DATA=E, EST_SOURCE=SNR</stp>
        <stp>ACT_EST_MAPPING=PRECISE</stp>
        <stp>FS=MRC</stp>
        <stp>CURRENCY=USD</stp>
        <stp>XLFILL=b</stp>
        <tr r="N114" s="2"/>
      </tp>
      <tp t="s">
        <v/>
        <stp/>
        <stp>##V3_BQLV12</stp>
        <stp>[MODL_CRM_US1.xlsx]Single Period!R114C29</stp>
        <stp>CRM US Equity</stp>
        <stp>BS_ACCTS_REC_EXCL_NOTES_REC/1M</stp>
        <stp>FPR=2022Y</stp>
        <stp>FPT=A</stp>
        <stp>FA_ACT_EST_DATA=E, EST_SOURCE=BNS</stp>
        <stp>ACT_EST_MAPPING=PRECISE</stp>
        <stp>FS=MRC</stp>
        <stp>CURRENCY=USD</stp>
        <stp>XLFILL=b</stp>
        <tr r="AC114" s="2"/>
      </tp>
      <tp t="s">
        <v/>
        <stp/>
        <stp>##V3_BQLV12</stp>
        <stp>[MODL_CRM_US1.xlsx]Single Period!R73C44</stp>
        <stp>CRM US Equity</stp>
        <stp>IS_SH_FOR_DILUTED_EPS/1M</stp>
        <stp>FPR=2022Y</stp>
        <stp>FPT=A</stp>
        <stp>FA_ACT_EST_DATA=E, EST_SOURCE=RWB</stp>
        <stp>ACT_EST_MAPPING=PRECISE</stp>
        <stp>FS=MRC</stp>
        <stp>CURRENCY=USD</stp>
        <stp>XLFILL=b</stp>
        <tr r="AR73" s="2"/>
      </tp>
      <tp>
        <v>976.25324999999998</v>
        <stp/>
        <stp>##V3_BQLV12</stp>
        <stp>[MODL_CRM_US1.xlsx]Single Period!R73C23</stp>
        <stp>CRM US Equity</stp>
        <stp>IS_SH_FOR_DILUTED_EPS/1M</stp>
        <stp>FPR=2022Y</stp>
        <stp>FPT=A</stp>
        <stp>FA_ACT_EST_DATA=E, EST_SOURCE=JPM</stp>
        <stp>ACT_EST_MAPPING=PRECISE</stp>
        <stp>FS=MRC</stp>
        <stp>CURRENCY=USD</stp>
        <stp>XLFILL=b</stp>
        <tr r="W73" s="2"/>
      </tp>
      <tp t="s">
        <v/>
        <stp/>
        <stp>##V3_BQLV12</stp>
        <stp>[MODL_CRM_US1.xlsx]Single Period!R63C18</stp>
        <stp>CRM US Equity</stp>
        <stp>CF_DEPR_AMORT/1M</stp>
        <stp>FPR=2022Y</stp>
        <stp>FPT=A</stp>
        <stp>FA_ACT_EST_DATA=E, EST_SOURCE=CAN</stp>
        <stp>ACT_EST_MAPPING=PRECISE</stp>
        <stp>FS=MRC</stp>
        <stp>CURRENCY=USD</stp>
        <stp>XLFILL=b</stp>
        <tr r="R63" s="2"/>
      </tp>
      <tp t="s">
        <v/>
        <stp/>
        <stp>##V3_BQLV12</stp>
        <stp>[MODL_CRM_US1.xlsx]Single Period!R134C29</stp>
        <stp>CRM US Equity</stp>
        <stp>BS_LT_OPERATING_LEASE_LIABS/1M</stp>
        <stp>FPR=2022Y</stp>
        <stp>FPT=A</stp>
        <stp>FA_ACT_EST_DATA=E, EST_SOURCE=BNS</stp>
        <stp>ACT_EST_MAPPING=PRECISE</stp>
        <stp>FS=MRC</stp>
        <stp>CURRENCY=USD</stp>
        <stp>XLFILL=b</stp>
        <tr r="AC134" s="2"/>
      </tp>
      <tp t="s">
        <v/>
        <stp/>
        <stp>##V3_BQLV12</stp>
        <stp>[MODL_CRM_US1.xlsx]Single Period!R134C14</stp>
        <stp>CRM US Equity</stp>
        <stp>BS_LT_OPERATING_LEASE_LIABS/1M</stp>
        <stp>FPR=2022Y</stp>
        <stp>FPT=A</stp>
        <stp>FA_ACT_EST_DATA=E, EST_SOURCE=SNR</stp>
        <stp>ACT_EST_MAPPING=PRECISE</stp>
        <stp>FS=MRC</stp>
        <stp>CURRENCY=USD</stp>
        <stp>XLFILL=b</stp>
        <tr r="N134" s="2"/>
      </tp>
      <tp>
        <v>26414</v>
        <stp/>
        <stp>##V3_BQLV12</stp>
        <stp>[MODL_CRM_US1.xlsx]Single Period!R52C28</stp>
        <stp>CRM US Equity</stp>
        <stp>IS_COMP_SALES/1M</stp>
        <stp>FPR=2022Y</stp>
        <stp>FPT=A</stp>
        <stp>FA_ACT_EST_DATA=E, EST_SOURCE=CWN</stp>
        <stp>ACT_EST_MAPPING=PRECISE</stp>
        <stp>FS=MRC</stp>
        <stp>CURRENCY=USD</stp>
        <stp>XLFILL=b</stp>
        <tr r="AB52" s="2"/>
      </tp>
      <tp t="s">
        <v/>
        <stp/>
        <stp>##V3_BQLV12</stp>
        <stp>[MODL_CRM_US1.xlsx]Single Period!R12C18</stp>
        <stp>CRM US Equity</stp>
        <stp>TOT_FUTURE_REV_UNDER_CONTRACT/1M</stp>
        <stp>FPR=2022Y</stp>
        <stp>FPT=A</stp>
        <stp>FA_ACT_EST_DATA=E, EST_SOURCE=CAN</stp>
        <stp>ACT_EST_MAPPING=PRECISE</stp>
        <stp>FS=MRC</stp>
        <stp>CURRENCY=USD</stp>
        <stp>XLFILL=b</stp>
        <tr r="R12" s="2"/>
      </tp>
      <tp t="s">
        <v/>
        <stp/>
        <stp>##V3_BQLV12</stp>
        <stp>[MODL_CRM_US1.xlsx]Single Period!R102C47</stp>
        <stp>CRM US Equity</stp>
        <stp>IS_SBC_ATT_TO_S_AND_M_PRETX/1M</stp>
        <stp>FPR=2022Y</stp>
        <stp>FPT=A</stp>
        <stp>FA_ACT_EST_DATA=E, EST_SOURCE=WFT</stp>
        <stp>ACT_EST_MAPPING=PRECISE</stp>
        <stp>FS=MRC</stp>
        <stp>CURRENCY=USD</stp>
        <stp>XLFILL=b</stp>
        <tr r="AU102" s="2"/>
      </tp>
      <tp>
        <v>1349</v>
        <stp/>
        <stp>##V3_BQLV12</stp>
        <stp>[MODL_CRM_US1.xlsx]Single Period!R68C23</stp>
        <stp>CRM US Equity</stp>
        <stp>IS_COMP_PTP_EX_STK_BASED_COMP/1M</stp>
        <stp>FPR=2022Y</stp>
        <stp>FPT=A</stp>
        <stp>FA_ACT_EST_DATA=E, EST_SOURCE=JPM</stp>
        <stp>ACT_EST_MAPPING=PRECISE</stp>
        <stp>FS=MRC</stp>
        <stp>CURRENCY=USD</stp>
        <stp>XLFILL=b</stp>
        <tr r="W68" s="2"/>
      </tp>
      <tp t="s">
        <v/>
        <stp/>
        <stp>##V3_BQLV12</stp>
        <stp>[MODL_CRM_US1.xlsx]Single Period!R93C15</stp>
        <stp>CRM US Equity</stp>
        <stp>IS_AVG_NUM_SH_FOR_EPS/1M</stp>
        <stp>FPR=2022Y</stp>
        <stp>FPT=A</stp>
        <stp>FA_ACT_EST_DATA=E, EST_SOURCE=MSV</stp>
        <stp>ACT_EST_MAPPING=PRECISE</stp>
        <stp>FS=MRC</stp>
        <stp>CURRENCY=USD</stp>
        <stp>XLFILL=b</stp>
        <tr r="O93" s="2"/>
      </tp>
      <tp t="s">
        <v/>
        <stp/>
        <stp>##V3_BQLV12</stp>
        <stp>[MODL_CRM_US1.xlsx]Single Period!R130C14</stp>
        <stp>CRM US Equity</stp>
        <stp>BS_ST_OPERATING_LEASE_LIABS/1M</stp>
        <stp>FPR=2022Y</stp>
        <stp>FPT=A</stp>
        <stp>FA_ACT_EST_DATA=E, EST_SOURCE=SNR</stp>
        <stp>ACT_EST_MAPPING=PRECISE</stp>
        <stp>FS=MRC</stp>
        <stp>CURRENCY=USD</stp>
        <stp>XLFILL=b</stp>
        <tr r="N130" s="2"/>
      </tp>
      <tp t="s">
        <v/>
        <stp/>
        <stp>##V3_BQLV12</stp>
        <stp>[MODL_CRM_US1.xlsx]Single Period!R132C33</stp>
        <stp>CRM US Equity</stp>
        <stp>BS_ADJ_TOTAL_LT_LIABILITIES/1M</stp>
        <stp>FPR=2022Y</stp>
        <stp>FPT=A</stp>
        <stp>FA_ACT_EST_DATA=E, EST_SOURCE=RHR</stp>
        <stp>ACT_EST_MAPPING=PRECISE</stp>
        <stp>FS=MRC</stp>
        <stp>CURRENCY=USD</stp>
        <stp>XLFILL=b</stp>
        <tr r="AG132" s="2"/>
      </tp>
      <tp t="s">
        <v/>
        <stp/>
        <stp>##V3_BQLV12</stp>
        <stp>[MODL_CRM_US1.xlsx]Single Period!R100C49</stp>
        <stp>CRM US Equity</stp>
        <stp>IS_SBC_ATTRIB_TO_COGS_PRETX/1M</stp>
        <stp>FPR=2022Y</stp>
        <stp>FPT=A</stp>
        <stp>FA_ACT_EST_DATA=E, EST_SOURCE=SGE</stp>
        <stp>ACT_EST_MAPPING=PRECISE</stp>
        <stp>FS=MRC</stp>
        <stp>CURRENCY=USD</stp>
        <stp>XLFILL=b</stp>
        <tr r="AW100" s="2"/>
      </tp>
      <tp t="s">
        <v/>
        <stp/>
        <stp>##V3_BQLV12</stp>
        <stp>[MODL_CRM_US1.xlsx]Single Period!R130C29</stp>
        <stp>CRM US Equity</stp>
        <stp>BS_ST_OPERATING_LEASE_LIABS/1M</stp>
        <stp>FPR=2022Y</stp>
        <stp>FPT=A</stp>
        <stp>FA_ACT_EST_DATA=E, EST_SOURCE=BNS</stp>
        <stp>ACT_EST_MAPPING=PRECISE</stp>
        <stp>FS=MRC</stp>
        <stp>CURRENCY=USD</stp>
        <stp>XLFILL=b</stp>
        <tr r="AC130" s="2"/>
      </tp>
      <tp t="s">
        <v/>
        <stp/>
        <stp>##V3_BQLV12</stp>
        <stp>[MODL_CRM_US1.xlsx]Single Period!R102C52</stp>
        <stp>CRM US Equity</stp>
        <stp>IS_SBC_ATT_TO_S_AND_M_PRETX/1M</stp>
        <stp>FPR=2022Y</stp>
        <stp>FPT=A</stp>
        <stp>FA_ACT_EST_DATA=E, EST_SOURCE=WFR</stp>
        <stp>ACT_EST_MAPPING=PRECISE</stp>
        <stp>FS=MRC</stp>
        <stp>CURRENCY=USD</stp>
        <stp>XLFILL=b</stp>
        <tr r="AZ102" s="2"/>
      </tp>
      <tp t="s">
        <v/>
        <stp/>
        <stp>##V3_BQLV12</stp>
        <stp>[MODL_CRM_US1.xlsx]Single Period!R110C45</stp>
        <stp>CRM US Equity</stp>
        <stp>BS_CUR_ASSET_REPORT/1M</stp>
        <stp>FPR=2022Y</stp>
        <stp>FPT=A</stp>
        <stp>FA_ACT_EST_DATA=E, EST_SOURCE=ARG</stp>
        <stp>ACT_EST_MAPPING=PRECISE</stp>
        <stp>FS=MRC</stp>
        <stp>CURRENCY=USD</stp>
        <stp>XLFILL=b</stp>
        <tr r="AS110" s="2"/>
      </tp>
      <tp>
        <v>152.6512219173587</v>
        <stp/>
        <stp>##V3_BQLV12</stp>
        <stp>[MODL_CRM_US1.xlsx]Single Period!R90C5</stp>
        <stp>CRM US Equity</stp>
        <stp>IS_INC_TAX_EXP/1M</stp>
        <stp>FPR=2022Y</stp>
        <stp>FPT=A</stp>
        <stp>FA_ACT_EST_DATA=E</stp>
        <stp>ACT_EST_MAPPING=PRECISE</stp>
        <stp>FS=MRC</stp>
        <stp>CURRENCY=USD</stp>
        <stp>XLFILL=b</stp>
        <tr r="E90" s="2"/>
      </tp>
      <tp t="s">
        <v/>
        <stp/>
        <stp>##V3_BQLV12</stp>
        <stp>[MODL_CRM_US1.xlsx]Single Period!R110C54</stp>
        <stp>CRM US Equity</stp>
        <stp>BS_CUR_ASSET_REPORT/1M</stp>
        <stp>FPR=2022Y</stp>
        <stp>FPT=A</stp>
        <stp>FA_ACT_EST_DATA=E, EST_SOURCE=ARE</stp>
        <stp>ACT_EST_MAPPING=PRECISE</stp>
        <stp>FS=MRC</stp>
        <stp>CURRENCY=USD</stp>
        <stp>XLFILL=b</stp>
        <tr r="BB110" s="2"/>
      </tp>
      <tp>
        <v>4288</v>
        <stp/>
        <stp>##V3_BQLV12</stp>
        <stp>[MODL_CRM_US1.xlsx]Single Period!R68C44</stp>
        <stp>CRM US Equity</stp>
        <stp>IS_COMP_PTP_EX_STK_BASED_COMP/1M</stp>
        <stp>FPR=2022Y</stp>
        <stp>FPT=A</stp>
        <stp>FA_ACT_EST_DATA=E, EST_SOURCE=RWB</stp>
        <stp>ACT_EST_MAPPING=PRECISE</stp>
        <stp>FS=MRC</stp>
        <stp>CURRENCY=USD</stp>
        <stp>XLFILL=b</stp>
        <tr r="AR68" s="2"/>
      </tp>
      <tp t="s">
        <v/>
        <stp/>
        <stp>##V3_BQLV12</stp>
        <stp>[MODL_CRM_US1.xlsx]Single Period!R162C14</stp>
        <stp>CRM US Equity</stp>
        <stp>CF_CHANGE_IN_PREPAID_EXPNSS/1M</stp>
        <stp>FPR=2022Y</stp>
        <stp>FPT=A</stp>
        <stp>FA_ACT_EST_DATA=E, EST_SOURCE=SNR</stp>
        <stp>ACT_EST_MAPPING=PRECISE</stp>
        <stp>FS=MRC</stp>
        <stp>CURRENCY=USD</stp>
        <stp>XLFILL=b</stp>
        <tr r="N162" s="2"/>
      </tp>
      <tp t="s">
        <v/>
        <stp/>
        <stp>##V3_BQLV12</stp>
        <stp>[MODL_CRM_US1.xlsx]Single Period!R100C39</stp>
        <stp>CRM US Equity</stp>
        <stp>IS_SBC_ATTRIB_TO_COGS_PRETX/1M</stp>
        <stp>FPR=2022Y</stp>
        <stp>FPT=A</stp>
        <stp>FA_ACT_EST_DATA=E, EST_SOURCE=KGI</stp>
        <stp>ACT_EST_MAPPING=PRECISE</stp>
        <stp>FS=MRC</stp>
        <stp>CURRENCY=USD</stp>
        <stp>XLFILL=b</stp>
        <tr r="AM100" s="2"/>
      </tp>
      <tp t="s">
        <v/>
        <stp/>
        <stp>##V3_BQLV12</stp>
        <stp>[MODL_CRM_US1.xlsx]Single Period!R162C29</stp>
        <stp>CRM US Equity</stp>
        <stp>CF_CHANGE_IN_PREPAID_EXPNSS/1M</stp>
        <stp>FPR=2022Y</stp>
        <stp>FPT=A</stp>
        <stp>FA_ACT_EST_DATA=E, EST_SOURCE=BNS</stp>
        <stp>ACT_EST_MAPPING=PRECISE</stp>
        <stp>FS=MRC</stp>
        <stp>CURRENCY=USD</stp>
        <stp>XLFILL=b</stp>
        <tr r="AC162" s="2"/>
      </tp>
      <tp t="s">
        <v/>
        <stp/>
        <stp>##V3_BQLV12</stp>
        <stp>[MODL_CRM_US1.xlsx]Single Period!R151C23</stp>
        <stp>CRM US Equity</stp>
        <stp>NON_CURRENT_FUTURE_REV_UNDER_CONTRACT/1M</stp>
        <stp>FPR=2022Y</stp>
        <stp>FPT=A</stp>
        <stp>FA_ACT_EST_DATA=E, EST_SOURCE=JPM</stp>
        <stp>ACT_EST_MAPPING=PRECISE</stp>
        <stp>FS=MRC</stp>
        <stp>CURRENCY=USD</stp>
        <stp>XLFILL=b</stp>
        <tr r="W151" s="2"/>
      </tp>
      <tp>
        <v>6523.5350000000008</v>
        <stp/>
        <stp>##V3_BQLV12</stp>
        <stp>[MODL_CRM_US1.xlsx]Single Period!R27C26</stp>
        <stp>SEG0000269241 Segment</stp>
        <stp>SALES_REV_TURN/1M</stp>
        <stp>FPR=2022Y</stp>
        <stp>FPT=A</stp>
        <stp>FA_ACT_EST_DATA=E, EST_SOURCE=KEY</stp>
        <stp>ACT_EST_MAPPING=PRECISE</stp>
        <stp>FS=MRC</stp>
        <stp>CURRENCY=USD</stp>
        <stp>XLFILL=b</stp>
        <tr r="Z27" s="2"/>
      </tp>
      <tp>
        <v>2596</v>
        <stp/>
        <stp>##V3_BQLV12</stp>
        <stp>[MODL_CRM_US1.xlsx]Single Period!R156C25</stp>
        <stp>CRM US Equity</stp>
        <stp>CF_DEPR_AMORT/1M</stp>
        <stp>FPR=2022Y</stp>
        <stp>FPT=A</stp>
        <stp>FA_ACT_EST_DATA=E, EST_SOURCE=WMS</stp>
        <stp>ACT_EST_MAPPING=PRECISE</stp>
        <stp>FS=MRC</stp>
        <stp>CURRENCY=USD</stp>
        <stp>XLFILL=b</stp>
        <tr r="Y156" s="2"/>
      </tp>
      <tp t="s">
        <v/>
        <stp/>
        <stp>##V3_BQLV12</stp>
        <stp>[MODL_CRM_US1.xlsx]Single Period!R140C44</stp>
        <stp>CRM US Equity</stp>
        <stp>BS_ACCUMULATED_OTHER_COMP_INC/1M</stp>
        <stp>FPR=2022Y</stp>
        <stp>FPT=A</stp>
        <stp>FA_ACT_EST_DATA=E, EST_SOURCE=RWB</stp>
        <stp>ACT_EST_MAPPING=PRECISE</stp>
        <stp>FS=MRC</stp>
        <stp>CURRENCY=USD</stp>
        <stp>XLFILL=b</stp>
        <tr r="AR140" s="2"/>
      </tp>
      <tp>
        <v>6406.4677409735523</v>
        <stp/>
        <stp>##V3_BQLV12</stp>
        <stp>[MODL_CRM_US1.xlsx]Single Period!R188C5</stp>
        <stp>CRM US Equity</stp>
        <stp>BS_CASH_NEAR_CASH_ITEM/1M</stp>
        <stp>FPR=2022Y</stp>
        <stp>FPT=A</stp>
        <stp>FA_ACT_EST_DATA=E</stp>
        <stp>ACT_EST_MAPPING=PRECISE</stp>
        <stp>FS=MRC</stp>
        <stp>CURRENCY=USD</stp>
        <stp>XLFILL=b</stp>
        <tr r="E188" s="2"/>
      </tp>
      <tp t="s">
        <v/>
        <stp/>
        <stp>##V3_BQLV12</stp>
        <stp>[MODL_CRM_US1.xlsx]Single Period!R119C46</stp>
        <stp>CRM US Equity</stp>
        <stp>CB_BS_OTHER_NONCURRENT_ASSETS/1M</stp>
        <stp>FPR=2022Y</stp>
        <stp>FPT=A</stp>
        <stp>FA_ACT_EST_DATA=E, EST_SOURCE=CTI</stp>
        <stp>ACT_EST_MAPPING=PRECISE</stp>
        <stp>FS=MRC</stp>
        <stp>CURRENCY=USD</stp>
        <stp>XLFILL=b</stp>
        <tr r="AT119" s="2"/>
      </tp>
      <tp>
        <v>24543.690999999999</v>
        <stp/>
        <stp>##V3_BQLV12</stp>
        <stp>[MODL_CRM_US1.xlsx]Single Period!R10C26</stp>
        <stp>SEG0000269238 Segment</stp>
        <stp>SALES_REV_TURN/1M</stp>
        <stp>FPR=2022Y</stp>
        <stp>FPT=A</stp>
        <stp>FA_ACT_EST_DATA=E, EST_SOURCE=KEY</stp>
        <stp>ACT_EST_MAPPING=PRECISE</stp>
        <stp>FS=MRC</stp>
        <stp>CURRENCY=USD</stp>
        <stp>XLFILL=b</stp>
        <tr r="Z10" s="2"/>
      </tp>
      <tp t="s">
        <v/>
        <stp/>
        <stp>##V3_BQLV12</stp>
        <stp>[MODL_CRM_US1.xlsx]Single Period!R123C38</stp>
        <stp>CRM US Equity</stp>
        <stp>TOT_OPER_LEA_RT_OF_USE_ASSETS/1M</stp>
        <stp>FPR=2022Y</stp>
        <stp>FPT=A</stp>
        <stp>FA_ACT_EST_DATA=E, EST_SOURCE=MSR</stp>
        <stp>ACT_EST_MAPPING=PRECISE</stp>
        <stp>FS=MRC</stp>
        <stp>CURRENCY=USD</stp>
        <stp>XLFILL=b</stp>
        <tr r="AL123" s="2"/>
      </tp>
      <tp t="s">
        <v/>
        <stp/>
        <stp>##V3_BQLV12</stp>
        <stp>[MODL_CRM_US1.xlsx]Single Period!R32C47</stp>
        <stp>SEG0000269227 Segment</stp>
        <stp>SALES_REV_TURN/1M</stp>
        <stp>FPR=2022Y</stp>
        <stp>FPT=A</stp>
        <stp>FA_ACT_EST_DATA=E, EST_SOURCE=WFT</stp>
        <stp>ACT_EST_MAPPING=PRECISE</stp>
        <stp>FS=MRC</stp>
        <stp>CURRENCY=USD</stp>
        <stp>XLFILL=b</stp>
        <tr r="AU32" s="2"/>
      </tp>
      <tp t="s">
        <v/>
        <stp/>
        <stp>##V3_BQLV12</stp>
        <stp>[MODL_CRM_US1.xlsx]Single Period!R140C23</stp>
        <stp>CRM US Equity</stp>
        <stp>BS_ACCUMULATED_OTHER_COMP_INC/1M</stp>
        <stp>FPR=2022Y</stp>
        <stp>FPT=A</stp>
        <stp>FA_ACT_EST_DATA=E, EST_SOURCE=JPM</stp>
        <stp>ACT_EST_MAPPING=PRECISE</stp>
        <stp>FS=MRC</stp>
        <stp>CURRENCY=USD</stp>
        <stp>XLFILL=b</stp>
        <tr r="W140" s="2"/>
      </tp>
      <tp>
        <v>8977</v>
        <stp/>
        <stp>##V3_BQLV12</stp>
        <stp>[MODL_CRM_US1.xlsx]Single Period!R64C17</stp>
        <stp>CRM US Equity</stp>
        <stp>IS_COMPARABLE_EBITDA/1M</stp>
        <stp>FPR=2022Y</stp>
        <stp>FPT=A</stp>
        <stp>FA_ACT_EST_DATA=E, EST_SOURCE=NDH</stp>
        <stp>ACT_EST_MAPPING=PRECISE</stp>
        <stp>FS=MRC</stp>
        <stp>CURRENCY=USD</stp>
        <stp>XLFILL=b</stp>
        <tr r="Q64" s="2"/>
      </tp>
      <tp t="s">
        <v/>
        <stp/>
        <stp>##V3_BQLV12</stp>
        <stp>[MODL_CRM_US1.xlsx]Single Period!R32C52</stp>
        <stp>SEG0000269227 Segment</stp>
        <stp>SALES_REV_TURN/1M</stp>
        <stp>FPR=2022Y</stp>
        <stp>FPT=A</stp>
        <stp>FA_ACT_EST_DATA=E, EST_SOURCE=WFR</stp>
        <stp>ACT_EST_MAPPING=PRECISE</stp>
        <stp>FS=MRC</stp>
        <stp>CURRENCY=USD</stp>
        <stp>XLFILL=b</stp>
        <tr r="AZ32" s="2"/>
      </tp>
      <tp t="s">
        <v/>
        <stp/>
        <stp>##V3_BQLV12</stp>
        <stp>[MODL_CRM_US1.xlsx]Single Period!R151C44</stp>
        <stp>CRM US Equity</stp>
        <stp>NON_CURRENT_FUTURE_REV_UNDER_CONTRACT/1M</stp>
        <stp>FPR=2022Y</stp>
        <stp>FPT=A</stp>
        <stp>FA_ACT_EST_DATA=E, EST_SOURCE=RWB</stp>
        <stp>ACT_EST_MAPPING=PRECISE</stp>
        <stp>FS=MRC</stp>
        <stp>CURRENCY=USD</stp>
        <stp>XLFILL=b</stp>
        <tr r="AR151" s="2"/>
      </tp>
      <tp t="s">
        <v/>
        <stp/>
        <stp>##V3_BQLV12</stp>
        <stp>[MODL_CRM_US1.xlsx]Single Period!R24C36</stp>
        <stp>SEG0000269238 Segment</stp>
        <stp>SALES_REV_TURN/1M</stp>
        <stp>FPR=2022Y</stp>
        <stp>FPT=A</stp>
        <stp>FA_ACT_EST_DATA=E, EST_SOURCE=MAC</stp>
        <stp>ACT_EST_MAPPING=PRECISE</stp>
        <stp>FS=MRC</stp>
        <stp>CURRENCY=USD</stp>
        <stp>XLFILL=b</stp>
        <tr r="AJ24" s="2"/>
      </tp>
      <tp t="s">
        <v/>
        <stp/>
        <stp>##V3_BQLV12</stp>
        <stp>[MODL_CRM_US1.xlsx]Single Period!R119C41</stp>
        <stp>CRM US Equity</stp>
        <stp>CB_BS_OTHER_NONCURRENT_ASSETS/1M</stp>
        <stp>FPR=2022Y</stp>
        <stp>FPT=A</stp>
        <stp>FA_ACT_EST_DATA=E, EST_SOURCE=GSR</stp>
        <stp>ACT_EST_MAPPING=PRECISE</stp>
        <stp>FS=MRC</stp>
        <stp>CURRENCY=USD</stp>
        <stp>XLFILL=b</stp>
        <tr r="AO119" s="2"/>
      </tp>
      <tp t="s">
        <v/>
        <stp/>
        <stp>##V3_BQLV12</stp>
        <stp>[MODL_CRM_US1.xlsx]Single Period!R43C30</stp>
        <stp>SEG0000269240 Segment</stp>
        <stp>SALES_REV_TURN/1M</stp>
        <stp>FPR=2022Y</stp>
        <stp>FPT=A</stp>
        <stp>FA_ACT_EST_DATA=E, EST_SOURCE=BAM</stp>
        <stp>ACT_EST_MAPPING=PRECISE</stp>
        <stp>FS=MRC</stp>
        <stp>CURRENCY=USD</stp>
        <stp>XLFILL=b</stp>
        <tr r="AD43" s="2"/>
      </tp>
      <tp t="s">
        <v/>
        <stp/>
        <stp>##V3_BQLV12</stp>
        <stp>[MODL_CRM_US1.xlsx]Single Period!R10C55</stp>
        <stp>SEG0000269238 Segment</stp>
        <stp>SALES_REV_TURN/1M</stp>
        <stp>FPR=2022Y</stp>
        <stp>FPT=A</stp>
        <stp>FA_ACT_EST_DATA=E, EST_SOURCE=RED</stp>
        <stp>ACT_EST_MAPPING=PRECISE</stp>
        <stp>FS=MRC</stp>
        <stp>CURRENCY=USD</stp>
        <stp>XLFILL=b</stp>
        <tr r="BC10" s="2"/>
      </tp>
      <tp>
        <v>4.6264437781972054</v>
        <stp/>
        <stp>##V3_BQLV12</stp>
        <stp>[MODL_CRM_US1.xlsx]Single Period!R92C6</stp>
        <stp>CRM US Equity</stp>
        <stp>CONTRIBUTOR_STATS(PROF_MARGIN, MIN)</stp>
        <stp>FPR=2022Y</stp>
        <stp>FPT=A</stp>
        <stp>FA_ACT_EST_DATA=E</stp>
        <stp>ACT_EST_MAPPING=PRECISE</stp>
        <stp>FS=MRC</stp>
        <stp>CURRENCY=USD</stp>
        <stp>XLFILL=b</stp>
        <tr r="F92" s="2"/>
      </tp>
      <tp t="s">
        <v/>
        <stp/>
        <stp>##V3_BQLV12</stp>
        <stp>[MODL_CRM_US1.xlsx]Single Period!R149C39</stp>
        <stp>CRM US Equity</stp>
        <stp>TOT_FUTURE_REV_UNDER_CONTRACT/1M</stp>
        <stp>FPR=2022Y</stp>
        <stp>FPT=A</stp>
        <stp>FA_ACT_EST_DATA=E, EST_SOURCE=KGI</stp>
        <stp>ACT_EST_MAPPING=PRECISE</stp>
        <stp>FS=MRC</stp>
        <stp>CURRENCY=USD</stp>
        <stp>XLFILL=b</stp>
        <tr r="AM149" s="2"/>
      </tp>
      <tp>
        <v>5963</v>
        <stp/>
        <stp>##V3_BQLV12</stp>
        <stp>[MODL_CRM_US1.xlsx]Single Period!R26C17</stp>
        <stp>SEG0000269247 Segment</stp>
        <stp>SALES_REV_TURN/1M</stp>
        <stp>FPR=2022Y</stp>
        <stp>FPT=A</stp>
        <stp>FA_ACT_EST_DATA=E, EST_SOURCE=NDH</stp>
        <stp>ACT_EST_MAPPING=PRECISE</stp>
        <stp>FS=MRC</stp>
        <stp>CURRENCY=USD</stp>
        <stp>XLFILL=b</stp>
        <tr r="Q26" s="2"/>
      </tp>
      <tp t="s">
        <v/>
        <stp/>
        <stp>##V3_BQLV12</stp>
        <stp>[MODL_CRM_US1.xlsx]Single Period!R43C18</stp>
        <stp>SEG0000269240 Segment</stp>
        <stp>SALES_REV_TURN/1M</stp>
        <stp>FPR=2022Y</stp>
        <stp>FPT=A</stp>
        <stp>FA_ACT_EST_DATA=E, EST_SOURCE=CAN</stp>
        <stp>ACT_EST_MAPPING=PRECISE</stp>
        <stp>FS=MRC</stp>
        <stp>CURRENCY=USD</stp>
        <stp>XLFILL=b</stp>
        <tr r="R43" s="2"/>
      </tp>
      <tp t="s">
        <v/>
        <stp/>
        <stp>##V3_BQLV12</stp>
        <stp>[MODL_CRM_US1.xlsx]Single Period!R10C34</stp>
        <stp>SEG0000269238 Segment</stp>
        <stp>SALES_REV_TURN/1M</stp>
        <stp>FPR=2022Y</stp>
        <stp>FPT=A</stp>
        <stp>FA_ACT_EST_DATA=E, EST_SOURCE=JEF</stp>
        <stp>ACT_EST_MAPPING=PRECISE</stp>
        <stp>FS=MRC</stp>
        <stp>CURRENCY=USD</stp>
        <stp>XLFILL=b</stp>
        <tr r="AH10" s="2"/>
      </tp>
      <tp t="s">
        <v/>
        <stp/>
        <stp>##V3_BQLV12</stp>
        <stp>[MODL_CRM_US1.xlsx]Single Period!R119C22</stp>
        <stp>CRM US Equity</stp>
        <stp>CB_BS_OTHER_NONCURRENT_ASSETS/1M</stp>
        <stp>FPR=2022Y</stp>
        <stp>FPT=A</stp>
        <stp>FA_ACT_EST_DATA=E, EST_SOURCE=OPY</stp>
        <stp>ACT_EST_MAPPING=PRECISE</stp>
        <stp>FS=MRC</stp>
        <stp>CURRENCY=USD</stp>
        <stp>XLFILL=b</stp>
        <tr r="V119" s="2"/>
      </tp>
      <tp t="s">
        <v/>
        <stp/>
        <stp>##V3_BQLV12</stp>
        <stp>[MODL_CRM_US1.xlsx]Single Period!R149C49</stp>
        <stp>CRM US Equity</stp>
        <stp>TOT_FUTURE_REV_UNDER_CONTRACT/1M</stp>
        <stp>FPR=2022Y</stp>
        <stp>FPT=A</stp>
        <stp>FA_ACT_EST_DATA=E, EST_SOURCE=SGE</stp>
        <stp>ACT_EST_MAPPING=PRECISE</stp>
        <stp>FS=MRC</stp>
        <stp>CURRENCY=USD</stp>
        <stp>XLFILL=b</stp>
        <tr r="AW149" s="2"/>
      </tp>
      <tp t="s">
        <v/>
        <stp/>
        <stp>##V3_BQLV12</stp>
        <stp>[MODL_CRM_US1.xlsx]Single Period!R43C36</stp>
        <stp>SEG0000269240 Segment</stp>
        <stp>SALES_REV_TURN/1M</stp>
        <stp>FPR=2022Y</stp>
        <stp>FPT=A</stp>
        <stp>FA_ACT_EST_DATA=E, EST_SOURCE=MAC</stp>
        <stp>ACT_EST_MAPPING=PRECISE</stp>
        <stp>FS=MRC</stp>
        <stp>CURRENCY=USD</stp>
        <stp>XLFILL=b</stp>
        <tr r="AJ43" s="2"/>
      </tp>
      <tp t="s">
        <v/>
        <stp/>
        <stp>##V3_BQLV12</stp>
        <stp>[MODL_CRM_US1.xlsx]Single Period!R28C21</stp>
        <stp>SEG0000269242 Segment</stp>
        <stp>SALES_REV_TURN/1M</stp>
        <stp>FPR=2022Y</stp>
        <stp>FPT=A</stp>
        <stp>FA_ACT_EST_DATA=E, EST_SOURCE=RJA</stp>
        <stp>ACT_EST_MAPPING=PRECISE</stp>
        <stp>FS=MRC</stp>
        <stp>CURRENCY=USD</stp>
        <stp>XLFILL=b</stp>
        <tr r="U28" s="2"/>
      </tp>
      <tp t="s">
        <v/>
        <stp/>
        <stp>##V3_BQLV12</stp>
        <stp>[MODL_CRM_US1.xlsx]Single Period!R24C30</stp>
        <stp>SEG0000269238 Segment</stp>
        <stp>SALES_REV_TURN/1M</stp>
        <stp>FPR=2022Y</stp>
        <stp>FPT=A</stp>
        <stp>FA_ACT_EST_DATA=E, EST_SOURCE=BAM</stp>
        <stp>ACT_EST_MAPPING=PRECISE</stp>
        <stp>FS=MRC</stp>
        <stp>CURRENCY=USD</stp>
        <stp>XLFILL=b</stp>
        <tr r="AD24" s="2"/>
      </tp>
      <tp t="s">
        <v/>
        <stp/>
        <stp>##V3_BQLV12</stp>
        <stp>[MODL_CRM_US1.xlsx]Single Period!R27C55</stp>
        <stp>SEG0000269241 Segment</stp>
        <stp>SALES_REV_TURN/1M</stp>
        <stp>FPR=2022Y</stp>
        <stp>FPT=A</stp>
        <stp>FA_ACT_EST_DATA=E, EST_SOURCE=RED</stp>
        <stp>ACT_EST_MAPPING=PRECISE</stp>
        <stp>FS=MRC</stp>
        <stp>CURRENCY=USD</stp>
        <stp>XLFILL=b</stp>
        <tr r="BC27" s="2"/>
      </tp>
      <tp>
        <v>4.7175116705630229</v>
        <stp/>
        <stp>##V3_BQLV12</stp>
        <stp>[MODL_CRM_US1.xlsx]Single Period!R92C7</stp>
        <stp>CRM US Equity</stp>
        <stp>CONTRIBUTOR_STATS(PROF_MARGIN, MAX)</stp>
        <stp>FPR=2022Y</stp>
        <stp>FPT=A</stp>
        <stp>FA_ACT_EST_DATA=E</stp>
        <stp>ACT_EST_MAPPING=PRECISE</stp>
        <stp>FS=MRC</stp>
        <stp>CURRENCY=USD</stp>
        <stp>XLFILL=b</stp>
        <tr r="G92" s="2"/>
      </tp>
      <tp t="s">
        <v/>
        <stp/>
        <stp>##V3_BQLV12</stp>
        <stp>[MODL_CRM_US1.xlsx]Single Period!R27C34</stp>
        <stp>SEG0000269241 Segment</stp>
        <stp>SALES_REV_TURN/1M</stp>
        <stp>FPR=2022Y</stp>
        <stp>FPT=A</stp>
        <stp>FA_ACT_EST_DATA=E, EST_SOURCE=JEF</stp>
        <stp>ACT_EST_MAPPING=PRECISE</stp>
        <stp>FS=MRC</stp>
        <stp>CURRENCY=USD</stp>
        <stp>XLFILL=b</stp>
        <tr r="AH27" s="2"/>
      </tp>
      <tp t="s">
        <v/>
        <stp/>
        <stp>##V3_BQLV12</stp>
        <stp>[MODL_CRM_US1.xlsx]Single Period!R28C48</stp>
        <stp>SEG0000269242 Segment</stp>
        <stp>SALES_REV_TURN/1M</stp>
        <stp>FPR=2022Y</stp>
        <stp>FPT=A</stp>
        <stp>FA_ACT_EST_DATA=E, EST_SOURCE=PJE</stp>
        <stp>ACT_EST_MAPPING=PRECISE</stp>
        <stp>FS=MRC</stp>
        <stp>CURRENCY=USD</stp>
        <stp>XLFILL=b</stp>
        <tr r="AV28" s="2"/>
      </tp>
      <tp t="s">
        <v/>
        <stp/>
        <stp>##V3_BQLV12</stp>
        <stp>[MODL_CRM_US1.xlsx]Single Period!R24C18</stp>
        <stp>SEG0000269238 Segment</stp>
        <stp>SALES_REV_TURN/1M</stp>
        <stp>FPR=2022Y</stp>
        <stp>FPT=A</stp>
        <stp>FA_ACT_EST_DATA=E, EST_SOURCE=CAN</stp>
        <stp>ACT_EST_MAPPING=PRECISE</stp>
        <stp>FS=MRC</stp>
        <stp>CURRENCY=USD</stp>
        <stp>XLFILL=b</stp>
        <tr r="R24" s="2"/>
      </tp>
      <tp t="s">
        <v/>
        <stp/>
        <stp>##V3_BQLV12</stp>
        <stp>[MODL_CRM_US1.xlsx]Single Period!R183C49</stp>
        <stp>CRM US Equity</stp>
        <stp>CASH_FLOW_PER_SH</stp>
        <stp>FPR=2022Y</stp>
        <stp>FPT=A</stp>
        <stp>FA_ACT_EST_DATA=E, EST_SOURCE=SGE</stp>
        <stp>ACT_EST_MAPPING=PRECISE</stp>
        <stp>FS=MRC</stp>
        <stp>CURRENCY=USD</stp>
        <stp>XLFILL=b</stp>
        <tr r="AW183" s="2"/>
      </tp>
      <tp t="s">
        <v/>
        <stp/>
        <stp>##V3_BQLV12</stp>
        <stp>[MODL_CRM_US1.xlsx]Single Period!R82C51</stp>
        <stp>CRM US Equity</stp>
        <stp>OPERATING_EXPENSES_TO_NET_SALES</stp>
        <stp>FPR=2022Y</stp>
        <stp>FPT=A</stp>
        <stp>FA_ACT_EST_DATA=E, EST_SOURCE=RCP</stp>
        <stp>ACT_EST_MAPPING=PRECISE</stp>
        <stp>FS=MRC</stp>
        <stp>CURRENCY=USD</stp>
        <stp>XLFILL=b</stp>
        <tr r="AY82" s="2"/>
      </tp>
      <tp t="s">
        <v/>
        <stp/>
        <stp>##V3_BQLV12</stp>
        <stp>[MODL_CRM_US1.xlsx]Single Period!R183C39</stp>
        <stp>CRM US Equity</stp>
        <stp>CASH_FLOW_PER_SH</stp>
        <stp>FPR=2022Y</stp>
        <stp>FPT=A</stp>
        <stp>FA_ACT_EST_DATA=E, EST_SOURCE=KGI</stp>
        <stp>ACT_EST_MAPPING=PRECISE</stp>
        <stp>FS=MRC</stp>
        <stp>CURRENCY=USD</stp>
        <stp>XLFILL=b</stp>
        <tr r="AM183" s="2"/>
      </tp>
      <tp t="s">
        <v/>
        <stp/>
        <stp>##V3_BQLV12</stp>
        <stp>[MODL_CRM_US1.xlsx]Single Period!R17C40</stp>
        <stp>CRM US Equity</stp>
        <stp>IS_COMP_GROSS_MARGIN_PERCENTAGE</stp>
        <stp>FPR=2022Y</stp>
        <stp>FPT=A</stp>
        <stp>FA_ACT_EST_DATA=E, EST_SOURCE=ACC</stp>
        <stp>ACT_EST_MAPPING=PRECISE</stp>
        <stp>FS=MRC</stp>
        <stp>CURRENCY=USD</stp>
        <stp>XLFILL=b</stp>
        <tr r="AN17" s="2"/>
      </tp>
      <tp>
        <v>6.8067197653219713</v>
        <stp/>
        <stp>##V3_BQLV12</stp>
        <stp>[MODL_CRM_US1.xlsx]Single Period!R33C9</stp>
        <stp>SEG0000269227 Segment</stp>
        <stp>CONTRIBUTOR_STATS(IS_PERCENTAGE_OF_REVENUE, MEDIAN)</stp>
        <stp>FPR=2022Y</stp>
        <stp>FPT=A</stp>
        <stp>FA_ACT_EST_DATA=E</stp>
        <stp>ACT_EST_MAPPING=PRECISE</stp>
        <stp>FS=MRC</stp>
        <stp>CURRENCY=USD</stp>
        <stp>XLFILL=b</stp>
        <tr r="I33" s="2"/>
      </tp>
      <tp>
        <v>67.992533052924188</v>
        <stp/>
        <stp>##V3_BQLV12</stp>
        <stp>[MODL_CRM_US1.xlsx]Single Period!R39C9</stp>
        <stp>SEG0000269228 Segment</stp>
        <stp>CONTRIBUTOR_STATS(IS_PERCENTAGE_OF_REVENUE, MEDIAN)</stp>
        <stp>FPR=2022Y</stp>
        <stp>FPT=A</stp>
        <stp>FA_ACT_EST_DATA=E</stp>
        <stp>ACT_EST_MAPPING=PRECISE</stp>
        <stp>FS=MRC</stp>
        <stp>CURRENCY=USD</stp>
        <stp>XLFILL=b</stp>
        <tr r="I39" s="2"/>
      </tp>
      <tp>
        <v>93.20218641223218</v>
        <stp/>
        <stp>##V3_BQLV12</stp>
        <stp>[MODL_CRM_US1.xlsx]Single Period!R25C9</stp>
        <stp>SEG0000269238 Segment</stp>
        <stp>CONTRIBUTOR_STATS(IS_PERCENTAGE_OF_REVENUE, MEDIAN)</stp>
        <stp>FPR=2022Y</stp>
        <stp>FPT=A</stp>
        <stp>FA_ACT_EST_DATA=E</stp>
        <stp>ACT_EST_MAPPING=PRECISE</stp>
        <stp>FS=MRC</stp>
        <stp>CURRENCY=USD</stp>
        <stp>XLFILL=b</stp>
        <tr r="I25" s="2"/>
      </tp>
      <tp>
        <v>22.513356686761259</v>
        <stp/>
        <stp>##V3_BQLV12</stp>
        <stp>[MODL_CRM_US1.xlsx]Single Period!R44C9</stp>
        <stp>SEG0000269240 Segment</stp>
        <stp>CONTRIBUTOR_STATS(IS_PERCENTAGE_OF_REVENUE, MEDIAN)</stp>
        <stp>FPR=2022Y</stp>
        <stp>FPT=A</stp>
        <stp>FA_ACT_EST_DATA=E</stp>
        <stp>ACT_EST_MAPPING=PRECISE</stp>
        <stp>FS=MRC</stp>
        <stp>CURRENCY=USD</stp>
        <stp>XLFILL=b</stp>
        <tr r="I44" s="2"/>
      </tp>
      <tp>
        <v>9.4941102603145637</v>
        <stp/>
        <stp>##V3_BQLV12</stp>
        <stp>[MODL_CRM_US1.xlsx]Single Period!R49C9</stp>
        <stp>SEG0000269229 Segment</stp>
        <stp>CONTRIBUTOR_STATS(IS_PERCENTAGE_OF_REVENUE, MEDIAN)</stp>
        <stp>FPR=2022Y</stp>
        <stp>FPT=A</stp>
        <stp>FA_ACT_EST_DATA=E</stp>
        <stp>ACT_EST_MAPPING=PRECISE</stp>
        <stp>FS=MRC</stp>
        <stp>CURRENCY=USD</stp>
        <stp>XLFILL=b</stp>
        <tr r="I49" s="2"/>
      </tp>
      <tp t="s">
        <v/>
        <stp/>
        <stp>##V3_BQLV12</stp>
        <stp>[MODL_CRM_US1.xlsx]Single Period!R56C40</stp>
        <stp>CRM US Equity</stp>
        <stp>IS_COMP_GROSS_MARGIN_PERCENTAGE</stp>
        <stp>FPR=2022Y</stp>
        <stp>FPT=A</stp>
        <stp>FA_ACT_EST_DATA=E, EST_SOURCE=ACC</stp>
        <stp>ACT_EST_MAPPING=PRECISE</stp>
        <stp>FS=MRC</stp>
        <stp>CURRENCY=USD</stp>
        <stp>XLFILL=b</stp>
        <tr r="AN56" s="2"/>
      </tp>
      <tp>
        <v>78.7</v>
        <stp/>
        <stp>##V3_BQLV12</stp>
        <stp>[MODL_CRM_US1.xlsx]Single Period!R56C26</stp>
        <stp>CRM US Equity</stp>
        <stp>IS_COMP_GROSS_MARGIN_PERCENTAGE</stp>
        <stp>FPR=2022Y</stp>
        <stp>FPT=A</stp>
        <stp>FA_ACT_EST_DATA=E, EST_SOURCE=KEY</stp>
        <stp>ACT_EST_MAPPING=PRECISE</stp>
        <stp>FS=MRC</stp>
        <stp>CURRENCY=USD</stp>
        <stp>XLFILL=b</stp>
        <tr r="Z56" s="2"/>
      </tp>
      <tp t="s">
        <v/>
        <stp/>
        <stp>##V3_BQLV12</stp>
        <stp>[MODL_CRM_US1.xlsx]Single Period!R82C34</stp>
        <stp>CRM US Equity</stp>
        <stp>OPERATING_EXPENSES_TO_NET_SALES</stp>
        <stp>FPR=2022Y</stp>
        <stp>FPT=A</stp>
        <stp>FA_ACT_EST_DATA=E, EST_SOURCE=JEF</stp>
        <stp>ACT_EST_MAPPING=PRECISE</stp>
        <stp>FS=MRC</stp>
        <stp>CURRENCY=USD</stp>
        <stp>XLFILL=b</stp>
        <tr r="AH82" s="2"/>
      </tp>
      <tp>
        <v>78.7</v>
        <stp/>
        <stp>##V3_BQLV12</stp>
        <stp>[MODL_CRM_US1.xlsx]Single Period!R17C26</stp>
        <stp>CRM US Equity</stp>
        <stp>IS_COMP_GROSS_MARGIN_PERCENTAGE</stp>
        <stp>FPR=2022Y</stp>
        <stp>FPT=A</stp>
        <stp>FA_ACT_EST_DATA=E, EST_SOURCE=KEY</stp>
        <stp>ACT_EST_MAPPING=PRECISE</stp>
        <stp>FS=MRC</stp>
        <stp>CURRENCY=USD</stp>
        <stp>XLFILL=b</stp>
        <tr r="Z17" s="2"/>
      </tp>
      <tp t="s">
        <v/>
        <stp/>
        <stp>##V3_BQLV12</stp>
        <stp>[MODL_CRM_US1.xlsx]Single Period!R105C34</stp>
        <stp>CRM US Equity</stp>
        <stp>IS_AMORT_ACQD_INTANGIBLES_COGS/1M</stp>
        <stp>FPR=2022Y</stp>
        <stp>FPT=A</stp>
        <stp>FA_ACT_EST_DATA=E, EST_SOURCE=JEF</stp>
        <stp>ACT_EST_MAPPING=PRECISE</stp>
        <stp>FS=MRC</stp>
        <stp>CURRENCY=USD</stp>
        <stp>XLFILL=b</stp>
        <tr r="AH105" s="2"/>
      </tp>
      <tp t="s">
        <v/>
        <stp/>
        <stp>##V3_BQLV12</stp>
        <stp>[MODL_CRM_US1.xlsx]Single Period!R105C55</stp>
        <stp>CRM US Equity</stp>
        <stp>IS_AMORT_ACQD_INTANGIBLES_COGS/1M</stp>
        <stp>FPR=2022Y</stp>
        <stp>FPT=A</stp>
        <stp>FA_ACT_EST_DATA=E, EST_SOURCE=RED</stp>
        <stp>ACT_EST_MAPPING=PRECISE</stp>
        <stp>FS=MRC</stp>
        <stp>CURRENCY=USD</stp>
        <stp>XLFILL=b</stp>
        <tr r="BC105" s="2"/>
      </tp>
      <tp>
        <v>2245.761911890459</v>
        <stp/>
        <stp>##V3_BQLV12</stp>
        <stp>[MODL_CRM_US1.xlsx]Single Period!R165C24</stp>
        <stp>CRM US Equity</stp>
        <stp>CF_CHG_IN_DEFER_UNEARND_REV_ST/1M</stp>
        <stp>FPR=2022Y</stp>
        <stp>FPT=A</stp>
        <stp>FA_ACT_EST_DATA=E, EST_SOURCE=FBC</stp>
        <stp>ACT_EST_MAPPING=PRECISE</stp>
        <stp>FS=MRC</stp>
        <stp>CURRENCY=USD</stp>
        <stp>XLFILL=b</stp>
        <tr r="X165" s="2"/>
      </tp>
      <tp t="s">
        <v/>
        <stp/>
        <stp>##V3_BQLV12</stp>
        <stp>[MODL_CRM_US1.xlsx]Single Period!R165C31</stp>
        <stp>CRM US Equity</stp>
        <stp>CF_CHG_IN_DEFER_UNEARND_REV_ST/1M</stp>
        <stp>FPR=2022Y</stp>
        <stp>FPT=A</stp>
        <stp>FA_ACT_EST_DATA=E, EST_SOURCE=RBC</stp>
        <stp>ACT_EST_MAPPING=PRECISE</stp>
        <stp>FS=MRC</stp>
        <stp>CURRENCY=USD</stp>
        <stp>XLFILL=b</stp>
        <tr r="AE165" s="2"/>
      </tp>
      <tp t="s">
        <v/>
        <stp/>
        <stp>##V3_BQLV12</stp>
        <stp>[MODL_CRM_US1.xlsx]Single Period!R166C21</stp>
        <stp>CRM US Equity</stp>
        <stp>CF_CHANGE_IN_OPER_LEASE_LIBLTS/1M</stp>
        <stp>FPR=2022Y</stp>
        <stp>FPT=A</stp>
        <stp>FA_ACT_EST_DATA=E, EST_SOURCE=RJA</stp>
        <stp>ACT_EST_MAPPING=PRECISE</stp>
        <stp>FS=MRC</stp>
        <stp>CURRENCY=USD</stp>
        <stp>XLFILL=b</stp>
        <tr r="U166" s="2"/>
      </tp>
      <tp t="s">
        <v/>
        <stp/>
        <stp>##V3_BQLV12</stp>
        <stp>[MODL_CRM_US1.xlsx]Single Period!R189C52</stp>
        <stp>CRM US Equity</stp>
        <stp>CF_CASH_AND_CASH_EQUIV_BEG_BAL/1M</stp>
        <stp>FPR=2022Y</stp>
        <stp>FPT=A</stp>
        <stp>FA_ACT_EST_DATA=E, EST_SOURCE=WFR</stp>
        <stp>ACT_EST_MAPPING=PRECISE</stp>
        <stp>FS=MRC</stp>
        <stp>CURRENCY=USD</stp>
        <stp>XLFILL=b</stp>
        <tr r="AZ189" s="2"/>
      </tp>
      <tp t="s">
        <v/>
        <stp/>
        <stp>##V3_BQLV12</stp>
        <stp>[MODL_CRM_US1.xlsx]Single Period!R189C47</stp>
        <stp>CRM US Equity</stp>
        <stp>CF_CASH_AND_CASH_EQUIV_BEG_BAL/1M</stp>
        <stp>FPR=2022Y</stp>
        <stp>FPT=A</stp>
        <stp>FA_ACT_EST_DATA=E, EST_SOURCE=WFT</stp>
        <stp>ACT_EST_MAPPING=PRECISE</stp>
        <stp>FS=MRC</stp>
        <stp>CURRENCY=USD</stp>
        <stp>XLFILL=b</stp>
        <tr r="AU189" s="2"/>
      </tp>
      <tp>
        <v>2511.103000000001</v>
        <stp/>
        <stp>##V3_BQLV12</stp>
        <stp>[MODL_CRM_US1.xlsx]Single Period!R165C16</stp>
        <stp>CRM US Equity</stp>
        <stp>CF_CHG_IN_DEFER_UNEARND_REV_ST/1M</stp>
        <stp>FPR=2022Y</stp>
        <stp>FPT=A</stp>
        <stp>FA_ACT_EST_DATA=E, EST_SOURCE=DBG</stp>
        <stp>ACT_EST_MAPPING=PRECISE</stp>
        <stp>FS=MRC</stp>
        <stp>CURRENCY=USD</stp>
        <stp>XLFILL=b</stp>
        <tr r="P165" s="2"/>
      </tp>
      <tp t="s">
        <v/>
        <stp/>
        <stp>##V3_BQLV12</stp>
        <stp>[MODL_CRM_US1.xlsx]Single Period!R166C48</stp>
        <stp>CRM US Equity</stp>
        <stp>CF_CHANGE_IN_OPER_LEASE_LIBLTS/1M</stp>
        <stp>FPR=2022Y</stp>
        <stp>FPT=A</stp>
        <stp>FA_ACT_EST_DATA=E, EST_SOURCE=PJE</stp>
        <stp>ACT_EST_MAPPING=PRECISE</stp>
        <stp>FS=MRC</stp>
        <stp>CURRENCY=USD</stp>
        <stp>XLFILL=b</stp>
        <tr r="AV166" s="2"/>
      </tp>
      <tp t="s">
        <v/>
        <stp/>
        <stp>##V3_BQLV12</stp>
        <stp>[MODL_CRM_US1.xlsx]Single Period!R165C11</stp>
        <stp>CRM US Equity</stp>
        <stp>CF_CHG_IN_DEFER_UNEARND_REV_ST/1M</stp>
        <stp>FPR=2022Y</stp>
        <stp>FPT=A</stp>
        <stp>FA_ACT_EST_DATA=E, EST_SOURCE=WBL</stp>
        <stp>ACT_EST_MAPPING=PRECISE</stp>
        <stp>FS=MRC</stp>
        <stp>CURRENCY=USD</stp>
        <stp>XLFILL=b</stp>
        <tr r="K165" s="2"/>
      </tp>
      <tp t="s">
        <v/>
        <stp/>
        <stp>##V3_BQLV12</stp>
        <stp>[MODL_CRM_US1.xlsx]Single Period!R165C32</stp>
        <stp>CRM US Equity</stp>
        <stp>CF_CHG_IN_DEFER_UNEARND_REV_ST/1M</stp>
        <stp>FPR=2022Y</stp>
        <stp>FPT=A</stp>
        <stp>FA_ACT_EST_DATA=E, EST_SOURCE=UBS</stp>
        <stp>ACT_EST_MAPPING=PRECISE</stp>
        <stp>FS=MRC</stp>
        <stp>CURRENCY=USD</stp>
        <stp>XLFILL=b</stp>
        <tr r="AF165" s="2"/>
      </tp>
      <tp>
        <v>928.59848211912231</v>
        <stp/>
        <stp>##V3_BQLV12</stp>
        <stp>[MODL_CRM_US1.xlsx]Single Period!R105C26</stp>
        <stp>CRM US Equity</stp>
        <stp>IS_AMORT_ACQD_INTANGIBLES_COGS/1M</stp>
        <stp>FPR=2022Y</stp>
        <stp>FPT=A</stp>
        <stp>FA_ACT_EST_DATA=E, EST_SOURCE=KEY</stp>
        <stp>ACT_EST_MAPPING=PRECISE</stp>
        <stp>FS=MRC</stp>
        <stp>CURRENCY=USD</stp>
        <stp>XLFILL=b</stp>
        <tr r="Z105" s="2"/>
      </tp>
      <tp t="s">
        <v/>
        <stp/>
        <stp>##V3_BQLV12</stp>
        <stp>[MODL_CRM_US1.xlsx]Single Period!R102C49</stp>
        <stp>CRM US Equity</stp>
        <stp>IS_SBC_ATT_TO_S_AND_M_PRETX/1M</stp>
        <stp>FPR=2022Y</stp>
        <stp>FPT=A</stp>
        <stp>FA_ACT_EST_DATA=E, EST_SOURCE=SGE</stp>
        <stp>ACT_EST_MAPPING=PRECISE</stp>
        <stp>FS=MRC</stp>
        <stp>CURRENCY=USD</stp>
        <stp>XLFILL=b</stp>
        <tr r="AW102" s="2"/>
      </tp>
      <tp t="s">
        <v/>
        <stp/>
        <stp>##V3_BQLV12</stp>
        <stp>[MODL_CRM_US1.xlsx]Single Period!R93C45</stp>
        <stp>CRM US Equity</stp>
        <stp>IS_AVG_NUM_SH_FOR_EPS/1M</stp>
        <stp>FPR=2022Y</stp>
        <stp>FPT=A</stp>
        <stp>FA_ACT_EST_DATA=E, EST_SOURCE=ARG</stp>
        <stp>ACT_EST_MAPPING=PRECISE</stp>
        <stp>FS=MRC</stp>
        <stp>CURRENCY=USD</stp>
        <stp>XLFILL=b</stp>
        <tr r="AS93" s="2"/>
      </tp>
      <tp t="s">
        <v/>
        <stp/>
        <stp>##V3_BQLV12</stp>
        <stp>[MODL_CRM_US1.xlsx]Single Period!R100C52</stp>
        <stp>CRM US Equity</stp>
        <stp>IS_SBC_ATTRIB_TO_COGS_PRETX/1M</stp>
        <stp>FPR=2022Y</stp>
        <stp>FPT=A</stp>
        <stp>FA_ACT_EST_DATA=E, EST_SOURCE=WFR</stp>
        <stp>ACT_EST_MAPPING=PRECISE</stp>
        <stp>FS=MRC</stp>
        <stp>CURRENCY=USD</stp>
        <stp>XLFILL=b</stp>
        <tr r="AZ100" s="2"/>
      </tp>
      <tp t="s">
        <v/>
        <stp/>
        <stp>##V3_BQLV12</stp>
        <stp>[MODL_CRM_US1.xlsx]Single Period!R100C47</stp>
        <stp>CRM US Equity</stp>
        <stp>IS_SBC_ATTRIB_TO_COGS_PRETX/1M</stp>
        <stp>FPR=2022Y</stp>
        <stp>FPT=A</stp>
        <stp>FA_ACT_EST_DATA=E, EST_SOURCE=WFT</stp>
        <stp>ACT_EST_MAPPING=PRECISE</stp>
        <stp>FS=MRC</stp>
        <stp>CURRENCY=USD</stp>
        <stp>XLFILL=b</stp>
        <tr r="AU100" s="2"/>
      </tp>
      <tp t="s">
        <v/>
        <stp/>
        <stp>##V3_BQLV12</stp>
        <stp>[MODL_CRM_US1.xlsx]Single Period!R117C20</stp>
        <stp>CRM US Equity</stp>
        <stp>BS_TOTAL_NON_CURRENT_ASSETS/1M</stp>
        <stp>FPR=2022Y</stp>
        <stp>FPT=A</stp>
        <stp>FA_ACT_EST_DATA=E, EST_SOURCE=JMP</stp>
        <stp>ACT_EST_MAPPING=PRECISE</stp>
        <stp>FS=MRC</stp>
        <stp>CURRENCY=USD</stp>
        <stp>XLFILL=b</stp>
        <tr r="T117" s="2"/>
      </tp>
      <tp>
        <v>5803</v>
        <stp/>
        <stp>##V3_BQLV12</stp>
        <stp>[MODL_CRM_US1.xlsx]Single Period!R68C22</stp>
        <stp>CRM US Equity</stp>
        <stp>IS_COMP_PTP_EX_STK_BASED_COMP/1M</stp>
        <stp>FPR=2022Y</stp>
        <stp>FPT=A</stp>
        <stp>FA_ACT_EST_DATA=E, EST_SOURCE=OPY</stp>
        <stp>ACT_EST_MAPPING=PRECISE</stp>
        <stp>FS=MRC</stp>
        <stp>CURRENCY=USD</stp>
        <stp>XLFILL=b</stp>
        <tr r="V68" s="2"/>
      </tp>
      <tp t="s">
        <v/>
        <stp/>
        <stp>##V3_BQLV12</stp>
        <stp>[MODL_CRM_US1.xlsx]Single Period!R117C25</stp>
        <stp>CRM US Equity</stp>
        <stp>BS_TOTAL_NON_CURRENT_ASSETS/1M</stp>
        <stp>FPR=2022Y</stp>
        <stp>FPT=A</stp>
        <stp>FA_ACT_EST_DATA=E, EST_SOURCE=WMS</stp>
        <stp>ACT_EST_MAPPING=PRECISE</stp>
        <stp>FS=MRC</stp>
        <stp>CURRENCY=USD</stp>
        <stp>XLFILL=b</stp>
        <tr r="Y117" s="2"/>
      </tp>
      <tp t="s">
        <v/>
        <stp/>
        <stp>##V3_BQLV12</stp>
        <stp>[MODL_CRM_US1.xlsx]Single Period!R185C34</stp>
        <stp>CRM US Equity</stp>
        <stp>CF_EFFECT_FOREIGN_EXCHANGES/1M</stp>
        <stp>FPR=2022Y</stp>
        <stp>FPT=A</stp>
        <stp>FA_ACT_EST_DATA=E, EST_SOURCE=JEF</stp>
        <stp>ACT_EST_MAPPING=PRECISE</stp>
        <stp>FS=MRC</stp>
        <stp>CURRENCY=USD</stp>
        <stp>XLFILL=b</stp>
        <tr r="AH185" s="2"/>
      </tp>
      <tp t="s">
        <v/>
        <stp/>
        <stp>##V3_BQLV12</stp>
        <stp>[MODL_CRM_US1.xlsx]Single Period!R110C38</stp>
        <stp>CRM US Equity</stp>
        <stp>BS_CUR_ASSET_REPORT/1M</stp>
        <stp>FPR=2022Y</stp>
        <stp>FPT=A</stp>
        <stp>FA_ACT_EST_DATA=E, EST_SOURCE=MSR</stp>
        <stp>ACT_EST_MAPPING=PRECISE</stp>
        <stp>FS=MRC</stp>
        <stp>CURRENCY=USD</stp>
        <stp>XLFILL=b</stp>
        <tr r="AL110" s="2"/>
      </tp>
      <tp t="s">
        <v/>
        <stp/>
        <stp>##V3_BQLV12</stp>
        <stp>[MODL_CRM_US1.xlsx]Single Period!R102C39</stp>
        <stp>CRM US Equity</stp>
        <stp>IS_SBC_ATT_TO_S_AND_M_PRETX/1M</stp>
        <stp>FPR=2022Y</stp>
        <stp>FPT=A</stp>
        <stp>FA_ACT_EST_DATA=E, EST_SOURCE=KGI</stp>
        <stp>ACT_EST_MAPPING=PRECISE</stp>
        <stp>FS=MRC</stp>
        <stp>CURRENCY=USD</stp>
        <stp>XLFILL=b</stp>
        <tr r="AM102" s="2"/>
      </tp>
      <tp t="s">
        <v/>
        <stp/>
        <stp>##V3_BQLV12</stp>
        <stp>[MODL_CRM_US1.xlsx]Single Period!R128C55</stp>
        <stp>CRM US Equity</stp>
        <stp>BS_CUR_LIAB/1M</stp>
        <stp>FPR=2022Y</stp>
        <stp>FPT=A</stp>
        <stp>FA_ACT_EST_DATA=E, EST_SOURCE=RED</stp>
        <stp>ACT_EST_MAPPING=PRECISE</stp>
        <stp>FS=MRC</stp>
        <stp>CURRENCY=USD</stp>
        <stp>XLFILL=b</stp>
        <tr r="BC128" s="2"/>
      </tp>
      <tp t="s">
        <v/>
        <stp/>
        <stp>##V3_BQLV12</stp>
        <stp>[MODL_CRM_US1.xlsx]Single Period!R132C53</stp>
        <stp>CRM US Equity</stp>
        <stp>BS_ADJ_TOTAL_LT_LIABILITIES/1M</stp>
        <stp>FPR=2022Y</stp>
        <stp>FPT=A</stp>
        <stp>FA_ACT_EST_DATA=E, EST_SOURCE=NIK</stp>
        <stp>ACT_EST_MAPPING=PRECISE</stp>
        <stp>FS=MRC</stp>
        <stp>CURRENCY=USD</stp>
        <stp>XLFILL=b</stp>
        <tr r="BA132" s="2"/>
      </tp>
      <tp>
        <v>5853</v>
        <stp/>
        <stp>##V3_BQLV12</stp>
        <stp>[MODL_CRM_US1.xlsx]Single Period!R68C41</stp>
        <stp>CRM US Equity</stp>
        <stp>IS_COMP_PTP_EX_STK_BASED_COMP/1M</stp>
        <stp>FPR=2022Y</stp>
        <stp>FPT=A</stp>
        <stp>FA_ACT_EST_DATA=E, EST_SOURCE=GSR</stp>
        <stp>ACT_EST_MAPPING=PRECISE</stp>
        <stp>FS=MRC</stp>
        <stp>CURRENCY=USD</stp>
        <stp>XLFILL=b</stp>
        <tr r="AO68" s="2"/>
      </tp>
      <tp t="s">
        <v/>
        <stp/>
        <stp>##V3_BQLV12</stp>
        <stp>[MODL_CRM_US1.xlsx]Single Period!R73C46</stp>
        <stp>CRM US Equity</stp>
        <stp>IS_SH_FOR_DILUTED_EPS/1M</stp>
        <stp>FPR=2022Y</stp>
        <stp>FPT=A</stp>
        <stp>FA_ACT_EST_DATA=E, EST_SOURCE=CTI</stp>
        <stp>ACT_EST_MAPPING=PRECISE</stp>
        <stp>FS=MRC</stp>
        <stp>CURRENCY=USD</stp>
        <stp>XLFILL=b</stp>
        <tr r="AT73" s="2"/>
      </tp>
      <tp>
        <v>19862.929349366728</v>
        <stp/>
        <stp>##V3_BQLV12</stp>
        <stp>[MODL_CRM_US1.xlsx]Single Period!R110C15</stp>
        <stp>CRM US Equity</stp>
        <stp>BS_CUR_ASSET_REPORT/1M</stp>
        <stp>FPR=2022Y</stp>
        <stp>FPT=A</stp>
        <stp>FA_ACT_EST_DATA=E, EST_SOURCE=MSV</stp>
        <stp>ACT_EST_MAPPING=PRECISE</stp>
        <stp>FS=MRC</stp>
        <stp>CURRENCY=USD</stp>
        <stp>XLFILL=b</stp>
        <tr r="O110" s="2"/>
      </tp>
      <tp t="s">
        <v/>
        <stp/>
        <stp>##V3_BQLV12</stp>
        <stp>[MODL_CRM_US1.xlsx]Single Period!R185C55</stp>
        <stp>CRM US Equity</stp>
        <stp>CF_EFFECT_FOREIGN_EXCHANGES/1M</stp>
        <stp>FPR=2022Y</stp>
        <stp>FPT=A</stp>
        <stp>FA_ACT_EST_DATA=E, EST_SOURCE=RED</stp>
        <stp>ACT_EST_MAPPING=PRECISE</stp>
        <stp>FS=MRC</stp>
        <stp>CURRENCY=USD</stp>
        <stp>XLFILL=b</stp>
        <tr r="BC185" s="2"/>
      </tp>
      <tp t="s">
        <v/>
        <stp/>
        <stp>##V3_BQLV12</stp>
        <stp>[MODL_CRM_US1.xlsx]Single Period!R110C41</stp>
        <stp>CRM US Equity</stp>
        <stp>BS_CUR_ASSET_REPORT/1M</stp>
        <stp>FPR=2022Y</stp>
        <stp>FPT=A</stp>
        <stp>FA_ACT_EST_DATA=E, EST_SOURCE=GSR</stp>
        <stp>ACT_EST_MAPPING=PRECISE</stp>
        <stp>FS=MRC</stp>
        <stp>CURRENCY=USD</stp>
        <stp>XLFILL=b</stp>
        <tr r="AO110" s="2"/>
      </tp>
      <tp t="s">
        <v/>
        <stp/>
        <stp>##V3_BQLV12</stp>
        <stp>[MODL_CRM_US1.xlsx]Single Period!R122C22</stp>
        <stp>CRM US Equity</stp>
        <stp>BS_GOODWILL/1M</stp>
        <stp>FPR=2022Y</stp>
        <stp>FPT=A</stp>
        <stp>FA_ACT_EST_DATA=E, EST_SOURCE=OPY</stp>
        <stp>ACT_EST_MAPPING=PRECISE</stp>
        <stp>FS=MRC</stp>
        <stp>CURRENCY=USD</stp>
        <stp>XLFILL=b</stp>
        <tr r="V122" s="2"/>
      </tp>
      <tp t="s">
        <v/>
        <stp/>
        <stp>##V3_BQLV12</stp>
        <stp>[MODL_CRM_US1.xlsx]Single Period!R128C34</stp>
        <stp>CRM US Equity</stp>
        <stp>BS_CUR_LIAB/1M</stp>
        <stp>FPR=2022Y</stp>
        <stp>FPT=A</stp>
        <stp>FA_ACT_EST_DATA=E, EST_SOURCE=JEF</stp>
        <stp>ACT_EST_MAPPING=PRECISE</stp>
        <stp>FS=MRC</stp>
        <stp>CURRENCY=USD</stp>
        <stp>XLFILL=b</stp>
        <tr r="AH128" s="2"/>
      </tp>
      <tp t="s">
        <v/>
        <stp/>
        <stp>##V3_BQLV12</stp>
        <stp>[MODL_CRM_US1.xlsx]Single Period!R131C48</stp>
        <stp>CRM US Equity</stp>
        <stp>ST_DEFERRED_REVENUE/1M</stp>
        <stp>FPR=2022Y</stp>
        <stp>FPT=A</stp>
        <stp>FA_ACT_EST_DATA=E, EST_SOURCE=PJE</stp>
        <stp>ACT_EST_MAPPING=PRECISE</stp>
        <stp>FS=MRC</stp>
        <stp>CURRENCY=USD</stp>
        <stp>XLFILL=b</stp>
        <tr r="AV131" s="2"/>
      </tp>
      <tp>
        <v>22507.299573993998</v>
        <stp/>
        <stp>##V3_BQLV12</stp>
        <stp>[MODL_CRM_US1.xlsx]Single Period!R128C26</stp>
        <stp>CRM US Equity</stp>
        <stp>BS_CUR_LIAB/1M</stp>
        <stp>FPR=2022Y</stp>
        <stp>FPT=A</stp>
        <stp>FA_ACT_EST_DATA=E, EST_SOURCE=KEY</stp>
        <stp>ACT_EST_MAPPING=PRECISE</stp>
        <stp>FS=MRC</stp>
        <stp>CURRENCY=USD</stp>
        <stp>XLFILL=b</stp>
        <tr r="Z128" s="2"/>
      </tp>
      <tp t="s">
        <v/>
        <stp/>
        <stp>##V3_BQLV12</stp>
        <stp>[MODL_CRM_US1.xlsx]Single Period!R12C25</stp>
        <stp>CRM US Equity</stp>
        <stp>TOT_FUTURE_REV_UNDER_CONTRACT/1M</stp>
        <stp>FPR=2022Y</stp>
        <stp>FPT=A</stp>
        <stp>FA_ACT_EST_DATA=E, EST_SOURCE=WMS</stp>
        <stp>ACT_EST_MAPPING=PRECISE</stp>
        <stp>FS=MRC</stp>
        <stp>CURRENCY=USD</stp>
        <stp>XLFILL=b</stp>
        <tr r="Y12" s="2"/>
      </tp>
      <tp>
        <v>15397.81899</v>
        <stp/>
        <stp>##V3_BQLV12</stp>
        <stp>[MODL_CRM_US1.xlsx]Single Period!R131C21</stp>
        <stp>CRM US Equity</stp>
        <stp>ST_DEFERRED_REVENUE/1M</stp>
        <stp>FPR=2022Y</stp>
        <stp>FPT=A</stp>
        <stp>FA_ACT_EST_DATA=E, EST_SOURCE=RJA</stp>
        <stp>ACT_EST_MAPPING=PRECISE</stp>
        <stp>FS=MRC</stp>
        <stp>CURRENCY=USD</stp>
        <stp>XLFILL=b</stp>
        <tr r="U131" s="2"/>
      </tp>
      <tp t="s">
        <v/>
        <stp/>
        <stp>##V3_BQLV12</stp>
        <stp>[MODL_CRM_US1.xlsx]Single Period!R132C56</stp>
        <stp>CRM US Equity</stp>
        <stp>BS_ADJ_TOTAL_LT_LIABILITIES/1M</stp>
        <stp>FPR=2022Y</stp>
        <stp>FPT=A</stp>
        <stp>FA_ACT_EST_DATA=E, EST_SOURCE=DIR</stp>
        <stp>ACT_EST_MAPPING=PRECISE</stp>
        <stp>FS=MRC</stp>
        <stp>CURRENCY=USD</stp>
        <stp>XLFILL=b</stp>
        <tr r="BD132" s="2"/>
      </tp>
      <tp>
        <v>2596</v>
        <stp/>
        <stp>##V3_BQLV12</stp>
        <stp>[MODL_CRM_US1.xlsx]Single Period!R63C25</stp>
        <stp>CRM US Equity</stp>
        <stp>CF_DEPR_AMORT/1M</stp>
        <stp>FPR=2022Y</stp>
        <stp>FPT=A</stp>
        <stp>FA_ACT_EST_DATA=E, EST_SOURCE=WMS</stp>
        <stp>ACT_EST_MAPPING=PRECISE</stp>
        <stp>FS=MRC</stp>
        <stp>CURRENCY=USD</stp>
        <stp>XLFILL=b</stp>
        <tr r="Y63" s="2"/>
      </tp>
      <tp t="s">
        <v/>
        <stp/>
        <stp>##V3_BQLV12</stp>
        <stp>[MODL_CRM_US1.xlsx]Single Period!R14C43</stp>
        <stp>CRM US Equity</stp>
        <stp>NON_CURRENT_FUTURE_REV_UNDER_CONTRACT/1M</stp>
        <stp>FPR=2022Y</stp>
        <stp>FPT=A</stp>
        <stp>FA_ACT_EST_DATA=E, EST_SOURCE=DWI</stp>
        <stp>ACT_EST_MAPPING=PRECISE</stp>
        <stp>FS=MRC</stp>
        <stp>CURRENCY=USD</stp>
        <stp>XLFILL=b</stp>
        <tr r="AQ14" s="2"/>
      </tp>
      <tp>
        <v>-14</v>
        <stp/>
        <stp>##V3_BQLV12</stp>
        <stp>[MODL_CRM_US1.xlsx]Single Period!R185C26</stp>
        <stp>CRM US Equity</stp>
        <stp>CF_EFFECT_FOREIGN_EXCHANGES/1M</stp>
        <stp>FPR=2022Y</stp>
        <stp>FPT=A</stp>
        <stp>FA_ACT_EST_DATA=E, EST_SOURCE=KEY</stp>
        <stp>ACT_EST_MAPPING=PRECISE</stp>
        <stp>FS=MRC</stp>
        <stp>CURRENCY=USD</stp>
        <stp>XLFILL=b</stp>
        <tr r="Z185" s="2"/>
      </tp>
      <tp t="s">
        <v/>
        <stp/>
        <stp>##V3_BQLV12</stp>
        <stp>[MODL_CRM_US1.xlsx]Single Period!R137C50</stp>
        <stp>CRM US Equity</stp>
        <stp>BS_EQTY_BEFORE_MINORITY_INT/1M</stp>
        <stp>FPR=2022Y</stp>
        <stp>FPT=A</stp>
        <stp>FA_ACT_EST_DATA=E, EST_SOURCE=MZS</stp>
        <stp>ACT_EST_MAPPING=PRECISE</stp>
        <stp>FS=MRC</stp>
        <stp>CURRENCY=USD</stp>
        <stp>XLFILL=b</stp>
        <tr r="AX137" s="2"/>
      </tp>
      <tp t="s">
        <v/>
        <stp/>
        <stp>##V3_BQLV12</stp>
        <stp>[MODL_CRM_US1.xlsx]Single Period!R68C46</stp>
        <stp>CRM US Equity</stp>
        <stp>IS_COMP_PTP_EX_STK_BASED_COMP/1M</stp>
        <stp>FPR=2022Y</stp>
        <stp>FPT=A</stp>
        <stp>FA_ACT_EST_DATA=E, EST_SOURCE=CTI</stp>
        <stp>ACT_EST_MAPPING=PRECISE</stp>
        <stp>FS=MRC</stp>
        <stp>CURRENCY=USD</stp>
        <stp>XLFILL=b</stp>
        <tr r="AT68" s="2"/>
      </tp>
      <tp t="s">
        <v/>
        <stp/>
        <stp>##V3_BQLV12</stp>
        <stp>[MODL_CRM_US1.xlsx]Single Period!R73C41</stp>
        <stp>CRM US Equity</stp>
        <stp>IS_SH_FOR_DILUTED_EPS/1M</stp>
        <stp>FPR=2022Y</stp>
        <stp>FPT=A</stp>
        <stp>FA_ACT_EST_DATA=E, EST_SOURCE=GSR</stp>
        <stp>ACT_EST_MAPPING=PRECISE</stp>
        <stp>FS=MRC</stp>
        <stp>CURRENCY=USD</stp>
        <stp>XLFILL=b</stp>
        <tr r="AO73" s="2"/>
      </tp>
      <tp t="s">
        <v/>
        <stp/>
        <stp>##V3_BQLV12</stp>
        <stp>[MODL_CRM_US1.xlsx]Single Period!R110C42</stp>
        <stp>CRM US Equity</stp>
        <stp>BS_CUR_ASSET_REPORT/1M</stp>
        <stp>FPR=2022Y</stp>
        <stp>FPT=A</stp>
        <stp>FA_ACT_EST_DATA=E, EST_SOURCE=PSG</stp>
        <stp>ACT_EST_MAPPING=PRECISE</stp>
        <stp>FS=MRC</stp>
        <stp>CURRENCY=USD</stp>
        <stp>XLFILL=b</stp>
        <tr r="AP110" s="2"/>
      </tp>
      <tp t="s">
        <v/>
        <stp/>
        <stp>##V3_BQLV12</stp>
        <stp>[MODL_CRM_US1.xlsx]Single Period!R117C12</stp>
        <stp>CRM US Equity</stp>
        <stp>BS_TOTAL_NON_CURRENT_ASSETS/1M</stp>
        <stp>FPR=2022Y</stp>
        <stp>FPT=A</stp>
        <stp>FA_ACT_EST_DATA=E, EST_SOURCE=BMO</stp>
        <stp>ACT_EST_MAPPING=PRECISE</stp>
        <stp>FS=MRC</stp>
        <stp>CURRENCY=USD</stp>
        <stp>XLFILL=b</stp>
        <tr r="L117" s="2"/>
      </tp>
      <tp t="s">
        <v/>
        <stp/>
        <stp>##V3_BQLV12</stp>
        <stp>[MODL_CRM_US1.xlsx]Single Period!R122C23</stp>
        <stp>CRM US Equity</stp>
        <stp>BS_GOODWILL/1M</stp>
        <stp>FPR=2022Y</stp>
        <stp>FPT=A</stp>
        <stp>FA_ACT_EST_DATA=E, EST_SOURCE=JPM</stp>
        <stp>ACT_EST_MAPPING=PRECISE</stp>
        <stp>FS=MRC</stp>
        <stp>CURRENCY=USD</stp>
        <stp>XLFILL=b</stp>
        <tr r="W122" s="2"/>
      </tp>
      <tp t="s">
        <v/>
        <stp/>
        <stp>##V3_BQLV12</stp>
        <stp>[MODL_CRM_US1.xlsx]Single Period!R73C22</stp>
        <stp>CRM US Equity</stp>
        <stp>IS_SH_FOR_DILUTED_EPS/1M</stp>
        <stp>FPR=2022Y</stp>
        <stp>FPT=A</stp>
        <stp>FA_ACT_EST_DATA=E, EST_SOURCE=OPY</stp>
        <stp>ACT_EST_MAPPING=PRECISE</stp>
        <stp>FS=MRC</stp>
        <stp>CURRENCY=USD</stp>
        <stp>XLFILL=b</stp>
        <tr r="V73" s="2"/>
      </tp>
      <tp t="s">
        <v/>
        <stp/>
        <stp>##V3_BQLV12</stp>
        <stp>[MODL_CRM_US1.xlsx]Single Period!R48C20</stp>
        <stp>SEG0000269229 Segment</stp>
        <stp>SALES_REV_TURN/1M</stp>
        <stp>FPR=2022Y</stp>
        <stp>FPT=A</stp>
        <stp>FA_ACT_EST_DATA=E, EST_SOURCE=JMP</stp>
        <stp>ACT_EST_MAPPING=PRECISE</stp>
        <stp>FS=MRC</stp>
        <stp>CURRENCY=USD</stp>
        <stp>XLFILL=b</stp>
        <tr r="T48" s="2"/>
      </tp>
      <tp t="s">
        <v/>
        <stp/>
        <stp>##V3_BQLV12</stp>
        <stp>[MODL_CRM_US1.xlsx]Single Period!R38C20</stp>
        <stp>SEG0000269228 Segment</stp>
        <stp>SALES_REV_TURN/1M</stp>
        <stp>FPR=2022Y</stp>
        <stp>FPT=A</stp>
        <stp>FA_ACT_EST_DATA=E, EST_SOURCE=JMP</stp>
        <stp>ACT_EST_MAPPING=PRECISE</stp>
        <stp>FS=MRC</stp>
        <stp>CURRENCY=USD</stp>
        <stp>XLFILL=b</stp>
        <tr r="T38" s="2"/>
      </tp>
      <tp t="s">
        <v/>
        <stp/>
        <stp>##V3_BQLV12</stp>
        <stp>[MODL_CRM_US1.xlsx]Single Period!R38C25</stp>
        <stp>SEG0000269228 Segment</stp>
        <stp>SALES_REV_TURN/1M</stp>
        <stp>FPR=2022Y</stp>
        <stp>FPT=A</stp>
        <stp>FA_ACT_EST_DATA=E, EST_SOURCE=WMS</stp>
        <stp>ACT_EST_MAPPING=PRECISE</stp>
        <stp>FS=MRC</stp>
        <stp>CURRENCY=USD</stp>
        <stp>XLFILL=b</stp>
        <tr r="Y38" s="2"/>
      </tp>
      <tp t="s">
        <v/>
        <stp/>
        <stp>##V3_BQLV12</stp>
        <stp>[MODL_CRM_US1.xlsx]Single Period!R119C44</stp>
        <stp>CRM US Equity</stp>
        <stp>CB_BS_OTHER_NONCURRENT_ASSETS/1M</stp>
        <stp>FPR=2022Y</stp>
        <stp>FPT=A</stp>
        <stp>FA_ACT_EST_DATA=E, EST_SOURCE=RWB</stp>
        <stp>ACT_EST_MAPPING=PRECISE</stp>
        <stp>FS=MRC</stp>
        <stp>CURRENCY=USD</stp>
        <stp>XLFILL=b</stp>
        <tr r="AR119" s="2"/>
      </tp>
      <tp t="s">
        <v/>
        <stp/>
        <stp>##V3_BQLV12</stp>
        <stp>[MODL_CRM_US1.xlsx]Single Period!R48C25</stp>
        <stp>SEG0000269229 Segment</stp>
        <stp>SALES_REV_TURN/1M</stp>
        <stp>FPR=2022Y</stp>
        <stp>FPT=A</stp>
        <stp>FA_ACT_EST_DATA=E, EST_SOURCE=WMS</stp>
        <stp>ACT_EST_MAPPING=PRECISE</stp>
        <stp>FS=MRC</stp>
        <stp>CURRENCY=USD</stp>
        <stp>XLFILL=b</stp>
        <tr r="Y48" s="2"/>
      </tp>
      <tp>
        <v>8123</v>
        <stp/>
        <stp>##V3_BQLV12</stp>
        <stp>[MODL_CRM_US1.xlsx]Single Period!R64C39</stp>
        <stp>CRM US Equity</stp>
        <stp>IS_COMPARABLE_EBITDA/1M</stp>
        <stp>FPR=2022Y</stp>
        <stp>FPT=A</stp>
        <stp>FA_ACT_EST_DATA=E, EST_SOURCE=KGI</stp>
        <stp>ACT_EST_MAPPING=PRECISE</stp>
        <stp>FS=MRC</stp>
        <stp>CURRENCY=USD</stp>
        <stp>XLFILL=b</stp>
        <tr r="AM64" s="2"/>
      </tp>
      <tp t="s">
        <v/>
        <stp/>
        <stp>##V3_BQLV12</stp>
        <stp>[MODL_CRM_US1.xlsx]Single Period!R151C46</stp>
        <stp>CRM US Equity</stp>
        <stp>NON_CURRENT_FUTURE_REV_UNDER_CONTRACT/1M</stp>
        <stp>FPR=2022Y</stp>
        <stp>FPT=A</stp>
        <stp>FA_ACT_EST_DATA=E, EST_SOURCE=CTI</stp>
        <stp>ACT_EST_MAPPING=PRECISE</stp>
        <stp>FS=MRC</stp>
        <stp>CURRENCY=USD</stp>
        <stp>XLFILL=b</stp>
        <tr r="AT151" s="2"/>
      </tp>
      <tp>
        <v>5892.1154999999999</v>
        <stp/>
        <stp>##V3_BQLV12</stp>
        <stp>[MODL_CRM_US1.xlsx]Single Period!R26C26</stp>
        <stp>SEG0000269247 Segment</stp>
        <stp>SALES_REV_TURN/1M</stp>
        <stp>FPR=2022Y</stp>
        <stp>FPT=A</stp>
        <stp>FA_ACT_EST_DATA=E, EST_SOURCE=KEY</stp>
        <stp>ACT_EST_MAPPING=PRECISE</stp>
        <stp>FS=MRC</stp>
        <stp>CURRENCY=USD</stp>
        <stp>XLFILL=b</stp>
        <tr r="Z26" s="2"/>
      </tp>
      <tp t="s">
        <v/>
        <stp/>
        <stp>##V3_BQLV12</stp>
        <stp>[MODL_CRM_US1.xlsx]Single Period!R29C25</stp>
        <stp>SEG0000269233 Segment</stp>
        <stp>SALES_REV_TURN/1M</stp>
        <stp>FPR=2022Y</stp>
        <stp>FPT=A</stp>
        <stp>FA_ACT_EST_DATA=E, EST_SOURCE=WMS</stp>
        <stp>ACT_EST_MAPPING=PRECISE</stp>
        <stp>FS=MRC</stp>
        <stp>CURRENCY=USD</stp>
        <stp>XLFILL=b</stp>
        <tr r="Y29" s="2"/>
      </tp>
      <tp>
        <v>3916</v>
        <stp/>
        <stp>##V3_BQLV12</stp>
        <stp>[MODL_CRM_US1.xlsx]Single Period!R29C20</stp>
        <stp>SEG0000269233 Segment</stp>
        <stp>SALES_REV_TURN/1M</stp>
        <stp>FPR=2022Y</stp>
        <stp>FPT=A</stp>
        <stp>FA_ACT_EST_DATA=E, EST_SOURCE=JMP</stp>
        <stp>ACT_EST_MAPPING=PRECISE</stp>
        <stp>FS=MRC</stp>
        <stp>CURRENCY=USD</stp>
        <stp>XLFILL=b</stp>
        <tr r="T29" s="2"/>
      </tp>
      <tp t="s">
        <v/>
        <stp/>
        <stp>##V3_BQLV12</stp>
        <stp>[MODL_CRM_US1.xlsx]Single Period!R123C50</stp>
        <stp>CRM US Equity</stp>
        <stp>TOT_OPER_LEA_RT_OF_USE_ASSETS/1M</stp>
        <stp>FPR=2022Y</stp>
        <stp>FPT=A</stp>
        <stp>FA_ACT_EST_DATA=E, EST_SOURCE=MZS</stp>
        <stp>ACT_EST_MAPPING=PRECISE</stp>
        <stp>FS=MRC</stp>
        <stp>CURRENCY=USD</stp>
        <stp>XLFILL=b</stp>
        <tr r="AX123" s="2"/>
      </tp>
      <tp t="s">
        <v/>
        <stp/>
        <stp>##V3_BQLV12</stp>
        <stp>[MODL_CRM_US1.xlsx]Single Period!R119C23</stp>
        <stp>CRM US Equity</stp>
        <stp>CB_BS_OTHER_NONCURRENT_ASSETS/1M</stp>
        <stp>FPR=2022Y</stp>
        <stp>FPT=A</stp>
        <stp>FA_ACT_EST_DATA=E, EST_SOURCE=JPM</stp>
        <stp>ACT_EST_MAPPING=PRECISE</stp>
        <stp>FS=MRC</stp>
        <stp>CURRENCY=USD</stp>
        <stp>XLFILL=b</stp>
        <tr r="W119" s="2"/>
      </tp>
      <tp t="s">
        <v/>
        <stp/>
        <stp>##V3_BQLV12</stp>
        <stp>[MODL_CRM_US1.xlsx]Single Period!R149C56</stp>
        <stp>CRM US Equity</stp>
        <stp>TOT_FUTURE_REV_UNDER_CONTRACT/1M</stp>
        <stp>FPR=2022Y</stp>
        <stp>FPT=A</stp>
        <stp>FA_ACT_EST_DATA=E, EST_SOURCE=DIR</stp>
        <stp>ACT_EST_MAPPING=PRECISE</stp>
        <stp>FS=MRC</stp>
        <stp>CURRENCY=USD</stp>
        <stp>XLFILL=b</stp>
        <tr r="BD149" s="2"/>
      </tp>
      <tp t="s">
        <v/>
        <stp/>
        <stp>##V3_BQLV12</stp>
        <stp>[MODL_CRM_US1.xlsx]Single Period!R101C46</stp>
        <stp>CRM US Equity</stp>
        <stp>IS_SBC_ATTRIBUTABLE_TO_R_AND_D_PRETX/1M</stp>
        <stp>FPR=2022Y</stp>
        <stp>FPT=A</stp>
        <stp>FA_ACT_EST_DATA=E, EST_SOURCE=CTI</stp>
        <stp>ACT_EST_MAPPING=PRECISE</stp>
        <stp>FS=MRC</stp>
        <stp>CURRENCY=USD</stp>
        <stp>XLFILL=b</stp>
        <tr r="AT101" s="2"/>
      </tp>
      <tp t="s">
        <v/>
        <stp/>
        <stp>##V3_BQLV12</stp>
        <stp>[MODL_CRM_US1.xlsx]Single Period!R140C46</stp>
        <stp>CRM US Equity</stp>
        <stp>BS_ACCUMULATED_OTHER_COMP_INC/1M</stp>
        <stp>FPR=2022Y</stp>
        <stp>FPT=A</stp>
        <stp>FA_ACT_EST_DATA=E, EST_SOURCE=CTI</stp>
        <stp>ACT_EST_MAPPING=PRECISE</stp>
        <stp>FS=MRC</stp>
        <stp>CURRENCY=USD</stp>
        <stp>XLFILL=b</stp>
        <tr r="AT140" s="2"/>
      </tp>
      <tp t="s">
        <v/>
        <stp/>
        <stp>##V3_BQLV12</stp>
        <stp>[MODL_CRM_US1.xlsx]Single Period!R149C12</stp>
        <stp>CRM US Equity</stp>
        <stp>TOT_FUTURE_REV_UNDER_CONTRACT/1M</stp>
        <stp>FPR=2022Y</stp>
        <stp>FPT=A</stp>
        <stp>FA_ACT_EST_DATA=E, EST_SOURCE=BMO</stp>
        <stp>ACT_EST_MAPPING=PRECISE</stp>
        <stp>FS=MRC</stp>
        <stp>CURRENCY=USD</stp>
        <stp>XLFILL=b</stp>
        <tr r="L149" s="2"/>
      </tp>
      <tp>
        <v>6514</v>
        <stp/>
        <stp>##V3_BQLV12</stp>
        <stp>[MODL_CRM_US1.xlsx]Single Period!R27C17</stp>
        <stp>SEG0000269241 Segment</stp>
        <stp>SALES_REV_TURN/1M</stp>
        <stp>FPR=2022Y</stp>
        <stp>FPT=A</stp>
        <stp>FA_ACT_EST_DATA=E, EST_SOURCE=NDH</stp>
        <stp>ACT_EST_MAPPING=PRECISE</stp>
        <stp>FS=MRC</stp>
        <stp>CURRENCY=USD</stp>
        <stp>XLFILL=b</stp>
        <tr r="Q27" s="2"/>
      </tp>
      <tp t="s">
        <v/>
        <stp/>
        <stp>##V3_BQLV12</stp>
        <stp>[MODL_CRM_US1.xlsx]Single Period!R140C41</stp>
        <stp>CRM US Equity</stp>
        <stp>BS_ACCUMULATED_OTHER_COMP_INC/1M</stp>
        <stp>FPR=2022Y</stp>
        <stp>FPT=A</stp>
        <stp>FA_ACT_EST_DATA=E, EST_SOURCE=GSR</stp>
        <stp>ACT_EST_MAPPING=PRECISE</stp>
        <stp>FS=MRC</stp>
        <stp>CURRENCY=USD</stp>
        <stp>XLFILL=b</stp>
        <tr r="AO140" s="2"/>
      </tp>
      <tp t="s">
        <v/>
        <stp/>
        <stp>##V3_BQLV12</stp>
        <stp>[MODL_CRM_US1.xlsx]Single Period!R151C22</stp>
        <stp>CRM US Equity</stp>
        <stp>NON_CURRENT_FUTURE_REV_UNDER_CONTRACT/1M</stp>
        <stp>FPR=2022Y</stp>
        <stp>FPT=A</stp>
        <stp>FA_ACT_EST_DATA=E, EST_SOURCE=OPY</stp>
        <stp>ACT_EST_MAPPING=PRECISE</stp>
        <stp>FS=MRC</stp>
        <stp>CURRENCY=USD</stp>
        <stp>XLFILL=b</stp>
        <tr r="V151" s="2"/>
      </tp>
      <tp t="s">
        <v/>
        <stp/>
        <stp>##V3_BQLV12</stp>
        <stp>[MODL_CRM_US1.xlsx]Single Period!R29C12</stp>
        <stp>SEG0000269233 Segment</stp>
        <stp>SALES_REV_TURN/1M</stp>
        <stp>FPR=2022Y</stp>
        <stp>FPT=A</stp>
        <stp>FA_ACT_EST_DATA=E, EST_SOURCE=BMO</stp>
        <stp>ACT_EST_MAPPING=PRECISE</stp>
        <stp>FS=MRC</stp>
        <stp>CURRENCY=USD</stp>
        <stp>XLFILL=b</stp>
        <tr r="L29" s="2"/>
      </tp>
      <tp t="s">
        <v/>
        <stp/>
        <stp>##V3_BQLV12</stp>
        <stp>[MODL_CRM_US1.xlsx]Single Period!R32C39</stp>
        <stp>SEG0000269227 Segment</stp>
        <stp>SALES_REV_TURN/1M</stp>
        <stp>FPR=2022Y</stp>
        <stp>FPT=A</stp>
        <stp>FA_ACT_EST_DATA=E, EST_SOURCE=KGI</stp>
        <stp>ACT_EST_MAPPING=PRECISE</stp>
        <stp>FS=MRC</stp>
        <stp>CURRENCY=USD</stp>
        <stp>XLFILL=b</stp>
        <tr r="AM32" s="2"/>
      </tp>
      <tp t="s">
        <v/>
        <stp/>
        <stp>##V3_BQLV12</stp>
        <stp>[MODL_CRM_US1.xlsx]Single Period!R26C34</stp>
        <stp>SEG0000269247 Segment</stp>
        <stp>SALES_REV_TURN/1M</stp>
        <stp>FPR=2022Y</stp>
        <stp>FPT=A</stp>
        <stp>FA_ACT_EST_DATA=E, EST_SOURCE=JEF</stp>
        <stp>ACT_EST_MAPPING=PRECISE</stp>
        <stp>FS=MRC</stp>
        <stp>CURRENCY=USD</stp>
        <stp>XLFILL=b</stp>
        <tr r="AH26" s="2"/>
      </tp>
      <tp t="s">
        <v/>
        <stp/>
        <stp>##V3_BQLV12</stp>
        <stp>[MODL_CRM_US1.xlsx]Single Period!R156C18</stp>
        <stp>CRM US Equity</stp>
        <stp>CF_DEPR_AMORT/1M</stp>
        <stp>FPR=2022Y</stp>
        <stp>FPT=A</stp>
        <stp>FA_ACT_EST_DATA=E, EST_SOURCE=CAN</stp>
        <stp>ACT_EST_MAPPING=PRECISE</stp>
        <stp>FS=MRC</stp>
        <stp>CURRENCY=USD</stp>
        <stp>XLFILL=b</stp>
        <tr r="R156" s="2"/>
      </tp>
      <tp>
        <v>24564</v>
        <stp/>
        <stp>##V3_BQLV12</stp>
        <stp>[MODL_CRM_US1.xlsx]Single Period!R10C17</stp>
        <stp>SEG0000269238 Segment</stp>
        <stp>SALES_REV_TURN/1M</stp>
        <stp>FPR=2022Y</stp>
        <stp>FPT=A</stp>
        <stp>FA_ACT_EST_DATA=E, EST_SOURCE=NDH</stp>
        <stp>ACT_EST_MAPPING=PRECISE</stp>
        <stp>FS=MRC</stp>
        <stp>CURRENCY=USD</stp>
        <stp>XLFILL=b</stp>
        <tr r="Q10" s="2"/>
      </tp>
      <tp t="s">
        <v/>
        <stp/>
        <stp>##V3_BQLV12</stp>
        <stp>[MODL_CRM_US1.xlsx]Single Period!R26C55</stp>
        <stp>SEG0000269247 Segment</stp>
        <stp>SALES_REV_TURN/1M</stp>
        <stp>FPR=2022Y</stp>
        <stp>FPT=A</stp>
        <stp>FA_ACT_EST_DATA=E, EST_SOURCE=RED</stp>
        <stp>ACT_EST_MAPPING=PRECISE</stp>
        <stp>FS=MRC</stp>
        <stp>CURRENCY=USD</stp>
        <stp>XLFILL=b</stp>
        <tr r="BC26" s="2"/>
      </tp>
      <tp t="s">
        <v/>
        <stp/>
        <stp>##V3_BQLV12</stp>
        <stp>[MODL_CRM_US1.xlsx]Single Period!R32C49</stp>
        <stp>SEG0000269227 Segment</stp>
        <stp>SALES_REV_TURN/1M</stp>
        <stp>FPR=2022Y</stp>
        <stp>FPT=A</stp>
        <stp>FA_ACT_EST_DATA=E, EST_SOURCE=SGE</stp>
        <stp>ACT_EST_MAPPING=PRECISE</stp>
        <stp>FS=MRC</stp>
        <stp>CURRENCY=USD</stp>
        <stp>XLFILL=b</stp>
        <tr r="AW32" s="2"/>
      </tp>
      <tp t="s">
        <v/>
        <stp/>
        <stp>##V3_BQLV12</stp>
        <stp>[MODL_CRM_US1.xlsx]Single Period!R101C38</stp>
        <stp>CRM US Equity</stp>
        <stp>IS_SBC_ATTRIBUTABLE_TO_R_AND_D_PRETX/1M</stp>
        <stp>FPR=2022Y</stp>
        <stp>FPT=A</stp>
        <stp>FA_ACT_EST_DATA=E, EST_SOURCE=MSR</stp>
        <stp>ACT_EST_MAPPING=PRECISE</stp>
        <stp>FS=MRC</stp>
        <stp>CURRENCY=USD</stp>
        <stp>XLFILL=b</stp>
        <tr r="AL101" s="2"/>
      </tp>
      <tp t="s">
        <v/>
        <stp/>
        <stp>##V3_BQLV12</stp>
        <stp>[MODL_CRM_US1.xlsx]Single Period!R151C41</stp>
        <stp>CRM US Equity</stp>
        <stp>NON_CURRENT_FUTURE_REV_UNDER_CONTRACT/1M</stp>
        <stp>FPR=2022Y</stp>
        <stp>FPT=A</stp>
        <stp>FA_ACT_EST_DATA=E, EST_SOURCE=GSR</stp>
        <stp>ACT_EST_MAPPING=PRECISE</stp>
        <stp>FS=MRC</stp>
        <stp>CURRENCY=USD</stp>
        <stp>XLFILL=b</stp>
        <tr r="AO151" s="2"/>
      </tp>
      <tp t="s">
        <v/>
        <stp/>
        <stp>##V3_BQLV12</stp>
        <stp>[MODL_CRM_US1.xlsx]Single Period!R38C12</stp>
        <stp>SEG0000269228 Segment</stp>
        <stp>SALES_REV_TURN/1M</stp>
        <stp>FPR=2022Y</stp>
        <stp>FPT=A</stp>
        <stp>FA_ACT_EST_DATA=E, EST_SOURCE=BMO</stp>
        <stp>ACT_EST_MAPPING=PRECISE</stp>
        <stp>FS=MRC</stp>
        <stp>CURRENCY=USD</stp>
        <stp>XLFILL=b</stp>
        <tr r="L38" s="2"/>
      </tp>
      <tp t="s">
        <v/>
        <stp/>
        <stp>##V3_BQLV12</stp>
        <stp>[MODL_CRM_US1.xlsx]Single Period!R140C22</stp>
        <stp>CRM US Equity</stp>
        <stp>BS_ACCUMULATED_OTHER_COMP_INC/1M</stp>
        <stp>FPR=2022Y</stp>
        <stp>FPT=A</stp>
        <stp>FA_ACT_EST_DATA=E, EST_SOURCE=OPY</stp>
        <stp>ACT_EST_MAPPING=PRECISE</stp>
        <stp>FS=MRC</stp>
        <stp>CURRENCY=USD</stp>
        <stp>XLFILL=b</stp>
        <tr r="V140" s="2"/>
      </tp>
      <tp t="s">
        <v/>
        <stp/>
        <stp>##V3_BQLV12</stp>
        <stp>[MODL_CRM_US1.xlsx]Single Period!R48C12</stp>
        <stp>SEG0000269229 Segment</stp>
        <stp>SALES_REV_TURN/1M</stp>
        <stp>FPR=2022Y</stp>
        <stp>FPT=A</stp>
        <stp>FA_ACT_EST_DATA=E, EST_SOURCE=BMO</stp>
        <stp>ACT_EST_MAPPING=PRECISE</stp>
        <stp>FS=MRC</stp>
        <stp>CURRENCY=USD</stp>
        <stp>XLFILL=b</stp>
        <tr r="L48" s="2"/>
      </tp>
      <tp t="s">
        <v/>
        <stp/>
        <stp>##V3_BQLV12</stp>
        <stp>[MODL_CRM_US1.xlsx]Single Period!R82C32</stp>
        <stp>CRM US Equity</stp>
        <stp>OPERATING_EXPENSES_TO_NET_SALES</stp>
        <stp>FPR=2022Y</stp>
        <stp>FPT=A</stp>
        <stp>FA_ACT_EST_DATA=E, EST_SOURCE=UBS</stp>
        <stp>ACT_EST_MAPPING=PRECISE</stp>
        <stp>FS=MRC</stp>
        <stp>CURRENCY=USD</stp>
        <stp>XLFILL=b</stp>
        <tr r="AF82" s="2"/>
      </tp>
      <tp t="s">
        <v/>
        <stp/>
        <stp>##V3_BQLV12</stp>
        <stp>[MODL_CRM_US1.xlsx]Single Period!R17C55</stp>
        <stp>CRM US Equity</stp>
        <stp>IS_COMP_GROSS_MARGIN_PERCENTAGE</stp>
        <stp>FPR=2022Y</stp>
        <stp>FPT=A</stp>
        <stp>FA_ACT_EST_DATA=E, EST_SOURCE=RED</stp>
        <stp>ACT_EST_MAPPING=PRECISE</stp>
        <stp>FS=MRC</stp>
        <stp>CURRENCY=USD</stp>
        <stp>XLFILL=b</stp>
        <tr r="BC17" s="2"/>
      </tp>
      <tp>
        <v>78.847500173192799</v>
        <stp/>
        <stp>##V3_BQLV12</stp>
        <stp>[MODL_CRM_US1.xlsx]Single Period!R56C24</stp>
        <stp>CRM US Equity</stp>
        <stp>IS_COMP_GROSS_MARGIN_PERCENTAGE</stp>
        <stp>FPR=2022Y</stp>
        <stp>FPT=A</stp>
        <stp>FA_ACT_EST_DATA=E, EST_SOURCE=FBC</stp>
        <stp>ACT_EST_MAPPING=PRECISE</stp>
        <stp>FS=MRC</stp>
        <stp>CURRENCY=USD</stp>
        <stp>XLFILL=b</stp>
        <tr r="X56" s="2"/>
      </tp>
      <tp>
        <v>78.400000000000006</v>
        <stp/>
        <stp>##V3_BQLV12</stp>
        <stp>[MODL_CRM_US1.xlsx]Single Period!R56C18</stp>
        <stp>CRM US Equity</stp>
        <stp>IS_COMP_GROSS_MARGIN_PERCENTAGE</stp>
        <stp>FPR=2022Y</stp>
        <stp>FPT=A</stp>
        <stp>FA_ACT_EST_DATA=E, EST_SOURCE=CAN</stp>
        <stp>ACT_EST_MAPPING=PRECISE</stp>
        <stp>FS=MRC</stp>
        <stp>CURRENCY=USD</stp>
        <stp>XLFILL=b</stp>
        <tr r="R56" s="2"/>
      </tp>
      <tp t="s">
        <v/>
        <stp/>
        <stp>##V3_BQLV12</stp>
        <stp>[MODL_CRM_US1.xlsx]Single Period!R56C55</stp>
        <stp>CRM US Equity</stp>
        <stp>IS_COMP_GROSS_MARGIN_PERCENTAGE</stp>
        <stp>FPR=2022Y</stp>
        <stp>FPT=A</stp>
        <stp>FA_ACT_EST_DATA=E, EST_SOURCE=RED</stp>
        <stp>ACT_EST_MAPPING=PRECISE</stp>
        <stp>FS=MRC</stp>
        <stp>CURRENCY=USD</stp>
        <stp>XLFILL=b</stp>
        <tr r="BC56" s="2"/>
      </tp>
      <tp>
        <v>78.847500173192799</v>
        <stp/>
        <stp>##V3_BQLV12</stp>
        <stp>[MODL_CRM_US1.xlsx]Single Period!R17C24</stp>
        <stp>CRM US Equity</stp>
        <stp>IS_COMP_GROSS_MARGIN_PERCENTAGE</stp>
        <stp>FPR=2022Y</stp>
        <stp>FPT=A</stp>
        <stp>FA_ACT_EST_DATA=E, EST_SOURCE=FBC</stp>
        <stp>ACT_EST_MAPPING=PRECISE</stp>
        <stp>FS=MRC</stp>
        <stp>CURRENCY=USD</stp>
        <stp>XLFILL=b</stp>
        <tr r="X17" s="2"/>
      </tp>
      <tp>
        <v>78.400000000000006</v>
        <stp/>
        <stp>##V3_BQLV12</stp>
        <stp>[MODL_CRM_US1.xlsx]Single Period!R17C18</stp>
        <stp>CRM US Equity</stp>
        <stp>IS_COMP_GROSS_MARGIN_PERCENTAGE</stp>
        <stp>FPR=2022Y</stp>
        <stp>FPT=A</stp>
        <stp>FA_ACT_EST_DATA=E, EST_SOURCE=CAN</stp>
        <stp>ACT_EST_MAPPING=PRECISE</stp>
        <stp>FS=MRC</stp>
        <stp>CURRENCY=USD</stp>
        <stp>XLFILL=b</stp>
        <tr r="R17" s="2"/>
      </tp>
      <tp t="s">
        <v/>
        <stp/>
        <stp>##V3_BQLV12</stp>
        <stp>[MODL_CRM_US1.xlsx]Single Period!R183C18</stp>
        <stp>CRM US Equity</stp>
        <stp>CASH_FLOW_PER_SH</stp>
        <stp>FPR=2022Y</stp>
        <stp>FPT=A</stp>
        <stp>FA_ACT_EST_DATA=E, EST_SOURCE=CAN</stp>
        <stp>ACT_EST_MAPPING=PRECISE</stp>
        <stp>FS=MRC</stp>
        <stp>CURRENCY=USD</stp>
        <stp>XLFILL=b</stp>
        <tr r="R183" s="2"/>
      </tp>
      <tp t="s">
        <v/>
        <stp/>
        <stp>##V3_BQLV12</stp>
        <stp>[MODL_CRM_US1.xlsx]Single Period!R82C31</stp>
        <stp>CRM US Equity</stp>
        <stp>OPERATING_EXPENSES_TO_NET_SALES</stp>
        <stp>FPR=2022Y</stp>
        <stp>FPT=A</stp>
        <stp>FA_ACT_EST_DATA=E, EST_SOURCE=RBC</stp>
        <stp>ACT_EST_MAPPING=PRECISE</stp>
        <stp>FS=MRC</stp>
        <stp>CURRENCY=USD</stp>
        <stp>XLFILL=b</stp>
        <tr r="AE82" s="2"/>
      </tp>
      <tp t="s">
        <v/>
        <stp/>
        <stp>##V3_BQLV12</stp>
        <stp>[MODL_CRM_US1.xlsx]Single Period!R82C27</stp>
        <stp>CRM US Equity</stp>
        <stp>OPERATING_EXPENSES_TO_NET_SALES</stp>
        <stp>FPR=2022Y</stp>
        <stp>FPT=A</stp>
        <stp>FA_ACT_EST_DATA=E, EST_SOURCE=LCM</stp>
        <stp>ACT_EST_MAPPING=PRECISE</stp>
        <stp>FS=MRC</stp>
        <stp>CURRENCY=USD</stp>
        <stp>XLFILL=b</stp>
        <tr r="AA82" s="2"/>
      </tp>
      <tp t="s">
        <v/>
        <stp/>
        <stp>##V3_BQLV12</stp>
        <stp>[MODL_CRM_US1.xlsx]Single Period!R164C10</stp>
        <stp>CRM US Equity</stp>
        <stp>CHG_IN_ACCT_PYBL_AND_ACC_EXPNSS/1M</stp>
        <stp>FPR=2022Y</stp>
        <stp>FPT=A</stp>
        <stp>FA_ACT_EST_DATA=E, EST_SOURCE=CMPY</stp>
        <stp>ACT_EST_MAPPING=PRECISE</stp>
        <stp>FS=MRC</stp>
        <stp>CURRENCY=USD</stp>
        <stp>XLFILL=b</stp>
        <tr r="J164" s="2"/>
      </tp>
      <tp>
        <v>919.22</v>
        <stp/>
        <stp>##V3_BQLV12</stp>
        <stp>[MODL_CRM_US1.xlsx]Single Period!R105C16</stp>
        <stp>CRM US Equity</stp>
        <stp>IS_AMORT_ACQD_INTANGIBLES_COGS/1M</stp>
        <stp>FPR=2022Y</stp>
        <stp>FPT=A</stp>
        <stp>FA_ACT_EST_DATA=E, EST_SOURCE=DBG</stp>
        <stp>ACT_EST_MAPPING=PRECISE</stp>
        <stp>FS=MRC</stp>
        <stp>CURRENCY=USD</stp>
        <stp>XLFILL=b</stp>
        <tr r="P105" s="2"/>
      </tp>
      <tp>
        <v>940.96727272727276</v>
        <stp/>
        <stp>##V3_BQLV12</stp>
        <stp>[MODL_CRM_US1.xlsx]Single Period!R105C24</stp>
        <stp>CRM US Equity</stp>
        <stp>IS_AMORT_ACQD_INTANGIBLES_COGS/1M</stp>
        <stp>FPR=2022Y</stp>
        <stp>FPT=A</stp>
        <stp>FA_ACT_EST_DATA=E, EST_SOURCE=FBC</stp>
        <stp>ACT_EST_MAPPING=PRECISE</stp>
        <stp>FS=MRC</stp>
        <stp>CURRENCY=USD</stp>
        <stp>XLFILL=b</stp>
        <tr r="X105" s="2"/>
      </tp>
      <tp t="s">
        <v/>
        <stp/>
        <stp>##V3_BQLV12</stp>
        <stp>[MODL_CRM_US1.xlsx]Single Period!R105C31</stp>
        <stp>CRM US Equity</stp>
        <stp>IS_AMORT_ACQD_INTANGIBLES_COGS/1M</stp>
        <stp>FPR=2022Y</stp>
        <stp>FPT=A</stp>
        <stp>FA_ACT_EST_DATA=E, EST_SOURCE=RBC</stp>
        <stp>ACT_EST_MAPPING=PRECISE</stp>
        <stp>FS=MRC</stp>
        <stp>CURRENCY=USD</stp>
        <stp>XLFILL=b</stp>
        <tr r="AE105" s="2"/>
      </tp>
      <tp t="s">
        <v/>
        <stp/>
        <stp>##V3_BQLV12</stp>
        <stp>[MODL_CRM_US1.xlsx]Single Period!R165C55</stp>
        <stp>CRM US Equity</stp>
        <stp>CF_CHG_IN_DEFER_UNEARND_REV_ST/1M</stp>
        <stp>FPR=2022Y</stp>
        <stp>FPT=A</stp>
        <stp>FA_ACT_EST_DATA=E, EST_SOURCE=RED</stp>
        <stp>ACT_EST_MAPPING=PRECISE</stp>
        <stp>FS=MRC</stp>
        <stp>CURRENCY=USD</stp>
        <stp>XLFILL=b</stp>
        <tr r="BC165" s="2"/>
      </tp>
      <tp t="s">
        <v/>
        <stp/>
        <stp>##V3_BQLV12</stp>
        <stp>[MODL_CRM_US1.xlsx]Single Period!R165C34</stp>
        <stp>CRM US Equity</stp>
        <stp>CF_CHG_IN_DEFER_UNEARND_REV_ST/1M</stp>
        <stp>FPR=2022Y</stp>
        <stp>FPT=A</stp>
        <stp>FA_ACT_EST_DATA=E, EST_SOURCE=JEF</stp>
        <stp>ACT_EST_MAPPING=PRECISE</stp>
        <stp>FS=MRC</stp>
        <stp>CURRENCY=USD</stp>
        <stp>XLFILL=b</stp>
        <tr r="AH165" s="2"/>
      </tp>
      <tp t="s">
        <v/>
        <stp/>
        <stp>##V3_BQLV12</stp>
        <stp>[MODL_CRM_US1.xlsx]Single Period!R105C11</stp>
        <stp>CRM US Equity</stp>
        <stp>IS_AMORT_ACQD_INTANGIBLES_COGS/1M</stp>
        <stp>FPR=2022Y</stp>
        <stp>FPT=A</stp>
        <stp>FA_ACT_EST_DATA=E, EST_SOURCE=WBL</stp>
        <stp>ACT_EST_MAPPING=PRECISE</stp>
        <stp>FS=MRC</stp>
        <stp>CURRENCY=USD</stp>
        <stp>XLFILL=b</stp>
        <tr r="K105" s="2"/>
      </tp>
      <tp>
        <v>-1090</v>
        <stp/>
        <stp>##V3_BQLV12</stp>
        <stp>[MODL_CRM_US1.xlsx]Single Period!R98C7</stp>
        <stp>CRM US Equity</stp>
        <stp>CONTRIBUTOR_STATS(IS_INC_TAX_EFFECT_NONGAAP_REC, MAX)/1M</stp>
        <stp>FPR=2022Y</stp>
        <stp>FPT=A</stp>
        <stp>FA_ACT_EST_DATA=E</stp>
        <stp>ACT_EST_MAPPING=PRECISE</stp>
        <stp>FS=MRC</stp>
        <stp>CURRENCY=USD</stp>
        <stp>XLFILL=b</stp>
        <tr r="G98" s="2"/>
      </tp>
      <tp t="s">
        <v/>
        <stp/>
        <stp>##V3_BQLV12</stp>
        <stp>[MODL_CRM_US1.xlsx]Single Period!R188C37</stp>
        <stp>CRM US Equity</stp>
        <stp>BS_CASH_NEAR_CASH_ITEM/1M</stp>
        <stp>FPR=2022Y</stp>
        <stp>FPT=A</stp>
        <stp>FA_ACT_EST_DATA=E, EST_SOURCE=EVR</stp>
        <stp>ACT_EST_MAPPING=PRECISE</stp>
        <stp>FS=MRC</stp>
        <stp>CURRENCY=USD</stp>
        <stp>XLFILL=b</stp>
        <tr r="AK188" s="2"/>
      </tp>
      <tp t="s">
        <v/>
        <stp/>
        <stp>##V3_BQLV12</stp>
        <stp>[MODL_CRM_US1.xlsx]Single Period!R166C12</stp>
        <stp>CRM US Equity</stp>
        <stp>CF_CHANGE_IN_OPER_LEASE_LIBLTS/1M</stp>
        <stp>FPR=2022Y</stp>
        <stp>FPT=A</stp>
        <stp>FA_ACT_EST_DATA=E, EST_SOURCE=BMO</stp>
        <stp>ACT_EST_MAPPING=PRECISE</stp>
        <stp>FS=MRC</stp>
        <stp>CURRENCY=USD</stp>
        <stp>XLFILL=b</stp>
        <tr r="L166" s="2"/>
      </tp>
      <tp t="s">
        <v/>
        <stp/>
        <stp>##V3_BQLV12</stp>
        <stp>[MODL_CRM_US1.xlsx]Single Period!R166C25</stp>
        <stp>CRM US Equity</stp>
        <stp>CF_CHANGE_IN_OPER_LEASE_LIBLTS/1M</stp>
        <stp>FPR=2022Y</stp>
        <stp>FPT=A</stp>
        <stp>FA_ACT_EST_DATA=E, EST_SOURCE=WMS</stp>
        <stp>ACT_EST_MAPPING=PRECISE</stp>
        <stp>FS=MRC</stp>
        <stp>CURRENCY=USD</stp>
        <stp>XLFILL=b</stp>
        <tr r="Y166" s="2"/>
      </tp>
      <tp t="s">
        <v/>
        <stp/>
        <stp>##V3_BQLV12</stp>
        <stp>[MODL_CRM_US1.xlsx]Single Period!R189C36</stp>
        <stp>CRM US Equity</stp>
        <stp>CF_CASH_AND_CASH_EQUIV_BEG_BAL/1M</stp>
        <stp>FPR=2022Y</stp>
        <stp>FPT=A</stp>
        <stp>FA_ACT_EST_DATA=E, EST_SOURCE=MAC</stp>
        <stp>ACT_EST_MAPPING=PRECISE</stp>
        <stp>FS=MRC</stp>
        <stp>CURRENCY=USD</stp>
        <stp>XLFILL=b</stp>
        <tr r="AJ189" s="2"/>
      </tp>
      <tp>
        <v>-607</v>
        <stp/>
        <stp>##V3_BQLV12</stp>
        <stp>[MODL_CRM_US1.xlsx]Single Period!R166C20</stp>
        <stp>CRM US Equity</stp>
        <stp>CF_CHANGE_IN_OPER_LEASE_LIBLTS/1M</stp>
        <stp>FPR=2022Y</stp>
        <stp>FPT=A</stp>
        <stp>FA_ACT_EST_DATA=E, EST_SOURCE=JMP</stp>
        <stp>ACT_EST_MAPPING=PRECISE</stp>
        <stp>FS=MRC</stp>
        <stp>CURRENCY=USD</stp>
        <stp>XLFILL=b</stp>
        <tr r="T166" s="2"/>
      </tp>
      <tp t="s">
        <v/>
        <stp/>
        <stp>##V3_BQLV12</stp>
        <stp>[MODL_CRM_US1.xlsx]Single Period!R105C32</stp>
        <stp>CRM US Equity</stp>
        <stp>IS_AMORT_ACQD_INTANGIBLES_COGS/1M</stp>
        <stp>FPR=2022Y</stp>
        <stp>FPT=A</stp>
        <stp>FA_ACT_EST_DATA=E, EST_SOURCE=UBS</stp>
        <stp>ACT_EST_MAPPING=PRECISE</stp>
        <stp>FS=MRC</stp>
        <stp>CURRENCY=USD</stp>
        <stp>XLFILL=b</stp>
        <tr r="AF105" s="2"/>
      </tp>
      <tp>
        <v>17.333463997133251</v>
        <stp/>
        <stp>##V3_BQLV12</stp>
        <stp>[MODL_CRM_US1.xlsx]Single Period!R71C5</stp>
        <stp>CRM US Equity</stp>
        <stp>ADJ_PROFIT_MARGIN</stp>
        <stp>FPR=2022Y</stp>
        <stp>FPT=A</stp>
        <stp>FA_ACT_EST_DATA=E</stp>
        <stp>ACT_EST_MAPPING=PRECISE</stp>
        <stp>FS=MRC</stp>
        <stp>CURRENCY=USD</stp>
        <stp>XLFILL=b</stp>
        <tr r="E71" s="2"/>
      </tp>
      <tp>
        <v>1885.2599999999982</v>
        <stp/>
        <stp>##V3_BQLV12</stp>
        <stp>[MODL_CRM_US1.xlsx]Single Period!R165C26</stp>
        <stp>CRM US Equity</stp>
        <stp>CF_CHG_IN_DEFER_UNEARND_REV_ST/1M</stp>
        <stp>FPR=2022Y</stp>
        <stp>FPT=A</stp>
        <stp>FA_ACT_EST_DATA=E, EST_SOURCE=KEY</stp>
        <stp>ACT_EST_MAPPING=PRECISE</stp>
        <stp>FS=MRC</stp>
        <stp>CURRENCY=USD</stp>
        <stp>XLFILL=b</stp>
        <tr r="Z165" s="2"/>
      </tp>
      <tp t="s">
        <v/>
        <stp/>
        <stp>##V3_BQLV12</stp>
        <stp>[MODL_CRM_US1.xlsx]Single Period!R189C30</stp>
        <stp>CRM US Equity</stp>
        <stp>CF_CASH_AND_CASH_EQUIV_BEG_BAL/1M</stp>
        <stp>FPR=2022Y</stp>
        <stp>FPT=A</stp>
        <stp>FA_ACT_EST_DATA=E, EST_SOURCE=BAM</stp>
        <stp>ACT_EST_MAPPING=PRECISE</stp>
        <stp>FS=MRC</stp>
        <stp>CURRENCY=USD</stp>
        <stp>XLFILL=b</stp>
        <tr r="AD189" s="2"/>
      </tp>
      <tp t="s">
        <v/>
        <stp/>
        <stp>##V3_BQLV12</stp>
        <stp>[MODL_CRM_US1.xlsx]Single Period!R95C45</stp>
        <stp>CRM US Equity</stp>
        <stp>IS_COMP_EPS_GAAP</stp>
        <stp>FPR=2022Y</stp>
        <stp>FPT=A</stp>
        <stp>FA_ACT_EST_DATA=E, EST_SOURCE=ARG</stp>
        <stp>ACT_EST_MAPPING=PRECISE</stp>
        <stp>FS=MRC</stp>
        <stp>CURRENCY=USD</stp>
        <stp>XLFILL=b</stp>
        <tr r="AS95" s="2"/>
      </tp>
      <tp t="s">
        <v/>
        <stp/>
        <stp>##V3_BQLV12</stp>
        <stp>[MODL_CRM_US1.xlsx]Single Period!R189C18</stp>
        <stp>CRM US Equity</stp>
        <stp>CF_CASH_AND_CASH_EQUIV_BEG_BAL/1M</stp>
        <stp>FPR=2022Y</stp>
        <stp>FPT=A</stp>
        <stp>FA_ACT_EST_DATA=E, EST_SOURCE=CAN</stp>
        <stp>ACT_EST_MAPPING=PRECISE</stp>
        <stp>FS=MRC</stp>
        <stp>CURRENCY=USD</stp>
        <stp>XLFILL=b</stp>
        <tr r="R189" s="2"/>
      </tp>
      <tp>
        <v>14661.941000000001</v>
        <stp/>
        <stp>##V3_BQLV12</stp>
        <stp>[MODL_CRM_US1.xlsx]Single Period!R131C25</stp>
        <stp>CRM US Equity</stp>
        <stp>ST_DEFERRED_REVENUE/1M</stp>
        <stp>FPR=2022Y</stp>
        <stp>FPT=A</stp>
        <stp>FA_ACT_EST_DATA=E, EST_SOURCE=WMS</stp>
        <stp>ACT_EST_MAPPING=PRECISE</stp>
        <stp>FS=MRC</stp>
        <stp>CURRENCY=USD</stp>
        <stp>XLFILL=b</stp>
        <tr r="Y131" s="2"/>
      </tp>
      <tp t="s">
        <v/>
        <stp/>
        <stp>##V3_BQLV12</stp>
        <stp>[MODL_CRM_US1.xlsx]Single Period!R185C11</stp>
        <stp>CRM US Equity</stp>
        <stp>CF_EFFECT_FOREIGN_EXCHANGES/1M</stp>
        <stp>FPR=2022Y</stp>
        <stp>FPT=A</stp>
        <stp>FA_ACT_EST_DATA=E, EST_SOURCE=WBL</stp>
        <stp>ACT_EST_MAPPING=PRECISE</stp>
        <stp>FS=MRC</stp>
        <stp>CURRENCY=USD</stp>
        <stp>XLFILL=b</stp>
        <tr r="K185" s="2"/>
      </tp>
      <tp t="s">
        <v/>
        <stp/>
        <stp>##V3_BQLV12</stp>
        <stp>[MODL_CRM_US1.xlsx]Single Period!R85C38</stp>
        <stp>CRM US Equity</stp>
        <stp>CB_IS_S_AND_M_EXPENSE/1M</stp>
        <stp>FPR=2022Y</stp>
        <stp>FPT=A</stp>
        <stp>FA_ACT_EST_DATA=E, EST_SOURCE=MSR</stp>
        <stp>ACT_EST_MAPPING=PRECISE</stp>
        <stp>FS=MRC</stp>
        <stp>CURRENCY=USD</stp>
        <stp>XLFILL=b</stp>
        <tr r="AL85" s="2"/>
      </tp>
      <tp>
        <v>15286</v>
        <stp/>
        <stp>##V3_BQLV12</stp>
        <stp>[MODL_CRM_US1.xlsx]Single Period!R131C20</stp>
        <stp>CRM US Equity</stp>
        <stp>ST_DEFERRED_REVENUE/1M</stp>
        <stp>FPR=2022Y</stp>
        <stp>FPT=A</stp>
        <stp>FA_ACT_EST_DATA=E, EST_SOURCE=JMP</stp>
        <stp>ACT_EST_MAPPING=PRECISE</stp>
        <stp>FS=MRC</stp>
        <stp>CURRENCY=USD</stp>
        <stp>XLFILL=b</stp>
        <tr r="T131" s="2"/>
      </tp>
      <tp>
        <v>5807.818181818182</v>
        <stp/>
        <stp>##V3_BQLV12</stp>
        <stp>[MODL_CRM_US1.xlsx]Single Period!R68C5</stp>
        <stp>CRM US Equity</stp>
        <stp>IS_COMP_PTP_EX_STK_BASED_COMP/1M</stp>
        <stp>FPR=2022Y</stp>
        <stp>FPT=A</stp>
        <stp>FA_ACT_EST_DATA=E</stp>
        <stp>ACT_EST_MAPPING=PRECISE</stp>
        <stp>FS=MRC</stp>
        <stp>CURRENCY=USD</stp>
        <stp>XLFILL=b</stp>
        <tr r="E68" s="2"/>
      </tp>
      <tp t="s">
        <v/>
        <stp/>
        <stp>##V3_BQLV12</stp>
        <stp>[MODL_CRM_US1.xlsx]Single Period!R114C33</stp>
        <stp>CRM US Equity</stp>
        <stp>BS_ACCTS_REC_EXCL_NOTES_REC/1M</stp>
        <stp>FPR=2022Y</stp>
        <stp>FPT=A</stp>
        <stp>FA_ACT_EST_DATA=E, EST_SOURCE=RHR</stp>
        <stp>ACT_EST_MAPPING=PRECISE</stp>
        <stp>FS=MRC</stp>
        <stp>CURRENCY=USD</stp>
        <stp>XLFILL=b</stp>
        <tr r="AG114" s="2"/>
      </tp>
      <tp t="s">
        <v/>
        <stp/>
        <stp>##V3_BQLV12</stp>
        <stp>[MODL_CRM_US1.xlsx]Single Period!R128C11</stp>
        <stp>CRM US Equity</stp>
        <stp>BS_CUR_LIAB/1M</stp>
        <stp>FPR=2022Y</stp>
        <stp>FPT=A</stp>
        <stp>FA_ACT_EST_DATA=E, EST_SOURCE=WBL</stp>
        <stp>ACT_EST_MAPPING=PRECISE</stp>
        <stp>FS=MRC</stp>
        <stp>CURRENCY=USD</stp>
        <stp>XLFILL=b</stp>
        <tr r="K128" s="2"/>
      </tp>
      <tp t="s">
        <v/>
        <stp/>
        <stp>##V3_BQLV12</stp>
        <stp>[MODL_CRM_US1.xlsx]Single Period!R63C12</stp>
        <stp>CRM US Equity</stp>
        <stp>CF_DEPR_AMORT/1M</stp>
        <stp>FPR=2022Y</stp>
        <stp>FPT=A</stp>
        <stp>FA_ACT_EST_DATA=E, EST_SOURCE=BMO</stp>
        <stp>ACT_EST_MAPPING=PRECISE</stp>
        <stp>FS=MRC</stp>
        <stp>CURRENCY=USD</stp>
        <stp>XLFILL=b</stp>
        <tr r="L63" s="2"/>
      </tp>
      <tp t="s">
        <v/>
        <stp/>
        <stp>##V3_BQLV12</stp>
        <stp>[MODL_CRM_US1.xlsx]Single Period!R134C33</stp>
        <stp>CRM US Equity</stp>
        <stp>BS_LT_OPERATING_LEASE_LIABS/1M</stp>
        <stp>FPR=2022Y</stp>
        <stp>FPT=A</stp>
        <stp>FA_ACT_EST_DATA=E, EST_SOURCE=RHR</stp>
        <stp>ACT_EST_MAPPING=PRECISE</stp>
        <stp>FS=MRC</stp>
        <stp>CURRENCY=USD</stp>
        <stp>XLFILL=b</stp>
        <tr r="AG134" s="2"/>
      </tp>
      <tp>
        <v>11867.380010192561</v>
        <stp/>
        <stp>##V3_BQLV12</stp>
        <stp>[MODL_CRM_US1.xlsx]Single Period!R85C5</stp>
        <stp>CRM US Equity</stp>
        <stp>CB_IS_S_AND_M_EXPENSE/1M</stp>
        <stp>FPR=2022Y</stp>
        <stp>FPT=A</stp>
        <stp>FA_ACT_EST_DATA=E</stp>
        <stp>ACT_EST_MAPPING=PRECISE</stp>
        <stp>FS=MRC</stp>
        <stp>CURRENCY=USD</stp>
        <stp>XLFILL=b</stp>
        <tr r="E85" s="2"/>
      </tp>
      <tp t="s">
        <v/>
        <stp/>
        <stp>##V3_BQLV12</stp>
        <stp>[MODL_CRM_US1.xlsx]Single Period!R128C31</stp>
        <stp>CRM US Equity</stp>
        <stp>BS_CUR_LIAB/1M</stp>
        <stp>FPR=2022Y</stp>
        <stp>FPT=A</stp>
        <stp>FA_ACT_EST_DATA=E, EST_SOURCE=RBC</stp>
        <stp>ACT_EST_MAPPING=PRECISE</stp>
        <stp>FS=MRC</stp>
        <stp>CURRENCY=USD</stp>
        <stp>XLFILL=b</stp>
        <tr r="AE128" s="2"/>
      </tp>
      <tp>
        <v>-1121.67608</v>
        <stp/>
        <stp>##V3_BQLV12</stp>
        <stp>[MODL_CRM_US1.xlsx]Single Period!R98C5</stp>
        <stp>CRM US Equity</stp>
        <stp>IS_INC_TAX_EFFECT_NONGAAP_REC/1M</stp>
        <stp>FPR=2022Y</stp>
        <stp>FPT=A</stp>
        <stp>FA_ACT_EST_DATA=E</stp>
        <stp>ACT_EST_MAPPING=PRECISE</stp>
        <stp>FS=MRC</stp>
        <stp>CURRENCY=USD</stp>
        <stp>XLFILL=b</stp>
        <tr r="E98" s="2"/>
      </tp>
      <tp>
        <v>21396.065096818969</v>
        <stp/>
        <stp>##V3_BQLV12</stp>
        <stp>[MODL_CRM_US1.xlsx]Single Period!R128C24</stp>
        <stp>CRM US Equity</stp>
        <stp>BS_CUR_LIAB/1M</stp>
        <stp>FPR=2022Y</stp>
        <stp>FPT=A</stp>
        <stp>FA_ACT_EST_DATA=E, EST_SOURCE=FBC</stp>
        <stp>ACT_EST_MAPPING=PRECISE</stp>
        <stp>FS=MRC</stp>
        <stp>CURRENCY=USD</stp>
        <stp>XLFILL=b</stp>
        <tr r="X128" s="2"/>
      </tp>
      <tp>
        <v>-18</v>
        <stp/>
        <stp>##V3_BQLV12</stp>
        <stp>[MODL_CRM_US1.xlsx]Single Period!R185C16</stp>
        <stp>CRM US Equity</stp>
        <stp>CF_EFFECT_FOREIGN_EXCHANGES/1M</stp>
        <stp>FPR=2022Y</stp>
        <stp>FPT=A</stp>
        <stp>FA_ACT_EST_DATA=E, EST_SOURCE=DBG</stp>
        <stp>ACT_EST_MAPPING=PRECISE</stp>
        <stp>FS=MRC</stp>
        <stp>CURRENCY=USD</stp>
        <stp>XLFILL=b</stp>
        <tr r="P185" s="2"/>
      </tp>
      <tp>
        <v>20930.93168293799</v>
        <stp/>
        <stp>##V3_BQLV12</stp>
        <stp>[MODL_CRM_US1.xlsx]Single Period!R128C16</stp>
        <stp>CRM US Equity</stp>
        <stp>BS_CUR_LIAB/1M</stp>
        <stp>FPR=2022Y</stp>
        <stp>FPT=A</stp>
        <stp>FA_ACT_EST_DATA=E, EST_SOURCE=DBG</stp>
        <stp>ACT_EST_MAPPING=PRECISE</stp>
        <stp>FS=MRC</stp>
        <stp>CURRENCY=USD</stp>
        <stp>XLFILL=b</stp>
        <tr r="P128" s="2"/>
      </tp>
      <tp>
        <v>-14</v>
        <stp/>
        <stp>##V3_BQLV12</stp>
        <stp>[MODL_CRM_US1.xlsx]Single Period!R185C24</stp>
        <stp>CRM US Equity</stp>
        <stp>CF_EFFECT_FOREIGN_EXCHANGES/1M</stp>
        <stp>FPR=2022Y</stp>
        <stp>FPT=A</stp>
        <stp>FA_ACT_EST_DATA=E, EST_SOURCE=FBC</stp>
        <stp>ACT_EST_MAPPING=PRECISE</stp>
        <stp>FS=MRC</stp>
        <stp>CURRENCY=USD</stp>
        <stp>XLFILL=b</stp>
        <tr r="X185" s="2"/>
      </tp>
      <tp t="s">
        <v/>
        <stp/>
        <stp>##V3_BQLV12</stp>
        <stp>[MODL_CRM_US1.xlsx]Single Period!R98C50</stp>
        <stp>CRM US Equity</stp>
        <stp>IS_INC_TAX_EFFECT_NONGAAP_REC/1M</stp>
        <stp>FPR=2022Y</stp>
        <stp>FPT=A</stp>
        <stp>FA_ACT_EST_DATA=E, EST_SOURCE=MZS</stp>
        <stp>ACT_EST_MAPPING=PRECISE</stp>
        <stp>FS=MRC</stp>
        <stp>CURRENCY=USD</stp>
        <stp>XLFILL=b</stp>
        <tr r="AX98" s="2"/>
      </tp>
      <tp t="s">
        <v/>
        <stp/>
        <stp>##V3_BQLV12</stp>
        <stp>[MODL_CRM_US1.xlsx]Single Period!R185C31</stp>
        <stp>CRM US Equity</stp>
        <stp>CF_EFFECT_FOREIGN_EXCHANGES/1M</stp>
        <stp>FPR=2022Y</stp>
        <stp>FPT=A</stp>
        <stp>FA_ACT_EST_DATA=E, EST_SOURCE=RBC</stp>
        <stp>ACT_EST_MAPPING=PRECISE</stp>
        <stp>FS=MRC</stp>
        <stp>CURRENCY=USD</stp>
        <stp>XLFILL=b</stp>
        <tr r="AE185" s="2"/>
      </tp>
      <tp t="s">
        <v/>
        <stp/>
        <stp>##V3_BQLV12</stp>
        <stp>[MODL_CRM_US1.xlsx]Single Period!R12C12</stp>
        <stp>CRM US Equity</stp>
        <stp>TOT_FUTURE_REV_UNDER_CONTRACT/1M</stp>
        <stp>FPR=2022Y</stp>
        <stp>FPT=A</stp>
        <stp>FA_ACT_EST_DATA=E, EST_SOURCE=BMO</stp>
        <stp>ACT_EST_MAPPING=PRECISE</stp>
        <stp>FS=MRC</stp>
        <stp>CURRENCY=USD</stp>
        <stp>XLFILL=b</stp>
        <tr r="L12" s="2"/>
      </tp>
      <tp t="s">
        <v/>
        <stp/>
        <stp>##V3_BQLV12</stp>
        <stp>[MODL_CRM_US1.xlsx]Single Period!R94C38</stp>
        <stp>CRM US Equity</stp>
        <stp>IS_SH_FOR_DILUTED_EPS/1M</stp>
        <stp>FPR=2022Y</stp>
        <stp>FPT=A</stp>
        <stp>FA_ACT_EST_DATA=E, EST_SOURCE=MSR</stp>
        <stp>ACT_EST_MAPPING=PRECISE</stp>
        <stp>FS=MRC</stp>
        <stp>CURRENCY=USD</stp>
        <stp>XLFILL=b</stp>
        <tr r="AL94" s="2"/>
      </tp>
      <tp t="s">
        <v/>
        <stp/>
        <stp>##V3_BQLV12</stp>
        <stp>[MODL_CRM_US1.xlsx]Single Period!R14C23</stp>
        <stp>CRM US Equity</stp>
        <stp>NON_CURRENT_FUTURE_REV_UNDER_CONTRACT/1M</stp>
        <stp>FPR=2022Y</stp>
        <stp>FPT=A</stp>
        <stp>FA_ACT_EST_DATA=E, EST_SOURCE=JPM</stp>
        <stp>ACT_EST_MAPPING=PRECISE</stp>
        <stp>FS=MRC</stp>
        <stp>CURRENCY=USD</stp>
        <stp>XLFILL=b</stp>
        <tr r="W14" s="2"/>
      </tp>
      <tp t="s">
        <v/>
        <stp/>
        <stp>##V3_BQLV12</stp>
        <stp>[MODL_CRM_US1.xlsx]Single Period!R12C56</stp>
        <stp>CRM US Equity</stp>
        <stp>TOT_FUTURE_REV_UNDER_CONTRACT/1M</stp>
        <stp>FPR=2022Y</stp>
        <stp>FPT=A</stp>
        <stp>FA_ACT_EST_DATA=E, EST_SOURCE=DIR</stp>
        <stp>ACT_EST_MAPPING=PRECISE</stp>
        <stp>FS=MRC</stp>
        <stp>CURRENCY=USD</stp>
        <stp>XLFILL=b</stp>
        <tr r="BD12" s="2"/>
      </tp>
      <tp t="s">
        <v/>
        <stp/>
        <stp>##V3_BQLV12</stp>
        <stp>[MODL_CRM_US1.xlsx]Single Period!R122C44</stp>
        <stp>CRM US Equity</stp>
        <stp>BS_GOODWILL/1M</stp>
        <stp>FPR=2022Y</stp>
        <stp>FPT=A</stp>
        <stp>FA_ACT_EST_DATA=E, EST_SOURCE=RWB</stp>
        <stp>ACT_EST_MAPPING=PRECISE</stp>
        <stp>FS=MRC</stp>
        <stp>CURRENCY=USD</stp>
        <stp>XLFILL=b</stp>
        <tr r="AR122" s="2"/>
      </tp>
      <tp t="s">
        <v/>
        <stp/>
        <stp>##V3_BQLV12</stp>
        <stp>[MODL_CRM_US1.xlsx]Single Period!R132C29</stp>
        <stp>CRM US Equity</stp>
        <stp>BS_ADJ_TOTAL_LT_LIABILITIES/1M</stp>
        <stp>FPR=2022Y</stp>
        <stp>FPT=A</stp>
        <stp>FA_ACT_EST_DATA=E, EST_SOURCE=BNS</stp>
        <stp>ACT_EST_MAPPING=PRECISE</stp>
        <stp>FS=MRC</stp>
        <stp>CURRENCY=USD</stp>
        <stp>XLFILL=b</stp>
        <tr r="AC132" s="2"/>
      </tp>
      <tp t="s">
        <v/>
        <stp/>
        <stp>##V3_BQLV12</stp>
        <stp>[MODL_CRM_US1.xlsx]Single Period!R110C35</stp>
        <stp>CRM US Equity</stp>
        <stp>BS_CUR_ASSET_REPORT/1M</stp>
        <stp>FPR=2022Y</stp>
        <stp>FPT=A</stp>
        <stp>FA_ACT_EST_DATA=E, EST_SOURCE=ATL</stp>
        <stp>ACT_EST_MAPPING=PRECISE</stp>
        <stp>FS=MRC</stp>
        <stp>CURRENCY=USD</stp>
        <stp>XLFILL=b</stp>
        <tr r="AI110" s="2"/>
      </tp>
      <tp t="s">
        <v/>
        <stp/>
        <stp>##V3_BQLV12</stp>
        <stp>[MODL_CRM_US1.xlsx]Single Period!R100C36</stp>
        <stp>CRM US Equity</stp>
        <stp>IS_SBC_ATTRIB_TO_COGS_PRETX/1M</stp>
        <stp>FPR=2022Y</stp>
        <stp>FPT=A</stp>
        <stp>FA_ACT_EST_DATA=E, EST_SOURCE=MAC</stp>
        <stp>ACT_EST_MAPPING=PRECISE</stp>
        <stp>FS=MRC</stp>
        <stp>CURRENCY=USD</stp>
        <stp>XLFILL=b</stp>
        <tr r="AJ100" s="2"/>
      </tp>
      <tp t="s">
        <v/>
        <stp/>
        <stp>##V3_BQLV12</stp>
        <stp>[MODL_CRM_US1.xlsx]Single Period!R63C56</stp>
        <stp>CRM US Equity</stp>
        <stp>CF_DEPR_AMORT/1M</stp>
        <stp>FPR=2022Y</stp>
        <stp>FPT=A</stp>
        <stp>FA_ACT_EST_DATA=E, EST_SOURCE=DIR</stp>
        <stp>ACT_EST_MAPPING=PRECISE</stp>
        <stp>FS=MRC</stp>
        <stp>CURRENCY=USD</stp>
        <stp>XLFILL=b</stp>
        <tr r="BD63" s="2"/>
      </tp>
      <tp t="s">
        <v/>
        <stp/>
        <stp>##V3_BQLV12</stp>
        <stp>[MODL_CRM_US1.xlsx]Single Period!R117C21</stp>
        <stp>CRM US Equity</stp>
        <stp>BS_TOTAL_NON_CURRENT_ASSETS/1M</stp>
        <stp>FPR=2022Y</stp>
        <stp>FPT=A</stp>
        <stp>FA_ACT_EST_DATA=E, EST_SOURCE=RJA</stp>
        <stp>ACT_EST_MAPPING=PRECISE</stp>
        <stp>FS=MRC</stp>
        <stp>CURRENCY=USD</stp>
        <stp>XLFILL=b</stp>
        <tr r="U117" s="2"/>
      </tp>
      <tp t="s">
        <v/>
        <stp/>
        <stp>##V3_BQLV12</stp>
        <stp>[MODL_CRM_US1.xlsx]Single Period!R110C46</stp>
        <stp>CRM US Equity</stp>
        <stp>BS_CUR_ASSET_REPORT/1M</stp>
        <stp>FPR=2022Y</stp>
        <stp>FPT=A</stp>
        <stp>FA_ACT_EST_DATA=E, EST_SOURCE=CTI</stp>
        <stp>ACT_EST_MAPPING=PRECISE</stp>
        <stp>FS=MRC</stp>
        <stp>CURRENCY=USD</stp>
        <stp>XLFILL=b</stp>
        <tr r="AT110" s="2"/>
      </tp>
      <tp t="s">
        <v/>
        <stp/>
        <stp>##V3_BQLV12</stp>
        <stp>[MODL_CRM_US1.xlsx]Single Period!R130C33</stp>
        <stp>CRM US Equity</stp>
        <stp>BS_ST_OPERATING_LEASE_LIABS/1M</stp>
        <stp>FPR=2022Y</stp>
        <stp>FPT=A</stp>
        <stp>FA_ACT_EST_DATA=E, EST_SOURCE=RHR</stp>
        <stp>ACT_EST_MAPPING=PRECISE</stp>
        <stp>FS=MRC</stp>
        <stp>CURRENCY=USD</stp>
        <stp>XLFILL=b</stp>
        <tr r="AG130" s="2"/>
      </tp>
      <tp t="s">
        <v/>
        <stp/>
        <stp>##V3_BQLV12</stp>
        <stp>[MODL_CRM_US1.xlsx]Single Period!R132C14</stp>
        <stp>CRM US Equity</stp>
        <stp>BS_ADJ_TOTAL_LT_LIABILITIES/1M</stp>
        <stp>FPR=2022Y</stp>
        <stp>FPT=A</stp>
        <stp>FA_ACT_EST_DATA=E, EST_SOURCE=SNR</stp>
        <stp>ACT_EST_MAPPING=PRECISE</stp>
        <stp>FS=MRC</stp>
        <stp>CURRENCY=USD</stp>
        <stp>XLFILL=b</stp>
        <tr r="N132" s="2"/>
      </tp>
      <tp t="s">
        <v/>
        <stp/>
        <stp>##V3_BQLV12</stp>
        <stp>[MODL_CRM_US1.xlsx]Single Period!R117C48</stp>
        <stp>CRM US Equity</stp>
        <stp>BS_TOTAL_NON_CURRENT_ASSETS/1M</stp>
        <stp>FPR=2022Y</stp>
        <stp>FPT=A</stp>
        <stp>FA_ACT_EST_DATA=E, EST_SOURCE=PJE</stp>
        <stp>ACT_EST_MAPPING=PRECISE</stp>
        <stp>FS=MRC</stp>
        <stp>CURRENCY=USD</stp>
        <stp>XLFILL=b</stp>
        <tr r="AV117" s="2"/>
      </tp>
      <tp t="s">
        <v/>
        <stp/>
        <stp>##V3_BQLV12</stp>
        <stp>[MODL_CRM_US1.xlsx]Single Period!R122C43</stp>
        <stp>CRM US Equity</stp>
        <stp>BS_GOODWILL/1M</stp>
        <stp>FPR=2022Y</stp>
        <stp>FPT=A</stp>
        <stp>FA_ACT_EST_DATA=E, EST_SOURCE=DWI</stp>
        <stp>ACT_EST_MAPPING=PRECISE</stp>
        <stp>FS=MRC</stp>
        <stp>CURRENCY=USD</stp>
        <stp>XLFILL=b</stp>
        <tr r="AQ122" s="2"/>
      </tp>
      <tp t="s">
        <v/>
        <stp/>
        <stp>##V3_BQLV12</stp>
        <stp>[MODL_CRM_US1.xlsx]Single Period!R122C28</stp>
        <stp>CRM US Equity</stp>
        <stp>BS_GOODWILL/1M</stp>
        <stp>FPR=2022Y</stp>
        <stp>FPT=A</stp>
        <stp>FA_ACT_EST_DATA=E, EST_SOURCE=CWN</stp>
        <stp>ACT_EST_MAPPING=PRECISE</stp>
        <stp>FS=MRC</stp>
        <stp>CURRENCY=USD</stp>
        <stp>XLFILL=b</stp>
        <tr r="AB122" s="2"/>
      </tp>
      <tp t="s">
        <v/>
        <stp/>
        <stp>##V3_BQLV12</stp>
        <stp>[MODL_CRM_US1.xlsx]Single Period!R100C30</stp>
        <stp>CRM US Equity</stp>
        <stp>IS_SBC_ATTRIB_TO_COGS_PRETX/1M</stp>
        <stp>FPR=2022Y</stp>
        <stp>FPT=A</stp>
        <stp>FA_ACT_EST_DATA=E, EST_SOURCE=BAM</stp>
        <stp>ACT_EST_MAPPING=PRECISE</stp>
        <stp>FS=MRC</stp>
        <stp>CURRENCY=USD</stp>
        <stp>XLFILL=b</stp>
        <tr r="AD100" s="2"/>
      </tp>
      <tp t="s">
        <v/>
        <stp/>
        <stp>##V3_BQLV12</stp>
        <stp>[MODL_CRM_US1.xlsx]Single Period!R128C32</stp>
        <stp>CRM US Equity</stp>
        <stp>BS_CUR_LIAB/1M</stp>
        <stp>FPR=2022Y</stp>
        <stp>FPT=A</stp>
        <stp>FA_ACT_EST_DATA=E, EST_SOURCE=UBS</stp>
        <stp>ACT_EST_MAPPING=PRECISE</stp>
        <stp>FS=MRC</stp>
        <stp>CURRENCY=USD</stp>
        <stp>XLFILL=b</stp>
        <tr r="AF128" s="2"/>
      </tp>
      <tp t="s">
        <v/>
        <stp/>
        <stp>##V3_BQLV12</stp>
        <stp>[MODL_CRM_US1.xlsx]Single Period!R100C18</stp>
        <stp>CRM US Equity</stp>
        <stp>IS_SBC_ATTRIB_TO_COGS_PRETX/1M</stp>
        <stp>FPR=2022Y</stp>
        <stp>FPT=A</stp>
        <stp>FA_ACT_EST_DATA=E, EST_SOURCE=CAN</stp>
        <stp>ACT_EST_MAPPING=PRECISE</stp>
        <stp>FS=MRC</stp>
        <stp>CURRENCY=USD</stp>
        <stp>XLFILL=b</stp>
        <tr r="R100" s="2"/>
      </tp>
      <tp t="s">
        <v/>
        <stp/>
        <stp>##V3_BQLV12</stp>
        <stp>[MODL_CRM_US1.xlsx]Single Period!R185C32</stp>
        <stp>CRM US Equity</stp>
        <stp>CF_EFFECT_FOREIGN_EXCHANGES/1M</stp>
        <stp>FPR=2022Y</stp>
        <stp>FPT=A</stp>
        <stp>FA_ACT_EST_DATA=E, EST_SOURCE=UBS</stp>
        <stp>ACT_EST_MAPPING=PRECISE</stp>
        <stp>FS=MRC</stp>
        <stp>CURRENCY=USD</stp>
        <stp>XLFILL=b</stp>
        <tr r="AF185" s="2"/>
      </tp>
      <tp t="s">
        <v/>
        <stp/>
        <stp>##V3_BQLV12</stp>
        <stp>[MODL_CRM_US1.xlsx]Single Period!R14C44</stp>
        <stp>CRM US Equity</stp>
        <stp>NON_CURRENT_FUTURE_REV_UNDER_CONTRACT/1M</stp>
        <stp>FPR=2022Y</stp>
        <stp>FPT=A</stp>
        <stp>FA_ACT_EST_DATA=E, EST_SOURCE=RWB</stp>
        <stp>ACT_EST_MAPPING=PRECISE</stp>
        <stp>FS=MRC</stp>
        <stp>CURRENCY=USD</stp>
        <stp>XLFILL=b</stp>
        <tr r="AR14" s="2"/>
      </tp>
      <tp t="s">
        <v/>
        <stp/>
        <stp>##V3_BQLV12</stp>
        <stp>[MODL_CRM_US1.xlsx]Single Period!R162C33</stp>
        <stp>CRM US Equity</stp>
        <stp>CF_CHANGE_IN_PREPAID_EXPNSS/1M</stp>
        <stp>FPR=2022Y</stp>
        <stp>FPT=A</stp>
        <stp>FA_ACT_EST_DATA=E, EST_SOURCE=RHR</stp>
        <stp>ACT_EST_MAPPING=PRECISE</stp>
        <stp>FS=MRC</stp>
        <stp>CURRENCY=USD</stp>
        <stp>XLFILL=b</stp>
        <tr r="AG162" s="2"/>
      </tp>
      <tp t="s">
        <v/>
        <stp/>
        <stp>##V3_BQLV12</stp>
        <stp>[MODL_CRM_US1.xlsx]Single Period!R131C12</stp>
        <stp>CRM US Equity</stp>
        <stp>ST_DEFERRED_REVENUE/1M</stp>
        <stp>FPR=2022Y</stp>
        <stp>FPT=A</stp>
        <stp>FA_ACT_EST_DATA=E, EST_SOURCE=BMO</stp>
        <stp>ACT_EST_MAPPING=PRECISE</stp>
        <stp>FS=MRC</stp>
        <stp>CURRENCY=USD</stp>
        <stp>XLFILL=b</stp>
        <tr r="L131" s="2"/>
      </tp>
      <tp t="s">
        <v/>
        <stp/>
        <stp>##V3_BQLV12</stp>
        <stp>[MODL_CRM_US1.xlsx]Single Period!R101C54</stp>
        <stp>CRM US Equity</stp>
        <stp>IS_SBC_ATTRIBUTABLE_TO_R_AND_D_PRETX/1M</stp>
        <stp>FPR=2022Y</stp>
        <stp>FPT=A</stp>
        <stp>FA_ACT_EST_DATA=E, EST_SOURCE=ARE</stp>
        <stp>ACT_EST_MAPPING=PRECISE</stp>
        <stp>FS=MRC</stp>
        <stp>CURRENCY=USD</stp>
        <stp>XLFILL=b</stp>
        <tr r="BB101" s="2"/>
      </tp>
      <tp t="s">
        <v/>
        <stp/>
        <stp>##V3_BQLV12</stp>
        <stp>[MODL_CRM_US1.xlsx]Single Period!R10C51</stp>
        <stp>SEG0000269238 Segment</stp>
        <stp>SALES_REV_TURN/1M</stp>
        <stp>FPR=2022Y</stp>
        <stp>FPT=A</stp>
        <stp>FA_ACT_EST_DATA=E, EST_SOURCE=RCP</stp>
        <stp>ACT_EST_MAPPING=PRECISE</stp>
        <stp>FS=MRC</stp>
        <stp>CURRENCY=USD</stp>
        <stp>XLFILL=b</stp>
        <tr r="AY10" s="2"/>
      </tp>
      <tp t="s">
        <v/>
        <stp/>
        <stp>##V3_BQLV12</stp>
        <stp>[MODL_CRM_US1.xlsx]Single Period!R101C42</stp>
        <stp>CRM US Equity</stp>
        <stp>IS_SBC_ATTRIBUTABLE_TO_R_AND_D_PRETX/1M</stp>
        <stp>FPR=2022Y</stp>
        <stp>FPT=A</stp>
        <stp>FA_ACT_EST_DATA=E, EST_SOURCE=PSG</stp>
        <stp>ACT_EST_MAPPING=PRECISE</stp>
        <stp>FS=MRC</stp>
        <stp>CURRENCY=USD</stp>
        <stp>XLFILL=b</stp>
        <tr r="AP101" s="2"/>
      </tp>
      <tp>
        <v>8066</v>
        <stp/>
        <stp>##V3_BQLV12</stp>
        <stp>[MODL_CRM_US1.xlsx]Single Period!R64C16</stp>
        <stp>CRM US Equity</stp>
        <stp>IS_COMPARABLE_EBITDA/1M</stp>
        <stp>FPR=2022Y</stp>
        <stp>FPT=A</stp>
        <stp>FA_ACT_EST_DATA=E, EST_SOURCE=DBG</stp>
        <stp>ACT_EST_MAPPING=PRECISE</stp>
        <stp>FS=MRC</stp>
        <stp>CURRENCY=USD</stp>
        <stp>XLFILL=b</stp>
        <tr r="P64" s="2"/>
      </tp>
      <tp t="s">
        <v/>
        <stp/>
        <stp>##V3_BQLV12</stp>
        <stp>[MODL_CRM_US1.xlsx]Single Period!R119C43</stp>
        <stp>CRM US Equity</stp>
        <stp>CB_BS_OTHER_NONCURRENT_ASSETS/1M</stp>
        <stp>FPR=2022Y</stp>
        <stp>FPT=A</stp>
        <stp>FA_ACT_EST_DATA=E, EST_SOURCE=DWI</stp>
        <stp>ACT_EST_MAPPING=PRECISE</stp>
        <stp>FS=MRC</stp>
        <stp>CURRENCY=USD</stp>
        <stp>XLFILL=b</stp>
        <tr r="AQ119" s="2"/>
      </tp>
      <tp t="s">
        <v/>
        <stp/>
        <stp>##V3_BQLV12</stp>
        <stp>[MODL_CRM_US1.xlsx]Single Period!R27C51</stp>
        <stp>SEG0000269241 Segment</stp>
        <stp>SALES_REV_TURN/1M</stp>
        <stp>FPR=2022Y</stp>
        <stp>FPT=A</stp>
        <stp>FA_ACT_EST_DATA=E, EST_SOURCE=RCP</stp>
        <stp>ACT_EST_MAPPING=PRECISE</stp>
        <stp>FS=MRC</stp>
        <stp>CURRENCY=USD</stp>
        <stp>XLFILL=b</stp>
        <tr r="AY27" s="2"/>
      </tp>
      <tp t="s">
        <v/>
        <stp/>
        <stp>##V3_BQLV12</stp>
        <stp>[MODL_CRM_US1.xlsx]Single Period!R64C49</stp>
        <stp>CRM US Equity</stp>
        <stp>IS_COMPARABLE_EBITDA/1M</stp>
        <stp>FPR=2022Y</stp>
        <stp>FPT=A</stp>
        <stp>FA_ACT_EST_DATA=E, EST_SOURCE=SGE</stp>
        <stp>ACT_EST_MAPPING=PRECISE</stp>
        <stp>FS=MRC</stp>
        <stp>CURRENCY=USD</stp>
        <stp>XLFILL=b</stp>
        <tr r="AW64" s="2"/>
      </tp>
      <tp t="s">
        <v/>
        <stp/>
        <stp>##V3_BQLV12</stp>
        <stp>[MODL_CRM_US1.xlsx]Single Period!R101C35</stp>
        <stp>CRM US Equity</stp>
        <stp>IS_SBC_ATTRIBUTABLE_TO_R_AND_D_PRETX/1M</stp>
        <stp>FPR=2022Y</stp>
        <stp>FPT=A</stp>
        <stp>FA_ACT_EST_DATA=E, EST_SOURCE=ATL</stp>
        <stp>ACT_EST_MAPPING=PRECISE</stp>
        <stp>FS=MRC</stp>
        <stp>CURRENCY=USD</stp>
        <stp>XLFILL=b</stp>
        <tr r="AI101" s="2"/>
      </tp>
      <tp t="s">
        <v/>
        <stp/>
        <stp>##V3_BQLV12</stp>
        <stp>[MODL_CRM_US1.xlsx]Single Period!R83C50</stp>
        <stp>CRM US Equity</stp>
        <stp>IS_OPEX_R_AND_D_GAAP/1M</stp>
        <stp>FPR=2022Y</stp>
        <stp>FPT=A</stp>
        <stp>FA_ACT_EST_DATA=E, EST_SOURCE=MZS</stp>
        <stp>ACT_EST_MAPPING=PRECISE</stp>
        <stp>FS=MRC</stp>
        <stp>CURRENCY=USD</stp>
        <stp>XLFILL=b</stp>
        <tr r="AX83" s="2"/>
      </tp>
      <tp>
        <v>6470</v>
        <stp/>
        <stp>##V3_BQLV12</stp>
        <stp>[MODL_CRM_US1.xlsx]Single Period!R64C11</stp>
        <stp>CRM US Equity</stp>
        <stp>IS_COMPARABLE_EBITDA/1M</stp>
        <stp>FPR=2022Y</stp>
        <stp>FPT=A</stp>
        <stp>FA_ACT_EST_DATA=E, EST_SOURCE=WBL</stp>
        <stp>ACT_EST_MAPPING=PRECISE</stp>
        <stp>FS=MRC</stp>
        <stp>CURRENCY=USD</stp>
        <stp>XLFILL=b</stp>
        <tr r="K64" s="2"/>
      </tp>
      <tp t="s">
        <v/>
        <stp/>
        <stp>##V3_BQLV12</stp>
        <stp>[MODL_CRM_US1.xlsx]Single Period!R149C25</stp>
        <stp>CRM US Equity</stp>
        <stp>TOT_FUTURE_REV_UNDER_CONTRACT/1M</stp>
        <stp>FPR=2022Y</stp>
        <stp>FPT=A</stp>
        <stp>FA_ACT_EST_DATA=E, EST_SOURCE=WMS</stp>
        <stp>ACT_EST_MAPPING=PRECISE</stp>
        <stp>FS=MRC</stp>
        <stp>CURRENCY=USD</stp>
        <stp>XLFILL=b</stp>
        <tr r="Y149" s="2"/>
      </tp>
      <tp t="s">
        <v/>
        <stp/>
        <stp>##V3_BQLV12</stp>
        <stp>[MODL_CRM_US1.xlsx]Single Period!R26C32</stp>
        <stp>SEG0000269247 Segment</stp>
        <stp>SALES_REV_TURN/1M</stp>
        <stp>FPR=2022Y</stp>
        <stp>FPT=A</stp>
        <stp>FA_ACT_EST_DATA=E, EST_SOURCE=UBS</stp>
        <stp>ACT_EST_MAPPING=PRECISE</stp>
        <stp>FS=MRC</stp>
        <stp>CURRENCY=USD</stp>
        <stp>XLFILL=b</stp>
        <tr r="AF26" s="2"/>
      </tp>
      <tp>
        <v>24633.092672713679</v>
        <stp/>
        <stp>##V3_BQLV12</stp>
        <stp>[MODL_CRM_US1.xlsx]Single Period!R10C13</stp>
        <stp>SEG0000269238 Segment</stp>
        <stp>SALES_REV_TURN/1M</stp>
        <stp>FPR=2022Y</stp>
        <stp>FPT=A</stp>
        <stp>FA_ACT_EST_DATA=E, EST_SOURCE=BCA</stp>
        <stp>ACT_EST_MAPPING=PRECISE</stp>
        <stp>FS=MRC</stp>
        <stp>CURRENCY=USD</stp>
        <stp>XLFILL=b</stp>
        <tr r="M10" s="2"/>
      </tp>
      <tp t="s">
        <v/>
        <stp/>
        <stp>##V3_BQLV12</stp>
        <stp>[MODL_CRM_US1.xlsx]Single Period!R43C39</stp>
        <stp>SEG0000269240 Segment</stp>
        <stp>SALES_REV_TURN/1M</stp>
        <stp>FPR=2022Y</stp>
        <stp>FPT=A</stp>
        <stp>FA_ACT_EST_DATA=E, EST_SOURCE=KGI</stp>
        <stp>ACT_EST_MAPPING=PRECISE</stp>
        <stp>FS=MRC</stp>
        <stp>CURRENCY=USD</stp>
        <stp>XLFILL=b</stp>
        <tr r="AM43" s="2"/>
      </tp>
      <tp t="s">
        <v/>
        <stp/>
        <stp>##V3_BQLV12</stp>
        <stp>[MODL_CRM_US1.xlsx]Single Period!R38C21</stp>
        <stp>SEG0000269228 Segment</stp>
        <stp>SALES_REV_TURN/1M</stp>
        <stp>FPR=2022Y</stp>
        <stp>FPT=A</stp>
        <stp>FA_ACT_EST_DATA=E, EST_SOURCE=RJA</stp>
        <stp>ACT_EST_MAPPING=PRECISE</stp>
        <stp>FS=MRC</stp>
        <stp>CURRENCY=USD</stp>
        <stp>XLFILL=b</stp>
        <tr r="U38" s="2"/>
      </tp>
      <tp t="s">
        <v/>
        <stp/>
        <stp>##V3_BQLV12</stp>
        <stp>[MODL_CRM_US1.xlsx]Single Period!R48C21</stp>
        <stp>SEG0000269229 Segment</stp>
        <stp>SALES_REV_TURN/1M</stp>
        <stp>FPR=2022Y</stp>
        <stp>FPT=A</stp>
        <stp>FA_ACT_EST_DATA=E, EST_SOURCE=RJA</stp>
        <stp>ACT_EST_MAPPING=PRECISE</stp>
        <stp>FS=MRC</stp>
        <stp>CURRENCY=USD</stp>
        <stp>XLFILL=b</stp>
        <tr r="U48" s="2"/>
      </tp>
      <tp t="s">
        <v/>
        <stp/>
        <stp>##V3_BQLV12</stp>
        <stp>[MODL_CRM_US1.xlsx]Single Period!R156C49</stp>
        <stp>CRM US Equity</stp>
        <stp>CF_DEPR_AMORT/1M</stp>
        <stp>FPR=2022Y</stp>
        <stp>FPT=A</stp>
        <stp>FA_ACT_EST_DATA=E, EST_SOURCE=SGE</stp>
        <stp>ACT_EST_MAPPING=PRECISE</stp>
        <stp>FS=MRC</stp>
        <stp>CURRENCY=USD</stp>
        <stp>XLFILL=b</stp>
        <tr r="AW156" s="2"/>
      </tp>
      <tp t="s">
        <v/>
        <stp/>
        <stp>##V3_BQLV12</stp>
        <stp>[MODL_CRM_US1.xlsx]Single Period!R26C11</stp>
        <stp>SEG0000269247 Segment</stp>
        <stp>SALES_REV_TURN/1M</stp>
        <stp>FPR=2022Y</stp>
        <stp>FPT=A</stp>
        <stp>FA_ACT_EST_DATA=E, EST_SOURCE=WBL</stp>
        <stp>ACT_EST_MAPPING=PRECISE</stp>
        <stp>FS=MRC</stp>
        <stp>CURRENCY=USD</stp>
        <stp>XLFILL=b</stp>
        <tr r="K26" s="2"/>
      </tp>
      <tp t="s">
        <v/>
        <stp/>
        <stp>##V3_BQLV12</stp>
        <stp>[MODL_CRM_US1.xlsx]Single Period!R10C40</stp>
        <stp>SEG0000269238 Segment</stp>
        <stp>SALES_REV_TURN/1M</stp>
        <stp>FPR=2022Y</stp>
        <stp>FPT=A</stp>
        <stp>FA_ACT_EST_DATA=E, EST_SOURCE=ACC</stp>
        <stp>ACT_EST_MAPPING=PRECISE</stp>
        <stp>FS=MRC</stp>
        <stp>CURRENCY=USD</stp>
        <stp>XLFILL=b</stp>
        <tr r="AN10" s="2"/>
      </tp>
      <tp t="s">
        <v/>
        <stp/>
        <stp>##V3_BQLV12</stp>
        <stp>[MODL_CRM_US1.xlsx]Single Period!R101C41</stp>
        <stp>CRM US Equity</stp>
        <stp>IS_SBC_ATTRIBUTABLE_TO_R_AND_D_PRETX/1M</stp>
        <stp>FPR=2022Y</stp>
        <stp>FPT=A</stp>
        <stp>FA_ACT_EST_DATA=E, EST_SOURCE=GSR</stp>
        <stp>ACT_EST_MAPPING=PRECISE</stp>
        <stp>FS=MRC</stp>
        <stp>CURRENCY=USD</stp>
        <stp>XLFILL=b</stp>
        <tr r="AO101" s="2"/>
      </tp>
      <tp t="s">
        <v/>
        <stp/>
        <stp>##V3_BQLV12</stp>
        <stp>[MODL_CRM_US1.xlsx]Single Period!R10C19</stp>
        <stp>SEG0000269238 Segment</stp>
        <stp>SALES_REV_TURN/1M</stp>
        <stp>FPR=2022Y</stp>
        <stp>FPT=A</stp>
        <stp>FA_ACT_EST_DATA=E, EST_SOURCE=SCB</stp>
        <stp>ACT_EST_MAPPING=PRECISE</stp>
        <stp>FS=MRC</stp>
        <stp>CURRENCY=USD</stp>
        <stp>XLFILL=b</stp>
        <tr r="S10" s="2"/>
      </tp>
      <tp t="s">
        <v/>
        <stp/>
        <stp>##V3_BQLV12</stp>
        <stp>[MODL_CRM_US1.xlsx]Single Period!R24C49</stp>
        <stp>SEG0000269238 Segment</stp>
        <stp>SALES_REV_TURN/1M</stp>
        <stp>FPR=2022Y</stp>
        <stp>FPT=A</stp>
        <stp>FA_ACT_EST_DATA=E, EST_SOURCE=SGE</stp>
        <stp>ACT_EST_MAPPING=PRECISE</stp>
        <stp>FS=MRC</stp>
        <stp>CURRENCY=USD</stp>
        <stp>XLFILL=b</stp>
        <tr r="AW24" s="2"/>
      </tp>
      <tp t="s">
        <v/>
        <stp/>
        <stp>##V3_BQLV12</stp>
        <stp>[MODL_CRM_US1.xlsx]Single Period!R38C48</stp>
        <stp>SEG0000269228 Segment</stp>
        <stp>SALES_REV_TURN/1M</stp>
        <stp>FPR=2022Y</stp>
        <stp>FPT=A</stp>
        <stp>FA_ACT_EST_DATA=E, EST_SOURCE=PJE</stp>
        <stp>ACT_EST_MAPPING=PRECISE</stp>
        <stp>FS=MRC</stp>
        <stp>CURRENCY=USD</stp>
        <stp>XLFILL=b</stp>
        <tr r="AV38" s="2"/>
      </tp>
      <tp t="s">
        <v/>
        <stp/>
        <stp>##V3_BQLV12</stp>
        <stp>[MODL_CRM_US1.xlsx]Single Period!R64C52</stp>
        <stp>CRM US Equity</stp>
        <stp>IS_COMPARABLE_EBITDA/1M</stp>
        <stp>FPR=2022Y</stp>
        <stp>FPT=A</stp>
        <stp>FA_ACT_EST_DATA=E, EST_SOURCE=WFR</stp>
        <stp>ACT_EST_MAPPING=PRECISE</stp>
        <stp>FS=MRC</stp>
        <stp>CURRENCY=USD</stp>
        <stp>XLFILL=b</stp>
        <tr r="AZ64" s="2"/>
      </tp>
      <tp t="s">
        <v/>
        <stp/>
        <stp>##V3_BQLV12</stp>
        <stp>[MODL_CRM_US1.xlsx]Single Period!R27C27</stp>
        <stp>SEG0000269241 Segment</stp>
        <stp>SALES_REV_TURN/1M</stp>
        <stp>FPR=2022Y</stp>
        <stp>FPT=A</stp>
        <stp>FA_ACT_EST_DATA=E, EST_SOURCE=LCM</stp>
        <stp>ACT_EST_MAPPING=PRECISE</stp>
        <stp>FS=MRC</stp>
        <stp>CURRENCY=USD</stp>
        <stp>XLFILL=b</stp>
        <tr r="AA27" s="2"/>
      </tp>
      <tp t="s">
        <v/>
        <stp/>
        <stp>##V3_BQLV12</stp>
        <stp>[MODL_CRM_US1.xlsx]Single Period!R48C48</stp>
        <stp>SEG0000269229 Segment</stp>
        <stp>SALES_REV_TURN/1M</stp>
        <stp>FPR=2022Y</stp>
        <stp>FPT=A</stp>
        <stp>FA_ACT_EST_DATA=E, EST_SOURCE=PJE</stp>
        <stp>ACT_EST_MAPPING=PRECISE</stp>
        <stp>FS=MRC</stp>
        <stp>CURRENCY=USD</stp>
        <stp>XLFILL=b</stp>
        <tr r="AV48" s="2"/>
      </tp>
      <tp t="s">
        <v/>
        <stp/>
        <stp>##V3_BQLV12</stp>
        <stp>[MODL_CRM_US1.xlsx]Single Period!R24C39</stp>
        <stp>SEG0000269238 Segment</stp>
        <stp>SALES_REV_TURN/1M</stp>
        <stp>FPR=2022Y</stp>
        <stp>FPT=A</stp>
        <stp>FA_ACT_EST_DATA=E, EST_SOURCE=KGI</stp>
        <stp>ACT_EST_MAPPING=PRECISE</stp>
        <stp>FS=MRC</stp>
        <stp>CURRENCY=USD</stp>
        <stp>XLFILL=b</stp>
        <tr r="AM24" s="2"/>
      </tp>
      <tp t="s">
        <v/>
        <stp/>
        <stp>##V3_BQLV12</stp>
        <stp>[MODL_CRM_US1.xlsx]Single Period!R26C16</stp>
        <stp>SEG0000269247 Segment</stp>
        <stp>SALES_REV_TURN/1M</stp>
        <stp>FPR=2022Y</stp>
        <stp>FPT=A</stp>
        <stp>FA_ACT_EST_DATA=E, EST_SOURCE=DBG</stp>
        <stp>ACT_EST_MAPPING=PRECISE</stp>
        <stp>FS=MRC</stp>
        <stp>CURRENCY=USD</stp>
        <stp>XLFILL=b</stp>
        <tr r="P26" s="2"/>
      </tp>
      <tp t="s">
        <v/>
        <stp/>
        <stp>##V3_BQLV12</stp>
        <stp>[MODL_CRM_US1.xlsx]Single Period!R27C13</stp>
        <stp>SEG0000269241 Segment</stp>
        <stp>SALES_REV_TURN/1M</stp>
        <stp>FPR=2022Y</stp>
        <stp>FPT=A</stp>
        <stp>FA_ACT_EST_DATA=E, EST_SOURCE=BCA</stp>
        <stp>ACT_EST_MAPPING=PRECISE</stp>
        <stp>FS=MRC</stp>
        <stp>CURRENCY=USD</stp>
        <stp>XLFILL=b</stp>
        <tr r="M27" s="2"/>
      </tp>
      <tp t="s">
        <v/>
        <stp/>
        <stp>##V3_BQLV12</stp>
        <stp>[MODL_CRM_US1.xlsx]Single Period!R27C19</stp>
        <stp>SEG0000269241 Segment</stp>
        <stp>SALES_REV_TURN/1M</stp>
        <stp>FPR=2022Y</stp>
        <stp>FPT=A</stp>
        <stp>FA_ACT_EST_DATA=E, EST_SOURCE=SCB</stp>
        <stp>ACT_EST_MAPPING=PRECISE</stp>
        <stp>FS=MRC</stp>
        <stp>CURRENCY=USD</stp>
        <stp>XLFILL=b</stp>
        <tr r="S27" s="2"/>
      </tp>
      <tp t="s">
        <v/>
        <stp/>
        <stp>##V3_BQLV12</stp>
        <stp>[MODL_CRM_US1.xlsx]Single Period!R29C21</stp>
        <stp>SEG0000269233 Segment</stp>
        <stp>SALES_REV_TURN/1M</stp>
        <stp>FPR=2022Y</stp>
        <stp>FPT=A</stp>
        <stp>FA_ACT_EST_DATA=E, EST_SOURCE=RJA</stp>
        <stp>ACT_EST_MAPPING=PRECISE</stp>
        <stp>FS=MRC</stp>
        <stp>CURRENCY=USD</stp>
        <stp>XLFILL=b</stp>
        <tr r="U29" s="2"/>
      </tp>
      <tp t="s">
        <v/>
        <stp/>
        <stp>##V3_BQLV12</stp>
        <stp>[MODL_CRM_US1.xlsx]Single Period!R27C40</stp>
        <stp>SEG0000269241 Segment</stp>
        <stp>SALES_REV_TURN/1M</stp>
        <stp>FPR=2022Y</stp>
        <stp>FPT=A</stp>
        <stp>FA_ACT_EST_DATA=E, EST_SOURCE=ACC</stp>
        <stp>ACT_EST_MAPPING=PRECISE</stp>
        <stp>FS=MRC</stp>
        <stp>CURRENCY=USD</stp>
        <stp>XLFILL=b</stp>
        <tr r="AN27" s="2"/>
      </tp>
      <tp t="s">
        <v/>
        <stp/>
        <stp>##V3_BQLV12</stp>
        <stp>[MODL_CRM_US1.xlsx]Single Period!R10C27</stp>
        <stp>SEG0000269238 Segment</stp>
        <stp>SALES_REV_TURN/1M</stp>
        <stp>FPR=2022Y</stp>
        <stp>FPT=A</stp>
        <stp>FA_ACT_EST_DATA=E, EST_SOURCE=LCM</stp>
        <stp>ACT_EST_MAPPING=PRECISE</stp>
        <stp>FS=MRC</stp>
        <stp>CURRENCY=USD</stp>
        <stp>XLFILL=b</stp>
        <tr r="AA10" s="2"/>
      </tp>
      <tp t="s">
        <v/>
        <stp/>
        <stp>##V3_BQLV12</stp>
        <stp>[MODL_CRM_US1.xlsx]Single Period!R43C49</stp>
        <stp>SEG0000269240 Segment</stp>
        <stp>SALES_REV_TURN/1M</stp>
        <stp>FPR=2022Y</stp>
        <stp>FPT=A</stp>
        <stp>FA_ACT_EST_DATA=E, EST_SOURCE=SGE</stp>
        <stp>ACT_EST_MAPPING=PRECISE</stp>
        <stp>FS=MRC</stp>
        <stp>CURRENCY=USD</stp>
        <stp>XLFILL=b</stp>
        <tr r="AW43" s="2"/>
      </tp>
      <tp t="s">
        <v/>
        <stp/>
        <stp>##V3_BQLV12</stp>
        <stp>[MODL_CRM_US1.xlsx]Single Period!R26C31</stp>
        <stp>SEG0000269247 Segment</stp>
        <stp>SALES_REV_TURN/1M</stp>
        <stp>FPR=2022Y</stp>
        <stp>FPT=A</stp>
        <stp>FA_ACT_EST_DATA=E, EST_SOURCE=RBC</stp>
        <stp>ACT_EST_MAPPING=PRECISE</stp>
        <stp>FS=MRC</stp>
        <stp>CURRENCY=USD</stp>
        <stp>XLFILL=b</stp>
        <tr r="AE26" s="2"/>
      </tp>
      <tp t="s">
        <v/>
        <stp/>
        <stp>##V3_BQLV12</stp>
        <stp>[MODL_CRM_US1.xlsx]Single Period!R26C24</stp>
        <stp>SEG0000269247 Segment</stp>
        <stp>SALES_REV_TURN/1M</stp>
        <stp>FPR=2022Y</stp>
        <stp>FPT=A</stp>
        <stp>FA_ACT_EST_DATA=E, EST_SOURCE=FBC</stp>
        <stp>ACT_EST_MAPPING=PRECISE</stp>
        <stp>FS=MRC</stp>
        <stp>CURRENCY=USD</stp>
        <stp>XLFILL=b</stp>
        <tr r="X26" s="2"/>
      </tp>
      <tp t="s">
        <v/>
        <stp/>
        <stp>##V3_BQLV12</stp>
        <stp>[MODL_CRM_US1.xlsx]Single Period!R156C39</stp>
        <stp>CRM US Equity</stp>
        <stp>CF_DEPR_AMORT/1M</stp>
        <stp>FPR=2022Y</stp>
        <stp>FPT=A</stp>
        <stp>FA_ACT_EST_DATA=E, EST_SOURCE=KGI</stp>
        <stp>ACT_EST_MAPPING=PRECISE</stp>
        <stp>FS=MRC</stp>
        <stp>CURRENCY=USD</stp>
        <stp>XLFILL=b</stp>
        <tr r="AM156" s="2"/>
      </tp>
      <tp t="s">
        <v/>
        <stp/>
        <stp>##V3_BQLV12</stp>
        <stp>[MODL_CRM_US1.xlsx]Single Period!R29C48</stp>
        <stp>SEG0000269233 Segment</stp>
        <stp>SALES_REV_TURN/1M</stp>
        <stp>FPR=2022Y</stp>
        <stp>FPT=A</stp>
        <stp>FA_ACT_EST_DATA=E, EST_SOURCE=PJE</stp>
        <stp>ACT_EST_MAPPING=PRECISE</stp>
        <stp>FS=MRC</stp>
        <stp>CURRENCY=USD</stp>
        <stp>XLFILL=b</stp>
        <tr r="AV29" s="2"/>
      </tp>
      <tp>
        <v>79</v>
        <stp/>
        <stp>##V3_BQLV12</stp>
        <stp>[MODL_CRM_US1.xlsx]Single Period!R17C27</stp>
        <stp>CRM US Equity</stp>
        <stp>IS_COMP_GROSS_MARGIN_PERCENTAGE</stp>
        <stp>FPR=2022Y</stp>
        <stp>FPT=A</stp>
        <stp>FA_ACT_EST_DATA=E, EST_SOURCE=LCM</stp>
        <stp>ACT_EST_MAPPING=PRECISE</stp>
        <stp>FS=MRC</stp>
        <stp>CURRENCY=USD</stp>
        <stp>XLFILL=b</stp>
        <tr r="AA17" s="2"/>
      </tp>
      <tp>
        <v>79</v>
        <stp/>
        <stp>##V3_BQLV12</stp>
        <stp>[MODL_CRM_US1.xlsx]Single Period!R56C27</stp>
        <stp>CRM US Equity</stp>
        <stp>IS_COMP_GROSS_MARGIN_PERCENTAGE</stp>
        <stp>FPR=2022Y</stp>
        <stp>FPT=A</stp>
        <stp>FA_ACT_EST_DATA=E, EST_SOURCE=LCM</stp>
        <stp>ACT_EST_MAPPING=PRECISE</stp>
        <stp>FS=MRC</stp>
        <stp>CURRENCY=USD</stp>
        <stp>XLFILL=b</stp>
        <tr r="AA56" s="2"/>
      </tp>
      <tp>
        <v>78</v>
        <stp/>
        <stp>##V3_BQLV12</stp>
        <stp>[MODL_CRM_US1.xlsx]Single Period!R17C31</stp>
        <stp>CRM US Equity</stp>
        <stp>IS_COMP_GROSS_MARGIN_PERCENTAGE</stp>
        <stp>FPR=2022Y</stp>
        <stp>FPT=A</stp>
        <stp>FA_ACT_EST_DATA=E, EST_SOURCE=RBC</stp>
        <stp>ACT_EST_MAPPING=PRECISE</stp>
        <stp>FS=MRC</stp>
        <stp>CURRENCY=USD</stp>
        <stp>XLFILL=b</stp>
        <tr r="AE17" s="2"/>
      </tp>
      <tp>
        <v>78</v>
        <stp/>
        <stp>##V3_BQLV12</stp>
        <stp>[MODL_CRM_US1.xlsx]Single Period!R56C31</stp>
        <stp>CRM US Equity</stp>
        <stp>IS_COMP_GROSS_MARGIN_PERCENTAGE</stp>
        <stp>FPR=2022Y</stp>
        <stp>FPT=A</stp>
        <stp>FA_ACT_EST_DATA=E, EST_SOURCE=RBC</stp>
        <stp>ACT_EST_MAPPING=PRECISE</stp>
        <stp>FS=MRC</stp>
        <stp>CURRENCY=USD</stp>
        <stp>XLFILL=b</stp>
        <tr r="AE56" s="2"/>
      </tp>
      <tp t="s">
        <v/>
        <stp/>
        <stp>##V3_BQLV12</stp>
        <stp>[MODL_CRM_US1.xlsx]Single Period!R82C18</stp>
        <stp>CRM US Equity</stp>
        <stp>OPERATING_EXPENSES_TO_NET_SALES</stp>
        <stp>FPR=2022Y</stp>
        <stp>FPT=A</stp>
        <stp>FA_ACT_EST_DATA=E, EST_SOURCE=CAN</stp>
        <stp>ACT_EST_MAPPING=PRECISE</stp>
        <stp>FS=MRC</stp>
        <stp>CURRENCY=USD</stp>
        <stp>XLFILL=b</stp>
        <tr r="R82" s="2"/>
      </tp>
      <tp t="s">
        <v/>
        <stp/>
        <stp>##V3_BQLV12</stp>
        <stp>[MODL_CRM_US1.xlsx]Single Period!R82C24</stp>
        <stp>CRM US Equity</stp>
        <stp>OPERATING_EXPENSES_TO_NET_SALES</stp>
        <stp>FPR=2022Y</stp>
        <stp>FPT=A</stp>
        <stp>FA_ACT_EST_DATA=E, EST_SOURCE=FBC</stp>
        <stp>ACT_EST_MAPPING=PRECISE</stp>
        <stp>FS=MRC</stp>
        <stp>CURRENCY=USD</stp>
        <stp>XLFILL=b</stp>
        <tr r="X82" s="2"/>
      </tp>
      <tp t="s">
        <v/>
        <stp/>
        <stp>##V3_BQLV12</stp>
        <stp>[MODL_CRM_US1.xlsx]Single Period!R183C25</stp>
        <stp>CRM US Equity</stp>
        <stp>CASH_FLOW_PER_SH</stp>
        <stp>FPR=2022Y</stp>
        <stp>FPT=A</stp>
        <stp>FA_ACT_EST_DATA=E, EST_SOURCE=WMS</stp>
        <stp>ACT_EST_MAPPING=PRECISE</stp>
        <stp>FS=MRC</stp>
        <stp>CURRENCY=USD</stp>
        <stp>XLFILL=b</stp>
        <tr r="Y183" s="2"/>
      </tp>
      <tp t="s">
        <v/>
        <stp/>
        <stp>##V3_BQLV12</stp>
        <stp>[MODL_CRM_US1.xlsx]Single Period!R82C55</stp>
        <stp>CRM US Equity</stp>
        <stp>OPERATING_EXPENSES_TO_NET_SALES</stp>
        <stp>FPR=2022Y</stp>
        <stp>FPT=A</stp>
        <stp>FA_ACT_EST_DATA=E, EST_SOURCE=RED</stp>
        <stp>ACT_EST_MAPPING=PRECISE</stp>
        <stp>FS=MRC</stp>
        <stp>CURRENCY=USD</stp>
        <stp>XLFILL=b</stp>
        <tr r="BC82" s="2"/>
      </tp>
      <tp>
        <v>78.573504999999997</v>
        <stp/>
        <stp>##V3_BQLV12</stp>
        <stp>[MODL_CRM_US1.xlsx]Single Period!R17C32</stp>
        <stp>CRM US Equity</stp>
        <stp>IS_COMP_GROSS_MARGIN_PERCENTAGE</stp>
        <stp>FPR=2022Y</stp>
        <stp>FPT=A</stp>
        <stp>FA_ACT_EST_DATA=E, EST_SOURCE=UBS</stp>
        <stp>ACT_EST_MAPPING=PRECISE</stp>
        <stp>FS=MRC</stp>
        <stp>CURRENCY=USD</stp>
        <stp>XLFILL=b</stp>
        <tr r="AF17" s="2"/>
      </tp>
      <tp>
        <v>78.573504999999997</v>
        <stp/>
        <stp>##V3_BQLV12</stp>
        <stp>[MODL_CRM_US1.xlsx]Single Period!R56C32</stp>
        <stp>CRM US Equity</stp>
        <stp>IS_COMP_GROSS_MARGIN_PERCENTAGE</stp>
        <stp>FPR=2022Y</stp>
        <stp>FPT=A</stp>
        <stp>FA_ACT_EST_DATA=E, EST_SOURCE=UBS</stp>
        <stp>ACT_EST_MAPPING=PRECISE</stp>
        <stp>FS=MRC</stp>
        <stp>CURRENCY=USD</stp>
        <stp>XLFILL=b</stp>
        <tr r="AF56" s="2"/>
      </tp>
      <tp t="s">
        <v/>
        <stp/>
        <stp>##V3_BQLV12</stp>
        <stp>[MODL_CRM_US1.xlsx]Single Period!R105C19</stp>
        <stp>CRM US Equity</stp>
        <stp>IS_AMORT_ACQD_INTANGIBLES_COGS/1M</stp>
        <stp>FPR=2022Y</stp>
        <stp>FPT=A</stp>
        <stp>FA_ACT_EST_DATA=E, EST_SOURCE=SCB</stp>
        <stp>ACT_EST_MAPPING=PRECISE</stp>
        <stp>FS=MRC</stp>
        <stp>CURRENCY=USD</stp>
        <stp>XLFILL=b</stp>
        <tr r="S105" s="2"/>
      </tp>
      <tp t="s">
        <v/>
        <stp/>
        <stp>##V3_BQLV12</stp>
        <stp>[MODL_CRM_US1.xlsx]Single Period!R105C40</stp>
        <stp>CRM US Equity</stp>
        <stp>IS_AMORT_ACQD_INTANGIBLES_COGS/1M</stp>
        <stp>FPR=2022Y</stp>
        <stp>FPT=A</stp>
        <stp>FA_ACT_EST_DATA=E, EST_SOURCE=ACC</stp>
        <stp>ACT_EST_MAPPING=PRECISE</stp>
        <stp>FS=MRC</stp>
        <stp>CURRENCY=USD</stp>
        <stp>XLFILL=b</stp>
        <tr r="AN105" s="2"/>
      </tp>
      <tp>
        <v>896</v>
        <stp/>
        <stp>##V3_BQLV12</stp>
        <stp>[MODL_CRM_US1.xlsx]Single Period!R105C13</stp>
        <stp>CRM US Equity</stp>
        <stp>IS_AMORT_ACQD_INTANGIBLES_COGS/1M</stp>
        <stp>FPR=2022Y</stp>
        <stp>FPT=A</stp>
        <stp>FA_ACT_EST_DATA=E, EST_SOURCE=BCA</stp>
        <stp>ACT_EST_MAPPING=PRECISE</stp>
        <stp>FS=MRC</stp>
        <stp>CURRENCY=USD</stp>
        <stp>XLFILL=b</stp>
        <tr r="M105" s="2"/>
      </tp>
      <tp>
        <v>3920.913</v>
        <stp/>
        <stp>##V3_BQLV12</stp>
        <stp>[MODL_CRM_US1.xlsx]Single Period!R165C17</stp>
        <stp>CRM US Equity</stp>
        <stp>CF_CHG_IN_DEFER_UNEARND_REV_ST/1M</stp>
        <stp>FPR=2022Y</stp>
        <stp>FPT=A</stp>
        <stp>FA_ACT_EST_DATA=E, EST_SOURCE=NDH</stp>
        <stp>ACT_EST_MAPPING=PRECISE</stp>
        <stp>FS=MRC</stp>
        <stp>CURRENCY=USD</stp>
        <stp>XLFILL=b</stp>
        <tr r="Q165" s="2"/>
      </tp>
      <tp>
        <v>-1197</v>
        <stp/>
        <stp>##V3_BQLV12</stp>
        <stp>[MODL_CRM_US1.xlsx]Single Period!R98C6</stp>
        <stp>CRM US Equity</stp>
        <stp>CONTRIBUTOR_STATS(IS_INC_TAX_EFFECT_NONGAAP_REC, MIN)/1M</stp>
        <stp>FPR=2022Y</stp>
        <stp>FPT=A</stp>
        <stp>FA_ACT_EST_DATA=E</stp>
        <stp>ACT_EST_MAPPING=PRECISE</stp>
        <stp>FS=MRC</stp>
        <stp>CURRENCY=USD</stp>
        <stp>XLFILL=b</stp>
        <tr r="F98" s="2"/>
      </tp>
      <tp t="s">
        <v/>
        <stp/>
        <stp>##V3_BQLV12</stp>
        <stp>[MODL_CRM_US1.xlsx]Single Period!R105C27</stp>
        <stp>CRM US Equity</stp>
        <stp>IS_AMORT_ACQD_INTANGIBLES_COGS/1M</stp>
        <stp>FPR=2022Y</stp>
        <stp>FPT=A</stp>
        <stp>FA_ACT_EST_DATA=E, EST_SOURCE=LCM</stp>
        <stp>ACT_EST_MAPPING=PRECISE</stp>
        <stp>FS=MRC</stp>
        <stp>CURRENCY=USD</stp>
        <stp>XLFILL=b</stp>
        <tr r="AA105" s="2"/>
      </tp>
      <tp>
        <v>1.27</v>
        <stp/>
        <stp>##V3_BQLV12</stp>
        <stp>[MODL_CRM_US1.xlsx]Single Period!R95C15</stp>
        <stp>CRM US Equity</stp>
        <stp>IS_COMP_EPS_GAAP</stp>
        <stp>FPR=2022Y</stp>
        <stp>FPT=A</stp>
        <stp>FA_ACT_EST_DATA=E, EST_SOURCE=MSV</stp>
        <stp>ACT_EST_MAPPING=PRECISE</stp>
        <stp>FS=MRC</stp>
        <stp>CURRENCY=USD</stp>
        <stp>XLFILL=b</stp>
        <tr r="O95" s="2"/>
      </tp>
      <tp t="s">
        <v/>
        <stp/>
        <stp>##V3_BQLV12</stp>
        <stp>[MODL_CRM_US1.xlsx]Single Period!R188C28</stp>
        <stp>CRM US Equity</stp>
        <stp>BS_CASH_NEAR_CASH_ITEM/1M</stp>
        <stp>FPR=2022Y</stp>
        <stp>FPT=A</stp>
        <stp>FA_ACT_EST_DATA=E, EST_SOURCE=CWN</stp>
        <stp>ACT_EST_MAPPING=PRECISE</stp>
        <stp>FS=MRC</stp>
        <stp>CURRENCY=USD</stp>
        <stp>XLFILL=b</stp>
        <tr r="AB188" s="2"/>
      </tp>
      <tp t="s">
        <v/>
        <stp/>
        <stp>##V3_BQLV12</stp>
        <stp>[MODL_CRM_US1.xlsx]Single Period!R105C51</stp>
        <stp>CRM US Equity</stp>
        <stp>IS_AMORT_ACQD_INTANGIBLES_COGS/1M</stp>
        <stp>FPR=2022Y</stp>
        <stp>FPT=A</stp>
        <stp>FA_ACT_EST_DATA=E, EST_SOURCE=RCP</stp>
        <stp>ACT_EST_MAPPING=PRECISE</stp>
        <stp>FS=MRC</stp>
        <stp>CURRENCY=USD</stp>
        <stp>XLFILL=b</stp>
        <tr r="AY105" s="2"/>
      </tp>
      <tp t="s">
        <v/>
        <stp/>
        <stp>##V3_BQLV12</stp>
        <stp>[MODL_CRM_US1.xlsx]Single Period!R188C43</stp>
        <stp>CRM US Equity</stp>
        <stp>BS_CASH_NEAR_CASH_ITEM/1M</stp>
        <stp>FPR=2022Y</stp>
        <stp>FPT=A</stp>
        <stp>FA_ACT_EST_DATA=E, EST_SOURCE=DWI</stp>
        <stp>ACT_EST_MAPPING=PRECISE</stp>
        <stp>FS=MRC</stp>
        <stp>CURRENCY=USD</stp>
        <stp>XLFILL=b</stp>
        <tr r="AQ188" s="2"/>
      </tp>
      <tp t="s">
        <v/>
        <stp/>
        <stp>##V3_BQLV12</stp>
        <stp>[MODL_CRM_US1.xlsx]Single Period!R188C44</stp>
        <stp>CRM US Equity</stp>
        <stp>BS_CASH_NEAR_CASH_ITEM/1M</stp>
        <stp>FPR=2022Y</stp>
        <stp>FPT=A</stp>
        <stp>FA_ACT_EST_DATA=E, EST_SOURCE=RWB</stp>
        <stp>ACT_EST_MAPPING=PRECISE</stp>
        <stp>FS=MRC</stp>
        <stp>CURRENCY=USD</stp>
        <stp>XLFILL=b</stp>
        <tr r="AR188" s="2"/>
      </tp>
      <tp t="s">
        <v/>
        <stp/>
        <stp>##V3_BQLV12</stp>
        <stp>[MODL_CRM_US1.xlsx]Single Period!R95C54</stp>
        <stp>CRM US Equity</stp>
        <stp>IS_COMP_EPS_GAAP</stp>
        <stp>FPR=2022Y</stp>
        <stp>FPT=A</stp>
        <stp>FA_ACT_EST_DATA=E, EST_SOURCE=ARE</stp>
        <stp>ACT_EST_MAPPING=PRECISE</stp>
        <stp>FS=MRC</stp>
        <stp>CURRENCY=USD</stp>
        <stp>XLFILL=b</stp>
        <tr r="BB95" s="2"/>
      </tp>
      <tp t="s">
        <v/>
        <stp/>
        <stp>##V3_BQLV12</stp>
        <stp>[MODL_CRM_US1.xlsx]Single Period!R85C50</stp>
        <stp>CRM US Equity</stp>
        <stp>CB_IS_S_AND_M_EXPENSE/1M</stp>
        <stp>FPR=2022Y</stp>
        <stp>FPT=A</stp>
        <stp>FA_ACT_EST_DATA=E, EST_SOURCE=MZS</stp>
        <stp>ACT_EST_MAPPING=PRECISE</stp>
        <stp>FS=MRC</stp>
        <stp>CURRENCY=USD</stp>
        <stp>XLFILL=b</stp>
        <tr r="AX85" s="2"/>
      </tp>
      <tp t="s">
        <v/>
        <stp/>
        <stp>##V3_BQLV12</stp>
        <stp>[MODL_CRM_US1.xlsx]Single Period!R162C53</stp>
        <stp>CRM US Equity</stp>
        <stp>CF_CHANGE_IN_PREPAID_EXPNSS/1M</stp>
        <stp>FPR=2022Y</stp>
        <stp>FPT=A</stp>
        <stp>FA_ACT_EST_DATA=E, EST_SOURCE=NIK</stp>
        <stp>ACT_EST_MAPPING=PRECISE</stp>
        <stp>FS=MRC</stp>
        <stp>CURRENCY=USD</stp>
        <stp>XLFILL=b</stp>
        <tr r="BA162" s="2"/>
      </tp>
      <tp t="s">
        <v/>
        <stp/>
        <stp>##V3_BQLV12</stp>
        <stp>[MODL_CRM_US1.xlsx]Single Period!R114C56</stp>
        <stp>CRM US Equity</stp>
        <stp>BS_ACCTS_REC_EXCL_NOTES_REC/1M</stp>
        <stp>FPR=2022Y</stp>
        <stp>FPT=A</stp>
        <stp>FA_ACT_EST_DATA=E, EST_SOURCE=DIR</stp>
        <stp>ACT_EST_MAPPING=PRECISE</stp>
        <stp>FS=MRC</stp>
        <stp>CURRENCY=USD</stp>
        <stp>XLFILL=b</stp>
        <tr r="BD114" s="2"/>
      </tp>
      <tp t="s">
        <v/>
        <stp/>
        <stp>##V3_BQLV12</stp>
        <stp>[MODL_CRM_US1.xlsx]Single Period!R102C36</stp>
        <stp>CRM US Equity</stp>
        <stp>IS_SBC_ATT_TO_S_AND_M_PRETX/1M</stp>
        <stp>FPR=2022Y</stp>
        <stp>FPT=A</stp>
        <stp>FA_ACT_EST_DATA=E, EST_SOURCE=MAC</stp>
        <stp>ACT_EST_MAPPING=PRECISE</stp>
        <stp>FS=MRC</stp>
        <stp>CURRENCY=USD</stp>
        <stp>XLFILL=b</stp>
        <tr r="AJ102" s="2"/>
      </tp>
      <tp t="s">
        <v/>
        <stp/>
        <stp>##V3_BQLV12</stp>
        <stp>[MODL_CRM_US1.xlsx]Single Period!R93C42</stp>
        <stp>CRM US Equity</stp>
        <stp>IS_AVG_NUM_SH_FOR_EPS/1M</stp>
        <stp>FPR=2022Y</stp>
        <stp>FPT=A</stp>
        <stp>FA_ACT_EST_DATA=E, EST_SOURCE=PSG</stp>
        <stp>ACT_EST_MAPPING=PRECISE</stp>
        <stp>FS=MRC</stp>
        <stp>CURRENCY=USD</stp>
        <stp>XLFILL=b</stp>
        <tr r="AP93" s="2"/>
      </tp>
      <tp t="s">
        <v/>
        <stp/>
        <stp>##V3_BQLV12</stp>
        <stp>[MODL_CRM_US1.xlsx]Single Period!R63C49</stp>
        <stp>CRM US Equity</stp>
        <stp>CF_DEPR_AMORT/1M</stp>
        <stp>FPR=2022Y</stp>
        <stp>FPT=A</stp>
        <stp>FA_ACT_EST_DATA=E, EST_SOURCE=SGE</stp>
        <stp>ACT_EST_MAPPING=PRECISE</stp>
        <stp>FS=MRC</stp>
        <stp>CURRENCY=USD</stp>
        <stp>XLFILL=b</stp>
        <tr r="AW63" s="2"/>
      </tp>
      <tp t="s">
        <v/>
        <stp/>
        <stp>##V3_BQLV12</stp>
        <stp>[MODL_CRM_US1.xlsx]Single Period!R185C27</stp>
        <stp>CRM US Equity</stp>
        <stp>CF_EFFECT_FOREIGN_EXCHANGES/1M</stp>
        <stp>FPR=2022Y</stp>
        <stp>FPT=A</stp>
        <stp>FA_ACT_EST_DATA=E, EST_SOURCE=LCM</stp>
        <stp>ACT_EST_MAPPING=PRECISE</stp>
        <stp>FS=MRC</stp>
        <stp>CURRENCY=USD</stp>
        <stp>XLFILL=b</stp>
        <tr r="AA185" s="2"/>
      </tp>
      <tp t="s">
        <v/>
        <stp/>
        <stp>##V3_BQLV12</stp>
        <stp>[MODL_CRM_US1.xlsx]Single Period!R12C49</stp>
        <stp>CRM US Equity</stp>
        <stp>TOT_FUTURE_REV_UNDER_CONTRACT/1M</stp>
        <stp>FPR=2022Y</stp>
        <stp>FPT=A</stp>
        <stp>FA_ACT_EST_DATA=E, EST_SOURCE=SGE</stp>
        <stp>ACT_EST_MAPPING=PRECISE</stp>
        <stp>FS=MRC</stp>
        <stp>CURRENCY=USD</stp>
        <stp>XLFILL=b</stp>
        <tr r="AW12" s="2"/>
      </tp>
      <tp t="s">
        <v/>
        <stp/>
        <stp>##V3_BQLV12</stp>
        <stp>[MODL_CRM_US1.xlsx]Single Period!R122C37</stp>
        <stp>CRM US Equity</stp>
        <stp>BS_GOODWILL/1M</stp>
        <stp>FPR=2022Y</stp>
        <stp>FPT=A</stp>
        <stp>FA_ACT_EST_DATA=E, EST_SOURCE=EVR</stp>
        <stp>ACT_EST_MAPPING=PRECISE</stp>
        <stp>FS=MRC</stp>
        <stp>CURRENCY=USD</stp>
        <stp>XLFILL=b</stp>
        <tr r="AK122" s="2"/>
      </tp>
      <tp t="s">
        <v/>
        <stp/>
        <stp>##V3_BQLV12</stp>
        <stp>[MODL_CRM_US1.xlsx]Single Period!R14C22</stp>
        <stp>CRM US Equity</stp>
        <stp>NON_CURRENT_FUTURE_REV_UNDER_CONTRACT/1M</stp>
        <stp>FPR=2022Y</stp>
        <stp>FPT=A</stp>
        <stp>FA_ACT_EST_DATA=E, EST_SOURCE=OPY</stp>
        <stp>ACT_EST_MAPPING=PRECISE</stp>
        <stp>FS=MRC</stp>
        <stp>CURRENCY=USD</stp>
        <stp>XLFILL=b</stp>
        <tr r="V14" s="2"/>
      </tp>
      <tp t="s">
        <v/>
        <stp/>
        <stp>##V3_BQLV12</stp>
        <stp>[MODL_CRM_US1.xlsx]Single Period!R128C27</stp>
        <stp>CRM US Equity</stp>
        <stp>BS_CUR_LIAB/1M</stp>
        <stp>FPR=2022Y</stp>
        <stp>FPT=A</stp>
        <stp>FA_ACT_EST_DATA=E, EST_SOURCE=LCM</stp>
        <stp>ACT_EST_MAPPING=PRECISE</stp>
        <stp>FS=MRC</stp>
        <stp>CURRENCY=USD</stp>
        <stp>XLFILL=b</stp>
        <tr r="AA128" s="2"/>
      </tp>
      <tp t="s">
        <v/>
        <stp/>
        <stp>##V3_BQLV12</stp>
        <stp>[MODL_CRM_US1.xlsx]Single Period!R12C39</stp>
        <stp>CRM US Equity</stp>
        <stp>TOT_FUTURE_REV_UNDER_CONTRACT/1M</stp>
        <stp>FPR=2022Y</stp>
        <stp>FPT=A</stp>
        <stp>FA_ACT_EST_DATA=E, EST_SOURCE=KGI</stp>
        <stp>ACT_EST_MAPPING=PRECISE</stp>
        <stp>FS=MRC</stp>
        <stp>CURRENCY=USD</stp>
        <stp>XLFILL=b</stp>
        <tr r="AM12" s="2"/>
      </tp>
      <tp t="s">
        <v/>
        <stp/>
        <stp>##V3_BQLV12</stp>
        <stp>[MODL_CRM_US1.xlsx]Single Period!R93C35</stp>
        <stp>CRM US Equity</stp>
        <stp>IS_AVG_NUM_SH_FOR_EPS/1M</stp>
        <stp>FPR=2022Y</stp>
        <stp>FPT=A</stp>
        <stp>FA_ACT_EST_DATA=E, EST_SOURCE=ATL</stp>
        <stp>ACT_EST_MAPPING=PRECISE</stp>
        <stp>FS=MRC</stp>
        <stp>CURRENCY=USD</stp>
        <stp>XLFILL=b</stp>
        <tr r="AI93" s="2"/>
      </tp>
      <tp t="s">
        <v/>
        <stp/>
        <stp>##V3_BQLV12</stp>
        <stp>[MODL_CRM_US1.xlsx]Single Period!R130C53</stp>
        <stp>CRM US Equity</stp>
        <stp>BS_ST_OPERATING_LEASE_LIABS/1M</stp>
        <stp>FPR=2022Y</stp>
        <stp>FPT=A</stp>
        <stp>FA_ACT_EST_DATA=E, EST_SOURCE=NIK</stp>
        <stp>ACT_EST_MAPPING=PRECISE</stp>
        <stp>FS=MRC</stp>
        <stp>CURRENCY=USD</stp>
        <stp>XLFILL=b</stp>
        <tr r="BA130" s="2"/>
      </tp>
      <tp t="s">
        <v/>
        <stp/>
        <stp>##V3_BQLV12</stp>
        <stp>[MODL_CRM_US1.xlsx]Single Period!R128C19</stp>
        <stp>CRM US Equity</stp>
        <stp>BS_CUR_LIAB/1M</stp>
        <stp>FPR=2022Y</stp>
        <stp>FPT=A</stp>
        <stp>FA_ACT_EST_DATA=E, EST_SOURCE=SCB</stp>
        <stp>ACT_EST_MAPPING=PRECISE</stp>
        <stp>FS=MRC</stp>
        <stp>CURRENCY=USD</stp>
        <stp>XLFILL=b</stp>
        <tr r="S128" s="2"/>
      </tp>
      <tp>
        <v>21774.593764698118</v>
        <stp/>
        <stp>##V3_BQLV12</stp>
        <stp>[MODL_CRM_US1.xlsx]Single Period!R128C13</stp>
        <stp>CRM US Equity</stp>
        <stp>BS_CUR_LIAB/1M</stp>
        <stp>FPR=2022Y</stp>
        <stp>FPT=A</stp>
        <stp>FA_ACT_EST_DATA=E, EST_SOURCE=BCA</stp>
        <stp>ACT_EST_MAPPING=PRECISE</stp>
        <stp>FS=MRC</stp>
        <stp>CURRENCY=USD</stp>
        <stp>XLFILL=b</stp>
        <tr r="M128" s="2"/>
      </tp>
      <tp t="s">
        <v/>
        <stp/>
        <stp>##V3_BQLV12</stp>
        <stp>[MODL_CRM_US1.xlsx]Single Period!R185C40</stp>
        <stp>CRM US Equity</stp>
        <stp>CF_EFFECT_FOREIGN_EXCHANGES/1M</stp>
        <stp>FPR=2022Y</stp>
        <stp>FPT=A</stp>
        <stp>FA_ACT_EST_DATA=E, EST_SOURCE=ACC</stp>
        <stp>ACT_EST_MAPPING=PRECISE</stp>
        <stp>FS=MRC</stp>
        <stp>CURRENCY=USD</stp>
        <stp>XLFILL=b</stp>
        <tr r="AN185" s="2"/>
      </tp>
      <tp t="s">
        <v/>
        <stp/>
        <stp>##V3_BQLV12</stp>
        <stp>[MODL_CRM_US1.xlsx]Single Period!R98C38</stp>
        <stp>CRM US Equity</stp>
        <stp>IS_INC_TAX_EFFECT_NONGAAP_REC/1M</stp>
        <stp>FPR=2022Y</stp>
        <stp>FPT=A</stp>
        <stp>FA_ACT_EST_DATA=E, EST_SOURCE=MSR</stp>
        <stp>ACT_EST_MAPPING=PRECISE</stp>
        <stp>FS=MRC</stp>
        <stp>CURRENCY=USD</stp>
        <stp>XLFILL=b</stp>
        <tr r="AL98" s="2"/>
      </tp>
      <tp t="s">
        <v/>
        <stp/>
        <stp>##V3_BQLV12</stp>
        <stp>[MODL_CRM_US1.xlsx]Single Period!R73C43</stp>
        <stp>CRM US Equity</stp>
        <stp>IS_SH_FOR_DILUTED_EPS/1M</stp>
        <stp>FPR=2022Y</stp>
        <stp>FPT=A</stp>
        <stp>FA_ACT_EST_DATA=E, EST_SOURCE=DWI</stp>
        <stp>ACT_EST_MAPPING=PRECISE</stp>
        <stp>FS=MRC</stp>
        <stp>CURRENCY=USD</stp>
        <stp>XLFILL=b</stp>
        <tr r="AQ73" s="2"/>
      </tp>
      <tp>
        <v>21026.666666666679</v>
        <stp/>
        <stp>##V3_BQLV12</stp>
        <stp>[MODL_CRM_US1.xlsx]Single Period!R14C5</stp>
        <stp>CRM US Equity</stp>
        <stp>NON_CURRENT_FUTURE_REV_UNDER_CONTRACT/1M</stp>
        <stp>FPR=2022Y</stp>
        <stp>FPT=A</stp>
        <stp>FA_ACT_EST_DATA=E</stp>
        <stp>ACT_EST_MAPPING=PRECISE</stp>
        <stp>FS=MRC</stp>
        <stp>CURRENCY=USD</stp>
        <stp>XLFILL=b</stp>
        <tr r="E14" s="2"/>
      </tp>
      <tp t="s">
        <v/>
        <stp/>
        <stp>##V3_BQLV12</stp>
        <stp>[MODL_CRM_US1.xlsx]Single Period!R128C40</stp>
        <stp>CRM US Equity</stp>
        <stp>BS_CUR_LIAB/1M</stp>
        <stp>FPR=2022Y</stp>
        <stp>FPT=A</stp>
        <stp>FA_ACT_EST_DATA=E, EST_SOURCE=ACC</stp>
        <stp>ACT_EST_MAPPING=PRECISE</stp>
        <stp>FS=MRC</stp>
        <stp>CURRENCY=USD</stp>
        <stp>XLFILL=b</stp>
        <tr r="AN128" s="2"/>
      </tp>
      <tp>
        <v>-18</v>
        <stp/>
        <stp>##V3_BQLV12</stp>
        <stp>[MODL_CRM_US1.xlsx]Single Period!R185C13</stp>
        <stp>CRM US Equity</stp>
        <stp>CF_EFFECT_FOREIGN_EXCHANGES/1M</stp>
        <stp>FPR=2022Y</stp>
        <stp>FPT=A</stp>
        <stp>FA_ACT_EST_DATA=E, EST_SOURCE=BCA</stp>
        <stp>ACT_EST_MAPPING=PRECISE</stp>
        <stp>FS=MRC</stp>
        <stp>CURRENCY=USD</stp>
        <stp>XLFILL=b</stp>
        <tr r="M185" s="2"/>
      </tp>
      <tp t="s">
        <v/>
        <stp/>
        <stp>##V3_BQLV12</stp>
        <stp>[MODL_CRM_US1.xlsx]Single Period!R14C41</stp>
        <stp>CRM US Equity</stp>
        <stp>NON_CURRENT_FUTURE_REV_UNDER_CONTRACT/1M</stp>
        <stp>FPR=2022Y</stp>
        <stp>FPT=A</stp>
        <stp>FA_ACT_EST_DATA=E, EST_SOURCE=GSR</stp>
        <stp>ACT_EST_MAPPING=PRECISE</stp>
        <stp>FS=MRC</stp>
        <stp>CURRENCY=USD</stp>
        <stp>XLFILL=b</stp>
        <tr r="AO14" s="2"/>
      </tp>
      <tp t="s">
        <v/>
        <stp/>
        <stp>##V3_BQLV12</stp>
        <stp>[MODL_CRM_US1.xlsx]Single Period!R63C39</stp>
        <stp>CRM US Equity</stp>
        <stp>CF_DEPR_AMORT/1M</stp>
        <stp>FPR=2022Y</stp>
        <stp>FPT=A</stp>
        <stp>FA_ACT_EST_DATA=E, EST_SOURCE=KGI</stp>
        <stp>ACT_EST_MAPPING=PRECISE</stp>
        <stp>FS=MRC</stp>
        <stp>CURRENCY=USD</stp>
        <stp>XLFILL=b</stp>
        <tr r="AM63" s="2"/>
      </tp>
      <tp t="s">
        <v/>
        <stp/>
        <stp>##V3_BQLV12</stp>
        <stp>[MODL_CRM_US1.xlsx]Single Period!R102C18</stp>
        <stp>CRM US Equity</stp>
        <stp>IS_SBC_ATT_TO_S_AND_M_PRETX/1M</stp>
        <stp>FPR=2022Y</stp>
        <stp>FPT=A</stp>
        <stp>FA_ACT_EST_DATA=E, EST_SOURCE=CAN</stp>
        <stp>ACT_EST_MAPPING=PRECISE</stp>
        <stp>FS=MRC</stp>
        <stp>CURRENCY=USD</stp>
        <stp>XLFILL=b</stp>
        <tr r="R102" s="2"/>
      </tp>
      <tp t="s">
        <v/>
        <stp/>
        <stp>##V3_BQLV12</stp>
        <stp>[MODL_CRM_US1.xlsx]Single Period!R185C19</stp>
        <stp>CRM US Equity</stp>
        <stp>CF_EFFECT_FOREIGN_EXCHANGES/1M</stp>
        <stp>FPR=2022Y</stp>
        <stp>FPT=A</stp>
        <stp>FA_ACT_EST_DATA=E, EST_SOURCE=SCB</stp>
        <stp>ACT_EST_MAPPING=PRECISE</stp>
        <stp>FS=MRC</stp>
        <stp>CURRENCY=USD</stp>
        <stp>XLFILL=b</stp>
        <tr r="S185" s="2"/>
      </tp>
      <tp t="s">
        <v/>
        <stp/>
        <stp>##V3_BQLV12</stp>
        <stp>[MODL_CRM_US1.xlsx]Single Period!R134C56</stp>
        <stp>CRM US Equity</stp>
        <stp>BS_LT_OPERATING_LEASE_LIABS/1M</stp>
        <stp>FPR=2022Y</stp>
        <stp>FPT=A</stp>
        <stp>FA_ACT_EST_DATA=E, EST_SOURCE=DIR</stp>
        <stp>ACT_EST_MAPPING=PRECISE</stp>
        <stp>FS=MRC</stp>
        <stp>CURRENCY=USD</stp>
        <stp>XLFILL=b</stp>
        <tr r="BD134" s="2"/>
      </tp>
      <tp t="s">
        <v/>
        <stp/>
        <stp>##V3_BQLV12</stp>
        <stp>[MODL_CRM_US1.xlsx]Single Period!R102C30</stp>
        <stp>CRM US Equity</stp>
        <stp>IS_SBC_ATT_TO_S_AND_M_PRETX/1M</stp>
        <stp>FPR=2022Y</stp>
        <stp>FPT=A</stp>
        <stp>FA_ACT_EST_DATA=E, EST_SOURCE=BAM</stp>
        <stp>ACT_EST_MAPPING=PRECISE</stp>
        <stp>FS=MRC</stp>
        <stp>CURRENCY=USD</stp>
        <stp>XLFILL=b</stp>
        <tr r="AD102" s="2"/>
      </tp>
      <tp t="s">
        <v/>
        <stp/>
        <stp>##V3_BQLV12</stp>
        <stp>[MODL_CRM_US1.xlsx]Single Period!R130C56</stp>
        <stp>CRM US Equity</stp>
        <stp>BS_ST_OPERATING_LEASE_LIABS/1M</stp>
        <stp>FPR=2022Y</stp>
        <stp>FPT=A</stp>
        <stp>FA_ACT_EST_DATA=E, EST_SOURCE=DIR</stp>
        <stp>ACT_EST_MAPPING=PRECISE</stp>
        <stp>FS=MRC</stp>
        <stp>CURRENCY=USD</stp>
        <stp>XLFILL=b</stp>
        <tr r="BD130" s="2"/>
      </tp>
      <tp t="s">
        <v/>
        <stp/>
        <stp>##V3_BQLV12</stp>
        <stp>[MODL_CRM_US1.xlsx]Single Period!R94C50</stp>
        <stp>CRM US Equity</stp>
        <stp>IS_SH_FOR_DILUTED_EPS/1M</stp>
        <stp>FPR=2022Y</stp>
        <stp>FPT=A</stp>
        <stp>FA_ACT_EST_DATA=E, EST_SOURCE=MZS</stp>
        <stp>ACT_EST_MAPPING=PRECISE</stp>
        <stp>FS=MRC</stp>
        <stp>CURRENCY=USD</stp>
        <stp>XLFILL=b</stp>
        <tr r="AX94" s="2"/>
      </tp>
      <tp t="s">
        <v/>
        <stp/>
        <stp>##V3_BQLV12</stp>
        <stp>[MODL_CRM_US1.xlsx]Single Period!R14C46</stp>
        <stp>CRM US Equity</stp>
        <stp>NON_CURRENT_FUTURE_REV_UNDER_CONTRACT/1M</stp>
        <stp>FPR=2022Y</stp>
        <stp>FPT=A</stp>
        <stp>FA_ACT_EST_DATA=E, EST_SOURCE=CTI</stp>
        <stp>ACT_EST_MAPPING=PRECISE</stp>
        <stp>FS=MRC</stp>
        <stp>CURRENCY=USD</stp>
        <stp>XLFILL=b</stp>
        <tr r="AT14" s="2"/>
      </tp>
      <tp>
        <v>975.77584926470593</v>
        <stp/>
        <stp>##V3_BQLV12</stp>
        <stp>[MODL_CRM_US1.xlsx]Single Period!R73C5</stp>
        <stp>CRM US Equity</stp>
        <stp>IS_SH_FOR_DILUTED_EPS/1M</stp>
        <stp>FPR=2022Y</stp>
        <stp>FPT=A</stp>
        <stp>FA_ACT_EST_DATA=E</stp>
        <stp>ACT_EST_MAPPING=PRECISE</stp>
        <stp>FS=MRC</stp>
        <stp>CURRENCY=USD</stp>
        <stp>XLFILL=b</stp>
        <tr r="E73" s="2"/>
      </tp>
      <tp t="s">
        <v/>
        <stp/>
        <stp>##V3_BQLV12</stp>
        <stp>[MODL_CRM_US1.xlsx]Single Period!R134C53</stp>
        <stp>CRM US Equity</stp>
        <stp>BS_LT_OPERATING_LEASE_LIABS/1M</stp>
        <stp>FPR=2022Y</stp>
        <stp>FPT=A</stp>
        <stp>FA_ACT_EST_DATA=E, EST_SOURCE=NIK</stp>
        <stp>ACT_EST_MAPPING=PRECISE</stp>
        <stp>FS=MRC</stp>
        <stp>CURRENCY=USD</stp>
        <stp>XLFILL=b</stp>
        <tr r="BA134" s="2"/>
      </tp>
      <tp t="s">
        <v/>
        <stp/>
        <stp>##V3_BQLV12</stp>
        <stp>[MODL_CRM_US1.xlsx]Single Period!R68C43</stp>
        <stp>CRM US Equity</stp>
        <stp>IS_COMP_PTP_EX_STK_BASED_COMP/1M</stp>
        <stp>FPR=2022Y</stp>
        <stp>FPT=A</stp>
        <stp>FA_ACT_EST_DATA=E, EST_SOURCE=DWI</stp>
        <stp>ACT_EST_MAPPING=PRECISE</stp>
        <stp>FS=MRC</stp>
        <stp>CURRENCY=USD</stp>
        <stp>XLFILL=b</stp>
        <tr r="AQ68" s="2"/>
      </tp>
      <tp t="s">
        <v/>
        <stp/>
        <stp>##V3_BQLV12</stp>
        <stp>[MODL_CRM_US1.xlsx]Single Period!R93C37</stp>
        <stp>CRM US Equity</stp>
        <stp>IS_AVG_NUM_SH_FOR_EPS/1M</stp>
        <stp>FPR=2022Y</stp>
        <stp>FPT=A</stp>
        <stp>FA_ACT_EST_DATA=E, EST_SOURCE=EVR</stp>
        <stp>ACT_EST_MAPPING=PRECISE</stp>
        <stp>FS=MRC</stp>
        <stp>CURRENCY=USD</stp>
        <stp>XLFILL=b</stp>
        <tr r="AK93" s="2"/>
      </tp>
      <tp t="s">
        <v/>
        <stp/>
        <stp>##V3_BQLV12</stp>
        <stp>[MODL_CRM_US1.xlsx]Single Period!R185C51</stp>
        <stp>CRM US Equity</stp>
        <stp>CF_EFFECT_FOREIGN_EXCHANGES/1M</stp>
        <stp>FPR=2022Y</stp>
        <stp>FPT=A</stp>
        <stp>FA_ACT_EST_DATA=E, EST_SOURCE=RCP</stp>
        <stp>ACT_EST_MAPPING=PRECISE</stp>
        <stp>FS=MRC</stp>
        <stp>CURRENCY=USD</stp>
        <stp>XLFILL=b</stp>
        <tr r="AY185" s="2"/>
      </tp>
      <tp t="s">
        <v/>
        <stp/>
        <stp>##V3_BQLV12</stp>
        <stp>[MODL_CRM_US1.xlsx]Single Period!R162C56</stp>
        <stp>CRM US Equity</stp>
        <stp>CF_CHANGE_IN_PREPAID_EXPNSS/1M</stp>
        <stp>FPR=2022Y</stp>
        <stp>FPT=A</stp>
        <stp>FA_ACT_EST_DATA=E, EST_SOURCE=DIR</stp>
        <stp>ACT_EST_MAPPING=PRECISE</stp>
        <stp>FS=MRC</stp>
        <stp>CURRENCY=USD</stp>
        <stp>XLFILL=b</stp>
        <tr r="BD162" s="2"/>
      </tp>
      <tp t="s">
        <v/>
        <stp/>
        <stp>##V3_BQLV12</stp>
        <stp>[MODL_CRM_US1.xlsx]Single Period!R114C53</stp>
        <stp>CRM US Equity</stp>
        <stp>BS_ACCTS_REC_EXCL_NOTES_REC/1M</stp>
        <stp>FPR=2022Y</stp>
        <stp>FPT=A</stp>
        <stp>FA_ACT_EST_DATA=E, EST_SOURCE=NIK</stp>
        <stp>ACT_EST_MAPPING=PRECISE</stp>
        <stp>FS=MRC</stp>
        <stp>CURRENCY=USD</stp>
        <stp>XLFILL=b</stp>
        <tr r="BA114" s="2"/>
      </tp>
      <tp>
        <v>975.77584926470593</v>
        <stp/>
        <stp>##V3_BQLV12</stp>
        <stp>[MODL_CRM_US1.xlsx]Single Period!R94C5</stp>
        <stp>CRM US Equity</stp>
        <stp>IS_SH_FOR_DILUTED_EPS/1M</stp>
        <stp>FPR=2022Y</stp>
        <stp>FPT=A</stp>
        <stp>FA_ACT_EST_DATA=E</stp>
        <stp>ACT_EST_MAPPING=PRECISE</stp>
        <stp>FS=MRC</stp>
        <stp>CURRENCY=USD</stp>
        <stp>XLFILL=b</stp>
        <tr r="E94" s="2"/>
      </tp>
      <tp t="s">
        <v/>
        <stp/>
        <stp>##V3_BQLV12</stp>
        <stp>[MODL_CRM_US1.xlsx]Single Period!R128C51</stp>
        <stp>CRM US Equity</stp>
        <stp>BS_CUR_LIAB/1M</stp>
        <stp>FPR=2022Y</stp>
        <stp>FPT=A</stp>
        <stp>FA_ACT_EST_DATA=E, EST_SOURCE=RCP</stp>
        <stp>ACT_EST_MAPPING=PRECISE</stp>
        <stp>FS=MRC</stp>
        <stp>CURRENCY=USD</stp>
        <stp>XLFILL=b</stp>
        <tr r="AY128" s="2"/>
      </tp>
      <tp>
        <v>8249</v>
        <stp/>
        <stp>##V3_BQLV12</stp>
        <stp>[MODL_CRM_US1.xlsx]Single Period!R64C36</stp>
        <stp>CRM US Equity</stp>
        <stp>IS_COMPARABLE_EBITDA/1M</stp>
        <stp>FPR=2022Y</stp>
        <stp>FPT=A</stp>
        <stp>FA_ACT_EST_DATA=E, EST_SOURCE=MAC</stp>
        <stp>ACT_EST_MAPPING=PRECISE</stp>
        <stp>FS=MRC</stp>
        <stp>CURRENCY=USD</stp>
        <stp>XLFILL=b</stp>
        <tr r="AJ64" s="2"/>
      </tp>
      <tp t="s">
        <v/>
        <stp/>
        <stp>##V3_BQLV12</stp>
        <stp>[MODL_CRM_US1.xlsx]Single Period!R10C32</stp>
        <stp>SEG0000269238 Segment</stp>
        <stp>SALES_REV_TURN/1M</stp>
        <stp>FPR=2022Y</stp>
        <stp>FPT=A</stp>
        <stp>FA_ACT_EST_DATA=E, EST_SOURCE=UBS</stp>
        <stp>ACT_EST_MAPPING=PRECISE</stp>
        <stp>FS=MRC</stp>
        <stp>CURRENCY=USD</stp>
        <stp>XLFILL=b</stp>
        <tr r="AF10" s="2"/>
      </tp>
      <tp t="s">
        <v/>
        <stp/>
        <stp>##V3_BQLV12</stp>
        <stp>[MODL_CRM_US1.xlsx]Single Period!R24C52</stp>
        <stp>SEG0000269238 Segment</stp>
        <stp>SALES_REV_TURN/1M</stp>
        <stp>FPR=2022Y</stp>
        <stp>FPT=A</stp>
        <stp>FA_ACT_EST_DATA=E, EST_SOURCE=WFR</stp>
        <stp>ACT_EST_MAPPING=PRECISE</stp>
        <stp>FS=MRC</stp>
        <stp>CURRENCY=USD</stp>
        <stp>XLFILL=b</stp>
        <tr r="AZ24" s="2"/>
      </tp>
      <tp t="s">
        <v/>
        <stp/>
        <stp>##V3_BQLV12</stp>
        <stp>[MODL_CRM_US1.xlsx]Single Period!R101C45</stp>
        <stp>CRM US Equity</stp>
        <stp>IS_SBC_ATTRIBUTABLE_TO_R_AND_D_PRETX/1M</stp>
        <stp>FPR=2022Y</stp>
        <stp>FPT=A</stp>
        <stp>FA_ACT_EST_DATA=E, EST_SOURCE=ARG</stp>
        <stp>ACT_EST_MAPPING=PRECISE</stp>
        <stp>FS=MRC</stp>
        <stp>CURRENCY=USD</stp>
        <stp>XLFILL=b</stp>
        <tr r="AS101" s="2"/>
      </tp>
      <tp t="s">
        <v/>
        <stp/>
        <stp>##V3_BQLV12</stp>
        <stp>[MODL_CRM_US1.xlsx]Single Period!R156C56</stp>
        <stp>CRM US Equity</stp>
        <stp>CF_DEPR_AMORT/1M</stp>
        <stp>FPR=2022Y</stp>
        <stp>FPT=A</stp>
        <stp>FA_ACT_EST_DATA=E, EST_SOURCE=DIR</stp>
        <stp>ACT_EST_MAPPING=PRECISE</stp>
        <stp>FS=MRC</stp>
        <stp>CURRENCY=USD</stp>
        <stp>XLFILL=b</stp>
        <tr r="BD156" s="2"/>
      </tp>
      <tp t="s">
        <v/>
        <stp/>
        <stp>##V3_BQLV12</stp>
        <stp>[MODL_CRM_US1.xlsx]Single Period!R151C43</stp>
        <stp>CRM US Equity</stp>
        <stp>NON_CURRENT_FUTURE_REV_UNDER_CONTRACT/1M</stp>
        <stp>FPR=2022Y</stp>
        <stp>FPT=A</stp>
        <stp>FA_ACT_EST_DATA=E, EST_SOURCE=DWI</stp>
        <stp>ACT_EST_MAPPING=PRECISE</stp>
        <stp>FS=MRC</stp>
        <stp>CURRENCY=USD</stp>
        <stp>XLFILL=b</stp>
        <tr r="AQ151" s="2"/>
      </tp>
      <tp t="s">
        <v/>
        <stp/>
        <stp>##V3_BQLV12</stp>
        <stp>[MODL_CRM_US1.xlsx]Single Period!R24C47</stp>
        <stp>SEG0000269238 Segment</stp>
        <stp>SALES_REV_TURN/1M</stp>
        <stp>FPR=2022Y</stp>
        <stp>FPT=A</stp>
        <stp>FA_ACT_EST_DATA=E, EST_SOURCE=WFT</stp>
        <stp>ACT_EST_MAPPING=PRECISE</stp>
        <stp>FS=MRC</stp>
        <stp>CURRENCY=USD</stp>
        <stp>XLFILL=b</stp>
        <tr r="AU24" s="2"/>
      </tp>
      <tp t="s">
        <v/>
        <stp/>
        <stp>##V3_BQLV12</stp>
        <stp>[MODL_CRM_US1.xlsx]Single Period!R64C13</stp>
        <stp>CRM US Equity</stp>
        <stp>IS_COMPARABLE_EBITDA/1M</stp>
        <stp>FPR=2022Y</stp>
        <stp>FPT=A</stp>
        <stp>FA_ACT_EST_DATA=E, EST_SOURCE=BCA</stp>
        <stp>ACT_EST_MAPPING=PRECISE</stp>
        <stp>FS=MRC</stp>
        <stp>CURRENCY=USD</stp>
        <stp>XLFILL=b</stp>
        <tr r="M64" s="2"/>
      </tp>
      <tp t="s">
        <v/>
        <stp/>
        <stp>##V3_BQLV12</stp>
        <stp>[MODL_CRM_US1.xlsx]Single Period!R28C25</stp>
        <stp>SEG0000269242 Segment</stp>
        <stp>SALES_REV_TURN/1M</stp>
        <stp>FPR=2022Y</stp>
        <stp>FPT=A</stp>
        <stp>FA_ACT_EST_DATA=E, EST_SOURCE=WMS</stp>
        <stp>ACT_EST_MAPPING=PRECISE</stp>
        <stp>FS=MRC</stp>
        <stp>CURRENCY=USD</stp>
        <stp>XLFILL=b</stp>
        <tr r="Y28" s="2"/>
      </tp>
      <tp>
        <v>7990</v>
        <stp/>
        <stp>##V3_BQLV12</stp>
        <stp>[MODL_CRM_US1.xlsx]Single Period!R64C30</stp>
        <stp>CRM US Equity</stp>
        <stp>IS_COMPARABLE_EBITDA/1M</stp>
        <stp>FPR=2022Y</stp>
        <stp>FPT=A</stp>
        <stp>FA_ACT_EST_DATA=E, EST_SOURCE=BAM</stp>
        <stp>ACT_EST_MAPPING=PRECISE</stp>
        <stp>FS=MRC</stp>
        <stp>CURRENCY=USD</stp>
        <stp>XLFILL=b</stp>
        <tr r="AD64" s="2"/>
      </tp>
      <tp t="s">
        <v/>
        <stp/>
        <stp>##V3_BQLV12</stp>
        <stp>[MODL_CRM_US1.xlsx]Single Period!R27C32</stp>
        <stp>SEG0000269241 Segment</stp>
        <stp>SALES_REV_TURN/1M</stp>
        <stp>FPR=2022Y</stp>
        <stp>FPT=A</stp>
        <stp>FA_ACT_EST_DATA=E, EST_SOURCE=UBS</stp>
        <stp>ACT_EST_MAPPING=PRECISE</stp>
        <stp>FS=MRC</stp>
        <stp>CURRENCY=USD</stp>
        <stp>XLFILL=b</stp>
        <tr r="AF27" s="2"/>
      </tp>
      <tp>
        <v>8291</v>
        <stp/>
        <stp>##V3_BQLV12</stp>
        <stp>[MODL_CRM_US1.xlsx]Single Period!R28C20</stp>
        <stp>SEG0000269242 Segment</stp>
        <stp>SALES_REV_TURN/1M</stp>
        <stp>FPR=2022Y</stp>
        <stp>FPT=A</stp>
        <stp>FA_ACT_EST_DATA=E, EST_SOURCE=JMP</stp>
        <stp>ACT_EST_MAPPING=PRECISE</stp>
        <stp>FS=MRC</stp>
        <stp>CURRENCY=USD</stp>
        <stp>XLFILL=b</stp>
        <tr r="T28" s="2"/>
      </tp>
      <tp t="s">
        <v/>
        <stp/>
        <stp>##V3_BQLV12</stp>
        <stp>[MODL_CRM_US1.xlsx]Single Period!R43C52</stp>
        <stp>SEG0000269240 Segment</stp>
        <stp>SALES_REV_TURN/1M</stp>
        <stp>FPR=2022Y</stp>
        <stp>FPT=A</stp>
        <stp>FA_ACT_EST_DATA=E, EST_SOURCE=WFR</stp>
        <stp>ACT_EST_MAPPING=PRECISE</stp>
        <stp>FS=MRC</stp>
        <stp>CURRENCY=USD</stp>
        <stp>XLFILL=b</stp>
        <tr r="AZ43" s="2"/>
      </tp>
      <tp t="s">
        <v/>
        <stp/>
        <stp>##V3_BQLV12</stp>
        <stp>[MODL_CRM_US1.xlsx]Single Period!R43C47</stp>
        <stp>SEG0000269240 Segment</stp>
        <stp>SALES_REV_TURN/1M</stp>
        <stp>FPR=2022Y</stp>
        <stp>FPT=A</stp>
        <stp>FA_ACT_EST_DATA=E, EST_SOURCE=WFT</stp>
        <stp>ACT_EST_MAPPING=PRECISE</stp>
        <stp>FS=MRC</stp>
        <stp>CURRENCY=USD</stp>
        <stp>XLFILL=b</stp>
        <tr r="AU43" s="2"/>
      </tp>
      <tp t="s">
        <v/>
        <stp/>
        <stp>##V3_BQLV12</stp>
        <stp>[MODL_CRM_US1.xlsx]Single Period!R26C51</stp>
        <stp>SEG0000269247 Segment</stp>
        <stp>SALES_REV_TURN/1M</stp>
        <stp>FPR=2022Y</stp>
        <stp>FPT=A</stp>
        <stp>FA_ACT_EST_DATA=E, EST_SOURCE=RCP</stp>
        <stp>ACT_EST_MAPPING=PRECISE</stp>
        <stp>FS=MRC</stp>
        <stp>CURRENCY=USD</stp>
        <stp>XLFILL=b</stp>
        <tr r="AY26" s="2"/>
      </tp>
      <tp t="s">
        <v/>
        <stp/>
        <stp>##V3_BQLV12</stp>
        <stp>[MODL_CRM_US1.xlsx]Single Period!R140C43</stp>
        <stp>CRM US Equity</stp>
        <stp>BS_ACCUMULATED_OTHER_COMP_INC/1M</stp>
        <stp>FPR=2022Y</stp>
        <stp>FPT=A</stp>
        <stp>FA_ACT_EST_DATA=E, EST_SOURCE=DWI</stp>
        <stp>ACT_EST_MAPPING=PRECISE</stp>
        <stp>FS=MRC</stp>
        <stp>CURRENCY=USD</stp>
        <stp>XLFILL=b</stp>
        <tr r="AQ140" s="2"/>
      </tp>
      <tp t="s">
        <v/>
        <stp/>
        <stp>##V3_BQLV12</stp>
        <stp>[MODL_CRM_US1.xlsx]Single Period!R64C19</stp>
        <stp>CRM US Equity</stp>
        <stp>IS_COMPARABLE_EBITDA/1M</stp>
        <stp>FPR=2022Y</stp>
        <stp>FPT=A</stp>
        <stp>FA_ACT_EST_DATA=E, EST_SOURCE=SCB</stp>
        <stp>ACT_EST_MAPPING=PRECISE</stp>
        <stp>FS=MRC</stp>
        <stp>CURRENCY=USD</stp>
        <stp>XLFILL=b</stp>
        <tr r="S64" s="2"/>
      </tp>
      <tp t="s">
        <v/>
        <stp/>
        <stp>##V3_BQLV12</stp>
        <stp>[MODL_CRM_US1.xlsx]Single Period!R32C18</stp>
        <stp>SEG0000269227 Segment</stp>
        <stp>SALES_REV_TURN/1M</stp>
        <stp>FPR=2022Y</stp>
        <stp>FPT=A</stp>
        <stp>FA_ACT_EST_DATA=E, EST_SOURCE=CAN</stp>
        <stp>ACT_EST_MAPPING=PRECISE</stp>
        <stp>FS=MRC</stp>
        <stp>CURRENCY=USD</stp>
        <stp>XLFILL=b</stp>
        <tr r="R32" s="2"/>
      </tp>
      <tp t="s">
        <v/>
        <stp/>
        <stp>##V3_BQLV12</stp>
        <stp>[MODL_CRM_US1.xlsx]Single Period!R149C18</stp>
        <stp>CRM US Equity</stp>
        <stp>TOT_FUTURE_REV_UNDER_CONTRACT/1M</stp>
        <stp>FPR=2022Y</stp>
        <stp>FPT=A</stp>
        <stp>FA_ACT_EST_DATA=E, EST_SOURCE=CAN</stp>
        <stp>ACT_EST_MAPPING=PRECISE</stp>
        <stp>FS=MRC</stp>
        <stp>CURRENCY=USD</stp>
        <stp>XLFILL=b</stp>
        <tr r="R149" s="2"/>
      </tp>
      <tp t="s">
        <v/>
        <stp/>
        <stp>##V3_BQLV12</stp>
        <stp>[MODL_CRM_US1.xlsx]Single Period!R10C31</stp>
        <stp>SEG0000269238 Segment</stp>
        <stp>SALES_REV_TURN/1M</stp>
        <stp>FPR=2022Y</stp>
        <stp>FPT=A</stp>
        <stp>FA_ACT_EST_DATA=E, EST_SOURCE=RBC</stp>
        <stp>ACT_EST_MAPPING=PRECISE</stp>
        <stp>FS=MRC</stp>
        <stp>CURRENCY=USD</stp>
        <stp>XLFILL=b</stp>
        <tr r="AE10" s="2"/>
      </tp>
      <tp>
        <v>24534.46953324202</v>
        <stp/>
        <stp>##V3_BQLV12</stp>
        <stp>[MODL_CRM_US1.xlsx]Single Period!R10C24</stp>
        <stp>SEG0000269238 Segment</stp>
        <stp>SALES_REV_TURN/1M</stp>
        <stp>FPR=2022Y</stp>
        <stp>FPT=A</stp>
        <stp>FA_ACT_EST_DATA=E, EST_SOURCE=FBC</stp>
        <stp>ACT_EST_MAPPING=PRECISE</stp>
        <stp>FS=MRC</stp>
        <stp>CURRENCY=USD</stp>
        <stp>XLFILL=b</stp>
        <tr r="X10" s="2"/>
      </tp>
      <tp t="s">
        <v/>
        <stp/>
        <stp>##V3_BQLV12</stp>
        <stp>[MODL_CRM_US1.xlsx]Single Period!R32C30</stp>
        <stp>SEG0000269227 Segment</stp>
        <stp>SALES_REV_TURN/1M</stp>
        <stp>FPR=2022Y</stp>
        <stp>FPT=A</stp>
        <stp>FA_ACT_EST_DATA=E, EST_SOURCE=BAM</stp>
        <stp>ACT_EST_MAPPING=PRECISE</stp>
        <stp>FS=MRC</stp>
        <stp>CURRENCY=USD</stp>
        <stp>XLFILL=b</stp>
        <tr r="AD32" s="2"/>
      </tp>
      <tp t="s">
        <v/>
        <stp/>
        <stp>##V3_BQLV12</stp>
        <stp>[MODL_CRM_US1.xlsx]Single Period!R26C27</stp>
        <stp>SEG0000269247 Segment</stp>
        <stp>SALES_REV_TURN/1M</stp>
        <stp>FPR=2022Y</stp>
        <stp>FPT=A</stp>
        <stp>FA_ACT_EST_DATA=E, EST_SOURCE=LCM</stp>
        <stp>ACT_EST_MAPPING=PRECISE</stp>
        <stp>FS=MRC</stp>
        <stp>CURRENCY=USD</stp>
        <stp>XLFILL=b</stp>
        <tr r="AA26" s="2"/>
      </tp>
      <tp t="s">
        <v/>
        <stp/>
        <stp>##V3_BQLV12</stp>
        <stp>[MODL_CRM_US1.xlsx]Single Period!R28C12</stp>
        <stp>SEG0000269242 Segment</stp>
        <stp>SALES_REV_TURN/1M</stp>
        <stp>FPR=2022Y</stp>
        <stp>FPT=A</stp>
        <stp>FA_ACT_EST_DATA=E, EST_SOURCE=BMO</stp>
        <stp>ACT_EST_MAPPING=PRECISE</stp>
        <stp>FS=MRC</stp>
        <stp>CURRENCY=USD</stp>
        <stp>XLFILL=b</stp>
        <tr r="L28" s="2"/>
      </tp>
      <tp t="s">
        <v/>
        <stp/>
        <stp>##V3_BQLV12</stp>
        <stp>[MODL_CRM_US1.xlsx]Single Period!R27C11</stp>
        <stp>SEG0000269241 Segment</stp>
        <stp>SALES_REV_TURN/1M</stp>
        <stp>FPR=2022Y</stp>
        <stp>FPT=A</stp>
        <stp>FA_ACT_EST_DATA=E, EST_SOURCE=WBL</stp>
        <stp>ACT_EST_MAPPING=PRECISE</stp>
        <stp>FS=MRC</stp>
        <stp>CURRENCY=USD</stp>
        <stp>XLFILL=b</stp>
        <tr r="K27" s="2"/>
      </tp>
      <tp>
        <v>24568.92073094744</v>
        <stp/>
        <stp>##V3_BQLV12</stp>
        <stp>[MODL_CRM_US1.xlsx]Single Period!R10C16</stp>
        <stp>SEG0000269238 Segment</stp>
        <stp>SALES_REV_TURN/1M</stp>
        <stp>FPR=2022Y</stp>
        <stp>FPT=A</stp>
        <stp>FA_ACT_EST_DATA=E, EST_SOURCE=DBG</stp>
        <stp>ACT_EST_MAPPING=PRECISE</stp>
        <stp>FS=MRC</stp>
        <stp>CURRENCY=USD</stp>
        <stp>XLFILL=b</stp>
        <tr r="P10" s="2"/>
      </tp>
      <tp t="s">
        <v/>
        <stp/>
        <stp>##V3_BQLV12</stp>
        <stp>[MODL_CRM_US1.xlsx]Single Period!R64C47</stp>
        <stp>CRM US Equity</stp>
        <stp>IS_COMPARABLE_EBITDA/1M</stp>
        <stp>FPR=2022Y</stp>
        <stp>FPT=A</stp>
        <stp>FA_ACT_EST_DATA=E, EST_SOURCE=WFT</stp>
        <stp>ACT_EST_MAPPING=PRECISE</stp>
        <stp>FS=MRC</stp>
        <stp>CURRENCY=USD</stp>
        <stp>XLFILL=b</stp>
        <tr r="AU64" s="2"/>
      </tp>
      <tp t="s">
        <v/>
        <stp/>
        <stp>##V3_BQLV12</stp>
        <stp>[MODL_CRM_US1.xlsx]Single Period!R156C12</stp>
        <stp>CRM US Equity</stp>
        <stp>CF_DEPR_AMORT/1M</stp>
        <stp>FPR=2022Y</stp>
        <stp>FPT=A</stp>
        <stp>FA_ACT_EST_DATA=E, EST_SOURCE=BMO</stp>
        <stp>ACT_EST_MAPPING=PRECISE</stp>
        <stp>FS=MRC</stp>
        <stp>CURRENCY=USD</stp>
        <stp>XLFILL=b</stp>
        <tr r="L156" s="2"/>
      </tp>
      <tp t="s">
        <v/>
        <stp/>
        <stp>##V3_BQLV12</stp>
        <stp>[MODL_CRM_US1.xlsx]Single Period!R27C31</stp>
        <stp>SEG0000269241 Segment</stp>
        <stp>SALES_REV_TURN/1M</stp>
        <stp>FPR=2022Y</stp>
        <stp>FPT=A</stp>
        <stp>FA_ACT_EST_DATA=E, EST_SOURCE=RBC</stp>
        <stp>ACT_EST_MAPPING=PRECISE</stp>
        <stp>FS=MRC</stp>
        <stp>CURRENCY=USD</stp>
        <stp>XLFILL=b</stp>
        <tr r="AE27" s="2"/>
      </tp>
      <tp t="s">
        <v/>
        <stp/>
        <stp>##V3_BQLV12</stp>
        <stp>[MODL_CRM_US1.xlsx]Single Period!R27C24</stp>
        <stp>SEG0000269241 Segment</stp>
        <stp>SALES_REV_TURN/1M</stp>
        <stp>FPR=2022Y</stp>
        <stp>FPT=A</stp>
        <stp>FA_ACT_EST_DATA=E, EST_SOURCE=FBC</stp>
        <stp>ACT_EST_MAPPING=PRECISE</stp>
        <stp>FS=MRC</stp>
        <stp>CURRENCY=USD</stp>
        <stp>XLFILL=b</stp>
        <tr r="X27" s="2"/>
      </tp>
      <tp t="s">
        <v/>
        <stp/>
        <stp>##V3_BQLV12</stp>
        <stp>[MODL_CRM_US1.xlsx]Single Period!R26C19</stp>
        <stp>SEG0000269247 Segment</stp>
        <stp>SALES_REV_TURN/1M</stp>
        <stp>FPR=2022Y</stp>
        <stp>FPT=A</stp>
        <stp>FA_ACT_EST_DATA=E, EST_SOURCE=SCB</stp>
        <stp>ACT_EST_MAPPING=PRECISE</stp>
        <stp>FS=MRC</stp>
        <stp>CURRENCY=USD</stp>
        <stp>XLFILL=b</stp>
        <tr r="S26" s="2"/>
      </tp>
      <tp t="s">
        <v/>
        <stp/>
        <stp>##V3_BQLV12</stp>
        <stp>[MODL_CRM_US1.xlsx]Single Period!R10C11</stp>
        <stp>SEG0000269238 Segment</stp>
        <stp>SALES_REV_TURN/1M</stp>
        <stp>FPR=2022Y</stp>
        <stp>FPT=A</stp>
        <stp>FA_ACT_EST_DATA=E, EST_SOURCE=WBL</stp>
        <stp>ACT_EST_MAPPING=PRECISE</stp>
        <stp>FS=MRC</stp>
        <stp>CURRENCY=USD</stp>
        <stp>XLFILL=b</stp>
        <tr r="K10" s="2"/>
      </tp>
      <tp t="s">
        <v/>
        <stp/>
        <stp>##V3_BQLV12</stp>
        <stp>[MODL_CRM_US1.xlsx]Single Period!R32C36</stp>
        <stp>SEG0000269227 Segment</stp>
        <stp>SALES_REV_TURN/1M</stp>
        <stp>FPR=2022Y</stp>
        <stp>FPT=A</stp>
        <stp>FA_ACT_EST_DATA=E, EST_SOURCE=MAC</stp>
        <stp>ACT_EST_MAPPING=PRECISE</stp>
        <stp>FS=MRC</stp>
        <stp>CURRENCY=USD</stp>
        <stp>XLFILL=b</stp>
        <tr r="AJ32" s="2"/>
      </tp>
      <tp t="s">
        <v/>
        <stp/>
        <stp>##V3_BQLV12</stp>
        <stp>[MODL_CRM_US1.xlsx]Single Period!R26C40</stp>
        <stp>SEG0000269247 Segment</stp>
        <stp>SALES_REV_TURN/1M</stp>
        <stp>FPR=2022Y</stp>
        <stp>FPT=A</stp>
        <stp>FA_ACT_EST_DATA=E, EST_SOURCE=ACC</stp>
        <stp>ACT_EST_MAPPING=PRECISE</stp>
        <stp>FS=MRC</stp>
        <stp>CURRENCY=USD</stp>
        <stp>XLFILL=b</stp>
        <tr r="AN26" s="2"/>
      </tp>
      <tp t="s">
        <v/>
        <stp/>
        <stp>##V3_BQLV12</stp>
        <stp>[MODL_CRM_US1.xlsx]Single Period!R27C16</stp>
        <stp>SEG0000269241 Segment</stp>
        <stp>SALES_REV_TURN/1M</stp>
        <stp>FPR=2022Y</stp>
        <stp>FPT=A</stp>
        <stp>FA_ACT_EST_DATA=E, EST_SOURCE=DBG</stp>
        <stp>ACT_EST_MAPPING=PRECISE</stp>
        <stp>FS=MRC</stp>
        <stp>CURRENCY=USD</stp>
        <stp>XLFILL=b</stp>
        <tr r="P27" s="2"/>
      </tp>
      <tp t="s">
        <v/>
        <stp/>
        <stp>##V3_BQLV12</stp>
        <stp>[MODL_CRM_US1.xlsx]Single Period!R26C13</stp>
        <stp>SEG0000269247 Segment</stp>
        <stp>SALES_REV_TURN/1M</stp>
        <stp>FPR=2022Y</stp>
        <stp>FPT=A</stp>
        <stp>FA_ACT_EST_DATA=E, EST_SOURCE=BCA</stp>
        <stp>ACT_EST_MAPPING=PRECISE</stp>
        <stp>FS=MRC</stp>
        <stp>CURRENCY=USD</stp>
        <stp>XLFILL=b</stp>
        <tr r="M26" s="2"/>
      </tp>
      <tp t="s">
        <v/>
        <stp/>
        <stp>##V3_BQLV12</stp>
        <stp>[MODL_CRM_US1.xlsx]Single Period!R56C30</stp>
        <stp>CRM US Equity</stp>
        <stp>IS_COMP_GROSS_MARGIN_PERCENTAGE</stp>
        <stp>FPR=2022Y</stp>
        <stp>FPT=A</stp>
        <stp>FA_ACT_EST_DATA=E, EST_SOURCE=BAM</stp>
        <stp>ACT_EST_MAPPING=PRECISE</stp>
        <stp>FS=MRC</stp>
        <stp>CURRENCY=USD</stp>
        <stp>XLFILL=b</stp>
        <tr r="AD56" s="2"/>
      </tp>
      <tp>
        <v>5.820156576566772</v>
        <stp/>
        <stp>##V3_BQLV12</stp>
        <stp>[MODL_CRM_US1.xlsx]Single Period!R183C21</stp>
        <stp>CRM US Equity</stp>
        <stp>CASH_FLOW_PER_SH</stp>
        <stp>FPR=2022Y</stp>
        <stp>FPT=A</stp>
        <stp>FA_ACT_EST_DATA=E, EST_SOURCE=RJA</stp>
        <stp>ACT_EST_MAPPING=PRECISE</stp>
        <stp>FS=MRC</stp>
        <stp>CURRENCY=USD</stp>
        <stp>XLFILL=b</stp>
        <tr r="U183" s="2"/>
      </tp>
      <tp>
        <v>78.5193965598814</v>
        <stp/>
        <stp>##V3_BQLV12</stp>
        <stp>[MODL_CRM_US1.xlsx]Single Period!R17C19</stp>
        <stp>CRM US Equity</stp>
        <stp>IS_COMP_GROSS_MARGIN_PERCENTAGE</stp>
        <stp>FPR=2022Y</stp>
        <stp>FPT=A</stp>
        <stp>FA_ACT_EST_DATA=E, EST_SOURCE=SCB</stp>
        <stp>ACT_EST_MAPPING=PRECISE</stp>
        <stp>FS=MRC</stp>
        <stp>CURRENCY=USD</stp>
        <stp>XLFILL=b</stp>
        <tr r="S17" s="2"/>
      </tp>
      <tp t="s">
        <v/>
        <stp/>
        <stp>##V3_BQLV12</stp>
        <stp>[MODL_CRM_US1.xlsx]Single Period!R17C30</stp>
        <stp>CRM US Equity</stp>
        <stp>IS_COMP_GROSS_MARGIN_PERCENTAGE</stp>
        <stp>FPR=2022Y</stp>
        <stp>FPT=A</stp>
        <stp>FA_ACT_EST_DATA=E, EST_SOURCE=BAM</stp>
        <stp>ACT_EST_MAPPING=PRECISE</stp>
        <stp>FS=MRC</stp>
        <stp>CURRENCY=USD</stp>
        <stp>XLFILL=b</stp>
        <tr r="AD17" s="2"/>
      </tp>
      <tp>
        <v>78.5193965598814</v>
        <stp/>
        <stp>##V3_BQLV12</stp>
        <stp>[MODL_CRM_US1.xlsx]Single Period!R56C19</stp>
        <stp>CRM US Equity</stp>
        <stp>IS_COMP_GROSS_MARGIN_PERCENTAGE</stp>
        <stp>FPR=2022Y</stp>
        <stp>FPT=A</stp>
        <stp>FA_ACT_EST_DATA=E, EST_SOURCE=SCB</stp>
        <stp>ACT_EST_MAPPING=PRECISE</stp>
        <stp>FS=MRC</stp>
        <stp>CURRENCY=USD</stp>
        <stp>XLFILL=b</stp>
        <tr r="S56" s="2"/>
      </tp>
      <tp t="s">
        <v/>
        <stp/>
        <stp>##V3_BQLV12</stp>
        <stp>[MODL_CRM_US1.xlsx]Single Period!R82C52</stp>
        <stp>CRM US Equity</stp>
        <stp>OPERATING_EXPENSES_TO_NET_SALES</stp>
        <stp>FPR=2022Y</stp>
        <stp>FPT=A</stp>
        <stp>FA_ACT_EST_DATA=E, EST_SOURCE=WFR</stp>
        <stp>ACT_EST_MAPPING=PRECISE</stp>
        <stp>FS=MRC</stp>
        <stp>CURRENCY=USD</stp>
        <stp>XLFILL=b</stp>
        <tr r="AZ82" s="2"/>
      </tp>
      <tp t="s">
        <v/>
        <stp/>
        <stp>##V3_BQLV12</stp>
        <stp>[MODL_CRM_US1.xlsx]Single Period!R56C36</stp>
        <stp>CRM US Equity</stp>
        <stp>IS_COMP_GROSS_MARGIN_PERCENTAGE</stp>
        <stp>FPR=2022Y</stp>
        <stp>FPT=A</stp>
        <stp>FA_ACT_EST_DATA=E, EST_SOURCE=MAC</stp>
        <stp>ACT_EST_MAPPING=PRECISE</stp>
        <stp>FS=MRC</stp>
        <stp>CURRENCY=USD</stp>
        <stp>XLFILL=b</stp>
        <tr r="AJ56" s="2"/>
      </tp>
      <tp>
        <v>78.751504198778505</v>
        <stp/>
        <stp>##V3_BQLV12</stp>
        <stp>[MODL_CRM_US1.xlsx]Single Period!R17C13</stp>
        <stp>CRM US Equity</stp>
        <stp>IS_COMP_GROSS_MARGIN_PERCENTAGE</stp>
        <stp>FPR=2022Y</stp>
        <stp>FPT=A</stp>
        <stp>FA_ACT_EST_DATA=E, EST_SOURCE=BCA</stp>
        <stp>ACT_EST_MAPPING=PRECISE</stp>
        <stp>FS=MRC</stp>
        <stp>CURRENCY=USD</stp>
        <stp>XLFILL=b</stp>
        <tr r="M17" s="2"/>
      </tp>
      <tp t="s">
        <v/>
        <stp/>
        <stp>##V3_BQLV12</stp>
        <stp>[MODL_CRM_US1.xlsx]Single Period!R17C36</stp>
        <stp>CRM US Equity</stp>
        <stp>IS_COMP_GROSS_MARGIN_PERCENTAGE</stp>
        <stp>FPR=2022Y</stp>
        <stp>FPT=A</stp>
        <stp>FA_ACT_EST_DATA=E, EST_SOURCE=MAC</stp>
        <stp>ACT_EST_MAPPING=PRECISE</stp>
        <stp>FS=MRC</stp>
        <stp>CURRENCY=USD</stp>
        <stp>XLFILL=b</stp>
        <tr r="AJ17" s="2"/>
      </tp>
      <tp>
        <v>78.751504198778505</v>
        <stp/>
        <stp>##V3_BQLV12</stp>
        <stp>[MODL_CRM_US1.xlsx]Single Period!R56C13</stp>
        <stp>CRM US Equity</stp>
        <stp>IS_COMP_GROSS_MARGIN_PERCENTAGE</stp>
        <stp>FPR=2022Y</stp>
        <stp>FPT=A</stp>
        <stp>FA_ACT_EST_DATA=E, EST_SOURCE=BCA</stp>
        <stp>ACT_EST_MAPPING=PRECISE</stp>
        <stp>FS=MRC</stp>
        <stp>CURRENCY=USD</stp>
        <stp>XLFILL=b</stp>
        <tr r="M56" s="2"/>
      </tp>
      <tp>
        <v>5.1787575279417144</v>
        <stp/>
        <stp>##V3_BQLV12</stp>
        <stp>[MODL_CRM_US1.xlsx]Single Period!R183C33</stp>
        <stp>CRM US Equity</stp>
        <stp>CASH_FLOW_PER_SH</stp>
        <stp>FPR=2022Y</stp>
        <stp>FPT=A</stp>
        <stp>FA_ACT_EST_DATA=E, EST_SOURCE=RHR</stp>
        <stp>ACT_EST_MAPPING=PRECISE</stp>
        <stp>FS=MRC</stp>
        <stp>CURRENCY=USD</stp>
        <stp>XLFILL=b</stp>
        <tr r="AG183" s="2"/>
      </tp>
      <tp t="s">
        <v/>
        <stp/>
        <stp>##V3_BQLV12</stp>
        <stp>[MODL_CRM_US1.xlsx]Single Period!R82C16</stp>
        <stp>CRM US Equity</stp>
        <stp>OPERATING_EXPENSES_TO_NET_SALES</stp>
        <stp>FPR=2022Y</stp>
        <stp>FPT=A</stp>
        <stp>FA_ACT_EST_DATA=E, EST_SOURCE=DBG</stp>
        <stp>ACT_EST_MAPPING=PRECISE</stp>
        <stp>FS=MRC</stp>
        <stp>CURRENCY=USD</stp>
        <stp>XLFILL=b</stp>
        <tr r="P82" s="2"/>
      </tp>
      <tp t="s">
        <v/>
        <stp/>
        <stp>##V3_BQLV12</stp>
        <stp>[MODL_CRM_US1.xlsx]Single Period!R17C47</stp>
        <stp>CRM US Equity</stp>
        <stp>IS_COMP_GROSS_MARGIN_PERCENTAGE</stp>
        <stp>FPR=2022Y</stp>
        <stp>FPT=A</stp>
        <stp>FA_ACT_EST_DATA=E, EST_SOURCE=WFT</stp>
        <stp>ACT_EST_MAPPING=PRECISE</stp>
        <stp>FS=MRC</stp>
        <stp>CURRENCY=USD</stp>
        <stp>XLFILL=b</stp>
        <tr r="AU17" s="2"/>
      </tp>
      <tp t="s">
        <v/>
        <stp/>
        <stp>##V3_BQLV12</stp>
        <stp>[MODL_CRM_US1.xlsx]Single Period!R82C49</stp>
        <stp>CRM US Equity</stp>
        <stp>OPERATING_EXPENSES_TO_NET_SALES</stp>
        <stp>FPR=2022Y</stp>
        <stp>FPT=A</stp>
        <stp>FA_ACT_EST_DATA=E, EST_SOURCE=SGE</stp>
        <stp>ACT_EST_MAPPING=PRECISE</stp>
        <stp>FS=MRC</stp>
        <stp>CURRENCY=USD</stp>
        <stp>XLFILL=b</stp>
        <tr r="AW82" s="2"/>
      </tp>
      <tp t="s">
        <v/>
        <stp/>
        <stp>##V3_BQLV12</stp>
        <stp>[MODL_CRM_US1.xlsx]Single Period!R82C11</stp>
        <stp>CRM US Equity</stp>
        <stp>OPERATING_EXPENSES_TO_NET_SALES</stp>
        <stp>FPR=2022Y</stp>
        <stp>FPT=A</stp>
        <stp>FA_ACT_EST_DATA=E, EST_SOURCE=WBL</stp>
        <stp>ACT_EST_MAPPING=PRECISE</stp>
        <stp>FS=MRC</stp>
        <stp>CURRENCY=USD</stp>
        <stp>XLFILL=b</stp>
        <tr r="K82" s="2"/>
      </tp>
      <tp t="s">
        <v>Mizuho Securities</v>
        <stp/>
        <stp>##V3_BQLV12</stp>
        <stp>[MODL_CRM_US1.xlsx]Single Period!R3C50</stp>
        <stp>CRM US Equity</stp>
        <stp>LAST(IS_COMP_SALES(FA_ACT_EST_DATA=E, EST_SOURCE=MZS).firm_name)</stp>
        <stp>FPR=2022Y</stp>
        <stp>FPT=A</stp>
        <stp>ACT_EST_MAPPING=PRECISE</stp>
        <stp>FS=MRC</stp>
        <stp>CURRENCY=USD</stp>
        <stp>XLFILL=b</stp>
        <tr r="AX3" s="2"/>
      </tp>
      <tp t="s">
        <v/>
        <stp/>
        <stp>##V3_BQLV12</stp>
        <stp>[MODL_CRM_US1.xlsx]Single Period!R56C47</stp>
        <stp>CRM US Equity</stp>
        <stp>IS_COMP_GROSS_MARGIN_PERCENTAGE</stp>
        <stp>FPR=2022Y</stp>
        <stp>FPT=A</stp>
        <stp>FA_ACT_EST_DATA=E, EST_SOURCE=WFT</stp>
        <stp>ACT_EST_MAPPING=PRECISE</stp>
        <stp>FS=MRC</stp>
        <stp>CURRENCY=USD</stp>
        <stp>XLFILL=b</stp>
        <tr r="AU56" s="2"/>
      </tp>
      <tp t="s">
        <v/>
        <stp/>
        <stp>##V3_BQLV12</stp>
        <stp>[MODL_CRM_US1.xlsx]Single Period!R99C10</stp>
        <stp>CRM US Equity</stp>
        <stp>IS_SBC_NON_GAAP/1M</stp>
        <stp>FPR=2022Y</stp>
        <stp>FPT=A</stp>
        <stp>FA_ACT_EST_DATA=E, EST_SOURCE=CMPY</stp>
        <stp>ACT_EST_MAPPING=PRECISE</stp>
        <stp>FS=MRC</stp>
        <stp>CURRENCY=USD</stp>
        <stp>XLFILL=b</stp>
        <tr r="J99" s="2"/>
      </tp>
      <tp>
        <v>3980.5522159055045</v>
        <stp/>
        <stp>##V3_BQLV12</stp>
        <stp>[MODL_CRM_US1.xlsx]Single Period!R120C5</stp>
        <stp>CRM US Equity</stp>
        <stp>BS_LONG_TERM_INVESTMENTS/1M</stp>
        <stp>FPR=2022Y</stp>
        <stp>FPT=A</stp>
        <stp>FA_ACT_EST_DATA=E</stp>
        <stp>ACT_EST_MAPPING=PRECISE</stp>
        <stp>FS=MRC</stp>
        <stp>CURRENCY=USD</stp>
        <stp>XLFILL=b</stp>
        <tr r="E120" s="2"/>
      </tp>
      <tp t="s">
        <v/>
        <stp/>
        <stp>##V3_BQLV12</stp>
        <stp>[MODL_CRM_US1.xlsx]Single Period!R189C51</stp>
        <stp>CRM US Equity</stp>
        <stp>CF_CASH_AND_CASH_EQUIV_BEG_BAL/1M</stp>
        <stp>FPR=2022Y</stp>
        <stp>FPT=A</stp>
        <stp>FA_ACT_EST_DATA=E, EST_SOURCE=RCP</stp>
        <stp>ACT_EST_MAPPING=PRECISE</stp>
        <stp>FS=MRC</stp>
        <stp>CURRENCY=USD</stp>
        <stp>XLFILL=b</stp>
        <tr r="AY189" s="2"/>
      </tp>
      <tp t="s">
        <v/>
        <stp/>
        <stp>##V3_BQLV12</stp>
        <stp>[MODL_CRM_US1.xlsx]Single Period!R165C49</stp>
        <stp>CRM US Equity</stp>
        <stp>CF_CHG_IN_DEFER_UNEARND_REV_ST/1M</stp>
        <stp>FPR=2022Y</stp>
        <stp>FPT=A</stp>
        <stp>FA_ACT_EST_DATA=E, EST_SOURCE=SGE</stp>
        <stp>ACT_EST_MAPPING=PRECISE</stp>
        <stp>FS=MRC</stp>
        <stp>CURRENCY=USD</stp>
        <stp>XLFILL=b</stp>
        <tr r="AW165" s="2"/>
      </tp>
      <tp t="s">
        <v/>
        <stp/>
        <stp>##V3_BQLV12</stp>
        <stp>[MODL_CRM_US1.xlsx]Single Period!R165C39</stp>
        <stp>CRM US Equity</stp>
        <stp>CF_CHG_IN_DEFER_UNEARND_REV_ST/1M</stp>
        <stp>FPR=2022Y</stp>
        <stp>FPT=A</stp>
        <stp>FA_ACT_EST_DATA=E, EST_SOURCE=KGI</stp>
        <stp>ACT_EST_MAPPING=PRECISE</stp>
        <stp>FS=MRC</stp>
        <stp>CURRENCY=USD</stp>
        <stp>XLFILL=b</stp>
        <tr r="AM165" s="2"/>
      </tp>
      <tp>
        <v>6194.9999999999991</v>
        <stp/>
        <stp>##V3_BQLV12</stp>
        <stp>[MODL_CRM_US1.xlsx]Single Period!R189C13</stp>
        <stp>CRM US Equity</stp>
        <stp>CF_CASH_AND_CASH_EQUIV_BEG_BAL/1M</stp>
        <stp>FPR=2022Y</stp>
        <stp>FPT=A</stp>
        <stp>FA_ACT_EST_DATA=E, EST_SOURCE=BCA</stp>
        <stp>ACT_EST_MAPPING=PRECISE</stp>
        <stp>FS=MRC</stp>
        <stp>CURRENCY=USD</stp>
        <stp>XLFILL=b</stp>
        <tr r="M189" s="2"/>
      </tp>
      <tp t="s">
        <v/>
        <stp/>
        <stp>##V3_BQLV12</stp>
        <stp>[MODL_CRM_US1.xlsx]Single Period!R188C35</stp>
        <stp>CRM US Equity</stp>
        <stp>BS_CASH_NEAR_CASH_ITEM/1M</stp>
        <stp>FPR=2022Y</stp>
        <stp>FPT=A</stp>
        <stp>FA_ACT_EST_DATA=E, EST_SOURCE=ATL</stp>
        <stp>ACT_EST_MAPPING=PRECISE</stp>
        <stp>FS=MRC</stp>
        <stp>CURRENCY=USD</stp>
        <stp>XLFILL=b</stp>
        <tr r="AI188" s="2"/>
      </tp>
      <tp t="s">
        <v/>
        <stp/>
        <stp>##V3_BQLV12</stp>
        <stp>[MODL_CRM_US1.xlsx]Single Period!R189C40</stp>
        <stp>CRM US Equity</stp>
        <stp>CF_CASH_AND_CASH_EQUIV_BEG_BAL/1M</stp>
        <stp>FPR=2022Y</stp>
        <stp>FPT=A</stp>
        <stp>FA_ACT_EST_DATA=E, EST_SOURCE=ACC</stp>
        <stp>ACT_EST_MAPPING=PRECISE</stp>
        <stp>FS=MRC</stp>
        <stp>CURRENCY=USD</stp>
        <stp>XLFILL=b</stp>
        <tr r="AN189" s="2"/>
      </tp>
      <tp t="s">
        <v/>
        <stp/>
        <stp>##V3_BQLV12</stp>
        <stp>[MODL_CRM_US1.xlsx]Single Period!R189C19</stp>
        <stp>CRM US Equity</stp>
        <stp>CF_CASH_AND_CASH_EQUIV_BEG_BAL/1M</stp>
        <stp>FPR=2022Y</stp>
        <stp>FPT=A</stp>
        <stp>FA_ACT_EST_DATA=E, EST_SOURCE=SCB</stp>
        <stp>ACT_EST_MAPPING=PRECISE</stp>
        <stp>FS=MRC</stp>
        <stp>CURRENCY=USD</stp>
        <stp>XLFILL=b</stp>
        <tr r="S189" s="2"/>
      </tp>
      <tp t="s">
        <v/>
        <stp/>
        <stp>##V3_BQLV12</stp>
        <stp>[MODL_CRM_US1.xlsx]Single Period!R188C46</stp>
        <stp>CRM US Equity</stp>
        <stp>BS_CASH_NEAR_CASH_ITEM/1M</stp>
        <stp>FPR=2022Y</stp>
        <stp>FPT=A</stp>
        <stp>FA_ACT_EST_DATA=E, EST_SOURCE=CTI</stp>
        <stp>ACT_EST_MAPPING=PRECISE</stp>
        <stp>FS=MRC</stp>
        <stp>CURRENCY=USD</stp>
        <stp>XLFILL=b</stp>
        <tr r="AT188" s="2"/>
      </tp>
      <tp t="s">
        <v/>
        <stp/>
        <stp>##V3_BQLV12</stp>
        <stp>[MODL_CRM_US1.xlsx]Single Period!R189C27</stp>
        <stp>CRM US Equity</stp>
        <stp>CF_CASH_AND_CASH_EQUIV_BEG_BAL/1M</stp>
        <stp>FPR=2022Y</stp>
        <stp>FPT=A</stp>
        <stp>FA_ACT_EST_DATA=E, EST_SOURCE=LCM</stp>
        <stp>ACT_EST_MAPPING=PRECISE</stp>
        <stp>FS=MRC</stp>
        <stp>CURRENCY=USD</stp>
        <stp>XLFILL=b</stp>
        <tr r="AA189" s="2"/>
      </tp>
      <tp>
        <v>1135.4349</v>
        <stp/>
        <stp>##V3_BQLV12</stp>
        <stp>[MODL_CRM_US1.xlsx]Single Period!R102C24</stp>
        <stp>CRM US Equity</stp>
        <stp>IS_SBC_ATT_TO_S_AND_M_PRETX/1M</stp>
        <stp>FPR=2022Y</stp>
        <stp>FPT=A</stp>
        <stp>FA_ACT_EST_DATA=E, EST_SOURCE=FBC</stp>
        <stp>ACT_EST_MAPPING=PRECISE</stp>
        <stp>FS=MRC</stp>
        <stp>CURRENCY=USD</stp>
        <stp>XLFILL=b</stp>
        <tr r="X102" s="2"/>
      </tp>
      <tp t="s">
        <v/>
        <stp/>
        <stp>##V3_BQLV12</stp>
        <stp>[MODL_CRM_US1.xlsx]Single Period!R100C51</stp>
        <stp>CRM US Equity</stp>
        <stp>IS_SBC_ATTRIB_TO_COGS_PRETX/1M</stp>
        <stp>FPR=2022Y</stp>
        <stp>FPT=A</stp>
        <stp>FA_ACT_EST_DATA=E, EST_SOURCE=RCP</stp>
        <stp>ACT_EST_MAPPING=PRECISE</stp>
        <stp>FS=MRC</stp>
        <stp>CURRENCY=USD</stp>
        <stp>XLFILL=b</stp>
        <tr r="AY100" s="2"/>
      </tp>
      <tp t="s">
        <v/>
        <stp/>
        <stp>##V3_BQLV12</stp>
        <stp>[MODL_CRM_US1.xlsx]Single Period!R102C31</stp>
        <stp>CRM US Equity</stp>
        <stp>IS_SBC_ATT_TO_S_AND_M_PRETX/1M</stp>
        <stp>FPR=2022Y</stp>
        <stp>FPT=A</stp>
        <stp>FA_ACT_EST_DATA=E, EST_SOURCE=RBC</stp>
        <stp>ACT_EST_MAPPING=PRECISE</stp>
        <stp>FS=MRC</stp>
        <stp>CURRENCY=USD</stp>
        <stp>XLFILL=b</stp>
        <tr r="AE102" s="2"/>
      </tp>
      <tp t="s">
        <v/>
        <stp/>
        <stp>##V3_BQLV12</stp>
        <stp>[MODL_CRM_US1.xlsx]Single Period!R73C45</stp>
        <stp>CRM US Equity</stp>
        <stp>IS_SH_FOR_DILUTED_EPS/1M</stp>
        <stp>FPR=2022Y</stp>
        <stp>FPT=A</stp>
        <stp>FA_ACT_EST_DATA=E, EST_SOURCE=ARG</stp>
        <stp>ACT_EST_MAPPING=PRECISE</stp>
        <stp>FS=MRC</stp>
        <stp>CURRENCY=USD</stp>
        <stp>XLFILL=b</stp>
        <tr r="AS73" s="2"/>
      </tp>
      <tp t="s">
        <v/>
        <stp/>
        <stp>##V3_BQLV12</stp>
        <stp>[MODL_CRM_US1.xlsx]Single Period!R130C21</stp>
        <stp>CRM US Equity</stp>
        <stp>BS_ST_OPERATING_LEASE_LIABS/1M</stp>
        <stp>FPR=2022Y</stp>
        <stp>FPT=A</stp>
        <stp>FA_ACT_EST_DATA=E, EST_SOURCE=RJA</stp>
        <stp>ACT_EST_MAPPING=PRECISE</stp>
        <stp>FS=MRC</stp>
        <stp>CURRENCY=USD</stp>
        <stp>XLFILL=b</stp>
        <tr r="U130" s="2"/>
      </tp>
      <tp t="s">
        <v/>
        <stp/>
        <stp>##V3_BQLV12</stp>
        <stp>[MODL_CRM_US1.xlsx]Single Period!R130C48</stp>
        <stp>CRM US Equity</stp>
        <stp>BS_ST_OPERATING_LEASE_LIABS/1M</stp>
        <stp>FPR=2022Y</stp>
        <stp>FPT=A</stp>
        <stp>FA_ACT_EST_DATA=E, EST_SOURCE=PJE</stp>
        <stp>ACT_EST_MAPPING=PRECISE</stp>
        <stp>FS=MRC</stp>
        <stp>CURRENCY=USD</stp>
        <stp>XLFILL=b</stp>
        <tr r="AV130" s="2"/>
      </tp>
      <tp>
        <v>1133</v>
        <stp/>
        <stp>##V3_BQLV12</stp>
        <stp>[MODL_CRM_US1.xlsx]Single Period!R102C16</stp>
        <stp>CRM US Equity</stp>
        <stp>IS_SBC_ATT_TO_S_AND_M_PRETX/1M</stp>
        <stp>FPR=2022Y</stp>
        <stp>FPT=A</stp>
        <stp>FA_ACT_EST_DATA=E, EST_SOURCE=DBG</stp>
        <stp>ACT_EST_MAPPING=PRECISE</stp>
        <stp>FS=MRC</stp>
        <stp>CURRENCY=USD</stp>
        <stp>XLFILL=b</stp>
        <tr r="P102" s="2"/>
      </tp>
      <tp t="s">
        <v/>
        <stp/>
        <stp>##V3_BQLV12</stp>
        <stp>[MODL_CRM_US1.xlsx]Single Period!R117C33</stp>
        <stp>CRM US Equity</stp>
        <stp>BS_TOTAL_NON_CURRENT_ASSETS/1M</stp>
        <stp>FPR=2022Y</stp>
        <stp>FPT=A</stp>
        <stp>FA_ACT_EST_DATA=E, EST_SOURCE=RHR</stp>
        <stp>ACT_EST_MAPPING=PRECISE</stp>
        <stp>FS=MRC</stp>
        <stp>CURRENCY=USD</stp>
        <stp>XLFILL=b</stp>
        <tr r="AG117" s="2"/>
      </tp>
      <tp t="s">
        <v/>
        <stp/>
        <stp>##V3_BQLV12</stp>
        <stp>[MODL_CRM_US1.xlsx]Single Period!R110C37</stp>
        <stp>CRM US Equity</stp>
        <stp>BS_CUR_ASSET_REPORT/1M</stp>
        <stp>FPR=2022Y</stp>
        <stp>FPT=A</stp>
        <stp>FA_ACT_EST_DATA=E, EST_SOURCE=EVR</stp>
        <stp>ACT_EST_MAPPING=PRECISE</stp>
        <stp>FS=MRC</stp>
        <stp>CURRENCY=USD</stp>
        <stp>XLFILL=b</stp>
        <tr r="AK110" s="2"/>
      </tp>
      <tp t="s">
        <v/>
        <stp/>
        <stp>##V3_BQLV12</stp>
        <stp>[MODL_CRM_US1.xlsx]Single Period!R93C46</stp>
        <stp>CRM US Equity</stp>
        <stp>IS_AVG_NUM_SH_FOR_EPS/1M</stp>
        <stp>FPR=2022Y</stp>
        <stp>FPT=A</stp>
        <stp>FA_ACT_EST_DATA=E, EST_SOURCE=CTI</stp>
        <stp>ACT_EST_MAPPING=PRECISE</stp>
        <stp>FS=MRC</stp>
        <stp>CURRENCY=USD</stp>
        <stp>XLFILL=b</stp>
        <tr r="AT93" s="2"/>
      </tp>
      <tp t="s">
        <v/>
        <stp/>
        <stp>##V3_BQLV12</stp>
        <stp>[MODL_CRM_US1.xlsx]Single Period!R102C11</stp>
        <stp>CRM US Equity</stp>
        <stp>IS_SBC_ATT_TO_S_AND_M_PRETX/1M</stp>
        <stp>FPR=2022Y</stp>
        <stp>FPT=A</stp>
        <stp>FA_ACT_EST_DATA=E, EST_SOURCE=WBL</stp>
        <stp>ACT_EST_MAPPING=PRECISE</stp>
        <stp>FS=MRC</stp>
        <stp>CURRENCY=USD</stp>
        <stp>XLFILL=b</stp>
        <tr r="K102" s="2"/>
      </tp>
      <tp t="s">
        <v/>
        <stp/>
        <stp>##V3_BQLV12</stp>
        <stp>[MODL_CRM_US1.xlsx]Single Period!R162C21</stp>
        <stp>CRM US Equity</stp>
        <stp>CF_CHANGE_IN_PREPAID_EXPNSS/1M</stp>
        <stp>FPR=2022Y</stp>
        <stp>FPT=A</stp>
        <stp>FA_ACT_EST_DATA=E, EST_SOURCE=RJA</stp>
        <stp>ACT_EST_MAPPING=PRECISE</stp>
        <stp>FS=MRC</stp>
        <stp>CURRENCY=USD</stp>
        <stp>XLFILL=b</stp>
        <tr r="U162" s="2"/>
      </tp>
      <tp t="s">
        <v/>
        <stp/>
        <stp>##V3_BQLV12</stp>
        <stp>[MODL_CRM_US1.xlsx]Single Period!R14C37</stp>
        <stp>CRM US Equity</stp>
        <stp>NON_CURRENT_FUTURE_REV_UNDER_CONTRACT/1M</stp>
        <stp>FPR=2022Y</stp>
        <stp>FPT=A</stp>
        <stp>FA_ACT_EST_DATA=E, EST_SOURCE=EVR</stp>
        <stp>ACT_EST_MAPPING=PRECISE</stp>
        <stp>FS=MRC</stp>
        <stp>CURRENCY=USD</stp>
        <stp>XLFILL=b</stp>
        <tr r="AK14" s="2"/>
      </tp>
      <tp t="s">
        <v/>
        <stp/>
        <stp>##V3_BQLV12</stp>
        <stp>[MODL_CRM_US1.xlsx]Single Period!R162C48</stp>
        <stp>CRM US Equity</stp>
        <stp>CF_CHANGE_IN_PREPAID_EXPNSS/1M</stp>
        <stp>FPR=2022Y</stp>
        <stp>FPT=A</stp>
        <stp>FA_ACT_EST_DATA=E, EST_SOURCE=PJE</stp>
        <stp>ACT_EST_MAPPING=PRECISE</stp>
        <stp>FS=MRC</stp>
        <stp>CURRENCY=USD</stp>
        <stp>XLFILL=b</stp>
        <tr r="AV162" s="2"/>
      </tp>
      <tp t="s">
        <v/>
        <stp/>
        <stp>##V3_BQLV12</stp>
        <stp>[MODL_CRM_US1.xlsx]Single Period!R14C35</stp>
        <stp>CRM US Equity</stp>
        <stp>NON_CURRENT_FUTURE_REV_UNDER_CONTRACT/1M</stp>
        <stp>FPR=2022Y</stp>
        <stp>FPT=A</stp>
        <stp>FA_ACT_EST_DATA=E, EST_SOURCE=ATL</stp>
        <stp>ACT_EST_MAPPING=PRECISE</stp>
        <stp>FS=MRC</stp>
        <stp>CURRENCY=USD</stp>
        <stp>XLFILL=b</stp>
        <tr r="AI14" s="2"/>
      </tp>
      <tp>
        <v>26398</v>
        <stp/>
        <stp>##V3_BQLV12</stp>
        <stp>[MODL_CRM_US1.xlsx]Single Period!R52C38</stp>
        <stp>CRM US Equity</stp>
        <stp>IS_COMP_SALES/1M</stp>
        <stp>FPR=2022Y</stp>
        <stp>FPT=A</stp>
        <stp>FA_ACT_EST_DATA=E, EST_SOURCE=MSR</stp>
        <stp>ACT_EST_MAPPING=PRECISE</stp>
        <stp>FS=MRC</stp>
        <stp>CURRENCY=USD</stp>
        <stp>XLFILL=b</stp>
        <tr r="AL52" s="2"/>
      </tp>
      <tp t="s">
        <v/>
        <stp/>
        <stp>##V3_BQLV12</stp>
        <stp>[MODL_CRM_US1.xlsx]Single Period!R12C20</stp>
        <stp>CRM US Equity</stp>
        <stp>TOT_FUTURE_REV_UNDER_CONTRACT/1M</stp>
        <stp>FPR=2022Y</stp>
        <stp>FPT=A</stp>
        <stp>FA_ACT_EST_DATA=E, EST_SOURCE=JMP</stp>
        <stp>ACT_EST_MAPPING=PRECISE</stp>
        <stp>FS=MRC</stp>
        <stp>CURRENCY=USD</stp>
        <stp>XLFILL=b</stp>
        <tr r="T12" s="2"/>
      </tp>
      <tp t="s">
        <v/>
        <stp/>
        <stp>##V3_BQLV12</stp>
        <stp>[MODL_CRM_US1.xlsx]Single Period!R102C32</stp>
        <stp>CRM US Equity</stp>
        <stp>IS_SBC_ATT_TO_S_AND_M_PRETX/1M</stp>
        <stp>FPR=2022Y</stp>
        <stp>FPT=A</stp>
        <stp>FA_ACT_EST_DATA=E, EST_SOURCE=UBS</stp>
        <stp>ACT_EST_MAPPING=PRECISE</stp>
        <stp>FS=MRC</stp>
        <stp>CURRENCY=USD</stp>
        <stp>XLFILL=b</stp>
        <tr r="AF102" s="2"/>
      </tp>
      <tp t="s">
        <v/>
        <stp/>
        <stp>##V3_BQLV12</stp>
        <stp>[MODL_CRM_US1.xlsx]Single Period!R100C40</stp>
        <stp>CRM US Equity</stp>
        <stp>IS_SBC_ATTRIB_TO_COGS_PRETX/1M</stp>
        <stp>FPR=2022Y</stp>
        <stp>FPT=A</stp>
        <stp>FA_ACT_EST_DATA=E, EST_SOURCE=ACC</stp>
        <stp>ACT_EST_MAPPING=PRECISE</stp>
        <stp>FS=MRC</stp>
        <stp>CURRENCY=USD</stp>
        <stp>XLFILL=b</stp>
        <tr r="AN100" s="2"/>
      </tp>
      <tp>
        <v>380</v>
        <stp/>
        <stp>##V3_BQLV12</stp>
        <stp>[MODL_CRM_US1.xlsx]Single Period!R100C13</stp>
        <stp>CRM US Equity</stp>
        <stp>IS_SBC_ATTRIB_TO_COGS_PRETX/1M</stp>
        <stp>FPR=2022Y</stp>
        <stp>FPT=A</stp>
        <stp>FA_ACT_EST_DATA=E, EST_SOURCE=BCA</stp>
        <stp>ACT_EST_MAPPING=PRECISE</stp>
        <stp>FS=MRC</stp>
        <stp>CURRENCY=USD</stp>
        <stp>XLFILL=b</stp>
        <tr r="M100" s="2"/>
      </tp>
      <tp t="s">
        <v/>
        <stp/>
        <stp>##V3_BQLV12</stp>
        <stp>[MODL_CRM_US1.xlsx]Single Period!R114C21</stp>
        <stp>CRM US Equity</stp>
        <stp>BS_ACCTS_REC_EXCL_NOTES_REC/1M</stp>
        <stp>FPR=2022Y</stp>
        <stp>FPT=A</stp>
        <stp>FA_ACT_EST_DATA=E, EST_SOURCE=RJA</stp>
        <stp>ACT_EST_MAPPING=PRECISE</stp>
        <stp>FS=MRC</stp>
        <stp>CURRENCY=USD</stp>
        <stp>XLFILL=b</stp>
        <tr r="U114" s="2"/>
      </tp>
      <tp t="s">
        <v/>
        <stp/>
        <stp>##V3_BQLV12</stp>
        <stp>[MODL_CRM_US1.xlsx]Single Period!R114C48</stp>
        <stp>CRM US Equity</stp>
        <stp>BS_ACCTS_REC_EXCL_NOTES_REC/1M</stp>
        <stp>FPR=2022Y</stp>
        <stp>FPT=A</stp>
        <stp>FA_ACT_EST_DATA=E, EST_SOURCE=PJE</stp>
        <stp>ACT_EST_MAPPING=PRECISE</stp>
        <stp>FS=MRC</stp>
        <stp>CURRENCY=USD</stp>
        <stp>XLFILL=b</stp>
        <tr r="AV114" s="2"/>
      </tp>
      <tp t="s">
        <v/>
        <stp/>
        <stp>##V3_BQLV12</stp>
        <stp>[MODL_CRM_US1.xlsx]Single Period!R93C41</stp>
        <stp>CRM US Equity</stp>
        <stp>IS_AVG_NUM_SH_FOR_EPS/1M</stp>
        <stp>FPR=2022Y</stp>
        <stp>FPT=A</stp>
        <stp>FA_ACT_EST_DATA=E, EST_SOURCE=GSR</stp>
        <stp>ACT_EST_MAPPING=PRECISE</stp>
        <stp>FS=MRC</stp>
        <stp>CURRENCY=USD</stp>
        <stp>XLFILL=b</stp>
        <tr r="AO93" s="2"/>
      </tp>
      <tp>
        <v>2967</v>
        <stp/>
        <stp>##V3_BQLV12</stp>
        <stp>[MODL_CRM_US1.xlsx]Single Period!R63C20</stp>
        <stp>CRM US Equity</stp>
        <stp>CF_DEPR_AMORT/1M</stp>
        <stp>FPR=2022Y</stp>
        <stp>FPT=A</stp>
        <stp>FA_ACT_EST_DATA=E, EST_SOURCE=JMP</stp>
        <stp>ACT_EST_MAPPING=PRECISE</stp>
        <stp>FS=MRC</stp>
        <stp>CURRENCY=USD</stp>
        <stp>XLFILL=b</stp>
        <tr r="T63" s="2"/>
      </tp>
      <tp t="s">
        <v/>
        <stp/>
        <stp>##V3_BQLV12</stp>
        <stp>[MODL_CRM_US1.xlsx]Single Period!R100C19</stp>
        <stp>CRM US Equity</stp>
        <stp>IS_SBC_ATTRIB_TO_COGS_PRETX/1M</stp>
        <stp>FPR=2022Y</stp>
        <stp>FPT=A</stp>
        <stp>FA_ACT_EST_DATA=E, EST_SOURCE=SCB</stp>
        <stp>ACT_EST_MAPPING=PRECISE</stp>
        <stp>FS=MRC</stp>
        <stp>CURRENCY=USD</stp>
        <stp>XLFILL=b</stp>
        <tr r="S100" s="2"/>
      </tp>
      <tp t="s">
        <v/>
        <stp/>
        <stp>##V3_BQLV12</stp>
        <stp>[MODL_CRM_US1.xlsx]Single Period!R68C45</stp>
        <stp>CRM US Equity</stp>
        <stp>IS_COMP_PTP_EX_STK_BASED_COMP/1M</stp>
        <stp>FPR=2022Y</stp>
        <stp>FPT=A</stp>
        <stp>FA_ACT_EST_DATA=E, EST_SOURCE=ARG</stp>
        <stp>ACT_EST_MAPPING=PRECISE</stp>
        <stp>FS=MRC</stp>
        <stp>CURRENCY=USD</stp>
        <stp>XLFILL=b</stp>
        <tr r="AS68" s="2"/>
      </tp>
      <tp t="s">
        <v/>
        <stp/>
        <stp>##V3_BQLV12</stp>
        <stp>[MODL_CRM_US1.xlsx]Single Period!R134C48</stp>
        <stp>CRM US Equity</stp>
        <stp>BS_LT_OPERATING_LEASE_LIABS/1M</stp>
        <stp>FPR=2022Y</stp>
        <stp>FPT=A</stp>
        <stp>FA_ACT_EST_DATA=E, EST_SOURCE=PJE</stp>
        <stp>ACT_EST_MAPPING=PRECISE</stp>
        <stp>FS=MRC</stp>
        <stp>CURRENCY=USD</stp>
        <stp>XLFILL=b</stp>
        <tr r="AV134" s="2"/>
      </tp>
      <tp t="s">
        <v/>
        <stp/>
        <stp>##V3_BQLV12</stp>
        <stp>[MODL_CRM_US1.xlsx]Single Period!R146C50</stp>
        <stp>CRM US Equity</stp>
        <stp>CUR_RATIO</stp>
        <stp>FPR=2022Y</stp>
        <stp>FPT=A</stp>
        <stp>FA_ACT_EST_DATA=E, EST_SOURCE=MZS</stp>
        <stp>ACT_EST_MAPPING=PRECISE</stp>
        <stp>FS=MRC</stp>
        <stp>CURRENCY=USD</stp>
        <stp>XLFILL=b</stp>
        <tr r="AX146" s="2"/>
      </tp>
      <tp t="s">
        <v/>
        <stp/>
        <stp>##V3_BQLV12</stp>
        <stp>[MODL_CRM_US1.xlsx]Single Period!R14C42</stp>
        <stp>CRM US Equity</stp>
        <stp>NON_CURRENT_FUTURE_REV_UNDER_CONTRACT/1M</stp>
        <stp>FPR=2022Y</stp>
        <stp>FPT=A</stp>
        <stp>FA_ACT_EST_DATA=E, EST_SOURCE=PSG</stp>
        <stp>ACT_EST_MAPPING=PRECISE</stp>
        <stp>FS=MRC</stp>
        <stp>CURRENCY=USD</stp>
        <stp>XLFILL=b</stp>
        <tr r="AP14" s="2"/>
      </tp>
      <tp t="s">
        <v/>
        <stp/>
        <stp>##V3_BQLV12</stp>
        <stp>[MODL_CRM_US1.xlsx]Single Period!R134C21</stp>
        <stp>CRM US Equity</stp>
        <stp>BS_LT_OPERATING_LEASE_LIABS/1M</stp>
        <stp>FPR=2022Y</stp>
        <stp>FPT=A</stp>
        <stp>FA_ACT_EST_DATA=E, EST_SOURCE=RJA</stp>
        <stp>ACT_EST_MAPPING=PRECISE</stp>
        <stp>FS=MRC</stp>
        <stp>CURRENCY=USD</stp>
        <stp>XLFILL=b</stp>
        <tr r="U134" s="2"/>
      </tp>
      <tp t="s">
        <v/>
        <stp/>
        <stp>##V3_BQLV12</stp>
        <stp>[MODL_CRM_US1.xlsx]Single Period!R100C27</stp>
        <stp>CRM US Equity</stp>
        <stp>IS_SBC_ATTRIB_TO_COGS_PRETX/1M</stp>
        <stp>FPR=2022Y</stp>
        <stp>FPT=A</stp>
        <stp>FA_ACT_EST_DATA=E, EST_SOURCE=LCM</stp>
        <stp>ACT_EST_MAPPING=PRECISE</stp>
        <stp>FS=MRC</stp>
        <stp>CURRENCY=USD</stp>
        <stp>XLFILL=b</stp>
        <tr r="AA100" s="2"/>
      </tp>
      <tp t="s">
        <v/>
        <stp/>
        <stp>##V3_BQLV12</stp>
        <stp>[MODL_CRM_US1.xlsx]Single Period!R93C22</stp>
        <stp>CRM US Equity</stp>
        <stp>IS_AVG_NUM_SH_FOR_EPS/1M</stp>
        <stp>FPR=2022Y</stp>
        <stp>FPT=A</stp>
        <stp>FA_ACT_EST_DATA=E, EST_SOURCE=OPY</stp>
        <stp>ACT_EST_MAPPING=PRECISE</stp>
        <stp>FS=MRC</stp>
        <stp>CURRENCY=USD</stp>
        <stp>XLFILL=b</stp>
        <tr r="V93" s="2"/>
      </tp>
      <tp t="s">
        <v/>
        <stp/>
        <stp>##V3_BQLV12</stp>
        <stp>[MODL_CRM_US1.xlsx]Single Period!R43C26</stp>
        <stp>SEG0000269240 Segment</stp>
        <stp>SALES_REV_TURN/1M</stp>
        <stp>FPR=2022Y</stp>
        <stp>FPT=A</stp>
        <stp>FA_ACT_EST_DATA=E, EST_SOURCE=KEY</stp>
        <stp>ACT_EST_MAPPING=PRECISE</stp>
        <stp>FS=MRC</stp>
        <stp>CURRENCY=USD</stp>
        <stp>XLFILL=b</stp>
        <tr r="Z43" s="2"/>
      </tp>
      <tp t="s">
        <v/>
        <stp/>
        <stp>##V3_BQLV12</stp>
        <stp>[MODL_CRM_US1.xlsx]Single Period!R140C45</stp>
        <stp>CRM US Equity</stp>
        <stp>BS_ACCUMULATED_OTHER_COMP_INC/1M</stp>
        <stp>FPR=2022Y</stp>
        <stp>FPT=A</stp>
        <stp>FA_ACT_EST_DATA=E, EST_SOURCE=ARG</stp>
        <stp>ACT_EST_MAPPING=PRECISE</stp>
        <stp>FS=MRC</stp>
        <stp>CURRENCY=USD</stp>
        <stp>XLFILL=b</stp>
        <tr r="AS140" s="2"/>
      </tp>
      <tp t="s">
        <v/>
        <stp/>
        <stp>##V3_BQLV12</stp>
        <stp>[MODL_CRM_US1.xlsx]Single Period!R48C33</stp>
        <stp>SEG0000269229 Segment</stp>
        <stp>SALES_REV_TURN/1M</stp>
        <stp>FPR=2022Y</stp>
        <stp>FPT=A</stp>
        <stp>FA_ACT_EST_DATA=E, EST_SOURCE=RHR</stp>
        <stp>ACT_EST_MAPPING=PRECISE</stp>
        <stp>FS=MRC</stp>
        <stp>CURRENCY=USD</stp>
        <stp>XLFILL=b</stp>
        <tr r="AG48" s="2"/>
      </tp>
      <tp t="s">
        <v/>
        <stp/>
        <stp>##V3_BQLV12</stp>
        <stp>[MODL_CRM_US1.xlsx]Single Period!R38C33</stp>
        <stp>SEG0000269228 Segment</stp>
        <stp>SALES_REV_TURN/1M</stp>
        <stp>FPR=2022Y</stp>
        <stp>FPT=A</stp>
        <stp>FA_ACT_EST_DATA=E, EST_SOURCE=RHR</stp>
        <stp>ACT_EST_MAPPING=PRECISE</stp>
        <stp>FS=MRC</stp>
        <stp>CURRENCY=USD</stp>
        <stp>XLFILL=b</stp>
        <tr r="AG38" s="2"/>
      </tp>
      <tp t="s">
        <v/>
        <stp/>
        <stp>##V3_BQLV12</stp>
        <stp>[MODL_CRM_US1.xlsx]Single Period!R119C54</stp>
        <stp>CRM US Equity</stp>
        <stp>CB_BS_OTHER_NONCURRENT_ASSETS/1M</stp>
        <stp>FPR=2022Y</stp>
        <stp>FPT=A</stp>
        <stp>FA_ACT_EST_DATA=E, EST_SOURCE=ARE</stp>
        <stp>ACT_EST_MAPPING=PRECISE</stp>
        <stp>FS=MRC</stp>
        <stp>CURRENCY=USD</stp>
        <stp>XLFILL=b</stp>
        <tr r="BB119" s="2"/>
      </tp>
      <tp>
        <v>7013</v>
        <stp/>
        <stp>##V3_BQLV12</stp>
        <stp>[MODL_CRM_US1.xlsx]Single Period!R64C31</stp>
        <stp>CRM US Equity</stp>
        <stp>IS_COMPARABLE_EBITDA/1M</stp>
        <stp>FPR=2022Y</stp>
        <stp>FPT=A</stp>
        <stp>FA_ACT_EST_DATA=E, EST_SOURCE=RBC</stp>
        <stp>ACT_EST_MAPPING=PRECISE</stp>
        <stp>FS=MRC</stp>
        <stp>CURRENCY=USD</stp>
        <stp>XLFILL=b</stp>
        <tr r="AE64" s="2"/>
      </tp>
      <tp t="s">
        <v/>
        <stp/>
        <stp>##V3_BQLV12</stp>
        <stp>[MODL_CRM_US1.xlsx]Single Period!R101C28</stp>
        <stp>CRM US Equity</stp>
        <stp>IS_SBC_ATTRIBUTABLE_TO_R_AND_D_PRETX/1M</stp>
        <stp>FPR=2022Y</stp>
        <stp>FPT=A</stp>
        <stp>FA_ACT_EST_DATA=E, EST_SOURCE=CWN</stp>
        <stp>ACT_EST_MAPPING=PRECISE</stp>
        <stp>FS=MRC</stp>
        <stp>CURRENCY=USD</stp>
        <stp>XLFILL=b</stp>
        <tr r="AB101" s="2"/>
      </tp>
      <tp t="s">
        <v/>
        <stp/>
        <stp>##V3_BQLV12</stp>
        <stp>[MODL_CRM_US1.xlsx]Single Period!R29C33</stp>
        <stp>SEG0000269233 Segment</stp>
        <stp>SALES_REV_TURN/1M</stp>
        <stp>FPR=2022Y</stp>
        <stp>FPT=A</stp>
        <stp>FA_ACT_EST_DATA=E, EST_SOURCE=RHR</stp>
        <stp>ACT_EST_MAPPING=PRECISE</stp>
        <stp>FS=MRC</stp>
        <stp>CURRENCY=USD</stp>
        <stp>XLFILL=b</stp>
        <tr r="AG29" s="2"/>
      </tp>
      <tp t="s">
        <v/>
        <stp/>
        <stp>##V3_BQLV12</stp>
        <stp>[MODL_CRM_US1.xlsx]Single Period!R28C29</stp>
        <stp>SEG0000269242 Segment</stp>
        <stp>SALES_REV_TURN/1M</stp>
        <stp>FPR=2022Y</stp>
        <stp>FPT=A</stp>
        <stp>FA_ACT_EST_DATA=E, EST_SOURCE=BNS</stp>
        <stp>ACT_EST_MAPPING=PRECISE</stp>
        <stp>FS=MRC</stp>
        <stp>CURRENCY=USD</stp>
        <stp>XLFILL=b</stp>
        <tr r="AC28" s="2"/>
      </tp>
      <tp>
        <v>24543.690999999999</v>
        <stp/>
        <stp>##V3_BQLV12</stp>
        <stp>[MODL_CRM_US1.xlsx]Single Period!R24C26</stp>
        <stp>SEG0000269238 Segment</stp>
        <stp>SALES_REV_TURN/1M</stp>
        <stp>FPR=2022Y</stp>
        <stp>FPT=A</stp>
        <stp>FA_ACT_EST_DATA=E, EST_SOURCE=KEY</stp>
        <stp>ACT_EST_MAPPING=PRECISE</stp>
        <stp>FS=MRC</stp>
        <stp>CURRENCY=USD</stp>
        <stp>XLFILL=b</stp>
        <tr r="Z24" s="2"/>
      </tp>
      <tp t="s">
        <v/>
        <stp/>
        <stp>##V3_BQLV12</stp>
        <stp>[MODL_CRM_US1.xlsx]Single Period!R28C14</stp>
        <stp>SEG0000269242 Segment</stp>
        <stp>SALES_REV_TURN/1M</stp>
        <stp>FPR=2022Y</stp>
        <stp>FPT=A</stp>
        <stp>FA_ACT_EST_DATA=E, EST_SOURCE=SNR</stp>
        <stp>ACT_EST_MAPPING=PRECISE</stp>
        <stp>FS=MRC</stp>
        <stp>CURRENCY=USD</stp>
        <stp>XLFILL=b</stp>
        <tr r="N28" s="2"/>
      </tp>
      <tp t="s">
        <v/>
        <stp/>
        <stp>##V3_BQLV12</stp>
        <stp>[MODL_CRM_US1.xlsx]Single Period!R151C45</stp>
        <stp>CRM US Equity</stp>
        <stp>NON_CURRENT_FUTURE_REV_UNDER_CONTRACT/1M</stp>
        <stp>FPR=2022Y</stp>
        <stp>FPT=A</stp>
        <stp>FA_ACT_EST_DATA=E, EST_SOURCE=ARG</stp>
        <stp>ACT_EST_MAPPING=PRECISE</stp>
        <stp>FS=MRC</stp>
        <stp>CURRENCY=USD</stp>
        <stp>XLFILL=b</stp>
        <tr r="AS151" s="2"/>
      </tp>
      <tp t="s">
        <v/>
        <stp/>
        <stp>##V3_BQLV12</stp>
        <stp>[MODL_CRM_US1.xlsx]Single Period!R149C14</stp>
        <stp>CRM US Equity</stp>
        <stp>TOT_FUTURE_REV_UNDER_CONTRACT/1M</stp>
        <stp>FPR=2022Y</stp>
        <stp>FPT=A</stp>
        <stp>FA_ACT_EST_DATA=E, EST_SOURCE=SNR</stp>
        <stp>ACT_EST_MAPPING=PRECISE</stp>
        <stp>FS=MRC</stp>
        <stp>CURRENCY=USD</stp>
        <stp>XLFILL=b</stp>
        <tr r="N149" s="2"/>
      </tp>
      <tp t="s">
        <v/>
        <stp/>
        <stp>##V3_BQLV12</stp>
        <stp>[MODL_CRM_US1.xlsx]Single Period!R32C32</stp>
        <stp>SEG0000269227 Segment</stp>
        <stp>SALES_REV_TURN/1M</stp>
        <stp>FPR=2022Y</stp>
        <stp>FPT=A</stp>
        <stp>FA_ACT_EST_DATA=E, EST_SOURCE=UBS</stp>
        <stp>ACT_EST_MAPPING=PRECISE</stp>
        <stp>FS=MRC</stp>
        <stp>CURRENCY=USD</stp>
        <stp>XLFILL=b</stp>
        <tr r="AF32" s="2"/>
      </tp>
      <tp t="s">
        <v/>
        <stp/>
        <stp>##V3_BQLV12</stp>
        <stp>[MODL_CRM_US1.xlsx]Single Period!R64C27</stp>
        <stp>CRM US Equity</stp>
        <stp>IS_COMPARABLE_EBITDA/1M</stp>
        <stp>FPR=2022Y</stp>
        <stp>FPT=A</stp>
        <stp>FA_ACT_EST_DATA=E, EST_SOURCE=LCM</stp>
        <stp>ACT_EST_MAPPING=PRECISE</stp>
        <stp>FS=MRC</stp>
        <stp>CURRENCY=USD</stp>
        <stp>XLFILL=b</stp>
        <tr r="AA64" s="2"/>
      </tp>
      <tp t="s">
        <v/>
        <stp/>
        <stp>##V3_BQLV12</stp>
        <stp>[MODL_CRM_US1.xlsx]Single Period!R32C11</stp>
        <stp>SEG0000269227 Segment</stp>
        <stp>SALES_REV_TURN/1M</stp>
        <stp>FPR=2022Y</stp>
        <stp>FPT=A</stp>
        <stp>FA_ACT_EST_DATA=E, EST_SOURCE=WBL</stp>
        <stp>ACT_EST_MAPPING=PRECISE</stp>
        <stp>FS=MRC</stp>
        <stp>CURRENCY=USD</stp>
        <stp>XLFILL=b</stp>
        <tr r="K32" s="2"/>
      </tp>
      <tp t="s">
        <v/>
        <stp/>
        <stp>##V3_BQLV12</stp>
        <stp>[MODL_CRM_US1.xlsx]Single Period!R10C36</stp>
        <stp>SEG0000269238 Segment</stp>
        <stp>SALES_REV_TURN/1M</stp>
        <stp>FPR=2022Y</stp>
        <stp>FPT=A</stp>
        <stp>FA_ACT_EST_DATA=E, EST_SOURCE=MAC</stp>
        <stp>ACT_EST_MAPPING=PRECISE</stp>
        <stp>FS=MRC</stp>
        <stp>CURRENCY=USD</stp>
        <stp>XLFILL=b</stp>
        <tr r="AJ10" s="2"/>
      </tp>
      <tp t="s">
        <v/>
        <stp/>
        <stp>##V3_BQLV12</stp>
        <stp>[MODL_CRM_US1.xlsx]Single Period!R149C53</stp>
        <stp>CRM US Equity</stp>
        <stp>TOT_FUTURE_REV_UNDER_CONTRACT/1M</stp>
        <stp>FPR=2022Y</stp>
        <stp>FPT=A</stp>
        <stp>FA_ACT_EST_DATA=E, EST_SOURCE=NIK</stp>
        <stp>ACT_EST_MAPPING=PRECISE</stp>
        <stp>FS=MRC</stp>
        <stp>CURRENCY=USD</stp>
        <stp>XLFILL=b</stp>
        <tr r="BA149" s="2"/>
      </tp>
      <tp t="s">
        <v/>
        <stp/>
        <stp>##V3_BQLV12</stp>
        <stp>[MODL_CRM_US1.xlsx]Single Period!R101C37</stp>
        <stp>CRM US Equity</stp>
        <stp>IS_SBC_ATTRIBUTABLE_TO_R_AND_D_PRETX/1M</stp>
        <stp>FPR=2022Y</stp>
        <stp>FPT=A</stp>
        <stp>FA_ACT_EST_DATA=E, EST_SOURCE=EVR</stp>
        <stp>ACT_EST_MAPPING=PRECISE</stp>
        <stp>FS=MRC</stp>
        <stp>CURRENCY=USD</stp>
        <stp>XLFILL=b</stp>
        <tr r="AK101" s="2"/>
      </tp>
      <tp t="s">
        <v/>
        <stp/>
        <stp>##V3_BQLV12</stp>
        <stp>[MODL_CRM_US1.xlsx]Single Period!R27C30</stp>
        <stp>SEG0000269241 Segment</stp>
        <stp>SALES_REV_TURN/1M</stp>
        <stp>FPR=2022Y</stp>
        <stp>FPT=A</stp>
        <stp>FA_ACT_EST_DATA=E, EST_SOURCE=BAM</stp>
        <stp>ACT_EST_MAPPING=PRECISE</stp>
        <stp>FS=MRC</stp>
        <stp>CURRENCY=USD</stp>
        <stp>XLFILL=b</stp>
        <tr r="AD27" s="2"/>
      </tp>
      <tp t="s">
        <v/>
        <stp/>
        <stp>##V3_BQLV12</stp>
        <stp>[MODL_CRM_US1.xlsx]Single Period!R24C55</stp>
        <stp>SEG0000269238 Segment</stp>
        <stp>SALES_REV_TURN/1M</stp>
        <stp>FPR=2022Y</stp>
        <stp>FPT=A</stp>
        <stp>FA_ACT_EST_DATA=E, EST_SOURCE=RED</stp>
        <stp>ACT_EST_MAPPING=PRECISE</stp>
        <stp>FS=MRC</stp>
        <stp>CURRENCY=USD</stp>
        <stp>XLFILL=b</stp>
        <tr r="BC24" s="2"/>
      </tp>
      <tp>
        <v>8304</v>
        <stp/>
        <stp>##V3_BQLV12</stp>
        <stp>[MODL_CRM_US1.xlsx]Single Period!R64C32</stp>
        <stp>CRM US Equity</stp>
        <stp>IS_COMPARABLE_EBITDA/1M</stp>
        <stp>FPR=2022Y</stp>
        <stp>FPT=A</stp>
        <stp>FA_ACT_EST_DATA=E, EST_SOURCE=UBS</stp>
        <stp>ACT_EST_MAPPING=PRECISE</stp>
        <stp>FS=MRC</stp>
        <stp>CURRENCY=USD</stp>
        <stp>XLFILL=b</stp>
        <tr r="AF64" s="2"/>
      </tp>
      <tp t="s">
        <v/>
        <stp/>
        <stp>##V3_BQLV12</stp>
        <stp>[MODL_CRM_US1.xlsx]Single Period!R123C28</stp>
        <stp>CRM US Equity</stp>
        <stp>TOT_OPER_LEA_RT_OF_USE_ASSETS/1M</stp>
        <stp>FPR=2022Y</stp>
        <stp>FPT=A</stp>
        <stp>FA_ACT_EST_DATA=E, EST_SOURCE=CWN</stp>
        <stp>ACT_EST_MAPPING=PRECISE</stp>
        <stp>FS=MRC</stp>
        <stp>CURRENCY=USD</stp>
        <stp>XLFILL=b</stp>
        <tr r="AB123" s="2"/>
      </tp>
      <tp t="s">
        <v/>
        <stp/>
        <stp>##V3_BQLV12</stp>
        <stp>[MODL_CRM_US1.xlsx]Single Period!R27C18</stp>
        <stp>SEG0000269241 Segment</stp>
        <stp>SALES_REV_TURN/1M</stp>
        <stp>FPR=2022Y</stp>
        <stp>FPT=A</stp>
        <stp>FA_ACT_EST_DATA=E, EST_SOURCE=CAN</stp>
        <stp>ACT_EST_MAPPING=PRECISE</stp>
        <stp>FS=MRC</stp>
        <stp>CURRENCY=USD</stp>
        <stp>XLFILL=b</stp>
        <tr r="R27" s="2"/>
      </tp>
      <tp t="s">
        <v/>
        <stp/>
        <stp>##V3_BQLV12</stp>
        <stp>[MODL_CRM_US1.xlsx]Single Period!R119C15</stp>
        <stp>CRM US Equity</stp>
        <stp>CB_BS_OTHER_NONCURRENT_ASSETS/1M</stp>
        <stp>FPR=2022Y</stp>
        <stp>FPT=A</stp>
        <stp>FA_ACT_EST_DATA=E, EST_SOURCE=MSV</stp>
        <stp>ACT_EST_MAPPING=PRECISE</stp>
        <stp>FS=MRC</stp>
        <stp>CURRENCY=USD</stp>
        <stp>XLFILL=b</stp>
        <tr r="O119" s="2"/>
      </tp>
      <tp t="s">
        <v/>
        <stp/>
        <stp>##V3_BQLV12</stp>
        <stp>[MODL_CRM_US1.xlsx]Single Period!R24C34</stp>
        <stp>SEG0000269238 Segment</stp>
        <stp>SALES_REV_TURN/1M</stp>
        <stp>FPR=2022Y</stp>
        <stp>FPT=A</stp>
        <stp>FA_ACT_EST_DATA=E, EST_SOURCE=JEF</stp>
        <stp>ACT_EST_MAPPING=PRECISE</stp>
        <stp>FS=MRC</stp>
        <stp>CURRENCY=USD</stp>
        <stp>XLFILL=b</stp>
        <tr r="AH24" s="2"/>
      </tp>
      <tp>
        <v>1827.3520674311681</v>
        <stp/>
        <stp>##V3_BQLV12</stp>
        <stp>[MODL_CRM_US1.xlsx]Single Period!R32C16</stp>
        <stp>SEG0000269227 Segment</stp>
        <stp>SALES_REV_TURN/1M</stp>
        <stp>FPR=2022Y</stp>
        <stp>FPT=A</stp>
        <stp>FA_ACT_EST_DATA=E, EST_SOURCE=DBG</stp>
        <stp>ACT_EST_MAPPING=PRECISE</stp>
        <stp>FS=MRC</stp>
        <stp>CURRENCY=USD</stp>
        <stp>XLFILL=b</stp>
        <tr r="P32" s="2"/>
      </tp>
      <tp t="s">
        <v/>
        <stp/>
        <stp>##V3_BQLV12</stp>
        <stp>[MODL_CRM_US1.xlsx]Single Period!R27C36</stp>
        <stp>SEG0000269241 Segment</stp>
        <stp>SALES_REV_TURN/1M</stp>
        <stp>FPR=2022Y</stp>
        <stp>FPT=A</stp>
        <stp>FA_ACT_EST_DATA=E, EST_SOURCE=MAC</stp>
        <stp>ACT_EST_MAPPING=PRECISE</stp>
        <stp>FS=MRC</stp>
        <stp>CURRENCY=USD</stp>
        <stp>XLFILL=b</stp>
        <tr r="AJ27" s="2"/>
      </tp>
      <tp t="s">
        <v/>
        <stp/>
        <stp>##V3_BQLV12</stp>
        <stp>[MODL_CRM_US1.xlsx]Single Period!R10C30</stp>
        <stp>SEG0000269238 Segment</stp>
        <stp>SALES_REV_TURN/1M</stp>
        <stp>FPR=2022Y</stp>
        <stp>FPT=A</stp>
        <stp>FA_ACT_EST_DATA=E, EST_SOURCE=BAM</stp>
        <stp>ACT_EST_MAPPING=PRECISE</stp>
        <stp>FS=MRC</stp>
        <stp>CURRENCY=USD</stp>
        <stp>XLFILL=b</stp>
        <tr r="AD10" s="2"/>
      </tp>
      <tp t="s">
        <v/>
        <stp/>
        <stp>##V3_BQLV12</stp>
        <stp>[MODL_CRM_US1.xlsx]Single Period!R149C19</stp>
        <stp>CRM US Equity</stp>
        <stp>TOT_FUTURE_REV_UNDER_CONTRACT/1M</stp>
        <stp>FPR=2022Y</stp>
        <stp>FPT=A</stp>
        <stp>FA_ACT_EST_DATA=E, EST_SOURCE=SCB</stp>
        <stp>ACT_EST_MAPPING=PRECISE</stp>
        <stp>FS=MRC</stp>
        <stp>CURRENCY=USD</stp>
        <stp>XLFILL=b</stp>
        <tr r="S149" s="2"/>
      </tp>
      <tp t="s">
        <v/>
        <stp/>
        <stp>##V3_BQLV12</stp>
        <stp>[MODL_CRM_US1.xlsx]Single Period!R32C31</stp>
        <stp>SEG0000269227 Segment</stp>
        <stp>SALES_REV_TURN/1M</stp>
        <stp>FPR=2022Y</stp>
        <stp>FPT=A</stp>
        <stp>FA_ACT_EST_DATA=E, EST_SOURCE=RBC</stp>
        <stp>ACT_EST_MAPPING=PRECISE</stp>
        <stp>FS=MRC</stp>
        <stp>CURRENCY=USD</stp>
        <stp>XLFILL=b</stp>
        <tr r="AE32" s="2"/>
      </tp>
      <tp>
        <v>1697.874830001391</v>
        <stp/>
        <stp>##V3_BQLV12</stp>
        <stp>[MODL_CRM_US1.xlsx]Single Period!R32C24</stp>
        <stp>SEG0000269227 Segment</stp>
        <stp>SALES_REV_TURN/1M</stp>
        <stp>FPR=2022Y</stp>
        <stp>FPT=A</stp>
        <stp>FA_ACT_EST_DATA=E, EST_SOURCE=FBC</stp>
        <stp>ACT_EST_MAPPING=PRECISE</stp>
        <stp>FS=MRC</stp>
        <stp>CURRENCY=USD</stp>
        <stp>XLFILL=b</stp>
        <tr r="X32" s="2"/>
      </tp>
      <tp t="s">
        <v/>
        <stp/>
        <stp>##V3_BQLV12</stp>
        <stp>[MODL_CRM_US1.xlsx]Single Period!R43C55</stp>
        <stp>SEG0000269240 Segment</stp>
        <stp>SALES_REV_TURN/1M</stp>
        <stp>FPR=2022Y</stp>
        <stp>FPT=A</stp>
        <stp>FA_ACT_EST_DATA=E, EST_SOURCE=RED</stp>
        <stp>ACT_EST_MAPPING=PRECISE</stp>
        <stp>FS=MRC</stp>
        <stp>CURRENCY=USD</stp>
        <stp>XLFILL=b</stp>
        <tr r="BC43" s="2"/>
      </tp>
      <tp t="s">
        <v/>
        <stp/>
        <stp>##V3_BQLV12</stp>
        <stp>[MODL_CRM_US1.xlsx]Single Period!R10C18</stp>
        <stp>SEG0000269238 Segment</stp>
        <stp>SALES_REV_TURN/1M</stp>
        <stp>FPR=2022Y</stp>
        <stp>FPT=A</stp>
        <stp>FA_ACT_EST_DATA=E, EST_SOURCE=CAN</stp>
        <stp>ACT_EST_MAPPING=PRECISE</stp>
        <stp>FS=MRC</stp>
        <stp>CURRENCY=USD</stp>
        <stp>XLFILL=b</stp>
        <tr r="R10" s="2"/>
      </tp>
      <tp t="s">
        <v/>
        <stp/>
        <stp>##V3_BQLV12</stp>
        <stp>[MODL_CRM_US1.xlsx]Single Period!R43C34</stp>
        <stp>SEG0000269240 Segment</stp>
        <stp>SALES_REV_TURN/1M</stp>
        <stp>FPR=2022Y</stp>
        <stp>FPT=A</stp>
        <stp>FA_ACT_EST_DATA=E, EST_SOURCE=JEF</stp>
        <stp>ACT_EST_MAPPING=PRECISE</stp>
        <stp>FS=MRC</stp>
        <stp>CURRENCY=USD</stp>
        <stp>XLFILL=b</stp>
        <tr r="AH43" s="2"/>
      </tp>
      <tp>
        <v>78.7</v>
        <stp/>
        <stp>##V3_BQLV12</stp>
        <stp>[MODL_CRM_US1.xlsx]Single Period!R56C11</stp>
        <stp>CRM US Equity</stp>
        <stp>IS_COMP_GROSS_MARGIN_PERCENTAGE</stp>
        <stp>FPR=2022Y</stp>
        <stp>FPT=A</stp>
        <stp>FA_ACT_EST_DATA=E, EST_SOURCE=WBL</stp>
        <stp>ACT_EST_MAPPING=PRECISE</stp>
        <stp>FS=MRC</stp>
        <stp>CURRENCY=USD</stp>
        <stp>XLFILL=b</stp>
        <tr r="K56" s="2"/>
      </tp>
      <tp t="s">
        <v/>
        <stp/>
        <stp>##V3_BQLV12</stp>
        <stp>[MODL_CRM_US1.xlsx]Single Period!R56C49</stp>
        <stp>CRM US Equity</stp>
        <stp>IS_COMP_GROSS_MARGIN_PERCENTAGE</stp>
        <stp>FPR=2022Y</stp>
        <stp>FPT=A</stp>
        <stp>FA_ACT_EST_DATA=E, EST_SOURCE=SGE</stp>
        <stp>ACT_EST_MAPPING=PRECISE</stp>
        <stp>FS=MRC</stp>
        <stp>CURRENCY=USD</stp>
        <stp>XLFILL=b</stp>
        <tr r="AW56" s="2"/>
      </tp>
      <tp t="s">
        <v/>
        <stp/>
        <stp>##V3_BQLV12</stp>
        <stp>[MODL_CRM_US1.xlsx]Single Period!R183C19</stp>
        <stp>CRM US Equity</stp>
        <stp>CASH_FLOW_PER_SH</stp>
        <stp>FPR=2022Y</stp>
        <stp>FPT=A</stp>
        <stp>FA_ACT_EST_DATA=E, EST_SOURCE=SCB</stp>
        <stp>ACT_EST_MAPPING=PRECISE</stp>
        <stp>FS=MRC</stp>
        <stp>CURRENCY=USD</stp>
        <stp>XLFILL=b</stp>
        <tr r="S183" s="2"/>
      </tp>
      <tp>
        <v>78.7</v>
        <stp/>
        <stp>##V3_BQLV12</stp>
        <stp>[MODL_CRM_US1.xlsx]Single Period!R17C11</stp>
        <stp>CRM US Equity</stp>
        <stp>IS_COMP_GROSS_MARGIN_PERCENTAGE</stp>
        <stp>FPR=2022Y</stp>
        <stp>FPT=A</stp>
        <stp>FA_ACT_EST_DATA=E, EST_SOURCE=WBL</stp>
        <stp>ACT_EST_MAPPING=PRECISE</stp>
        <stp>FS=MRC</stp>
        <stp>CURRENCY=USD</stp>
        <stp>XLFILL=b</stp>
        <tr r="K17" s="2"/>
      </tp>
      <tp t="s">
        <v/>
        <stp/>
        <stp>##V3_BQLV12</stp>
        <stp>[MODL_CRM_US1.xlsx]Single Period!R17C49</stp>
        <stp>CRM US Equity</stp>
        <stp>IS_COMP_GROSS_MARGIN_PERCENTAGE</stp>
        <stp>FPR=2022Y</stp>
        <stp>FPT=A</stp>
        <stp>FA_ACT_EST_DATA=E, EST_SOURCE=SGE</stp>
        <stp>ACT_EST_MAPPING=PRECISE</stp>
        <stp>FS=MRC</stp>
        <stp>CURRENCY=USD</stp>
        <stp>XLFILL=b</stp>
        <tr r="AW17" s="2"/>
      </tp>
      <tp t="s">
        <v/>
        <stp/>
        <stp>##V3_BQLV12</stp>
        <stp>[MODL_CRM_US1.xlsx]Single Period!R82C47</stp>
        <stp>CRM US Equity</stp>
        <stp>OPERATING_EXPENSES_TO_NET_SALES</stp>
        <stp>FPR=2022Y</stp>
        <stp>FPT=A</stp>
        <stp>FA_ACT_EST_DATA=E, EST_SOURCE=WFT</stp>
        <stp>ACT_EST_MAPPING=PRECISE</stp>
        <stp>FS=MRC</stp>
        <stp>CURRENCY=USD</stp>
        <stp>XLFILL=b</stp>
        <tr r="AU82" s="2"/>
      </tp>
      <tp>
        <v>78.599999999999994</v>
        <stp/>
        <stp>##V3_BQLV12</stp>
        <stp>[MODL_CRM_US1.xlsx]Single Period!R17C16</stp>
        <stp>CRM US Equity</stp>
        <stp>IS_COMP_GROSS_MARGIN_PERCENTAGE</stp>
        <stp>FPR=2022Y</stp>
        <stp>FPT=A</stp>
        <stp>FA_ACT_EST_DATA=E, EST_SOURCE=DBG</stp>
        <stp>ACT_EST_MAPPING=PRECISE</stp>
        <stp>FS=MRC</stp>
        <stp>CURRENCY=USD</stp>
        <stp>XLFILL=b</stp>
        <tr r="P17" s="2"/>
      </tp>
      <tp t="s">
        <v/>
        <stp/>
        <stp>##V3_BQLV12</stp>
        <stp>[MODL_CRM_US1.xlsx]Single Period!R183C53</stp>
        <stp>CRM US Equity</stp>
        <stp>CASH_FLOW_PER_SH</stp>
        <stp>FPR=2022Y</stp>
        <stp>FPT=A</stp>
        <stp>FA_ACT_EST_DATA=E, EST_SOURCE=NIK</stp>
        <stp>ACT_EST_MAPPING=PRECISE</stp>
        <stp>FS=MRC</stp>
        <stp>CURRENCY=USD</stp>
        <stp>XLFILL=b</stp>
        <tr r="BA183" s="2"/>
      </tp>
      <tp>
        <v>78.599999999999994</v>
        <stp/>
        <stp>##V3_BQLV12</stp>
        <stp>[MODL_CRM_US1.xlsx]Single Period!R56C16</stp>
        <stp>CRM US Equity</stp>
        <stp>IS_COMP_GROSS_MARGIN_PERCENTAGE</stp>
        <stp>FPR=2022Y</stp>
        <stp>FPT=A</stp>
        <stp>FA_ACT_EST_DATA=E, EST_SOURCE=DBG</stp>
        <stp>ACT_EST_MAPPING=PRECISE</stp>
        <stp>FS=MRC</stp>
        <stp>CURRENCY=USD</stp>
        <stp>XLFILL=b</stp>
        <tr r="P56" s="2"/>
      </tp>
      <tp t="s">
        <v/>
        <stp/>
        <stp>##V3_BQLV12</stp>
        <stp>[MODL_CRM_US1.xlsx]Single Period!R82C36</stp>
        <stp>CRM US Equity</stp>
        <stp>OPERATING_EXPENSES_TO_NET_SALES</stp>
        <stp>FPR=2022Y</stp>
        <stp>FPT=A</stp>
        <stp>FA_ACT_EST_DATA=E, EST_SOURCE=MAC</stp>
        <stp>ACT_EST_MAPPING=PRECISE</stp>
        <stp>FS=MRC</stp>
        <stp>CURRENCY=USD</stp>
        <stp>XLFILL=b</stp>
        <tr r="AJ82" s="2"/>
      </tp>
      <tp t="s">
        <v/>
        <stp/>
        <stp>##V3_BQLV12</stp>
        <stp>[MODL_CRM_US1.xlsx]Single Period!R183C14</stp>
        <stp>CRM US Equity</stp>
        <stp>CASH_FLOW_PER_SH</stp>
        <stp>FPR=2022Y</stp>
        <stp>FPT=A</stp>
        <stp>FA_ACT_EST_DATA=E, EST_SOURCE=SNR</stp>
        <stp>ACT_EST_MAPPING=PRECISE</stp>
        <stp>FS=MRC</stp>
        <stp>CURRENCY=USD</stp>
        <stp>XLFILL=b</stp>
        <tr r="N183" s="2"/>
      </tp>
      <tp>
        <v>72.107340645845511</v>
        <stp/>
        <stp>##V3_BQLV12</stp>
        <stp>[MODL_CRM_US1.xlsx]Single Period!R82C13</stp>
        <stp>CRM US Equity</stp>
        <stp>OPERATING_EXPENSES_TO_NET_SALES</stp>
        <stp>FPR=2022Y</stp>
        <stp>FPT=A</stp>
        <stp>FA_ACT_EST_DATA=E, EST_SOURCE=BCA</stp>
        <stp>ACT_EST_MAPPING=PRECISE</stp>
        <stp>FS=MRC</stp>
        <stp>CURRENCY=USD</stp>
        <stp>XLFILL=b</stp>
        <tr r="M82" s="2"/>
      </tp>
      <tp t="s">
        <v/>
        <stp/>
        <stp>##V3_BQLV12</stp>
        <stp>[MODL_CRM_US1.xlsx]Single Period!R17C52</stp>
        <stp>CRM US Equity</stp>
        <stp>IS_COMP_GROSS_MARGIN_PERCENTAGE</stp>
        <stp>FPR=2022Y</stp>
        <stp>FPT=A</stp>
        <stp>FA_ACT_EST_DATA=E, EST_SOURCE=WFR</stp>
        <stp>ACT_EST_MAPPING=PRECISE</stp>
        <stp>FS=MRC</stp>
        <stp>CURRENCY=USD</stp>
        <stp>XLFILL=b</stp>
        <tr r="AZ17" s="2"/>
      </tp>
      <tp t="s">
        <v/>
        <stp/>
        <stp>##V3_BQLV12</stp>
        <stp>[MODL_CRM_US1.xlsx]Single Period!R82C30</stp>
        <stp>CRM US Equity</stp>
        <stp>OPERATING_EXPENSES_TO_NET_SALES</stp>
        <stp>FPR=2022Y</stp>
        <stp>FPT=A</stp>
        <stp>FA_ACT_EST_DATA=E, EST_SOURCE=BAM</stp>
        <stp>ACT_EST_MAPPING=PRECISE</stp>
        <stp>FS=MRC</stp>
        <stp>CURRENCY=USD</stp>
        <stp>XLFILL=b</stp>
        <tr r="AD82" s="2"/>
      </tp>
      <tp t="s">
        <v/>
        <stp/>
        <stp>##V3_BQLV12</stp>
        <stp>[MODL_CRM_US1.xlsx]Single Period!R189C10</stp>
        <stp>CRM US Equity</stp>
        <stp>CF_CASH_AND_CASH_EQUIV_BEG_BAL/1M</stp>
        <stp>FPR=2022Y</stp>
        <stp>FPT=A</stp>
        <stp>FA_ACT_EST_DATA=E, EST_SOURCE=CMPY</stp>
        <stp>ACT_EST_MAPPING=PRECISE</stp>
        <stp>FS=MRC</stp>
        <stp>CURRENCY=USD</stp>
        <stp>XLFILL=b</stp>
        <tr r="J189" s="2"/>
      </tp>
      <tp t="s">
        <v/>
        <stp/>
        <stp>##V3_BQLV12</stp>
        <stp>[MODL_CRM_US1.xlsx]Single Period!R56C52</stp>
        <stp>CRM US Equity</stp>
        <stp>IS_COMP_GROSS_MARGIN_PERCENTAGE</stp>
        <stp>FPR=2022Y</stp>
        <stp>FPT=A</stp>
        <stp>FA_ACT_EST_DATA=E, EST_SOURCE=WFR</stp>
        <stp>ACT_EST_MAPPING=PRECISE</stp>
        <stp>FS=MRC</stp>
        <stp>CURRENCY=USD</stp>
        <stp>XLFILL=b</stp>
        <tr r="AZ56" s="2"/>
      </tp>
      <tp t="s">
        <v/>
        <stp/>
        <stp>##V3_BQLV12</stp>
        <stp>[MODL_CRM_US1.xlsx]Single Period!R82C19</stp>
        <stp>CRM US Equity</stp>
        <stp>OPERATING_EXPENSES_TO_NET_SALES</stp>
        <stp>FPR=2022Y</stp>
        <stp>FPT=A</stp>
        <stp>FA_ACT_EST_DATA=E, EST_SOURCE=SCB</stp>
        <stp>ACT_EST_MAPPING=PRECISE</stp>
        <stp>FS=MRC</stp>
        <stp>CURRENCY=USD</stp>
        <stp>XLFILL=b</stp>
        <tr r="S82" s="2"/>
      </tp>
      <tp t="s">
        <v/>
        <stp/>
        <stp>##V3_BQLV12</stp>
        <stp>[MODL_CRM_US1.xlsx]Single Period!R189C32</stp>
        <stp>CRM US Equity</stp>
        <stp>CF_CASH_AND_CASH_EQUIV_BEG_BAL/1M</stp>
        <stp>FPR=2022Y</stp>
        <stp>FPT=A</stp>
        <stp>FA_ACT_EST_DATA=E, EST_SOURCE=UBS</stp>
        <stp>ACT_EST_MAPPING=PRECISE</stp>
        <stp>FS=MRC</stp>
        <stp>CURRENCY=USD</stp>
        <stp>XLFILL=b</stp>
        <tr r="AF189" s="2"/>
      </tp>
      <tp t="s">
        <v/>
        <stp/>
        <stp>##V3_BQLV12</stp>
        <stp>[MODL_CRM_US1.xlsx]Single Period!R105C36</stp>
        <stp>CRM US Equity</stp>
        <stp>IS_AMORT_ACQD_INTANGIBLES_COGS/1M</stp>
        <stp>FPR=2022Y</stp>
        <stp>FPT=A</stp>
        <stp>FA_ACT_EST_DATA=E, EST_SOURCE=MAC</stp>
        <stp>ACT_EST_MAPPING=PRECISE</stp>
        <stp>FS=MRC</stp>
        <stp>CURRENCY=USD</stp>
        <stp>XLFILL=b</stp>
        <tr r="AJ105" s="2"/>
      </tp>
      <tp t="s">
        <v/>
        <stp/>
        <stp>##V3_BQLV12</stp>
        <stp>[MODL_CRM_US1.xlsx]Single Period!R105C18</stp>
        <stp>CRM US Equity</stp>
        <stp>IS_AMORT_ACQD_INTANGIBLES_COGS/1M</stp>
        <stp>FPR=2022Y</stp>
        <stp>FPT=A</stp>
        <stp>FA_ACT_EST_DATA=E, EST_SOURCE=CAN</stp>
        <stp>ACT_EST_MAPPING=PRECISE</stp>
        <stp>FS=MRC</stp>
        <stp>CURRENCY=USD</stp>
        <stp>XLFILL=b</stp>
        <tr r="R105" s="2"/>
      </tp>
      <tp t="s">
        <v/>
        <stp/>
        <stp>##V3_BQLV12</stp>
        <stp>[MODL_CRM_US1.xlsx]Single Period!R105C30</stp>
        <stp>CRM US Equity</stp>
        <stp>IS_AMORT_ACQD_INTANGIBLES_COGS/1M</stp>
        <stp>FPR=2022Y</stp>
        <stp>FPT=A</stp>
        <stp>FA_ACT_EST_DATA=E, EST_SOURCE=BAM</stp>
        <stp>ACT_EST_MAPPING=PRECISE</stp>
        <stp>FS=MRC</stp>
        <stp>CURRENCY=USD</stp>
        <stp>XLFILL=b</stp>
        <tr r="AD105" s="2"/>
      </tp>
      <tp t="s">
        <v/>
        <stp/>
        <stp>##V3_BQLV12</stp>
        <stp>[MODL_CRM_US1.xlsx]Single Period!R166C29</stp>
        <stp>CRM US Equity</stp>
        <stp>CF_CHANGE_IN_OPER_LEASE_LIBLTS/1M</stp>
        <stp>FPR=2022Y</stp>
        <stp>FPT=A</stp>
        <stp>FA_ACT_EST_DATA=E, EST_SOURCE=BNS</stp>
        <stp>ACT_EST_MAPPING=PRECISE</stp>
        <stp>FS=MRC</stp>
        <stp>CURRENCY=USD</stp>
        <stp>XLFILL=b</stp>
        <tr r="AC166" s="2"/>
      </tp>
      <tp t="s">
        <v/>
        <stp/>
        <stp>##V3_BQLV12</stp>
        <stp>[MODL_CRM_US1.xlsx]Single Period!R166C14</stp>
        <stp>CRM US Equity</stp>
        <stp>CF_CHANGE_IN_OPER_LEASE_LIBLTS/1M</stp>
        <stp>FPR=2022Y</stp>
        <stp>FPT=A</stp>
        <stp>FA_ACT_EST_DATA=E, EST_SOURCE=SNR</stp>
        <stp>ACT_EST_MAPPING=PRECISE</stp>
        <stp>FS=MRC</stp>
        <stp>CURRENCY=USD</stp>
        <stp>XLFILL=b</stp>
        <tr r="N166" s="2"/>
      </tp>
      <tp t="s">
        <v/>
        <stp/>
        <stp>##V3_BQLV12</stp>
        <stp>[MODL_CRM_US1.xlsx]Single Period!R189C31</stp>
        <stp>CRM US Equity</stp>
        <stp>CF_CASH_AND_CASH_EQUIV_BEG_BAL/1M</stp>
        <stp>FPR=2022Y</stp>
        <stp>FPT=A</stp>
        <stp>FA_ACT_EST_DATA=E, EST_SOURCE=RBC</stp>
        <stp>ACT_EST_MAPPING=PRECISE</stp>
        <stp>FS=MRC</stp>
        <stp>CURRENCY=USD</stp>
        <stp>XLFILL=b</stp>
        <tr r="AE189" s="2"/>
      </tp>
      <tp>
        <v>6194.6629999999986</v>
        <stp/>
        <stp>##V3_BQLV12</stp>
        <stp>[MODL_CRM_US1.xlsx]Single Period!R189C24</stp>
        <stp>CRM US Equity</stp>
        <stp>CF_CASH_AND_CASH_EQUIV_BEG_BAL/1M</stp>
        <stp>FPR=2022Y</stp>
        <stp>FPT=A</stp>
        <stp>FA_ACT_EST_DATA=E, EST_SOURCE=FBC</stp>
        <stp>ACT_EST_MAPPING=PRECISE</stp>
        <stp>FS=MRC</stp>
        <stp>CURRENCY=USD</stp>
        <stp>XLFILL=b</stp>
        <tr r="X189" s="2"/>
      </tp>
      <tp t="s">
        <v/>
        <stp/>
        <stp>##V3_BQLV12</stp>
        <stp>[MODL_CRM_US1.xlsx]Single Period!R165C52</stp>
        <stp>CRM US Equity</stp>
        <stp>CF_CHG_IN_DEFER_UNEARND_REV_ST/1M</stp>
        <stp>FPR=2022Y</stp>
        <stp>FPT=A</stp>
        <stp>FA_ACT_EST_DATA=E, EST_SOURCE=WFR</stp>
        <stp>ACT_EST_MAPPING=PRECISE</stp>
        <stp>FS=MRC</stp>
        <stp>CURRENCY=USD</stp>
        <stp>XLFILL=b</stp>
        <tr r="AZ165" s="2"/>
      </tp>
      <tp t="s">
        <v/>
        <stp/>
        <stp>##V3_BQLV12</stp>
        <stp>[MODL_CRM_US1.xlsx]Single Period!R95C43</stp>
        <stp>CRM US Equity</stp>
        <stp>IS_COMP_EPS_GAAP</stp>
        <stp>FPR=2022Y</stp>
        <stp>FPT=A</stp>
        <stp>FA_ACT_EST_DATA=E, EST_SOURCE=DWI</stp>
        <stp>ACT_EST_MAPPING=PRECISE</stp>
        <stp>FS=MRC</stp>
        <stp>CURRENCY=USD</stp>
        <stp>XLFILL=b</stp>
        <tr r="AQ95" s="2"/>
      </tp>
      <tp t="s">
        <v/>
        <stp/>
        <stp>##V3_BQLV12</stp>
        <stp>[MODL_CRM_US1.xlsx]Single Period!R165C47</stp>
        <stp>CRM US Equity</stp>
        <stp>CF_CHG_IN_DEFER_UNEARND_REV_ST/1M</stp>
        <stp>FPR=2022Y</stp>
        <stp>FPT=A</stp>
        <stp>FA_ACT_EST_DATA=E, EST_SOURCE=WFT</stp>
        <stp>ACT_EST_MAPPING=PRECISE</stp>
        <stp>FS=MRC</stp>
        <stp>CURRENCY=USD</stp>
        <stp>XLFILL=b</stp>
        <tr r="AU165" s="2"/>
      </tp>
      <tp>
        <v>6194.6629999999986</v>
        <stp/>
        <stp>##V3_BQLV12</stp>
        <stp>[MODL_CRM_US1.xlsx]Single Period!R189C16</stp>
        <stp>CRM US Equity</stp>
        <stp>CF_CASH_AND_CASH_EQUIV_BEG_BAL/1M</stp>
        <stp>FPR=2022Y</stp>
        <stp>FPT=A</stp>
        <stp>FA_ACT_EST_DATA=E, EST_SOURCE=DBG</stp>
        <stp>ACT_EST_MAPPING=PRECISE</stp>
        <stp>FS=MRC</stp>
        <stp>CURRENCY=USD</stp>
        <stp>XLFILL=b</stp>
        <tr r="P189" s="2"/>
      </tp>
      <tp t="s">
        <v/>
        <stp/>
        <stp>##V3_BQLV12</stp>
        <stp>[MODL_CRM_US1.xlsx]Single Period!R189C11</stp>
        <stp>CRM US Equity</stp>
        <stp>CF_CASH_AND_CASH_EQUIV_BEG_BAL/1M</stp>
        <stp>FPR=2022Y</stp>
        <stp>FPT=A</stp>
        <stp>FA_ACT_EST_DATA=E, EST_SOURCE=WBL</stp>
        <stp>ACT_EST_MAPPING=PRECISE</stp>
        <stp>FS=MRC</stp>
        <stp>CURRENCY=USD</stp>
        <stp>XLFILL=b</stp>
        <tr r="K189" s="2"/>
      </tp>
      <tp>
        <v>286.91989590593869</v>
        <stp/>
        <stp>##V3_BQLV12</stp>
        <stp>[MODL_CRM_US1.xlsx]Single Period!R12C8</stp>
        <stp>CRM US Equity</stp>
        <stp>CONTRIBUTOR_STATS(TOT_FUTURE_REV_UNDER_CONTRACT, STD)/1M</stp>
        <stp>FPR=2022Y</stp>
        <stp>FPT=A</stp>
        <stp>FA_ACT_EST_DATA=E</stp>
        <stp>ACT_EST_MAPPING=PRECISE</stp>
        <stp>FS=MRC</stp>
        <stp>CURRENCY=USD</stp>
        <stp>XLFILL=b</stp>
        <tr r="H12" s="2"/>
      </tp>
      <tp t="s">
        <v/>
        <stp/>
        <stp>##V3_BQLV12</stp>
        <stp>[MODL_CRM_US1.xlsx]Single Period!R73C54</stp>
        <stp>CRM US Equity</stp>
        <stp>IS_SH_FOR_DILUTED_EPS/1M</stp>
        <stp>FPR=2022Y</stp>
        <stp>FPT=A</stp>
        <stp>FA_ACT_EST_DATA=E, EST_SOURCE=ARE</stp>
        <stp>ACT_EST_MAPPING=PRECISE</stp>
        <stp>FS=MRC</stp>
        <stp>CURRENCY=USD</stp>
        <stp>XLFILL=b</stp>
        <tr r="BB73" s="2"/>
      </tp>
      <tp t="s">
        <v/>
        <stp/>
        <stp>##V3_BQLV12</stp>
        <stp>[MODL_CRM_US1.xlsx]Single Period!R131C29</stp>
        <stp>CRM US Equity</stp>
        <stp>ST_DEFERRED_REVENUE/1M</stp>
        <stp>FPR=2022Y</stp>
        <stp>FPT=A</stp>
        <stp>FA_ACT_EST_DATA=E, EST_SOURCE=BNS</stp>
        <stp>ACT_EST_MAPPING=PRECISE</stp>
        <stp>FS=MRC</stp>
        <stp>CURRENCY=USD</stp>
        <stp>XLFILL=b</stp>
        <tr r="AC131" s="2"/>
      </tp>
      <tp>
        <v>1127</v>
        <stp/>
        <stp>##V3_BQLV12</stp>
        <stp>[MODL_CRM_US1.xlsx]Single Period!R102C13</stp>
        <stp>CRM US Equity</stp>
        <stp>IS_SBC_ATT_TO_S_AND_M_PRETX/1M</stp>
        <stp>FPR=2022Y</stp>
        <stp>FPT=A</stp>
        <stp>FA_ACT_EST_DATA=E, EST_SOURCE=BCA</stp>
        <stp>ACT_EST_MAPPING=PRECISE</stp>
        <stp>FS=MRC</stp>
        <stp>CURRENCY=USD</stp>
        <stp>XLFILL=b</stp>
        <tr r="M102" s="2"/>
      </tp>
      <tp t="s">
        <v/>
        <stp/>
        <stp>##V3_BQLV12</stp>
        <stp>[MODL_CRM_US1.xlsx]Single Period!R117C56</stp>
        <stp>CRM US Equity</stp>
        <stp>BS_TOTAL_NON_CURRENT_ASSETS/1M</stp>
        <stp>FPR=2022Y</stp>
        <stp>FPT=A</stp>
        <stp>FA_ACT_EST_DATA=E, EST_SOURCE=DIR</stp>
        <stp>ACT_EST_MAPPING=PRECISE</stp>
        <stp>FS=MRC</stp>
        <stp>CURRENCY=USD</stp>
        <stp>XLFILL=b</stp>
        <tr r="BD117" s="2"/>
      </tp>
      <tp t="s">
        <v/>
        <stp/>
        <stp>##V3_BQLV12</stp>
        <stp>[MODL_CRM_US1.xlsx]Single Period!R102C19</stp>
        <stp>CRM US Equity</stp>
        <stp>IS_SBC_ATT_TO_S_AND_M_PRETX/1M</stp>
        <stp>FPR=2022Y</stp>
        <stp>FPT=A</stp>
        <stp>FA_ACT_EST_DATA=E, EST_SOURCE=SCB</stp>
        <stp>ACT_EST_MAPPING=PRECISE</stp>
        <stp>FS=MRC</stp>
        <stp>CURRENCY=USD</stp>
        <stp>XLFILL=b</stp>
        <tr r="S102" s="2"/>
      </tp>
      <tp t="s">
        <v/>
        <stp/>
        <stp>##V3_BQLV12</stp>
        <stp>[MODL_CRM_US1.xlsx]Single Period!R131C14</stp>
        <stp>CRM US Equity</stp>
        <stp>ST_DEFERRED_REVENUE/1M</stp>
        <stp>FPR=2022Y</stp>
        <stp>FPT=A</stp>
        <stp>FA_ACT_EST_DATA=E, EST_SOURCE=SNR</stp>
        <stp>ACT_EST_MAPPING=PRECISE</stp>
        <stp>FS=MRC</stp>
        <stp>CURRENCY=USD</stp>
        <stp>XLFILL=b</stp>
        <tr r="N131" s="2"/>
      </tp>
      <tp t="s">
        <v/>
        <stp/>
        <stp>##V3_BQLV12</stp>
        <stp>[MODL_CRM_US1.xlsx]Single Period!R185C18</stp>
        <stp>CRM US Equity</stp>
        <stp>CF_EFFECT_FOREIGN_EXCHANGES/1M</stp>
        <stp>FPR=2022Y</stp>
        <stp>FPT=A</stp>
        <stp>FA_ACT_EST_DATA=E, EST_SOURCE=CAN</stp>
        <stp>ACT_EST_MAPPING=PRECISE</stp>
        <stp>FS=MRC</stp>
        <stp>CURRENCY=USD</stp>
        <stp>XLFILL=b</stp>
        <tr r="R185" s="2"/>
      </tp>
      <tp t="s">
        <v/>
        <stp/>
        <stp>##V3_BQLV12</stp>
        <stp>[MODL_CRM_US1.xlsx]Single Period!R185C30</stp>
        <stp>CRM US Equity</stp>
        <stp>CF_EFFECT_FOREIGN_EXCHANGES/1M</stp>
        <stp>FPR=2022Y</stp>
        <stp>FPT=A</stp>
        <stp>FA_ACT_EST_DATA=E, EST_SOURCE=BAM</stp>
        <stp>ACT_EST_MAPPING=PRECISE</stp>
        <stp>FS=MRC</stp>
        <stp>CURRENCY=USD</stp>
        <stp>XLFILL=b</stp>
        <tr r="AD185" s="2"/>
      </tp>
      <tp>
        <v>36.218095338121593</v>
        <stp/>
        <stp>##V3_BQLV12</stp>
        <stp>[MODL_CRM_US1.xlsx]Single Period!R99C8</stp>
        <stp>CRM US Equity</stp>
        <stp>CONTRIBUTOR_STATS(IS_SBC_NON_GAAP, STD)/1M</stp>
        <stp>FPR=2022Y</stp>
        <stp>FPT=A</stp>
        <stp>FA_ACT_EST_DATA=E</stp>
        <stp>ACT_EST_MAPPING=PRECISE</stp>
        <stp>FS=MRC</stp>
        <stp>CURRENCY=USD</stp>
        <stp>XLFILL=b</stp>
        <tr r="H99" s="2"/>
      </tp>
      <tp t="s">
        <v/>
        <stp/>
        <stp>##V3_BQLV12</stp>
        <stp>[MODL_CRM_US1.xlsx]Single Period!R100C32</stp>
        <stp>CRM US Equity</stp>
        <stp>IS_SBC_ATTRIB_TO_COGS_PRETX/1M</stp>
        <stp>FPR=2022Y</stp>
        <stp>FPT=A</stp>
        <stp>FA_ACT_EST_DATA=E, EST_SOURCE=UBS</stp>
        <stp>ACT_EST_MAPPING=PRECISE</stp>
        <stp>FS=MRC</stp>
        <stp>CURRENCY=USD</stp>
        <stp>XLFILL=b</stp>
        <tr r="AF100" s="2"/>
      </tp>
      <tp t="s">
        <v/>
        <stp/>
        <stp>##V3_BQLV12</stp>
        <stp>[MODL_CRM_US1.xlsx]Single Period!R128C30</stp>
        <stp>CRM US Equity</stp>
        <stp>BS_CUR_LIAB/1M</stp>
        <stp>FPR=2022Y</stp>
        <stp>FPT=A</stp>
        <stp>FA_ACT_EST_DATA=E, EST_SOURCE=BAM</stp>
        <stp>ACT_EST_MAPPING=PRECISE</stp>
        <stp>FS=MRC</stp>
        <stp>CURRENCY=USD</stp>
        <stp>XLFILL=b</stp>
        <tr r="AD128" s="2"/>
      </tp>
      <tp t="s">
        <v/>
        <stp/>
        <stp>##V3_BQLV12</stp>
        <stp>[MODL_CRM_US1.xlsx]Single Period!R128C18</stp>
        <stp>CRM US Equity</stp>
        <stp>BS_CUR_LIAB/1M</stp>
        <stp>FPR=2022Y</stp>
        <stp>FPT=A</stp>
        <stp>FA_ACT_EST_DATA=E, EST_SOURCE=CAN</stp>
        <stp>ACT_EST_MAPPING=PRECISE</stp>
        <stp>FS=MRC</stp>
        <stp>CURRENCY=USD</stp>
        <stp>XLFILL=b</stp>
        <tr r="R128" s="2"/>
      </tp>
      <tp t="s">
        <v/>
        <stp/>
        <stp>##V3_BQLV12</stp>
        <stp>[MODL_CRM_US1.xlsx]Single Period!R102C40</stp>
        <stp>CRM US Equity</stp>
        <stp>IS_SBC_ATT_TO_S_AND_M_PRETX/1M</stp>
        <stp>FPR=2022Y</stp>
        <stp>FPT=A</stp>
        <stp>FA_ACT_EST_DATA=E, EST_SOURCE=ACC</stp>
        <stp>ACT_EST_MAPPING=PRECISE</stp>
        <stp>FS=MRC</stp>
        <stp>CURRENCY=USD</stp>
        <stp>XLFILL=b</stp>
        <tr r="AN102" s="2"/>
      </tp>
      <tp t="s">
        <v/>
        <stp/>
        <stp>##V3_BQLV12</stp>
        <stp>[MODL_CRM_US1.xlsx]Single Period!R93C44</stp>
        <stp>CRM US Equity</stp>
        <stp>IS_AVG_NUM_SH_FOR_EPS/1M</stp>
        <stp>FPR=2022Y</stp>
        <stp>FPT=A</stp>
        <stp>FA_ACT_EST_DATA=E, EST_SOURCE=RWB</stp>
        <stp>ACT_EST_MAPPING=PRECISE</stp>
        <stp>FS=MRC</stp>
        <stp>CURRENCY=USD</stp>
        <stp>XLFILL=b</stp>
        <tr r="AR93" s="2"/>
      </tp>
      <tp>
        <v>5905</v>
        <stp/>
        <stp>##V3_BQLV12</stp>
        <stp>[MODL_CRM_US1.xlsx]Single Period!R68C15</stp>
        <stp>CRM US Equity</stp>
        <stp>IS_COMP_PTP_EX_STK_BASED_COMP/1M</stp>
        <stp>FPR=2022Y</stp>
        <stp>FPT=A</stp>
        <stp>FA_ACT_EST_DATA=E, EST_SOURCE=MSV</stp>
        <stp>ACT_EST_MAPPING=PRECISE</stp>
        <stp>FS=MRC</stp>
        <stp>CURRENCY=USD</stp>
        <stp>XLFILL=b</stp>
        <tr r="O68" s="2"/>
      </tp>
      <tp>
        <v>955.95</v>
        <stp/>
        <stp>##V3_BQLV12</stp>
        <stp>[MODL_CRM_US1.xlsx]Single Period!R93C23</stp>
        <stp>CRM US Equity</stp>
        <stp>IS_AVG_NUM_SH_FOR_EPS/1M</stp>
        <stp>FPR=2022Y</stp>
        <stp>FPT=A</stp>
        <stp>FA_ACT_EST_DATA=E, EST_SOURCE=JPM</stp>
        <stp>ACT_EST_MAPPING=PRECISE</stp>
        <stp>FS=MRC</stp>
        <stp>CURRENCY=USD</stp>
        <stp>XLFILL=b</stp>
        <tr r="W93" s="2"/>
      </tp>
      <tp t="s">
        <v/>
        <stp/>
        <stp>##V3_BQLV12</stp>
        <stp>[MODL_CRM_US1.xlsx]Single Period!R128C36</stp>
        <stp>CRM US Equity</stp>
        <stp>BS_CUR_LIAB/1M</stp>
        <stp>FPR=2022Y</stp>
        <stp>FPT=A</stp>
        <stp>FA_ACT_EST_DATA=E, EST_SOURCE=MAC</stp>
        <stp>ACT_EST_MAPPING=PRECISE</stp>
        <stp>FS=MRC</stp>
        <stp>CURRENCY=USD</stp>
        <stp>XLFILL=b</stp>
        <tr r="AJ128" s="2"/>
      </tp>
      <tp t="s">
        <v/>
        <stp/>
        <stp>##V3_BQLV12</stp>
        <stp>[MODL_CRM_US1.xlsx]Single Period!R132C12</stp>
        <stp>CRM US Equity</stp>
        <stp>BS_ADJ_TOTAL_LT_LIABILITIES/1M</stp>
        <stp>FPR=2022Y</stp>
        <stp>FPT=A</stp>
        <stp>FA_ACT_EST_DATA=E, EST_SOURCE=BMO</stp>
        <stp>ACT_EST_MAPPING=PRECISE</stp>
        <stp>FS=MRC</stp>
        <stp>CURRENCY=USD</stp>
        <stp>XLFILL=b</stp>
        <tr r="L132" s="2"/>
      </tp>
      <tp>
        <v>1343</v>
        <stp/>
        <stp>##V3_BQLV12</stp>
        <stp>[MODL_CRM_US1.xlsx]Single Period!R91C7</stp>
        <stp>CRM US Equity</stp>
        <stp>CONTRIBUTOR_STATS(IS_COMP_NET_INCOME_GAAP, MAX)/1M</stp>
        <stp>FPR=2022Y</stp>
        <stp>FPT=A</stp>
        <stp>FA_ACT_EST_DATA=E</stp>
        <stp>ACT_EST_MAPPING=PRECISE</stp>
        <stp>FS=MRC</stp>
        <stp>CURRENCY=USD</stp>
        <stp>XLFILL=b</stp>
        <tr r="G91" s="2"/>
      </tp>
      <tp>
        <v>810</v>
        <stp/>
        <stp>##V3_BQLV12</stp>
        <stp>[MODL_CRM_US1.xlsx]Single Period!R91C6</stp>
        <stp>CRM US Equity</stp>
        <stp>CONTRIBUTOR_STATS(IS_COMP_NET_INCOME_GAAP, MIN)/1M</stp>
        <stp>FPR=2022Y</stp>
        <stp>FPT=A</stp>
        <stp>FA_ACT_EST_DATA=E</stp>
        <stp>ACT_EST_MAPPING=PRECISE</stp>
        <stp>FS=MRC</stp>
        <stp>CURRENCY=USD</stp>
        <stp>XLFILL=b</stp>
        <tr r="F91" s="2"/>
      </tp>
      <tp t="s">
        <v/>
        <stp/>
        <stp>##V3_BQLV12</stp>
        <stp>[MODL_CRM_US1.xlsx]Single Period!R185C36</stp>
        <stp>CRM US Equity</stp>
        <stp>CF_EFFECT_FOREIGN_EXCHANGES/1M</stp>
        <stp>FPR=2022Y</stp>
        <stp>FPT=A</stp>
        <stp>FA_ACT_EST_DATA=E, EST_SOURCE=MAC</stp>
        <stp>ACT_EST_MAPPING=PRECISE</stp>
        <stp>FS=MRC</stp>
        <stp>CURRENCY=USD</stp>
        <stp>XLFILL=b</stp>
        <tr r="AJ185" s="2"/>
      </tp>
      <tp t="s">
        <v/>
        <stp/>
        <stp>##V3_BQLV12</stp>
        <stp>[MODL_CRM_US1.xlsx]Single Period!R102C27</stp>
        <stp>CRM US Equity</stp>
        <stp>IS_SBC_ATT_TO_S_AND_M_PRETX/1M</stp>
        <stp>FPR=2022Y</stp>
        <stp>FPT=A</stp>
        <stp>FA_ACT_EST_DATA=E, EST_SOURCE=LCM</stp>
        <stp>ACT_EST_MAPPING=PRECISE</stp>
        <stp>FS=MRC</stp>
        <stp>CURRENCY=USD</stp>
        <stp>XLFILL=b</stp>
        <tr r="AA102" s="2"/>
      </tp>
      <tp t="s">
        <v/>
        <stp/>
        <stp>##V3_BQLV12</stp>
        <stp>[MODL_CRM_US1.xlsx]Single Period!R52C50</stp>
        <stp>CRM US Equity</stp>
        <stp>IS_COMP_SALES/1M</stp>
        <stp>FPR=2022Y</stp>
        <stp>FPT=A</stp>
        <stp>FA_ACT_EST_DATA=E, EST_SOURCE=MZS</stp>
        <stp>ACT_EST_MAPPING=PRECISE</stp>
        <stp>FS=MRC</stp>
        <stp>CURRENCY=USD</stp>
        <stp>XLFILL=b</stp>
        <tr r="AX52" s="2"/>
      </tp>
      <tp>
        <v>165.05196226129939</v>
        <stp/>
        <stp>##V3_BQLV12</stp>
        <stp>[MODL_CRM_US1.xlsx]Single Period!R91C8</stp>
        <stp>CRM US Equity</stp>
        <stp>CONTRIBUTOR_STATS(IS_COMP_NET_INCOME_GAAP, STD)/1M</stp>
        <stp>FPR=2022Y</stp>
        <stp>FPT=A</stp>
        <stp>FA_ACT_EST_DATA=E</stp>
        <stp>ACT_EST_MAPPING=PRECISE</stp>
        <stp>FS=MRC</stp>
        <stp>CURRENCY=USD</stp>
        <stp>XLFILL=b</stp>
        <tr r="H91" s="2"/>
      </tp>
      <tp>
        <v>383</v>
        <stp/>
        <stp>##V3_BQLV12</stp>
        <stp>[MODL_CRM_US1.xlsx]Single Period!R100C16</stp>
        <stp>CRM US Equity</stp>
        <stp>IS_SBC_ATTRIB_TO_COGS_PRETX/1M</stp>
        <stp>FPR=2022Y</stp>
        <stp>FPT=A</stp>
        <stp>FA_ACT_EST_DATA=E, EST_SOURCE=DBG</stp>
        <stp>ACT_EST_MAPPING=PRECISE</stp>
        <stp>FS=MRC</stp>
        <stp>CURRENCY=USD</stp>
        <stp>XLFILL=b</stp>
        <tr r="P100" s="2"/>
      </tp>
      <tp>
        <v>976</v>
        <stp/>
        <stp>##V3_BQLV12</stp>
        <stp>[MODL_CRM_US1.xlsx]Single Period!R73C15</stp>
        <stp>CRM US Equity</stp>
        <stp>IS_SH_FOR_DILUTED_EPS/1M</stp>
        <stp>FPR=2022Y</stp>
        <stp>FPT=A</stp>
        <stp>FA_ACT_EST_DATA=E, EST_SOURCE=MSV</stp>
        <stp>ACT_EST_MAPPING=PRECISE</stp>
        <stp>FS=MRC</stp>
        <stp>CURRENCY=USD</stp>
        <stp>XLFILL=b</stp>
        <tr r="O73" s="2"/>
      </tp>
      <tp t="s">
        <v/>
        <stp/>
        <stp>##V3_BQLV12</stp>
        <stp>[MODL_CRM_US1.xlsx]Single Period!R100C31</stp>
        <stp>CRM US Equity</stp>
        <stp>IS_SBC_ATTRIB_TO_COGS_PRETX/1M</stp>
        <stp>FPR=2022Y</stp>
        <stp>FPT=A</stp>
        <stp>FA_ACT_EST_DATA=E, EST_SOURCE=RBC</stp>
        <stp>ACT_EST_MAPPING=PRECISE</stp>
        <stp>FS=MRC</stp>
        <stp>CURRENCY=USD</stp>
        <stp>XLFILL=b</stp>
        <tr r="AE100" s="2"/>
      </tp>
      <tp t="s">
        <v/>
        <stp/>
        <stp>##V3_BQLV12</stp>
        <stp>[MODL_CRM_US1.xlsx]Single Period!R102C51</stp>
        <stp>CRM US Equity</stp>
        <stp>IS_SBC_ATT_TO_S_AND_M_PRETX/1M</stp>
        <stp>FPR=2022Y</stp>
        <stp>FPT=A</stp>
        <stp>FA_ACT_EST_DATA=E, EST_SOURCE=RCP</stp>
        <stp>ACT_EST_MAPPING=PRECISE</stp>
        <stp>FS=MRC</stp>
        <stp>CURRENCY=USD</stp>
        <stp>XLFILL=b</stp>
        <tr r="AY102" s="2"/>
      </tp>
      <tp t="s">
        <v/>
        <stp/>
        <stp>##V3_BQLV12</stp>
        <stp>[MODL_CRM_US1.xlsx]Single Period!R132C25</stp>
        <stp>CRM US Equity</stp>
        <stp>BS_ADJ_TOTAL_LT_LIABILITIES/1M</stp>
        <stp>FPR=2022Y</stp>
        <stp>FPT=A</stp>
        <stp>FA_ACT_EST_DATA=E, EST_SOURCE=WMS</stp>
        <stp>ACT_EST_MAPPING=PRECISE</stp>
        <stp>FS=MRC</stp>
        <stp>CURRENCY=USD</stp>
        <stp>XLFILL=b</stp>
        <tr r="Y132" s="2"/>
      </tp>
      <tp>
        <v>406.16849999999999</v>
        <stp/>
        <stp>##V3_BQLV12</stp>
        <stp>[MODL_CRM_US1.xlsx]Single Period!R100C24</stp>
        <stp>CRM US Equity</stp>
        <stp>IS_SBC_ATTRIB_TO_COGS_PRETX/1M</stp>
        <stp>FPR=2022Y</stp>
        <stp>FPT=A</stp>
        <stp>FA_ACT_EST_DATA=E, EST_SOURCE=FBC</stp>
        <stp>ACT_EST_MAPPING=PRECISE</stp>
        <stp>FS=MRC</stp>
        <stp>CURRENCY=USD</stp>
        <stp>XLFILL=b</stp>
        <tr r="X100" s="2"/>
      </tp>
      <tp t="s">
        <v/>
        <stp/>
        <stp>##V3_BQLV12</stp>
        <stp>[MODL_CRM_US1.xlsx]Single Period!R110C43</stp>
        <stp>CRM US Equity</stp>
        <stp>BS_CUR_ASSET_REPORT/1M</stp>
        <stp>FPR=2022Y</stp>
        <stp>FPT=A</stp>
        <stp>FA_ACT_EST_DATA=E, EST_SOURCE=DWI</stp>
        <stp>ACT_EST_MAPPING=PRECISE</stp>
        <stp>FS=MRC</stp>
        <stp>CURRENCY=USD</stp>
        <stp>XLFILL=b</stp>
        <tr r="AQ110" s="2"/>
      </tp>
      <tp t="s">
        <v/>
        <stp/>
        <stp>##V3_BQLV12</stp>
        <stp>[MODL_CRM_US1.xlsx]Single Period!R132C20</stp>
        <stp>CRM US Equity</stp>
        <stp>BS_ADJ_TOTAL_LT_LIABILITIES/1M</stp>
        <stp>FPR=2022Y</stp>
        <stp>FPT=A</stp>
        <stp>FA_ACT_EST_DATA=E, EST_SOURCE=JMP</stp>
        <stp>ACT_EST_MAPPING=PRECISE</stp>
        <stp>FS=MRC</stp>
        <stp>CURRENCY=USD</stp>
        <stp>XLFILL=b</stp>
        <tr r="T132" s="2"/>
      </tp>
      <tp t="s">
        <v/>
        <stp/>
        <stp>##V3_BQLV12</stp>
        <stp>[MODL_CRM_US1.xlsx]Single Period!R110C28</stp>
        <stp>CRM US Equity</stp>
        <stp>BS_CUR_ASSET_REPORT/1M</stp>
        <stp>FPR=2022Y</stp>
        <stp>FPT=A</stp>
        <stp>FA_ACT_EST_DATA=E, EST_SOURCE=CWN</stp>
        <stp>ACT_EST_MAPPING=PRECISE</stp>
        <stp>FS=MRC</stp>
        <stp>CURRENCY=USD</stp>
        <stp>XLFILL=b</stp>
        <tr r="AB110" s="2"/>
      </tp>
      <tp t="s">
        <v/>
        <stp/>
        <stp>##V3_BQLV12</stp>
        <stp>[MODL_CRM_US1.xlsx]Single Period!R122C46</stp>
        <stp>CRM US Equity</stp>
        <stp>BS_GOODWILL/1M</stp>
        <stp>FPR=2022Y</stp>
        <stp>FPT=A</stp>
        <stp>FA_ACT_EST_DATA=E, EST_SOURCE=CTI</stp>
        <stp>ACT_EST_MAPPING=PRECISE</stp>
        <stp>FS=MRC</stp>
        <stp>CURRENCY=USD</stp>
        <stp>XLFILL=b</stp>
        <tr r="AT122" s="2"/>
      </tp>
      <tp t="s">
        <v/>
        <stp/>
        <stp>##V3_BQLV12</stp>
        <stp>[MODL_CRM_US1.xlsx]Single Period!R117C53</stp>
        <stp>CRM US Equity</stp>
        <stp>BS_TOTAL_NON_CURRENT_ASSETS/1M</stp>
        <stp>FPR=2022Y</stp>
        <stp>FPT=A</stp>
        <stp>FA_ACT_EST_DATA=E, EST_SOURCE=NIK</stp>
        <stp>ACT_EST_MAPPING=PRECISE</stp>
        <stp>FS=MRC</stp>
        <stp>CURRENCY=USD</stp>
        <stp>XLFILL=b</stp>
        <tr r="BA117" s="2"/>
      </tp>
      <tp t="s">
        <v/>
        <stp/>
        <stp>##V3_BQLV12</stp>
        <stp>[MODL_CRM_US1.xlsx]Single Period!R100C11</stp>
        <stp>CRM US Equity</stp>
        <stp>IS_SBC_ATTRIB_TO_COGS_PRETX/1M</stp>
        <stp>FPR=2022Y</stp>
        <stp>FPT=A</stp>
        <stp>FA_ACT_EST_DATA=E, EST_SOURCE=WBL</stp>
        <stp>ACT_EST_MAPPING=PRECISE</stp>
        <stp>FS=MRC</stp>
        <stp>CURRENCY=USD</stp>
        <stp>XLFILL=b</stp>
        <tr r="K100" s="2"/>
      </tp>
      <tp>
        <v>2738.256647298243</v>
        <stp/>
        <stp>##V3_BQLV12</stp>
        <stp>[MODL_CRM_US1.xlsx]Single Period!R99C6</stp>
        <stp>CRM US Equity</stp>
        <stp>CONTRIBUTOR_STATS(IS_SBC_NON_GAAP, MIN)/1M</stp>
        <stp>FPR=2022Y</stp>
        <stp>FPT=A</stp>
        <stp>FA_ACT_EST_DATA=E</stp>
        <stp>ACT_EST_MAPPING=PRECISE</stp>
        <stp>FS=MRC</stp>
        <stp>CURRENCY=USD</stp>
        <stp>XLFILL=b</stp>
        <tr r="F99" s="2"/>
      </tp>
      <tp>
        <v>2883.4638</v>
        <stp/>
        <stp>##V3_BQLV12</stp>
        <stp>[MODL_CRM_US1.xlsx]Single Period!R99C7</stp>
        <stp>CRM US Equity</stp>
        <stp>CONTRIBUTOR_STATS(IS_SBC_NON_GAAP, MAX)/1M</stp>
        <stp>FPR=2022Y</stp>
        <stp>FPT=A</stp>
        <stp>FA_ACT_EST_DATA=E</stp>
        <stp>ACT_EST_MAPPING=PRECISE</stp>
        <stp>FS=MRC</stp>
        <stp>CURRENCY=USD</stp>
        <stp>XLFILL=b</stp>
        <tr r="G99" s="2"/>
      </tp>
      <tp t="s">
        <v/>
        <stp/>
        <stp>##V3_BQLV12</stp>
        <stp>[MODL_CRM_US1.xlsx]Single Period!R122C35</stp>
        <stp>CRM US Equity</stp>
        <stp>BS_GOODWILL/1M</stp>
        <stp>FPR=2022Y</stp>
        <stp>FPT=A</stp>
        <stp>FA_ACT_EST_DATA=E, EST_SOURCE=ATL</stp>
        <stp>ACT_EST_MAPPING=PRECISE</stp>
        <stp>FS=MRC</stp>
        <stp>CURRENCY=USD</stp>
        <stp>XLFILL=b</stp>
        <tr r="AI122" s="2"/>
      </tp>
      <tp t="s">
        <v/>
        <stp/>
        <stp>##V3_BQLV12</stp>
        <stp>[MODL_CRM_US1.xlsx]Single Period!R68C54</stp>
        <stp>CRM US Equity</stp>
        <stp>IS_COMP_PTP_EX_STK_BASED_COMP/1M</stp>
        <stp>FPR=2022Y</stp>
        <stp>FPT=A</stp>
        <stp>FA_ACT_EST_DATA=E, EST_SOURCE=ARE</stp>
        <stp>ACT_EST_MAPPING=PRECISE</stp>
        <stp>FS=MRC</stp>
        <stp>CURRENCY=USD</stp>
        <stp>XLFILL=b</stp>
        <tr r="BB68" s="2"/>
      </tp>
      <tp t="s">
        <v/>
        <stp/>
        <stp>##V3_BQLV12</stp>
        <stp>[MODL_CRM_US1.xlsx]Single Period!R110C44</stp>
        <stp>CRM US Equity</stp>
        <stp>BS_CUR_ASSET_REPORT/1M</stp>
        <stp>FPR=2022Y</stp>
        <stp>FPT=A</stp>
        <stp>FA_ACT_EST_DATA=E, EST_SOURCE=RWB</stp>
        <stp>ACT_EST_MAPPING=PRECISE</stp>
        <stp>FS=MRC</stp>
        <stp>CURRENCY=USD</stp>
        <stp>XLFILL=b</stp>
        <tr r="AR110" s="2"/>
      </tp>
      <tp t="s">
        <v/>
        <stp/>
        <stp>##V3_BQLV12</stp>
        <stp>[MODL_CRM_US1.xlsx]Single Period!R48C56</stp>
        <stp>SEG0000269229 Segment</stp>
        <stp>SALES_REV_TURN/1M</stp>
        <stp>FPR=2022Y</stp>
        <stp>FPT=A</stp>
        <stp>FA_ACT_EST_DATA=E, EST_SOURCE=DIR</stp>
        <stp>ACT_EST_MAPPING=PRECISE</stp>
        <stp>FS=MRC</stp>
        <stp>CURRENCY=USD</stp>
        <stp>XLFILL=b</stp>
        <tr r="BD48" s="2"/>
      </tp>
      <tp t="s">
        <v/>
        <stp/>
        <stp>##V3_BQLV12</stp>
        <stp>[MODL_CRM_US1.xlsx]Single Period!R64C18</stp>
        <stp>CRM US Equity</stp>
        <stp>IS_COMPARABLE_EBITDA/1M</stp>
        <stp>FPR=2022Y</stp>
        <stp>FPT=A</stp>
        <stp>FA_ACT_EST_DATA=E, EST_SOURCE=CAN</stp>
        <stp>ACT_EST_MAPPING=PRECISE</stp>
        <stp>FS=MRC</stp>
        <stp>CURRENCY=USD</stp>
        <stp>XLFILL=b</stp>
        <tr r="R64" s="2"/>
      </tp>
      <tp t="s">
        <v/>
        <stp/>
        <stp>##V3_BQLV12</stp>
        <stp>[MODL_CRM_US1.xlsx]Single Period!R140C54</stp>
        <stp>CRM US Equity</stp>
        <stp>BS_ACCUMULATED_OTHER_COMP_INC/1M</stp>
        <stp>FPR=2022Y</stp>
        <stp>FPT=A</stp>
        <stp>FA_ACT_EST_DATA=E, EST_SOURCE=ARE</stp>
        <stp>ACT_EST_MAPPING=PRECISE</stp>
        <stp>FS=MRC</stp>
        <stp>CURRENCY=USD</stp>
        <stp>XLFILL=b</stp>
        <tr r="BB140" s="2"/>
      </tp>
      <tp t="s">
        <v/>
        <stp/>
        <stp>##V3_BQLV12</stp>
        <stp>[MODL_CRM_US1.xlsx]Single Period!R38C56</stp>
        <stp>SEG0000269228 Segment</stp>
        <stp>SALES_REV_TURN/1M</stp>
        <stp>FPR=2022Y</stp>
        <stp>FPT=A</stp>
        <stp>FA_ACT_EST_DATA=E, EST_SOURCE=DIR</stp>
        <stp>ACT_EST_MAPPING=PRECISE</stp>
        <stp>FS=MRC</stp>
        <stp>CURRENCY=USD</stp>
        <stp>XLFILL=b</stp>
        <tr r="BD38" s="2"/>
      </tp>
      <tp>
        <v>8220</v>
        <stp/>
        <stp>##V3_BQLV12</stp>
        <stp>[MODL_CRM_US1.xlsx]Single Period!R64C24</stp>
        <stp>CRM US Equity</stp>
        <stp>IS_COMPARABLE_EBITDA/1M</stp>
        <stp>FPR=2022Y</stp>
        <stp>FPT=A</stp>
        <stp>FA_ACT_EST_DATA=E, EST_SOURCE=FBC</stp>
        <stp>ACT_EST_MAPPING=PRECISE</stp>
        <stp>FS=MRC</stp>
        <stp>CURRENCY=USD</stp>
        <stp>XLFILL=b</stp>
        <tr r="X64" s="2"/>
      </tp>
      <tp t="s">
        <v/>
        <stp/>
        <stp>##V3_BQLV12</stp>
        <stp>[MODL_CRM_US1.xlsx]Single Period!R64C55</stp>
        <stp>CRM US Equity</stp>
        <stp>IS_COMPARABLE_EBITDA/1M</stp>
        <stp>FPR=2022Y</stp>
        <stp>FPT=A</stp>
        <stp>FA_ACT_EST_DATA=E, EST_SOURCE=RED</stp>
        <stp>ACT_EST_MAPPING=PRECISE</stp>
        <stp>FS=MRC</stp>
        <stp>CURRENCY=USD</stp>
        <stp>XLFILL=b</stp>
        <tr r="BC64" s="2"/>
      </tp>
      <tp t="s">
        <v/>
        <stp/>
        <stp>##V3_BQLV12</stp>
        <stp>[MODL_CRM_US1.xlsx]Single Period!R119C45</stp>
        <stp>CRM US Equity</stp>
        <stp>CB_BS_OTHER_NONCURRENT_ASSETS/1M</stp>
        <stp>FPR=2022Y</stp>
        <stp>FPT=A</stp>
        <stp>FA_ACT_EST_DATA=E, EST_SOURCE=ARG</stp>
        <stp>ACT_EST_MAPPING=PRECISE</stp>
        <stp>FS=MRC</stp>
        <stp>CURRENCY=USD</stp>
        <stp>XLFILL=b</stp>
        <tr r="AS119" s="2"/>
      </tp>
      <tp>
        <v>2967</v>
        <stp/>
        <stp>##V3_BQLV12</stp>
        <stp>[MODL_CRM_US1.xlsx]Single Period!R156C20</stp>
        <stp>CRM US Equity</stp>
        <stp>CF_DEPR_AMORT/1M</stp>
        <stp>FPR=2022Y</stp>
        <stp>FPT=A</stp>
        <stp>FA_ACT_EST_DATA=E, EST_SOURCE=JMP</stp>
        <stp>ACT_EST_MAPPING=PRECISE</stp>
        <stp>FS=MRC</stp>
        <stp>CURRENCY=USD</stp>
        <stp>XLFILL=b</stp>
        <tr r="T156" s="2"/>
      </tp>
      <tp t="s">
        <v/>
        <stp/>
        <stp>##V3_BQLV12</stp>
        <stp>[MODL_CRM_US1.xlsx]Single Period!R29C56</stp>
        <stp>SEG0000269233 Segment</stp>
        <stp>SALES_REV_TURN/1M</stp>
        <stp>FPR=2022Y</stp>
        <stp>FPT=A</stp>
        <stp>FA_ACT_EST_DATA=E, EST_SOURCE=DIR</stp>
        <stp>ACT_EST_MAPPING=PRECISE</stp>
        <stp>FS=MRC</stp>
        <stp>CURRENCY=USD</stp>
        <stp>XLFILL=b</stp>
        <tr r="BD29" s="2"/>
      </tp>
      <tp t="s">
        <v/>
        <stp/>
        <stp>##V3_BQLV12</stp>
        <stp>[MODL_CRM_US1.xlsx]Single Period!R151C54</stp>
        <stp>CRM US Equity</stp>
        <stp>NON_CURRENT_FUTURE_REV_UNDER_CONTRACT/1M</stp>
        <stp>FPR=2022Y</stp>
        <stp>FPT=A</stp>
        <stp>FA_ACT_EST_DATA=E, EST_SOURCE=ARE</stp>
        <stp>ACT_EST_MAPPING=PRECISE</stp>
        <stp>FS=MRC</stp>
        <stp>CURRENCY=USD</stp>
        <stp>XLFILL=b</stp>
        <tr r="BB151" s="2"/>
      </tp>
      <tp t="s">
        <v/>
        <stp/>
        <stp>##V3_BQLV12</stp>
        <stp>[MODL_CRM_US1.xlsx]Single Period!R149C33</stp>
        <stp>CRM US Equity</stp>
        <stp>TOT_FUTURE_REV_UNDER_CONTRACT/1M</stp>
        <stp>FPR=2022Y</stp>
        <stp>FPT=A</stp>
        <stp>FA_ACT_EST_DATA=E, EST_SOURCE=RHR</stp>
        <stp>ACT_EST_MAPPING=PRECISE</stp>
        <stp>FS=MRC</stp>
        <stp>CURRENCY=USD</stp>
        <stp>XLFILL=b</stp>
        <tr r="AG149" s="2"/>
      </tp>
      <tp t="s">
        <v/>
        <stp/>
        <stp>##V3_BQLV12</stp>
        <stp>[MODL_CRM_US1.xlsx]Single Period!R32C51</stp>
        <stp>SEG0000269227 Segment</stp>
        <stp>SALES_REV_TURN/1M</stp>
        <stp>FPR=2022Y</stp>
        <stp>FPT=A</stp>
        <stp>FA_ACT_EST_DATA=E, EST_SOURCE=RCP</stp>
        <stp>ACT_EST_MAPPING=PRECISE</stp>
        <stp>FS=MRC</stp>
        <stp>CURRENCY=USD</stp>
        <stp>XLFILL=b</stp>
        <tr r="AY32" s="2"/>
      </tp>
      <tp>
        <v>-42</v>
        <stp/>
        <stp>##V3_BQLV12</stp>
        <stp>[MODL_CRM_US1.xlsx]Single Period!R140C15</stp>
        <stp>CRM US Equity</stp>
        <stp>BS_ACCUMULATED_OTHER_COMP_INC/1M</stp>
        <stp>FPR=2022Y</stp>
        <stp>FPT=A</stp>
        <stp>FA_ACT_EST_DATA=E, EST_SOURCE=MSV</stp>
        <stp>ACT_EST_MAPPING=PRECISE</stp>
        <stp>FS=MRC</stp>
        <stp>CURRENCY=USD</stp>
        <stp>XLFILL=b</stp>
        <tr r="O140" s="2"/>
      </tp>
      <tp t="s">
        <v/>
        <stp/>
        <stp>##V3_BQLV12</stp>
        <stp>[MODL_CRM_US1.xlsx]Single Period!R26C18</stp>
        <stp>SEG0000269247 Segment</stp>
        <stp>SALES_REV_TURN/1M</stp>
        <stp>FPR=2022Y</stp>
        <stp>FPT=A</stp>
        <stp>FA_ACT_EST_DATA=E, EST_SOURCE=CAN</stp>
        <stp>ACT_EST_MAPPING=PRECISE</stp>
        <stp>FS=MRC</stp>
        <stp>CURRENCY=USD</stp>
        <stp>XLFILL=b</stp>
        <tr r="R26" s="2"/>
      </tp>
      <tp t="s">
        <v/>
        <stp/>
        <stp>##V3_BQLV12</stp>
        <stp>[MODL_CRM_US1.xlsx]Single Period!R43C17</stp>
        <stp>SEG0000269240 Segment</stp>
        <stp>SALES_REV_TURN/1M</stp>
        <stp>FPR=2022Y</stp>
        <stp>FPT=A</stp>
        <stp>FA_ACT_EST_DATA=E, EST_SOURCE=NDH</stp>
        <stp>ACT_EST_MAPPING=PRECISE</stp>
        <stp>FS=MRC</stp>
        <stp>CURRENCY=USD</stp>
        <stp>XLFILL=b</stp>
        <tr r="Q43" s="2"/>
      </tp>
      <tp t="s">
        <v/>
        <stp/>
        <stp>##V3_BQLV12</stp>
        <stp>[MODL_CRM_US1.xlsx]Single Period!R29C53</stp>
        <stp>SEG0000269233 Segment</stp>
        <stp>SALES_REV_TURN/1M</stp>
        <stp>FPR=2022Y</stp>
        <stp>FPT=A</stp>
        <stp>FA_ACT_EST_DATA=E, EST_SOURCE=NIK</stp>
        <stp>ACT_EST_MAPPING=PRECISE</stp>
        <stp>FS=MRC</stp>
        <stp>CURRENCY=USD</stp>
        <stp>XLFILL=b</stp>
        <tr r="BA29" s="2"/>
      </tp>
      <tp>
        <v>4.47</v>
        <stp/>
        <stp>##V3_BQLV12</stp>
        <stp>[MODL_CRM_US1.xlsx]Single Period!R74C6</stp>
        <stp>CRM US Equity</stp>
        <stp>CONTRIBUTOR_STATS(IS_COMP_EPS_EXCL_STOCK_COMP, MIN)</stp>
        <stp>FPR=2022Y</stp>
        <stp>FPT=A</stp>
        <stp>FA_ACT_EST_DATA=E</stp>
        <stp>ACT_EST_MAPPING=PRECISE</stp>
        <stp>FS=MRC</stp>
        <stp>CURRENCY=USD</stp>
        <stp>XLFILL=b</stp>
        <tr r="F74" s="2"/>
      </tp>
      <tp t="s">
        <v/>
        <stp/>
        <stp>##V3_BQLV12</stp>
        <stp>[MODL_CRM_US1.xlsx]Single Period!R26C30</stp>
        <stp>SEG0000269247 Segment</stp>
        <stp>SALES_REV_TURN/1M</stp>
        <stp>FPR=2022Y</stp>
        <stp>FPT=A</stp>
        <stp>FA_ACT_EST_DATA=E, EST_SOURCE=BAM</stp>
        <stp>ACT_EST_MAPPING=PRECISE</stp>
        <stp>FS=MRC</stp>
        <stp>CURRENCY=USD</stp>
        <stp>XLFILL=b</stp>
        <tr r="AD26" s="2"/>
      </tp>
      <tp t="s">
        <v/>
        <stp/>
        <stp>##V3_BQLV12</stp>
        <stp>[MODL_CRM_US1.xlsx]Single Period!R32C27</stp>
        <stp>SEG0000269227 Segment</stp>
        <stp>SALES_REV_TURN/1M</stp>
        <stp>FPR=2022Y</stp>
        <stp>FPT=A</stp>
        <stp>FA_ACT_EST_DATA=E, EST_SOURCE=LCM</stp>
        <stp>ACT_EST_MAPPING=PRECISE</stp>
        <stp>FS=MRC</stp>
        <stp>CURRENCY=USD</stp>
        <stp>XLFILL=b</stp>
        <tr r="AA32" s="2"/>
      </tp>
      <tp>
        <v>4.8899999999999997</v>
        <stp/>
        <stp>##V3_BQLV12</stp>
        <stp>[MODL_CRM_US1.xlsx]Single Period!R74C7</stp>
        <stp>CRM US Equity</stp>
        <stp>CONTRIBUTOR_STATS(IS_COMP_EPS_EXCL_STOCK_COMP, MAX)</stp>
        <stp>FPR=2022Y</stp>
        <stp>FPT=A</stp>
        <stp>FA_ACT_EST_DATA=E</stp>
        <stp>ACT_EST_MAPPING=PRECISE</stp>
        <stp>FS=MRC</stp>
        <stp>CURRENCY=USD</stp>
        <stp>XLFILL=b</stp>
        <tr r="G74" s="2"/>
      </tp>
      <tp>
        <v>24564</v>
        <stp/>
        <stp>##V3_BQLV12</stp>
        <stp>[MODL_CRM_US1.xlsx]Single Period!R24C17</stp>
        <stp>SEG0000269238 Segment</stp>
        <stp>SALES_REV_TURN/1M</stp>
        <stp>FPR=2022Y</stp>
        <stp>FPT=A</stp>
        <stp>FA_ACT_EST_DATA=E, EST_SOURCE=NDH</stp>
        <stp>ACT_EST_MAPPING=PRECISE</stp>
        <stp>FS=MRC</stp>
        <stp>CURRENCY=USD</stp>
        <stp>XLFILL=b</stp>
        <tr r="Q24" s="2"/>
      </tp>
      <tp t="s">
        <v/>
        <stp/>
        <stp>##V3_BQLV12</stp>
        <stp>[MODL_CRM_US1.xlsx]Single Period!R151C15</stp>
        <stp>CRM US Equity</stp>
        <stp>NON_CURRENT_FUTURE_REV_UNDER_CONTRACT/1M</stp>
        <stp>FPR=2022Y</stp>
        <stp>FPT=A</stp>
        <stp>FA_ACT_EST_DATA=E, EST_SOURCE=MSV</stp>
        <stp>ACT_EST_MAPPING=PRECISE</stp>
        <stp>FS=MRC</stp>
        <stp>CURRENCY=USD</stp>
        <stp>XLFILL=b</stp>
        <tr r="O151" s="2"/>
      </tp>
      <tp t="s">
        <v/>
        <stp/>
        <stp>##V3_BQLV12</stp>
        <stp>[MODL_CRM_US1.xlsx]Single Period!R38C53</stp>
        <stp>SEG0000269228 Segment</stp>
        <stp>SALES_REV_TURN/1M</stp>
        <stp>FPR=2022Y</stp>
        <stp>FPT=A</stp>
        <stp>FA_ACT_EST_DATA=E, EST_SOURCE=NIK</stp>
        <stp>ACT_EST_MAPPING=PRECISE</stp>
        <stp>FS=MRC</stp>
        <stp>CURRENCY=USD</stp>
        <stp>XLFILL=b</stp>
        <tr r="BA38" s="2"/>
      </tp>
      <tp t="s">
        <v/>
        <stp/>
        <stp>##V3_BQLV12</stp>
        <stp>[MODL_CRM_US1.xlsx]Single Period!R48C53</stp>
        <stp>SEG0000269229 Segment</stp>
        <stp>SALES_REV_TURN/1M</stp>
        <stp>FPR=2022Y</stp>
        <stp>FPT=A</stp>
        <stp>FA_ACT_EST_DATA=E, EST_SOURCE=NIK</stp>
        <stp>ACT_EST_MAPPING=PRECISE</stp>
        <stp>FS=MRC</stp>
        <stp>CURRENCY=USD</stp>
        <stp>XLFILL=b</stp>
        <tr r="BA48" s="2"/>
      </tp>
      <tp t="s">
        <v/>
        <stp/>
        <stp>##V3_BQLV12</stp>
        <stp>[MODL_CRM_US1.xlsx]Single Period!R32C19</stp>
        <stp>SEG0000269227 Segment</stp>
        <stp>SALES_REV_TURN/1M</stp>
        <stp>FPR=2022Y</stp>
        <stp>FPT=A</stp>
        <stp>FA_ACT_EST_DATA=E, EST_SOURCE=SCB</stp>
        <stp>ACT_EST_MAPPING=PRECISE</stp>
        <stp>FS=MRC</stp>
        <stp>CURRENCY=USD</stp>
        <stp>XLFILL=b</stp>
        <tr r="S32" s="2"/>
      </tp>
      <tp t="s">
        <v/>
        <stp/>
        <stp>##V3_BQLV12</stp>
        <stp>[MODL_CRM_US1.xlsx]Single Period!R26C36</stp>
        <stp>SEG0000269247 Segment</stp>
        <stp>SALES_REV_TURN/1M</stp>
        <stp>FPR=2022Y</stp>
        <stp>FPT=A</stp>
        <stp>FA_ACT_EST_DATA=E, EST_SOURCE=MAC</stp>
        <stp>ACT_EST_MAPPING=PRECISE</stp>
        <stp>FS=MRC</stp>
        <stp>CURRENCY=USD</stp>
        <stp>XLFILL=b</stp>
        <tr r="AJ26" s="2"/>
      </tp>
      <tp t="s">
        <v/>
        <stp/>
        <stp>##V3_BQLV12</stp>
        <stp>[MODL_CRM_US1.xlsx]Single Period!R32C40</stp>
        <stp>SEG0000269227 Segment</stp>
        <stp>SALES_REV_TURN/1M</stp>
        <stp>FPR=2022Y</stp>
        <stp>FPT=A</stp>
        <stp>FA_ACT_EST_DATA=E, EST_SOURCE=ACC</stp>
        <stp>ACT_EST_MAPPING=PRECISE</stp>
        <stp>FS=MRC</stp>
        <stp>CURRENCY=USD</stp>
        <stp>XLFILL=b</stp>
        <tr r="AN32" s="2"/>
      </tp>
      <tp t="s">
        <v/>
        <stp/>
        <stp>##V3_BQLV12</stp>
        <stp>[MODL_CRM_US1.xlsx]Single Period!R149C21</stp>
        <stp>CRM US Equity</stp>
        <stp>TOT_FUTURE_REV_UNDER_CONTRACT/1M</stp>
        <stp>FPR=2022Y</stp>
        <stp>FPT=A</stp>
        <stp>FA_ACT_EST_DATA=E, EST_SOURCE=RJA</stp>
        <stp>ACT_EST_MAPPING=PRECISE</stp>
        <stp>FS=MRC</stp>
        <stp>CURRENCY=USD</stp>
        <stp>XLFILL=b</stp>
        <tr r="U149" s="2"/>
      </tp>
      <tp>
        <v>1761.5450000000001</v>
        <stp/>
        <stp>##V3_BQLV12</stp>
        <stp>[MODL_CRM_US1.xlsx]Single Period!R32C13</stp>
        <stp>SEG0000269227 Segment</stp>
        <stp>SALES_REV_TURN/1M</stp>
        <stp>FPR=2022Y</stp>
        <stp>FPT=A</stp>
        <stp>FA_ACT_EST_DATA=E, EST_SOURCE=BCA</stp>
        <stp>ACT_EST_MAPPING=PRECISE</stp>
        <stp>FS=MRC</stp>
        <stp>CURRENCY=USD</stp>
        <stp>XLFILL=b</stp>
        <tr r="M3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94"/>
  <sheetViews>
    <sheetView tabSelected="1" workbookViewId="0">
      <selection activeCell="E13" sqref="E13"/>
    </sheetView>
  </sheetViews>
  <sheetFormatPr defaultRowHeight="14.4" x14ac:dyDescent="0.55000000000000004"/>
  <cols>
    <col min="1" max="1" width="34.26171875" customWidth="1"/>
    <col min="2" max="4" width="0" hidden="1" customWidth="1"/>
    <col min="5" max="56" width="19" customWidth="1"/>
  </cols>
  <sheetData>
    <row r="1" spans="1:56" ht="20.100000000000001" x14ac:dyDescent="0.55000000000000004">
      <c r="A1" s="3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55000000000000004">
      <c r="A2" s="1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x14ac:dyDescent="0.55000000000000004">
      <c r="A3" s="4" t="s">
        <v>5</v>
      </c>
      <c r="B3" s="4"/>
      <c r="C3" s="4"/>
      <c r="D3" s="4"/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tr">
        <f>_xll.BQL("CRM US Equity", "LAST(IS_COMP_SALES(FA_ACT_EST_DATA=E, EST_SOURCE=WBL).firm_name)", "FPR=2022Y", "FPT=A", "ACT_EST_MAPPING=PRECISE", "FS=MRC", "CURRENCY=USD", "XLFILL=b")</f>
        <v>William Blair</v>
      </c>
      <c r="L3" s="4" t="str">
        <f>_xll.BQL("CRM US Equity", "LAST(IS_COMP_SALES(FA_ACT_EST_DATA=E, EST_SOURCE=BMO).firm_name)", "FPR=2022Y", "FPT=A", "ACT_EST_MAPPING=PRECISE", "FS=MRC", "CURRENCY=USD", "XLFILL=b")</f>
        <v>BMO Capital Markets</v>
      </c>
      <c r="M3" s="4" t="str">
        <f>_xll.BQL("CRM US Equity", "LAST(IS_COMP_SALES(FA_ACT_EST_DATA=E, EST_SOURCE=BCA).firm_name)", "FPR=2022Y", "FPT=A", "ACT_EST_MAPPING=PRECISE", "FS=MRC", "CURRENCY=USD", "XLFILL=b")</f>
        <v>Barclays</v>
      </c>
      <c r="N3" s="4" t="str">
        <f>_xll.BQL("CRM US Equity", "LAST(IS_COMP_SALES(FA_ACT_EST_DATA=E, EST_SOURCE=SNR).firm_name)", "FPR=2022Y", "FPT=A", "ACT_EST_MAPPING=PRECISE", "FS=MRC", "CURRENCY=USD", "XLFILL=b")</f>
        <v>Stifel</v>
      </c>
      <c r="O3" s="4" t="str">
        <f>_xll.BQL("CRM US Equity", "LAST(IS_COMP_SALES(FA_ACT_EST_DATA=E, EST_SOURCE=MSV).firm_name)", "FPR=2022Y", "FPT=A", "ACT_EST_MAPPING=PRECISE", "FS=MRC", "CURRENCY=USD", "XLFILL=b")</f>
        <v>Morningstar</v>
      </c>
      <c r="P3" s="4" t="str">
        <f>_xll.BQL("CRM US Equity", "LAST(IS_COMP_SALES(FA_ACT_EST_DATA=E, EST_SOURCE=DBG).firm_name)", "FPR=2022Y", "FPT=A", "ACT_EST_MAPPING=PRECISE", "FS=MRC", "CURRENCY=USD", "XLFILL=b")</f>
        <v>Deutsche Bank</v>
      </c>
      <c r="Q3" s="4" t="str">
        <f>_xll.BQL("CRM US Equity", "LAST(IS_COMP_SALES(FA_ACT_EST_DATA=E, EST_SOURCE=NDH).firm_name)", "FPR=2022Y", "FPT=A", "ACT_EST_MAPPING=PRECISE", "FS=MRC", "CURRENCY=USD", "XLFILL=b")</f>
        <v>Needham</v>
      </c>
      <c r="R3" s="4" t="str">
        <f>_xll.BQL("CRM US Equity", "LAST(IS_COMP_SALES(FA_ACT_EST_DATA=E, EST_SOURCE=CAN).firm_name)", "FPR=2022Y", "FPT=A", "ACT_EST_MAPPING=PRECISE", "FS=MRC", "CURRENCY=USD", "XLFILL=b")</f>
        <v>Canaccord Genuity</v>
      </c>
      <c r="S3" s="4" t="str">
        <f>_xll.BQL("CRM US Equity", "LAST(IS_COMP_SALES(FA_ACT_EST_DATA=E, EST_SOURCE=SCB).firm_name)", "FPR=2022Y", "FPT=A", "ACT_EST_MAPPING=PRECISE", "FS=MRC", "CURRENCY=USD", "XLFILL=b")</f>
        <v>Bernstein</v>
      </c>
      <c r="T3" s="4" t="str">
        <f>_xll.BQL("CRM US Equity", "LAST(IS_COMP_SALES(FA_ACT_EST_DATA=E, EST_SOURCE=JMP).firm_name)", "FPR=2022Y", "FPT=A", "ACT_EST_MAPPING=PRECISE", "FS=MRC", "CURRENCY=USD", "XLFILL=b")</f>
        <v>JMP Securities</v>
      </c>
      <c r="U3" s="4" t="str">
        <f>_xll.BQL("CRM US Equity", "LAST(IS_COMP_SALES(FA_ACT_EST_DATA=E, EST_SOURCE=RJA).firm_name)", "FPR=2022Y", "FPT=A", "ACT_EST_MAPPING=PRECISE", "FS=MRC", "CURRENCY=USD", "XLFILL=b")</f>
        <v>Raymond James</v>
      </c>
      <c r="V3" s="4" t="str">
        <f>_xll.BQL("CRM US Equity", "LAST(IS_COMP_SALES(FA_ACT_EST_DATA=E, EST_SOURCE=OPY).firm_name)", "FPR=2022Y", "FPT=A", "ACT_EST_MAPPING=PRECISE", "FS=MRC", "CURRENCY=USD", "XLFILL=b")</f>
        <v>Oppenheimer</v>
      </c>
      <c r="W3" s="4" t="str">
        <f>_xll.BQL("CRM US Equity", "LAST(IS_COMP_SALES(FA_ACT_EST_DATA=E, EST_SOURCE=JPM).firm_name)", "FPR=2022Y", "FPT=A", "ACT_EST_MAPPING=PRECISE", "FS=MRC", "CURRENCY=USD", "XLFILL=b")</f>
        <v>JP Morgan</v>
      </c>
      <c r="X3" s="4" t="str">
        <f>_xll.BQL("CRM US Equity", "LAST(IS_COMP_SALES(FA_ACT_EST_DATA=E, EST_SOURCE=FBC).firm_name)", "FPR=2022Y", "FPT=A", "ACT_EST_MAPPING=PRECISE", "FS=MRC", "CURRENCY=USD", "XLFILL=b")</f>
        <v>Credit Suisse</v>
      </c>
      <c r="Y3" s="4" t="str">
        <f>_xll.BQL("CRM US Equity", "LAST(IS_COMP_SALES(FA_ACT_EST_DATA=E, EST_SOURCE=WMS).firm_name)", "FPR=2022Y", "FPT=A", "ACT_EST_MAPPING=PRECISE", "FS=MRC", "CURRENCY=USD", "XLFILL=b")</f>
        <v>Wedbush</v>
      </c>
      <c r="Z3" s="4" t="str">
        <f>_xll.BQL("CRM US Equity", "LAST(IS_COMP_SALES(FA_ACT_EST_DATA=E, EST_SOURCE=KEY).firm_name)", "FPR=2022Y", "FPT=A", "ACT_EST_MAPPING=PRECISE", "FS=MRC", "CURRENCY=USD", "XLFILL=b")</f>
        <v>KeyBanc Capital Markets</v>
      </c>
      <c r="AA3" s="4" t="str">
        <f>_xll.BQL("CRM US Equity", "LAST(IS_COMP_SALES(FA_ACT_EST_DATA=E, EST_SOURCE=LCM).firm_name)", "FPR=2022Y", "FPT=A", "ACT_EST_MAPPING=PRECISE", "FS=MRC", "CURRENCY=USD", "XLFILL=b")</f>
        <v>Loop Capital Markets</v>
      </c>
      <c r="AB3" s="4" t="str">
        <f>_xll.BQL("CRM US Equity", "LAST(IS_COMP_SALES(FA_ACT_EST_DATA=E, EST_SOURCE=CWN).firm_name)", "FPR=2022Y", "FPT=A", "ACT_EST_MAPPING=PRECISE", "FS=MRC", "CURRENCY=USD", "XLFILL=b")</f>
        <v>Cowen</v>
      </c>
      <c r="AC3" s="4" t="str">
        <f>_xll.BQL("CRM US Equity", "LAST(IS_COMP_SALES(FA_ACT_EST_DATA=E, EST_SOURCE=BNS).firm_name)", "FPR=2022Y", "FPT=A", "ACT_EST_MAPPING=PRECISE", "FS=MRC", "CURRENCY=USD", "XLFILL=b")</f>
        <v>FBN Securities</v>
      </c>
      <c r="AD3" s="4" t="str">
        <f>_xll.BQL("CRM US Equity", "LAST(IS_COMP_SALES(FA_ACT_EST_DATA=E, EST_SOURCE=BAM).firm_name)", "FPR=2022Y", "FPT=A", "ACT_EST_MAPPING=PRECISE", "FS=MRC", "CURRENCY=USD", "XLFILL=b")</f>
        <v>BofA Securities</v>
      </c>
      <c r="AE3" s="4" t="str">
        <f>_xll.BQL("CRM US Equity", "LAST(IS_COMP_SALES(FA_ACT_EST_DATA=E, EST_SOURCE=RBC).firm_name)", "FPR=2022Y", "FPT=A", "ACT_EST_MAPPING=PRECISE", "FS=MRC", "CURRENCY=USD", "XLFILL=b")</f>
        <v>RBC Capital</v>
      </c>
      <c r="AF3" s="4" t="str">
        <f>_xll.BQL("CRM US Equity", "LAST(IS_COMP_SALES(FA_ACT_EST_DATA=E, EST_SOURCE=UBS).firm_name)", "FPR=2022Y", "FPT=A", "ACT_EST_MAPPING=PRECISE", "FS=MRC", "CURRENCY=USD", "XLFILL=b")</f>
        <v>UBS</v>
      </c>
      <c r="AG3" s="4" t="str">
        <f>_xll.BQL("CRM US Equity", "LAST(IS_COMP_SALES(FA_ACT_EST_DATA=E, EST_SOURCE=RHR).firm_name)", "FPR=2022Y", "FPT=A", "ACT_EST_MAPPING=PRECISE", "FS=MRC", "CURRENCY=USD", "XLFILL=b")</f>
        <v>Truist Securities</v>
      </c>
      <c r="AH3" s="4" t="str">
        <f>_xll.BQL("CRM US Equity", "LAST(IS_COMP_SALES(FA_ACT_EST_DATA=E, EST_SOURCE=JEF).firm_name)", "FPR=2022Y", "FPT=A", "ACT_EST_MAPPING=PRECISE", "FS=MRC", "CURRENCY=USD", "XLFILL=b")</f>
        <v>Jefferies</v>
      </c>
      <c r="AI3" s="4" t="str">
        <f>_xll.BQL("CRM US Equity", "LAST(IS_COMP_SALES(FA_ACT_EST_DATA=E, EST_SOURCE=ATL).firm_name)", "FPR=2022Y", "FPT=A", "ACT_EST_MAPPING=PRECISE", "FS=MRC", "CURRENCY=USD", "XLFILL=b")</f>
        <v>Atlantic Equities</v>
      </c>
      <c r="AJ3" s="4" t="str">
        <f>_xll.BQL("CRM US Equity", "LAST(IS_COMP_SALES(FA_ACT_EST_DATA=E, EST_SOURCE=MAC).firm_name)", "FPR=2022Y", "FPT=A", "ACT_EST_MAPPING=PRECISE", "FS=MRC", "CURRENCY=USD", "XLFILL=b")</f>
        <v>Macquarie</v>
      </c>
      <c r="AK3" s="4" t="str">
        <f>_xll.BQL("CRM US Equity", "LAST(IS_COMP_SALES(FA_ACT_EST_DATA=E, EST_SOURCE=EVR).firm_name)", "FPR=2022Y", "FPT=A", "ACT_EST_MAPPING=PRECISE", "FS=MRC", "CURRENCY=USD", "XLFILL=b")</f>
        <v>Evercore ISI</v>
      </c>
      <c r="AL3" s="4" t="str">
        <f>_xll.BQL("CRM US Equity", "LAST(IS_COMP_SALES(FA_ACT_EST_DATA=E, EST_SOURCE=MSR).firm_name)", "FPR=2022Y", "FPT=A", "ACT_EST_MAPPING=PRECISE", "FS=MRC", "CURRENCY=USD", "XLFILL=b")</f>
        <v>Morgan Stanley</v>
      </c>
      <c r="AM3" s="4" t="str">
        <f>_xll.BQL("CRM US Equity", "LAST(IS_COMP_SALES(FA_ACT_EST_DATA=E, EST_SOURCE=KGI).firm_name)", "FPR=2022Y", "FPT=A", "ACT_EST_MAPPING=PRECISE", "FS=MRC", "CURRENCY=USD", "XLFILL=b")</f>
        <v>KGI Securities Co Ltd</v>
      </c>
      <c r="AN3" s="4" t="str">
        <f>_xll.BQL("CRM US Equity", "LAST(IS_COMP_SALES(FA_ACT_EST_DATA=E, EST_SOURCE=ACC).firm_name)", "FPR=2022Y", "FPT=A", "ACT_EST_MAPPING=PRECISE", "FS=MRC", "CURRENCY=USD", "XLFILL=b")</f>
        <v>ARC Independent Research</v>
      </c>
      <c r="AO3" s="4" t="str">
        <f>_xll.BQL("CRM US Equity", "LAST(IS_COMP_SALES(FA_ACT_EST_DATA=E, EST_SOURCE=GSR).firm_name)", "FPR=2022Y", "FPT=A", "ACT_EST_MAPPING=PRECISE", "FS=MRC", "CURRENCY=USD", "XLFILL=b")</f>
        <v>Goldman Sachs</v>
      </c>
      <c r="AP3" s="4" t="str">
        <f>_xll.BQL("CRM US Equity", "LAST(IS_COMP_SALES(FA_ACT_EST_DATA=E, EST_SOURCE=PSG).firm_name)", "FPR=2022Y", "FPT=A", "ACT_EST_MAPPING=PRECISE", "FS=MRC", "CURRENCY=USD", "XLFILL=b")</f>
        <v>President Capital Management Corp</v>
      </c>
      <c r="AQ3" s="4" t="str">
        <f>_xll.BQL("CRM US Equity", "LAST(IS_COMP_SALES(FA_ACT_EST_DATA=E, EST_SOURCE=DWI).firm_name)", "FPR=2022Y", "FPT=A", "ACT_EST_MAPPING=PRECISE", "FS=MRC", "CURRENCY=USD", "XLFILL=b")</f>
        <v>Mirae Asset Securities</v>
      </c>
      <c r="AR3" s="4" t="str">
        <f>_xll.BQL("CRM US Equity", "LAST(IS_COMP_SALES(FA_ACT_EST_DATA=E, EST_SOURCE=RWB).firm_name)", "FPR=2022Y", "FPT=A", "ACT_EST_MAPPING=PRECISE", "FS=MRC", "CURRENCY=USD", "XLFILL=b")</f>
        <v>Baird</v>
      </c>
      <c r="AS3" s="4" t="str">
        <f>_xll.BQL("CRM US Equity", "LAST(IS_COMP_SALES(FA_ACT_EST_DATA=E, EST_SOURCE=ARG).firm_name)", "FPR=2022Y", "FPT=A", "ACT_EST_MAPPING=PRECISE", "FS=MRC", "CURRENCY=USD", "XLFILL=b")</f>
        <v>Argus</v>
      </c>
      <c r="AT3" s="4" t="str">
        <f>_xll.BQL("CRM US Equity", "LAST(IS_COMP_SALES(FA_ACT_EST_DATA=E, EST_SOURCE=CTI).firm_name)", "FPR=2022Y", "FPT=A", "ACT_EST_MAPPING=PRECISE", "FS=MRC", "CURRENCY=USD", "XLFILL=b")</f>
        <v>Citi</v>
      </c>
      <c r="AU3" s="4" t="str">
        <f>_xll.BQL("CRM US Equity", "LAST(IS_COMP_SALES(FA_ACT_EST_DATA=E, EST_SOURCE=WFT).firm_name)", "FPR=2022Y", "FPT=A", "ACT_EST_MAPPING=PRECISE", "FS=MRC", "CURRENCY=USD", "XLFILL=b")</f>
        <v>Wolfe Research</v>
      </c>
      <c r="AV3" s="4" t="str">
        <f>_xll.BQL("CRM US Equity", "LAST(IS_COMP_SALES(FA_ACT_EST_DATA=E, EST_SOURCE=PJE).firm_name)", "FPR=2022Y", "FPT=A", "ACT_EST_MAPPING=PRECISE", "FS=MRC", "CURRENCY=USD", "XLFILL=b")</f>
        <v>Piper Sandler &amp; Co</v>
      </c>
      <c r="AW3" s="4" t="str">
        <f>_xll.BQL("CRM US Equity", "LAST(IS_COMP_SALES(FA_ACT_EST_DATA=E, EST_SOURCE=SGE).firm_name)", "FPR=2022Y", "FPT=A", "ACT_EST_MAPPING=PRECISE", "FS=MRC", "CURRENCY=USD", "XLFILL=b")</f>
        <v>Societe Generale</v>
      </c>
      <c r="AX3" s="4" t="str">
        <f>_xll.BQL("CRM US Equity", "LAST(IS_COMP_SALES(FA_ACT_EST_DATA=E, EST_SOURCE=MZS).firm_name)", "FPR=2022Y", "FPT=A", "ACT_EST_MAPPING=PRECISE", "FS=MRC", "CURRENCY=USD", "XLFILL=b")</f>
        <v>Mizuho Securities</v>
      </c>
      <c r="AY3" s="4" t="str">
        <f>_xll.BQL("CRM US Equity", "LAST(IS_COMP_SALES(FA_ACT_EST_DATA=E, EST_SOURCE=RCP).firm_name)", "FPR=2022Y", "FPT=A", "ACT_EST_MAPPING=PRECISE", "FS=MRC", "CURRENCY=USD", "XLFILL=b")</f>
        <v>Roth Capital Partners</v>
      </c>
      <c r="AZ3" s="4" t="str">
        <f>_xll.BQL("CRM US Equity", "LAST(IS_COMP_SALES(FA_ACT_EST_DATA=E, EST_SOURCE=WFR).firm_name)", "FPR=2022Y", "FPT=A", "ACT_EST_MAPPING=PRECISE", "FS=MRC", "CURRENCY=USD", "XLFILL=b")</f>
        <v>Wells Fargo</v>
      </c>
      <c r="BA3" s="4" t="str">
        <f>_xll.BQL("CRM US Equity", "LAST(IS_COMP_SALES(FA_ACT_EST_DATA=E, EST_SOURCE=NIK).firm_name)", "FPR=2022Y", "FPT=A", "ACT_EST_MAPPING=PRECISE", "FS=MRC", "CURRENCY=USD", "XLFILL=b")</f>
        <v>SMBC Nikko</v>
      </c>
      <c r="BB3" s="4" t="str">
        <f>_xll.BQL("CRM US Equity", "LAST(IS_COMP_SALES(FA_ACT_EST_DATA=E, EST_SOURCE=ARE).firm_name)", "FPR=2022Y", "FPT=A", "ACT_EST_MAPPING=PRECISE", "FS=MRC", "CURRENCY=USD", "XLFILL=b")</f>
        <v>Arete Research</v>
      </c>
      <c r="BC3" s="4" t="str">
        <f>_xll.BQL("CRM US Equity", "LAST(IS_COMP_SALES(FA_ACT_EST_DATA=E, EST_SOURCE=RED).firm_name)", "FPR=2022Y", "FPT=A", "ACT_EST_MAPPING=PRECISE", "FS=MRC", "CURRENCY=USD", "XLFILL=b")</f>
        <v>Redburn</v>
      </c>
      <c r="BD3" s="4" t="str">
        <f>_xll.BQL("CRM US Equity", "LAST(IS_COMP_SALES(FA_ACT_EST_DATA=E, EST_SOURCE=DIR).firm_name)", "FPR=2022Y", "FPT=A", "ACT_EST_MAPPING=PRECISE", "FS=MRC", "CURRENCY=USD", "XLFILL=b")</f>
        <v>Daiwa Securities</v>
      </c>
    </row>
    <row r="4" spans="1:56" x14ac:dyDescent="0.55000000000000004">
      <c r="A4" s="7" t="s">
        <v>12</v>
      </c>
      <c r="B4" s="7" t="s">
        <v>13</v>
      </c>
      <c r="C4" s="7" t="s">
        <v>14</v>
      </c>
      <c r="D4" s="7" t="s">
        <v>15</v>
      </c>
      <c r="E4" s="7"/>
      <c r="F4" s="7"/>
      <c r="G4" s="7"/>
      <c r="H4" s="7"/>
      <c r="I4" s="7"/>
      <c r="J4" s="7"/>
      <c r="K4" s="7" t="str">
        <f>_xll.BQL("CRM US Equity", "LAST(IS_COMP_SALES(FA_ACT_EST_DATA=E, EST_SOURCE=WBL).analyst_name)", "FPR=2022Y", "FPT=A", "ACT_EST_MAPPING=PRECISE", "FS=MRC", "CURRENCY=USD", "XLFILL=b")</f>
        <v>Arjun Bhatia</v>
      </c>
      <c r="L4" s="7" t="str">
        <f>_xll.BQL("CRM US Equity", "LAST(IS_COMP_SALES(FA_ACT_EST_DATA=E, EST_SOURCE=BMO).analyst_name)", "FPR=2022Y", "FPT=A", "ACT_EST_MAPPING=PRECISE", "FS=MRC", "CURRENCY=USD", "XLFILL=b")</f>
        <v>Keith F Bachman</v>
      </c>
      <c r="M4" s="7" t="str">
        <f>_xll.BQL("CRM US Equity", "LAST(IS_COMP_SALES(FA_ACT_EST_DATA=E, EST_SOURCE=BCA).analyst_name)", "FPR=2022Y", "FPT=A", "ACT_EST_MAPPING=PRECISE", "FS=MRC", "CURRENCY=USD", "XLFILL=b")</f>
        <v>Raimo Lenschow</v>
      </c>
      <c r="N4" s="7" t="str">
        <f>_xll.BQL("CRM US Equity", "LAST(IS_COMP_SALES(FA_ACT_EST_DATA=E, EST_SOURCE=SNR).analyst_name)", "FPR=2022Y", "FPT=A", "ACT_EST_MAPPING=PRECISE", "FS=MRC", "CURRENCY=USD", "XLFILL=b")</f>
        <v>J Parker Lane</v>
      </c>
      <c r="O4" s="7" t="str">
        <f>_xll.BQL("CRM US Equity", "LAST(IS_COMP_SALES(FA_ACT_EST_DATA=E, EST_SOURCE=MSV).analyst_name)", "FPR=2022Y", "FPT=A", "ACT_EST_MAPPING=PRECISE", "FS=MRC", "CURRENCY=USD", "XLFILL=b")</f>
        <v>Daniel J Romanoff "Dan"</v>
      </c>
      <c r="P4" s="7" t="str">
        <f>_xll.BQL("CRM US Equity", "LAST(IS_COMP_SALES(FA_ACT_EST_DATA=E, EST_SOURCE=DBG).analyst_name)", "FPR=2022Y", "FPT=A", "ACT_EST_MAPPING=PRECISE", "FS=MRC", "CURRENCY=USD", "XLFILL=b")</f>
        <v>Brad A Zelnick</v>
      </c>
      <c r="Q4" s="7" t="str">
        <f>_xll.BQL("CRM US Equity", "LAST(IS_COMP_SALES(FA_ACT_EST_DATA=E, EST_SOURCE=NDH).analyst_name)", "FPR=2022Y", "FPT=A", "ACT_EST_MAPPING=PRECISE", "FS=MRC", "CURRENCY=USD", "XLFILL=b")</f>
        <v>Scott Berg</v>
      </c>
      <c r="R4" s="7" t="str">
        <f>_xll.BQL("CRM US Equity", "LAST(IS_COMP_SALES(FA_ACT_EST_DATA=E, EST_SOURCE=CAN).analyst_name)", "FPR=2022Y", "FPT=A", "ACT_EST_MAPPING=PRECISE", "FS=MRC", "CURRENCY=USD", "XLFILL=b")</f>
        <v>David E Hynes Jr</v>
      </c>
      <c r="S4" s="7" t="str">
        <f>_xll.BQL("CRM US Equity", "LAST(IS_COMP_SALES(FA_ACT_EST_DATA=E, EST_SOURCE=SCB).analyst_name)", "FPR=2022Y", "FPT=A", "ACT_EST_MAPPING=PRECISE", "FS=MRC", "CURRENCY=USD", "XLFILL=b")</f>
        <v>Mark L Moerdler</v>
      </c>
      <c r="T4" s="7" t="str">
        <f>_xll.BQL("CRM US Equity", "LAST(IS_COMP_SALES(FA_ACT_EST_DATA=E, EST_SOURCE=JMP).analyst_name)", "FPR=2022Y", "FPT=A", "ACT_EST_MAPPING=PRECISE", "FS=MRC", "CURRENCY=USD", "XLFILL=b")</f>
        <v>Patrick Walravens "Pat"</v>
      </c>
      <c r="U4" s="7" t="str">
        <f>_xll.BQL("CRM US Equity", "LAST(IS_COMP_SALES(FA_ACT_EST_DATA=E, EST_SOURCE=RJA).analyst_name)", "FPR=2022Y", "FPT=A", "ACT_EST_MAPPING=PRECISE", "FS=MRC", "CURRENCY=USD", "XLFILL=b")</f>
        <v>Brian Peterson</v>
      </c>
      <c r="V4" s="7" t="str">
        <f>_xll.BQL("CRM US Equity", "LAST(IS_COMP_SALES(FA_ACT_EST_DATA=E, EST_SOURCE=OPY).analyst_name)", "FPR=2022Y", "FPT=A", "ACT_EST_MAPPING=PRECISE", "FS=MRC", "CURRENCY=USD", "XLFILL=b")</f>
        <v>Brian Schwartz</v>
      </c>
      <c r="W4" s="7" t="str">
        <f>_xll.BQL("CRM US Equity", "LAST(IS_COMP_SALES(FA_ACT_EST_DATA=E, EST_SOURCE=JPM).analyst_name)", "FPR=2022Y", "FPT=A", "ACT_EST_MAPPING=PRECISE", "FS=MRC", "CURRENCY=USD", "XLFILL=b")</f>
        <v>Mark R Murphy</v>
      </c>
      <c r="X4" s="7" t="str">
        <f>_xll.BQL("CRM US Equity", "LAST(IS_COMP_SALES(FA_ACT_EST_DATA=E, EST_SOURCE=FBC).analyst_name)", "FPR=2022Y", "FPT=A", "ACT_EST_MAPPING=PRECISE", "FS=MRC", "CURRENCY=USD", "XLFILL=b")</f>
        <v>Philip Winslow</v>
      </c>
      <c r="Y4" s="7" t="str">
        <f>_xll.BQL("CRM US Equity", "LAST(IS_COMP_SALES(FA_ACT_EST_DATA=E, EST_SOURCE=WMS).analyst_name)", "FPR=2022Y", "FPT=A", "ACT_EST_MAPPING=PRECISE", "FS=MRC", "CURRENCY=USD", "XLFILL=b")</f>
        <v>Daniel Ives "Dan"</v>
      </c>
      <c r="Z4" s="7" t="str">
        <f>_xll.BQL("CRM US Equity", "LAST(IS_COMP_SALES(FA_ACT_EST_DATA=E, EST_SOURCE=KEY).analyst_name)", "FPR=2022Y", "FPT=A", "ACT_EST_MAPPING=PRECISE", "FS=MRC", "CURRENCY=USD", "XLFILL=b")</f>
        <v>Michael Turits PhD</v>
      </c>
      <c r="AA4" s="7" t="str">
        <f>_xll.BQL("CRM US Equity", "LAST(IS_COMP_SALES(FA_ACT_EST_DATA=E, EST_SOURCE=LCM).analyst_name)", "FPR=2022Y", "FPT=A", "ACT_EST_MAPPING=PRECISE", "FS=MRC", "CURRENCY=USD", "XLFILL=b")</f>
        <v>Yun Kim</v>
      </c>
      <c r="AB4" s="7" t="str">
        <f>_xll.BQL("CRM US Equity", "LAST(IS_COMP_SALES(FA_ACT_EST_DATA=E, EST_SOURCE=CWN).analyst_name)", "FPR=2022Y", "FPT=A", "ACT_EST_MAPPING=PRECISE", "FS=MRC", "CURRENCY=USD", "XLFILL=b")</f>
        <v>J Derrick Wood</v>
      </c>
      <c r="AC4" s="7" t="str">
        <f>_xll.BQL("CRM US Equity", "LAST(IS_COMP_SALES(FA_ACT_EST_DATA=E, EST_SOURCE=BNS).analyst_name)", "FPR=2022Y", "FPT=A", "ACT_EST_MAPPING=PRECISE", "FS=MRC", "CURRENCY=USD", "XLFILL=b")</f>
        <v>Shebly Seyrafi</v>
      </c>
      <c r="AD4" s="7" t="str">
        <f>_xll.BQL("CRM US Equity", "LAST(IS_COMP_SALES(FA_ACT_EST_DATA=E, EST_SOURCE=BAM).analyst_name)", "FPR=2022Y", "FPT=A", "ACT_EST_MAPPING=PRECISE", "FS=MRC", "CURRENCY=USD", "XLFILL=b")</f>
        <v>Brad Sills</v>
      </c>
      <c r="AE4" s="7" t="str">
        <f>_xll.BQL("CRM US Equity", "LAST(IS_COMP_SALES(FA_ACT_EST_DATA=E, EST_SOURCE=RBC).analyst_name)", "FPR=2022Y", "FPT=A", "ACT_EST_MAPPING=PRECISE", "FS=MRC", "CURRENCY=USD", "XLFILL=b")</f>
        <v>Rishi N Jaluria</v>
      </c>
      <c r="AF4" s="7" t="str">
        <f>_xll.BQL("CRM US Equity", "LAST(IS_COMP_SALES(FA_ACT_EST_DATA=E, EST_SOURCE=UBS).analyst_name)", "FPR=2022Y", "FPT=A", "ACT_EST_MAPPING=PRECISE", "FS=MRC", "CURRENCY=USD", "XLFILL=b")</f>
        <v>Karl Keirstead</v>
      </c>
      <c r="AG4" s="7" t="str">
        <f>_xll.BQL("CRM US Equity", "LAST(IS_COMP_SALES(FA_ACT_EST_DATA=E, EST_SOURCE=RHR).analyst_name)", "FPR=2022Y", "FPT=A", "ACT_EST_MAPPING=PRECISE", "FS=MRC", "CURRENCY=USD", "XLFILL=b")</f>
        <v>Terry Tillman</v>
      </c>
      <c r="AH4" s="7" t="str">
        <f>_xll.BQL("CRM US Equity", "LAST(IS_COMP_SALES(FA_ACT_EST_DATA=E, EST_SOURCE=JEF).analyst_name)", "FPR=2022Y", "FPT=A", "ACT_EST_MAPPING=PRECISE", "FS=MRC", "CURRENCY=USD", "XLFILL=b")</f>
        <v>Brent Thill</v>
      </c>
      <c r="AI4" s="7" t="str">
        <f>_xll.BQL("CRM US Equity", "LAST(IS_COMP_SALES(FA_ACT_EST_DATA=E, EST_SOURCE=ATL).analyst_name)", "FPR=2022Y", "FPT=A", "ACT_EST_MAPPING=PRECISE", "FS=MRC", "CURRENCY=USD", "XLFILL=b")</f>
        <v>Peter Sazel</v>
      </c>
      <c r="AJ4" s="7" t="str">
        <f>_xll.BQL("CRM US Equity", "LAST(IS_COMP_SALES(FA_ACT_EST_DATA=E, EST_SOURCE=MAC).analyst_name)", "FPR=2022Y", "FPT=A", "ACT_EST_MAPPING=PRECISE", "FS=MRC", "CURRENCY=USD", "XLFILL=b")</f>
        <v>Frederick Havemeyer</v>
      </c>
      <c r="AK4" s="7" t="str">
        <f>_xll.BQL("CRM US Equity", "LAST(IS_COMP_SALES(FA_ACT_EST_DATA=E, EST_SOURCE=EVR).analyst_name)", "FPR=2022Y", "FPT=A", "ACT_EST_MAPPING=PRECISE", "FS=MRC", "CURRENCY=USD", "XLFILL=b")</f>
        <v>Stewart Kirk Materne III</v>
      </c>
      <c r="AL4" s="7" t="str">
        <f>_xll.BQL("CRM US Equity", "LAST(IS_COMP_SALES(FA_ACT_EST_DATA=E, EST_SOURCE=MSR).analyst_name)", "FPR=2022Y", "FPT=A", "ACT_EST_MAPPING=PRECISE", "FS=MRC", "CURRENCY=USD", "XLFILL=b")</f>
        <v>Keith Eric Weiss</v>
      </c>
      <c r="AM4" s="7" t="str">
        <f>_xll.BQL("CRM US Equity", "LAST(IS_COMP_SALES(FA_ACT_EST_DATA=E, EST_SOURCE=KGI).analyst_name)", "FPR=2022Y", "FPT=A", "ACT_EST_MAPPING=PRECISE", "FS=MRC", "CURRENCY=USD", "XLFILL=b")</f>
        <v>Freddy Chen</v>
      </c>
      <c r="AN4" s="7" t="str">
        <f>_xll.BQL("CRM US Equity", "LAST(IS_COMP_SALES(FA_ACT_EST_DATA=E, EST_SOURCE=ACC).analyst_name)", "FPR=2022Y", "FPT=A", "ACT_EST_MAPPING=PRECISE", "FS=MRC", "CURRENCY=USD", "XLFILL=b")</f>
        <v>Harshit Gupta</v>
      </c>
      <c r="AO4" s="7" t="str">
        <f>_xll.BQL("CRM US Equity", "LAST(IS_COMP_SALES(FA_ACT_EST_DATA=E, EST_SOURCE=GSR).analyst_name)", "FPR=2022Y", "FPT=A", "ACT_EST_MAPPING=PRECISE", "FS=MRC", "CURRENCY=USD", "XLFILL=b")</f>
        <v>Kash Rangan</v>
      </c>
      <c r="AP4" s="7" t="str">
        <f>_xll.BQL("CRM US Equity", "LAST(IS_COMP_SALES(FA_ACT_EST_DATA=E, EST_SOURCE=PSG).analyst_name)", "FPR=2022Y", "FPT=A", "ACT_EST_MAPPING=PRECISE", "FS=MRC", "CURRENCY=USD", "XLFILL=b")</f>
        <v>Pooh Chuang</v>
      </c>
      <c r="AQ4" s="7" t="str">
        <f>_xll.BQL("CRM US Equity", "LAST(IS_COMP_SALES(FA_ACT_EST_DATA=E, EST_SOURCE=DWI).analyst_name)", "FPR=2022Y", "FPT=A", "ACT_EST_MAPPING=PRECISE", "FS=MRC", "CURRENCY=USD", "XLFILL=b")</f>
        <v>Young-gun Kim</v>
      </c>
      <c r="AR4" s="7" t="str">
        <f>_xll.BQL("CRM US Equity", "LAST(IS_COMP_SALES(FA_ACT_EST_DATA=E, EST_SOURCE=RWB).analyst_name)", "FPR=2022Y", "FPT=A", "ACT_EST_MAPPING=PRECISE", "FS=MRC", "CURRENCY=USD", "XLFILL=b")</f>
        <v>Rob Oliver</v>
      </c>
      <c r="AS4" s="7" t="str">
        <f>_xll.BQL("CRM US Equity", "LAST(IS_COMP_SALES(FA_ACT_EST_DATA=E, EST_SOURCE=ARG).analyst_name)", "FPR=2022Y", "FPT=A", "ACT_EST_MAPPING=PRECISE", "FS=MRC", "CURRENCY=USD", "XLFILL=b")</f>
        <v/>
      </c>
      <c r="AT4" s="7" t="str">
        <f>_xll.BQL("CRM US Equity", "LAST(IS_COMP_SALES(FA_ACT_EST_DATA=E, EST_SOURCE=CTI).analyst_name)", "FPR=2022Y", "FPT=A", "ACT_EST_MAPPING=PRECISE", "FS=MRC", "CURRENCY=USD", "XLFILL=b")</f>
        <v/>
      </c>
      <c r="AU4" s="7" t="str">
        <f>_xll.BQL("CRM US Equity", "LAST(IS_COMP_SALES(FA_ACT_EST_DATA=E, EST_SOURCE=WFT).analyst_name)", "FPR=2022Y", "FPT=A", "ACT_EST_MAPPING=PRECISE", "FS=MRC", "CURRENCY=USD", "XLFILL=b")</f>
        <v>Alex Zukin</v>
      </c>
      <c r="AV4" s="7" t="str">
        <f>_xll.BQL("CRM US Equity", "LAST(IS_COMP_SALES(FA_ACT_EST_DATA=E, EST_SOURCE=PJE).analyst_name)", "FPR=2022Y", "FPT=A", "ACT_EST_MAPPING=PRECISE", "FS=MRC", "CURRENCY=USD", "XLFILL=b")</f>
        <v>Brent A Bracelin</v>
      </c>
      <c r="AW4" s="7" t="str">
        <f>_xll.BQL("CRM US Equity", "LAST(IS_COMP_SALES(FA_ACT_EST_DATA=E, EST_SOURCE=SGE).analyst_name)", "FPR=2022Y", "FPT=A", "ACT_EST_MAPPING=PRECISE", "FS=MRC", "CURRENCY=USD", "XLFILL=b")</f>
        <v>Richard Nguyen</v>
      </c>
      <c r="AX4" s="7" t="str">
        <f>_xll.BQL("CRM US Equity", "LAST(IS_COMP_SALES(FA_ACT_EST_DATA=E, EST_SOURCE=MZS).analyst_name)", "FPR=2022Y", "FPT=A", "ACT_EST_MAPPING=PRECISE", "FS=MRC", "CURRENCY=USD", "XLFILL=b")</f>
        <v>Gregg Moskowitz</v>
      </c>
      <c r="AY4" s="7" t="str">
        <f>_xll.BQL("CRM US Equity", "LAST(IS_COMP_SALES(FA_ACT_EST_DATA=E, EST_SOURCE=RCP).analyst_name)", "FPR=2022Y", "FPT=A", "ACT_EST_MAPPING=PRECISE", "FS=MRC", "CURRENCY=USD", "XLFILL=b")</f>
        <v>Richard K Baldry</v>
      </c>
      <c r="AZ4" s="7" t="str">
        <f>_xll.BQL("CRM US Equity", "LAST(IS_COMP_SALES(FA_ACT_EST_DATA=E, EST_SOURCE=WFR).analyst_name)", "FPR=2022Y", "FPT=A", "ACT_EST_MAPPING=PRECISE", "FS=MRC", "CURRENCY=USD", "XLFILL=b")</f>
        <v>Michael Turrin</v>
      </c>
      <c r="BA4" s="7" t="str">
        <f>_xll.BQL("CRM US Equity", "LAST(IS_COMP_SALES(FA_ACT_EST_DATA=E, EST_SOURCE=NIK).analyst_name)", "FPR=2022Y", "FPT=A", "ACT_EST_MAPPING=PRECISE", "FS=MRC", "CURRENCY=USD", "XLFILL=b")</f>
        <v>Steven R Koenig</v>
      </c>
      <c r="BB4" s="7" t="str">
        <f>_xll.BQL("CRM US Equity", "LAST(IS_COMP_SALES(FA_ACT_EST_DATA=E, EST_SOURCE=ARE).analyst_name)", "FPR=2022Y", "FPT=A", "ACT_EST_MAPPING=PRECISE", "FS=MRC", "CURRENCY=USD", "XLFILL=b")</f>
        <v>Adam Shepherd</v>
      </c>
      <c r="BC4" s="7" t="str">
        <f>_xll.BQL("CRM US Equity", "LAST(IS_COMP_SALES(FA_ACT_EST_DATA=E, EST_SOURCE=RED).analyst_name)", "FPR=2022Y", "FPT=A", "ACT_EST_MAPPING=PRECISE", "FS=MRC", "CURRENCY=USD", "XLFILL=b")</f>
        <v>Neil Steer</v>
      </c>
      <c r="BD4" s="7" t="str">
        <f>_xll.BQL("CRM US Equity", "LAST(IS_COMP_SALES(FA_ACT_EST_DATA=E, EST_SOURCE=DIR).analyst_name)", "FPR=2022Y", "FPT=A", "ACT_EST_MAPPING=PRECISE", "FS=MRC", "CURRENCY=USD", "XLFILL=b")</f>
        <v>Satoshi Tanaka</v>
      </c>
    </row>
    <row r="5" spans="1:56" x14ac:dyDescent="0.55000000000000004">
      <c r="A5" s="8" t="s">
        <v>16</v>
      </c>
      <c r="B5" s="5"/>
      <c r="C5" s="5" t="s">
        <v>17</v>
      </c>
      <c r="D5" s="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</row>
    <row r="6" spans="1:56" x14ac:dyDescent="0.55000000000000004">
      <c r="A6" s="8" t="s">
        <v>18</v>
      </c>
      <c r="B6" s="5" t="s">
        <v>19</v>
      </c>
      <c r="C6" s="5" t="s">
        <v>20</v>
      </c>
      <c r="D6" s="5"/>
      <c r="E6" s="9">
        <f>_xll.BQL("CRM US Equity", "IS_COMP_EPS_EXCL_STOCK_COMP", "FPR=2022Y", "FPT=A", "FA_ACT_EST_DATA=E", "ACT_EST_MAPPING=PRECISE", "FS=MRC", "CURRENCY=USD", "XLFILL=b")</f>
        <v>4.6819999999999986</v>
      </c>
      <c r="F6" s="9">
        <f>_xll.BQL("CRM US Equity", "CONTRIBUTOR_STATS(IS_COMP_EPS_EXCL_STOCK_COMP, MIN)", "FPR=2022Y", "FPT=A", "FA_ACT_EST_DATA=E", "ACT_EST_MAPPING=PRECISE", "FS=MRC", "CURRENCY=USD", "XLFILL=b")</f>
        <v>4.47</v>
      </c>
      <c r="G6" s="9">
        <f>_xll.BQL("CRM US Equity", "CONTRIBUTOR_STATS(IS_COMP_EPS_EXCL_STOCK_COMP, MAX)", "FPR=2022Y", "FPT=A", "FA_ACT_EST_DATA=E", "ACT_EST_MAPPING=PRECISE", "FS=MRC", "CURRENCY=USD", "XLFILL=b")</f>
        <v>4.8899999999999997</v>
      </c>
      <c r="H6" s="9">
        <f>_xll.BQL("CRM US Equity", "CONTRIBUTOR_STATS(IS_COMP_EPS_EXCL_STOCK_COMP, STD)", "FPR=2022Y", "FPT=A", "FA_ACT_EST_DATA=E", "ACT_EST_MAPPING=PRECISE", "FS=MRC", "CURRENCY=USD", "XLFILL=b")</f>
        <v>6.6147218728035306E-2</v>
      </c>
      <c r="I6" s="9">
        <f>_xll.BQL("CRM US Equity", "CONTRIBUTOR_STATS(IS_COMP_EPS_EXCL_STOCK_COMP, MEDIAN)", "FPR=2022Y", "FPT=A", "FA_ACT_EST_DATA=E", "ACT_EST_MAPPING=PRECISE", "FS=MRC", "CURRENCY=USD", "XLFILL=b")</f>
        <v>4.68</v>
      </c>
      <c r="J6" s="9">
        <f>_xll.BQL("CRM US Equity", "IS_COMP_EPS_EXCL_STOCK_COMP", "FPR=2022Y", "FPT=A", "FA_ACT_EST_DATA=E, EST_SOURCE=CMPY", "ACT_EST_MAPPING=PRECISE", "FS=MRC", "CURRENCY=USD", "XLFILL=b")</f>
        <v>4.684999942779541</v>
      </c>
      <c r="K6" s="9">
        <f>_xll.BQL("CRM US Equity", "IS_COMP_EPS_EXCL_STOCK_COMP", "FPR=2022Y", "FPT=A", "FA_ACT_EST_DATA=E, EST_SOURCE=WBL", "ACT_EST_MAPPING=PRECISE", "FS=MRC", "CURRENCY=USD", "XLFILL=b")</f>
        <v>4.66</v>
      </c>
      <c r="L6" s="9">
        <f>_xll.BQL("CRM US Equity", "IS_COMP_EPS_EXCL_STOCK_COMP", "FPR=2022Y", "FPT=A", "FA_ACT_EST_DATA=E, EST_SOURCE=BMO", "ACT_EST_MAPPING=PRECISE", "FS=MRC", "CURRENCY=USD", "XLFILL=b")</f>
        <v>4.67</v>
      </c>
      <c r="M6" s="9">
        <f>_xll.BQL("CRM US Equity", "IS_COMP_EPS_EXCL_STOCK_COMP", "FPR=2022Y", "FPT=A", "FA_ACT_EST_DATA=E, EST_SOURCE=BCA", "ACT_EST_MAPPING=PRECISE", "FS=MRC", "CURRENCY=USD", "XLFILL=b")</f>
        <v>4.6900000000000004</v>
      </c>
      <c r="N6" s="9">
        <f>_xll.BQL("CRM US Equity", "IS_COMP_EPS_EXCL_STOCK_COMP", "FPR=2022Y", "FPT=A", "FA_ACT_EST_DATA=E, EST_SOURCE=SNR", "ACT_EST_MAPPING=PRECISE", "FS=MRC", "CURRENCY=USD", "XLFILL=b")</f>
        <v>4.6900000000000004</v>
      </c>
      <c r="O6" s="9">
        <f>_xll.BQL("CRM US Equity", "IS_COMP_EPS_EXCL_STOCK_COMP", "FPR=2022Y", "FPT=A", "FA_ACT_EST_DATA=E, EST_SOURCE=MSV", "ACT_EST_MAPPING=PRECISE", "FS=MRC", "CURRENCY=USD", "XLFILL=b")</f>
        <v>4.75</v>
      </c>
      <c r="P6" s="9">
        <f>_xll.BQL("CRM US Equity", "IS_COMP_EPS_EXCL_STOCK_COMP", "FPR=2022Y", "FPT=A", "FA_ACT_EST_DATA=E, EST_SOURCE=DBG", "ACT_EST_MAPPING=PRECISE", "FS=MRC", "CURRENCY=USD", "XLFILL=b")</f>
        <v>4.6900000000000004</v>
      </c>
      <c r="Q6" s="9">
        <f>_xll.BQL("CRM US Equity", "IS_COMP_EPS_EXCL_STOCK_COMP", "FPR=2022Y", "FPT=A", "FA_ACT_EST_DATA=E, EST_SOURCE=NDH", "ACT_EST_MAPPING=PRECISE", "FS=MRC", "CURRENCY=USD", "XLFILL=b")</f>
        <v>4.6500000000000004</v>
      </c>
      <c r="R6" s="9">
        <f>_xll.BQL("CRM US Equity", "IS_COMP_EPS_EXCL_STOCK_COMP", "FPR=2022Y", "FPT=A", "FA_ACT_EST_DATA=E, EST_SOURCE=CAN", "ACT_EST_MAPPING=PRECISE", "FS=MRC", "CURRENCY=USD", "XLFILL=b")</f>
        <v>4.68</v>
      </c>
      <c r="S6" s="9">
        <f>_xll.BQL("CRM US Equity", "IS_COMP_EPS_EXCL_STOCK_COMP", "FPR=2022Y", "FPT=A", "FA_ACT_EST_DATA=E, EST_SOURCE=SCB", "ACT_EST_MAPPING=PRECISE", "FS=MRC", "CURRENCY=USD", "XLFILL=b")</f>
        <v>4.83</v>
      </c>
      <c r="T6" s="9">
        <f>_xll.BQL("CRM US Equity", "IS_COMP_EPS_EXCL_STOCK_COMP", "FPR=2022Y", "FPT=A", "FA_ACT_EST_DATA=E, EST_SOURCE=JMP", "ACT_EST_MAPPING=PRECISE", "FS=MRC", "CURRENCY=USD", "XLFILL=b")</f>
        <v>4.68</v>
      </c>
      <c r="U6" s="9">
        <f>_xll.BQL("CRM US Equity", "IS_COMP_EPS_EXCL_STOCK_COMP", "FPR=2022Y", "FPT=A", "FA_ACT_EST_DATA=E, EST_SOURCE=RJA", "ACT_EST_MAPPING=PRECISE", "FS=MRC", "CURRENCY=USD", "XLFILL=b")</f>
        <v>4.6900000000000004</v>
      </c>
      <c r="V6" s="9">
        <f>_xll.BQL("CRM US Equity", "IS_COMP_EPS_EXCL_STOCK_COMP", "FPR=2022Y", "FPT=A", "FA_ACT_EST_DATA=E, EST_SOURCE=OPY", "ACT_EST_MAPPING=PRECISE", "FS=MRC", "CURRENCY=USD", "XLFILL=b")</f>
        <v>4.6900000000000004</v>
      </c>
      <c r="W6" s="9">
        <f>_xll.BQL("CRM US Equity", "IS_COMP_EPS_EXCL_STOCK_COMP", "FPR=2022Y", "FPT=A", "FA_ACT_EST_DATA=E, EST_SOURCE=JPM", "ACT_EST_MAPPING=PRECISE", "FS=MRC", "CURRENCY=USD", "XLFILL=b")</f>
        <v>4.7</v>
      </c>
      <c r="X6" s="9">
        <f>_xll.BQL("CRM US Equity", "IS_COMP_EPS_EXCL_STOCK_COMP", "FPR=2022Y", "FPT=A", "FA_ACT_EST_DATA=E, EST_SOURCE=FBC", "ACT_EST_MAPPING=PRECISE", "FS=MRC", "CURRENCY=USD", "XLFILL=b")</f>
        <v>4.66</v>
      </c>
      <c r="Y6" s="9">
        <f>_xll.BQL("CRM US Equity", "IS_COMP_EPS_EXCL_STOCK_COMP", "FPR=2022Y", "FPT=A", "FA_ACT_EST_DATA=E, EST_SOURCE=WMS", "ACT_EST_MAPPING=PRECISE", "FS=MRC", "CURRENCY=USD", "XLFILL=b")</f>
        <v>4.6399999999999997</v>
      </c>
      <c r="Z6" s="9">
        <f>_xll.BQL("CRM US Equity", "IS_COMP_EPS_EXCL_STOCK_COMP", "FPR=2022Y", "FPT=A", "FA_ACT_EST_DATA=E, EST_SOURCE=KEY", "ACT_EST_MAPPING=PRECISE", "FS=MRC", "CURRENCY=USD", "XLFILL=b")</f>
        <v>4.67</v>
      </c>
      <c r="AA6" s="9">
        <f>_xll.BQL("CRM US Equity", "IS_COMP_EPS_EXCL_STOCK_COMP", "FPR=2022Y", "FPT=A", "FA_ACT_EST_DATA=E, EST_SOURCE=LCM", "ACT_EST_MAPPING=PRECISE", "FS=MRC", "CURRENCY=USD", "XLFILL=b")</f>
        <v>4.67</v>
      </c>
      <c r="AB6" s="9">
        <f>_xll.BQL("CRM US Equity", "IS_COMP_EPS_EXCL_STOCK_COMP", "FPR=2022Y", "FPT=A", "FA_ACT_EST_DATA=E, EST_SOURCE=CWN", "ACT_EST_MAPPING=PRECISE", "FS=MRC", "CURRENCY=USD", "XLFILL=b")</f>
        <v>4.68</v>
      </c>
      <c r="AC6" s="9">
        <f>_xll.BQL("CRM US Equity", "IS_COMP_EPS_EXCL_STOCK_COMP", "FPR=2022Y", "FPT=A", "FA_ACT_EST_DATA=E, EST_SOURCE=BNS", "ACT_EST_MAPPING=PRECISE", "FS=MRC", "CURRENCY=USD", "XLFILL=b")</f>
        <v>4.67</v>
      </c>
      <c r="AD6" s="9">
        <f>_xll.BQL("CRM US Equity", "IS_COMP_EPS_EXCL_STOCK_COMP", "FPR=2022Y", "FPT=A", "FA_ACT_EST_DATA=E, EST_SOURCE=BAM", "ACT_EST_MAPPING=PRECISE", "FS=MRC", "CURRENCY=USD", "XLFILL=b")</f>
        <v>4.66</v>
      </c>
      <c r="AE6" s="9">
        <f>_xll.BQL("CRM US Equity", "IS_COMP_EPS_EXCL_STOCK_COMP", "FPR=2022Y", "FPT=A", "FA_ACT_EST_DATA=E, EST_SOURCE=RBC", "ACT_EST_MAPPING=PRECISE", "FS=MRC", "CURRENCY=USD", "XLFILL=b")</f>
        <v>4.66</v>
      </c>
      <c r="AF6" s="9">
        <f>_xll.BQL("CRM US Equity", "IS_COMP_EPS_EXCL_STOCK_COMP", "FPR=2022Y", "FPT=A", "FA_ACT_EST_DATA=E, EST_SOURCE=UBS", "ACT_EST_MAPPING=PRECISE", "FS=MRC", "CURRENCY=USD", "XLFILL=b")</f>
        <v>4.7</v>
      </c>
      <c r="AG6" s="9">
        <f>_xll.BQL("CRM US Equity", "IS_COMP_EPS_EXCL_STOCK_COMP", "FPR=2022Y", "FPT=A", "FA_ACT_EST_DATA=E, EST_SOURCE=RHR", "ACT_EST_MAPPING=PRECISE", "FS=MRC", "CURRENCY=USD", "XLFILL=b")</f>
        <v>4.68</v>
      </c>
      <c r="AH6" s="9">
        <f>_xll.BQL("CRM US Equity", "IS_COMP_EPS_EXCL_STOCK_COMP", "FPR=2022Y", "FPT=A", "FA_ACT_EST_DATA=E, EST_SOURCE=JEF", "ACT_EST_MAPPING=PRECISE", "FS=MRC", "CURRENCY=USD", "XLFILL=b")</f>
        <v>4.66</v>
      </c>
      <c r="AI6" s="9">
        <f>_xll.BQL("CRM US Equity", "IS_COMP_EPS_EXCL_STOCK_COMP", "FPR=2022Y", "FPT=A", "FA_ACT_EST_DATA=E, EST_SOURCE=ATL", "ACT_EST_MAPPING=PRECISE", "FS=MRC", "CURRENCY=USD", "XLFILL=b")</f>
        <v>4.78</v>
      </c>
      <c r="AJ6" s="9">
        <f>_xll.BQL("CRM US Equity", "IS_COMP_EPS_EXCL_STOCK_COMP", "FPR=2022Y", "FPT=A", "FA_ACT_EST_DATA=E, EST_SOURCE=MAC", "ACT_EST_MAPPING=PRECISE", "FS=MRC", "CURRENCY=USD", "XLFILL=b")</f>
        <v>4.7</v>
      </c>
      <c r="AK6" s="9">
        <f>_xll.BQL("CRM US Equity", "IS_COMP_EPS_EXCL_STOCK_COMP", "FPR=2022Y", "FPT=A", "FA_ACT_EST_DATA=E, EST_SOURCE=EVR", "ACT_EST_MAPPING=PRECISE", "FS=MRC", "CURRENCY=USD", "XLFILL=b")</f>
        <v>4.67</v>
      </c>
      <c r="AL6" s="9">
        <f>_xll.BQL("CRM US Equity", "IS_COMP_EPS_EXCL_STOCK_COMP", "FPR=2022Y", "FPT=A", "FA_ACT_EST_DATA=E, EST_SOURCE=MSR", "ACT_EST_MAPPING=PRECISE", "FS=MRC", "CURRENCY=USD", "XLFILL=b")</f>
        <v>4.68</v>
      </c>
      <c r="AM6" s="9">
        <f>_xll.BQL("CRM US Equity", "IS_COMP_EPS_EXCL_STOCK_COMP", "FPR=2022Y", "FPT=A", "FA_ACT_EST_DATA=E, EST_SOURCE=KGI", "ACT_EST_MAPPING=PRECISE", "FS=MRC", "CURRENCY=USD", "XLFILL=b")</f>
        <v>4.75</v>
      </c>
      <c r="AN6" s="9">
        <f>_xll.BQL("CRM US Equity", "IS_COMP_EPS_EXCL_STOCK_COMP", "FPR=2022Y", "FPT=A", "FA_ACT_EST_DATA=E, EST_SOURCE=ACC", "ACT_EST_MAPPING=PRECISE", "FS=MRC", "CURRENCY=USD", "XLFILL=b")</f>
        <v>4.67</v>
      </c>
      <c r="AO6" s="9">
        <f>_xll.BQL("CRM US Equity", "IS_COMP_EPS_EXCL_STOCK_COMP", "FPR=2022Y", "FPT=A", "FA_ACT_EST_DATA=E, EST_SOURCE=GSR", "ACT_EST_MAPPING=PRECISE", "FS=MRC", "CURRENCY=USD", "XLFILL=b")</f>
        <v>4.67</v>
      </c>
      <c r="AP6" s="9">
        <f>_xll.BQL("CRM US Equity", "IS_COMP_EPS_EXCL_STOCK_COMP", "FPR=2022Y", "FPT=A", "FA_ACT_EST_DATA=E, EST_SOURCE=PSG", "ACT_EST_MAPPING=PRECISE", "FS=MRC", "CURRENCY=USD", "XLFILL=b")</f>
        <v>4.8899999999999997</v>
      </c>
      <c r="AQ6" s="9">
        <f>_xll.BQL("CRM US Equity", "IS_COMP_EPS_EXCL_STOCK_COMP", "FPR=2022Y", "FPT=A", "FA_ACT_EST_DATA=E, EST_SOURCE=DWI", "ACT_EST_MAPPING=PRECISE", "FS=MRC", "CURRENCY=USD", "XLFILL=b")</f>
        <v>0.85</v>
      </c>
      <c r="AR6" s="9">
        <f>_xll.BQL("CRM US Equity", "IS_COMP_EPS_EXCL_STOCK_COMP", "FPR=2022Y", "FPT=A", "FA_ACT_EST_DATA=E, EST_SOURCE=RWB", "ACT_EST_MAPPING=PRECISE", "FS=MRC", "CURRENCY=USD", "XLFILL=b")</f>
        <v>4.67</v>
      </c>
      <c r="AS6" s="9">
        <f>_xll.BQL("CRM US Equity", "IS_COMP_EPS_EXCL_STOCK_COMP", "FPR=2022Y", "FPT=A", "FA_ACT_EST_DATA=E, EST_SOURCE=ARG", "ACT_EST_MAPPING=PRECISE", "FS=MRC", "CURRENCY=USD", "XLFILL=b")</f>
        <v>4.75</v>
      </c>
      <c r="AT6" s="9">
        <f>_xll.BQL("CRM US Equity", "IS_COMP_EPS_EXCL_STOCK_COMP", "FPR=2022Y", "FPT=A", "FA_ACT_EST_DATA=E, EST_SOURCE=CTI", "ACT_EST_MAPPING=PRECISE", "FS=MRC", "CURRENCY=USD", "XLFILL=b")</f>
        <v>4.67</v>
      </c>
      <c r="AU6" s="9" t="str">
        <f>_xll.BQL("CRM US Equity", "IS_COMP_EPS_EXCL_STOCK_COMP", "FPR=2022Y", "FPT=A", "FA_ACT_EST_DATA=E, EST_SOURCE=WFT", "ACT_EST_MAPPING=PRECISE", "FS=MRC", "CURRENCY=USD", "XLFILL=b")</f>
        <v/>
      </c>
      <c r="AV6" s="9" t="str">
        <f>_xll.BQL("CRM US Equity", "IS_COMP_EPS_EXCL_STOCK_COMP", "FPR=2022Y", "FPT=A", "FA_ACT_EST_DATA=E, EST_SOURCE=PJE", "ACT_EST_MAPPING=PRECISE", "FS=MRC", "CURRENCY=USD", "XLFILL=b")</f>
        <v/>
      </c>
      <c r="AW6" s="9" t="str">
        <f>_xll.BQL("CRM US Equity", "IS_COMP_EPS_EXCL_STOCK_COMP", "FPR=2022Y", "FPT=A", "FA_ACT_EST_DATA=E, EST_SOURCE=SGE", "ACT_EST_MAPPING=PRECISE", "FS=MRC", "CURRENCY=USD", "XLFILL=b")</f>
        <v/>
      </c>
      <c r="AX6" s="9" t="str">
        <f>_xll.BQL("CRM US Equity", "IS_COMP_EPS_EXCL_STOCK_COMP", "FPR=2022Y", "FPT=A", "FA_ACT_EST_DATA=E, EST_SOURCE=MZS", "ACT_EST_MAPPING=PRECISE", "FS=MRC", "CURRENCY=USD", "XLFILL=b")</f>
        <v/>
      </c>
      <c r="AY6" s="9" t="str">
        <f>_xll.BQL("CRM US Equity", "IS_COMP_EPS_EXCL_STOCK_COMP", "FPR=2022Y", "FPT=A", "FA_ACT_EST_DATA=E, EST_SOURCE=RCP", "ACT_EST_MAPPING=PRECISE", "FS=MRC", "CURRENCY=USD", "XLFILL=b")</f>
        <v/>
      </c>
      <c r="AZ6" s="9" t="str">
        <f>_xll.BQL("CRM US Equity", "IS_COMP_EPS_EXCL_STOCK_COMP", "FPR=2022Y", "FPT=A", "FA_ACT_EST_DATA=E, EST_SOURCE=WFR", "ACT_EST_MAPPING=PRECISE", "FS=MRC", "CURRENCY=USD", "XLFILL=b")</f>
        <v/>
      </c>
      <c r="BA6" s="9" t="str">
        <f>_xll.BQL("CRM US Equity", "IS_COMP_EPS_EXCL_STOCK_COMP", "FPR=2022Y", "FPT=A", "FA_ACT_EST_DATA=E, EST_SOURCE=NIK", "ACT_EST_MAPPING=PRECISE", "FS=MRC", "CURRENCY=USD", "XLFILL=b")</f>
        <v/>
      </c>
      <c r="BB6" s="9" t="str">
        <f>_xll.BQL("CRM US Equity", "IS_COMP_EPS_EXCL_STOCK_COMP", "FPR=2022Y", "FPT=A", "FA_ACT_EST_DATA=E, EST_SOURCE=ARE", "ACT_EST_MAPPING=PRECISE", "FS=MRC", "CURRENCY=USD", "XLFILL=b")</f>
        <v/>
      </c>
      <c r="BC6" s="9" t="str">
        <f>_xll.BQL("CRM US Equity", "IS_COMP_EPS_EXCL_STOCK_COMP", "FPR=2022Y", "FPT=A", "FA_ACT_EST_DATA=E, EST_SOURCE=RED", "ACT_EST_MAPPING=PRECISE", "FS=MRC", "CURRENCY=USD", "XLFILL=b")</f>
        <v/>
      </c>
      <c r="BD6" s="9" t="str">
        <f>_xll.BQL("CRM US Equity", "IS_COMP_EPS_EXCL_STOCK_COMP", "FPR=2022Y", "FPT=A", "FA_ACT_EST_DATA=E, EST_SOURCE=DIR", "ACT_EST_MAPPING=PRECISE", "FS=MRC", "CURRENCY=USD", "XLFILL=b")</f>
        <v/>
      </c>
    </row>
    <row r="7" spans="1:56" x14ac:dyDescent="0.55000000000000004">
      <c r="A7" s="8" t="s">
        <v>21</v>
      </c>
      <c r="B7" s="5" t="s">
        <v>22</v>
      </c>
      <c r="C7" s="5" t="s">
        <v>0</v>
      </c>
      <c r="D7" s="5"/>
      <c r="E7" s="9">
        <f>_xll.BQL("CRM US Equity", "IS_COMP_SALES/1M", "FPR=2022Y", "FPT=A", "FA_ACT_EST_DATA=E", "ACT_EST_MAPPING=PRECISE", "FS=MRC", "CURRENCY=USD", "XLFILL=b")</f>
        <v>26396.641025641031</v>
      </c>
      <c r="F7" s="9">
        <f>_xll.BQL("CRM US Equity", "CONTRIBUTOR_STATS(IS_COMP_SALES, MIN)/1M", "FPR=2022Y", "FPT=A", "FA_ACT_EST_DATA=E", "ACT_EST_MAPPING=PRECISE", "FS=MRC", "CURRENCY=USD", "XLFILL=b")</f>
        <v>26236</v>
      </c>
      <c r="G7" s="9">
        <f>_xll.BQL("CRM US Equity", "CONTRIBUTOR_STATS(IS_COMP_SALES, MAX)/1M", "FPR=2022Y", "FPT=A", "FA_ACT_EST_DATA=E", "ACT_EST_MAPPING=PRECISE", "FS=MRC", "CURRENCY=USD", "XLFILL=b")</f>
        <v>26505</v>
      </c>
      <c r="H7" s="9">
        <f>_xll.BQL("CRM US Equity", "CONTRIBUTOR_STATS(IS_COMP_SALES, STD)/1M", "FPR=2022Y", "FPT=A", "FA_ACT_EST_DATA=E", "ACT_EST_MAPPING=PRECISE", "FS=MRC", "CURRENCY=USD", "XLFILL=b")</f>
        <v>40.179522919993367</v>
      </c>
      <c r="I7" s="9">
        <f>_xll.BQL("CRM US Equity", "CONTRIBUTOR_STATS(IS_COMP_SALES, MEDIAN)/1M", "FPR=2022Y", "FPT=A", "FA_ACT_EST_DATA=E", "ACT_EST_MAPPING=PRECISE", "FS=MRC", "CURRENCY=USD", "XLFILL=b")</f>
        <v>26396</v>
      </c>
      <c r="J7" s="9">
        <f>_xll.BQL("CRM US Equity", "IS_COMP_SALES/1M", "FPR=2022Y", "FPT=A", "FA_ACT_EST_DATA=E, EST_SOURCE=CMPY", "ACT_EST_MAPPING=PRECISE", "FS=MRC", "CURRENCY=USD", "XLFILL=b")</f>
        <v>26394.999504089359</v>
      </c>
      <c r="K7" s="9">
        <f>_xll.BQL("CRM US Equity", "IS_COMP_SALES/1M", "FPR=2022Y", "FPT=A", "FA_ACT_EST_DATA=E, EST_SOURCE=WBL", "ACT_EST_MAPPING=PRECISE", "FS=MRC", "CURRENCY=USD", "XLFILL=b")</f>
        <v>26394</v>
      </c>
      <c r="L7" s="9">
        <f>_xll.BQL("CRM US Equity", "IS_COMP_SALES/1M", "FPR=2022Y", "FPT=A", "FA_ACT_EST_DATA=E, EST_SOURCE=BMO", "ACT_EST_MAPPING=PRECISE", "FS=MRC", "CURRENCY=USD", "XLFILL=b")</f>
        <v>26398</v>
      </c>
      <c r="M7" s="9">
        <f>_xll.BQL("CRM US Equity", "IS_COMP_SALES/1M", "FPR=2022Y", "FPT=A", "FA_ACT_EST_DATA=E, EST_SOURCE=BCA", "ACT_EST_MAPPING=PRECISE", "FS=MRC", "CURRENCY=USD", "XLFILL=b")</f>
        <v>26395</v>
      </c>
      <c r="N7" s="9">
        <f>_xll.BQL("CRM US Equity", "IS_COMP_SALES/1M", "FPR=2022Y", "FPT=A", "FA_ACT_EST_DATA=E, EST_SOURCE=SNR", "ACT_EST_MAPPING=PRECISE", "FS=MRC", "CURRENCY=USD", "XLFILL=b")</f>
        <v>26400</v>
      </c>
      <c r="O7" s="9">
        <f>_xll.BQL("CRM US Equity", "IS_COMP_SALES/1M", "FPR=2022Y", "FPT=A", "FA_ACT_EST_DATA=E, EST_SOURCE=MSV", "ACT_EST_MAPPING=PRECISE", "FS=MRC", "CURRENCY=USD", "XLFILL=b")</f>
        <v>26391</v>
      </c>
      <c r="P7" s="9">
        <f>_xll.BQL("CRM US Equity", "IS_COMP_SALES/1M", "FPR=2022Y", "FPT=A", "FA_ACT_EST_DATA=E, EST_SOURCE=DBG", "ACT_EST_MAPPING=PRECISE", "FS=MRC", "CURRENCY=USD", "XLFILL=b")</f>
        <v>26396</v>
      </c>
      <c r="Q7" s="9">
        <f>_xll.BQL("CRM US Equity", "IS_COMP_SALES/1M", "FPR=2022Y", "FPT=A", "FA_ACT_EST_DATA=E, EST_SOURCE=NDH", "ACT_EST_MAPPING=PRECISE", "FS=MRC", "CURRENCY=USD", "XLFILL=b")</f>
        <v>26395</v>
      </c>
      <c r="R7" s="9">
        <f>_xll.BQL("CRM US Equity", "IS_COMP_SALES/1M", "FPR=2022Y", "FPT=A", "FA_ACT_EST_DATA=E, EST_SOURCE=CAN", "ACT_EST_MAPPING=PRECISE", "FS=MRC", "CURRENCY=USD", "XLFILL=b")</f>
        <v>26400</v>
      </c>
      <c r="S7" s="9">
        <f>_xll.BQL("CRM US Equity", "IS_COMP_SALES/1M", "FPR=2022Y", "FPT=A", "FA_ACT_EST_DATA=E, EST_SOURCE=SCB", "ACT_EST_MAPPING=PRECISE", "FS=MRC", "CURRENCY=USD", "XLFILL=b")</f>
        <v>26497</v>
      </c>
      <c r="T7" s="9">
        <f>_xll.BQL("CRM US Equity", "IS_COMP_SALES/1M", "FPR=2022Y", "FPT=A", "FA_ACT_EST_DATA=E, EST_SOURCE=JMP", "ACT_EST_MAPPING=PRECISE", "FS=MRC", "CURRENCY=USD", "XLFILL=b")</f>
        <v>26396</v>
      </c>
      <c r="U7" s="9">
        <f>_xll.BQL("CRM US Equity", "IS_COMP_SALES/1M", "FPR=2022Y", "FPT=A", "FA_ACT_EST_DATA=E, EST_SOURCE=RJA", "ACT_EST_MAPPING=PRECISE", "FS=MRC", "CURRENCY=USD", "XLFILL=b")</f>
        <v>26395</v>
      </c>
      <c r="V7" s="9">
        <f>_xll.BQL("CRM US Equity", "IS_COMP_SALES/1M", "FPR=2022Y", "FPT=A", "FA_ACT_EST_DATA=E, EST_SOURCE=OPY", "ACT_EST_MAPPING=PRECISE", "FS=MRC", "CURRENCY=USD", "XLFILL=b")</f>
        <v>26395</v>
      </c>
      <c r="W7" s="9">
        <f>_xll.BQL("CRM US Equity", "IS_COMP_SALES/1M", "FPR=2022Y", "FPT=A", "FA_ACT_EST_DATA=E, EST_SOURCE=JPM", "ACT_EST_MAPPING=PRECISE", "FS=MRC", "CURRENCY=USD", "XLFILL=b")</f>
        <v>26396</v>
      </c>
      <c r="X7" s="9">
        <f>_xll.BQL("CRM US Equity", "IS_COMP_SALES/1M", "FPR=2022Y", "FPT=A", "FA_ACT_EST_DATA=E, EST_SOURCE=FBC", "ACT_EST_MAPPING=PRECISE", "FS=MRC", "CURRENCY=USD", "XLFILL=b")</f>
        <v>26400</v>
      </c>
      <c r="Y7" s="9">
        <f>_xll.BQL("CRM US Equity", "IS_COMP_SALES/1M", "FPR=2022Y", "FPT=A", "FA_ACT_EST_DATA=E, EST_SOURCE=WMS", "ACT_EST_MAPPING=PRECISE", "FS=MRC", "CURRENCY=USD", "XLFILL=b")</f>
        <v>26397</v>
      </c>
      <c r="Z7" s="9">
        <f>_xll.BQL("CRM US Equity", "IS_COMP_SALES/1M", "FPR=2022Y", "FPT=A", "FA_ACT_EST_DATA=E, EST_SOURCE=KEY", "ACT_EST_MAPPING=PRECISE", "FS=MRC", "CURRENCY=USD", "XLFILL=b")</f>
        <v>26395</v>
      </c>
      <c r="AA7" s="9">
        <f>_xll.BQL("CRM US Equity", "IS_COMP_SALES/1M", "FPR=2022Y", "FPT=A", "FA_ACT_EST_DATA=E, EST_SOURCE=LCM", "ACT_EST_MAPPING=PRECISE", "FS=MRC", "CURRENCY=USD", "XLFILL=b")</f>
        <v>26399</v>
      </c>
      <c r="AB7" s="9">
        <f>_xll.BQL("CRM US Equity", "IS_COMP_SALES/1M", "FPR=2022Y", "FPT=A", "FA_ACT_EST_DATA=E, EST_SOURCE=CWN", "ACT_EST_MAPPING=PRECISE", "FS=MRC", "CURRENCY=USD", "XLFILL=b")</f>
        <v>26414</v>
      </c>
      <c r="AC7" s="9">
        <f>_xll.BQL("CRM US Equity", "IS_COMP_SALES/1M", "FPR=2022Y", "FPT=A", "FA_ACT_EST_DATA=E, EST_SOURCE=BNS", "ACT_EST_MAPPING=PRECISE", "FS=MRC", "CURRENCY=USD", "XLFILL=b")</f>
        <v>26394</v>
      </c>
      <c r="AD7" s="9">
        <f>_xll.BQL("CRM US Equity", "IS_COMP_SALES/1M", "FPR=2022Y", "FPT=A", "FA_ACT_EST_DATA=E, EST_SOURCE=BAM", "ACT_EST_MAPPING=PRECISE", "FS=MRC", "CURRENCY=USD", "XLFILL=b")</f>
        <v>26398</v>
      </c>
      <c r="AE7" s="9">
        <f>_xll.BQL("CRM US Equity", "IS_COMP_SALES/1M", "FPR=2022Y", "FPT=A", "FA_ACT_EST_DATA=E, EST_SOURCE=RBC", "ACT_EST_MAPPING=PRECISE", "FS=MRC", "CURRENCY=USD", "XLFILL=b")</f>
        <v>26396</v>
      </c>
      <c r="AF7" s="9">
        <f>_xll.BQL("CRM US Equity", "IS_COMP_SALES/1M", "FPR=2022Y", "FPT=A", "FA_ACT_EST_DATA=E, EST_SOURCE=UBS", "ACT_EST_MAPPING=PRECISE", "FS=MRC", "CURRENCY=USD", "XLFILL=b")</f>
        <v>26487</v>
      </c>
      <c r="AG7" s="9">
        <f>_xll.BQL("CRM US Equity", "IS_COMP_SALES/1M", "FPR=2022Y", "FPT=A", "FA_ACT_EST_DATA=E, EST_SOURCE=RHR", "ACT_EST_MAPPING=PRECISE", "FS=MRC", "CURRENCY=USD", "XLFILL=b")</f>
        <v>26395</v>
      </c>
      <c r="AH7" s="9">
        <f>_xll.BQL("CRM US Equity", "IS_COMP_SALES/1M", "FPR=2022Y", "FPT=A", "FA_ACT_EST_DATA=E, EST_SOURCE=JEF", "ACT_EST_MAPPING=PRECISE", "FS=MRC", "CURRENCY=USD", "XLFILL=b")</f>
        <v>26395</v>
      </c>
      <c r="AI7" s="9">
        <f>_xll.BQL("CRM US Equity", "IS_COMP_SALES/1M", "FPR=2022Y", "FPT=A", "FA_ACT_EST_DATA=E, EST_SOURCE=ATL", "ACT_EST_MAPPING=PRECISE", "FS=MRC", "CURRENCY=USD", "XLFILL=b")</f>
        <v>26515</v>
      </c>
      <c r="AJ7" s="9">
        <f>_xll.BQL("CRM US Equity", "IS_COMP_SALES/1M", "FPR=2022Y", "FPT=A", "FA_ACT_EST_DATA=E, EST_SOURCE=MAC", "ACT_EST_MAPPING=PRECISE", "FS=MRC", "CURRENCY=USD", "XLFILL=b")</f>
        <v>26396</v>
      </c>
      <c r="AK7" s="9">
        <f>_xll.BQL("CRM US Equity", "IS_COMP_SALES/1M", "FPR=2022Y", "FPT=A", "FA_ACT_EST_DATA=E, EST_SOURCE=EVR", "ACT_EST_MAPPING=PRECISE", "FS=MRC", "CURRENCY=USD", "XLFILL=b")</f>
        <v>26398</v>
      </c>
      <c r="AL7" s="9">
        <f>_xll.BQL("CRM US Equity", "IS_COMP_SALES/1M", "FPR=2022Y", "FPT=A", "FA_ACT_EST_DATA=E, EST_SOURCE=MSR", "ACT_EST_MAPPING=PRECISE", "FS=MRC", "CURRENCY=USD", "XLFILL=b")</f>
        <v>26398</v>
      </c>
      <c r="AM7" s="9">
        <f>_xll.BQL("CRM US Equity", "IS_COMP_SALES/1M", "FPR=2022Y", "FPT=A", "FA_ACT_EST_DATA=E, EST_SOURCE=KGI", "ACT_EST_MAPPING=PRECISE", "FS=MRC", "CURRENCY=USD", "XLFILL=b")</f>
        <v>26358</v>
      </c>
      <c r="AN7" s="9">
        <f>_xll.BQL("CRM US Equity", "IS_COMP_SALES/1M", "FPR=2022Y", "FPT=A", "FA_ACT_EST_DATA=E, EST_SOURCE=ACC", "ACT_EST_MAPPING=PRECISE", "FS=MRC", "CURRENCY=USD", "XLFILL=b")</f>
        <v>26391</v>
      </c>
      <c r="AO7" s="9">
        <f>_xll.BQL("CRM US Equity", "IS_COMP_SALES/1M", "FPR=2022Y", "FPT=A", "FA_ACT_EST_DATA=E, EST_SOURCE=GSR", "ACT_EST_MAPPING=PRECISE", "FS=MRC", "CURRENCY=USD", "XLFILL=b")</f>
        <v>26400</v>
      </c>
      <c r="AP7" s="9">
        <f>_xll.BQL("CRM US Equity", "IS_COMP_SALES/1M", "FPR=2022Y", "FPT=A", "FA_ACT_EST_DATA=E, EST_SOURCE=PSG", "ACT_EST_MAPPING=PRECISE", "FS=MRC", "CURRENCY=USD", "XLFILL=b")</f>
        <v>26470</v>
      </c>
      <c r="AQ7" s="9">
        <f>_xll.BQL("CRM US Equity", "IS_COMP_SALES/1M", "FPR=2022Y", "FPT=A", "FA_ACT_EST_DATA=E, EST_SOURCE=DWI", "ACT_EST_MAPPING=PRECISE", "FS=MRC", "CURRENCY=USD", "XLFILL=b")</f>
        <v>26300</v>
      </c>
      <c r="AR7" s="9">
        <f>_xll.BQL("CRM US Equity", "IS_COMP_SALES/1M", "FPR=2022Y", "FPT=A", "FA_ACT_EST_DATA=E, EST_SOURCE=RWB", "ACT_EST_MAPPING=PRECISE", "FS=MRC", "CURRENCY=USD", "XLFILL=b")</f>
        <v>26300</v>
      </c>
      <c r="AS7" s="9" t="str">
        <f>_xll.BQL("CRM US Equity", "IS_COMP_SALES/1M", "FPR=2022Y", "FPT=A", "FA_ACT_EST_DATA=E, EST_SOURCE=ARG", "ACT_EST_MAPPING=PRECISE", "FS=MRC", "CURRENCY=USD", "XLFILL=b")</f>
        <v/>
      </c>
      <c r="AT7" s="9" t="str">
        <f>_xll.BQL("CRM US Equity", "IS_COMP_SALES/1M", "FPR=2022Y", "FPT=A", "FA_ACT_EST_DATA=E, EST_SOURCE=CTI", "ACT_EST_MAPPING=PRECISE", "FS=MRC", "CURRENCY=USD", "XLFILL=b")</f>
        <v/>
      </c>
      <c r="AU7" s="9" t="str">
        <f>_xll.BQL("CRM US Equity", "IS_COMP_SALES/1M", "FPR=2022Y", "FPT=A", "FA_ACT_EST_DATA=E, EST_SOURCE=WFT", "ACT_EST_MAPPING=PRECISE", "FS=MRC", "CURRENCY=USD", "XLFILL=b")</f>
        <v/>
      </c>
      <c r="AV7" s="9" t="str">
        <f>_xll.BQL("CRM US Equity", "IS_COMP_SALES/1M", "FPR=2022Y", "FPT=A", "FA_ACT_EST_DATA=E, EST_SOURCE=PJE", "ACT_EST_MAPPING=PRECISE", "FS=MRC", "CURRENCY=USD", "XLFILL=b")</f>
        <v/>
      </c>
      <c r="AW7" s="9" t="str">
        <f>_xll.BQL("CRM US Equity", "IS_COMP_SALES/1M", "FPR=2022Y", "FPT=A", "FA_ACT_EST_DATA=E, EST_SOURCE=SGE", "ACT_EST_MAPPING=PRECISE", "FS=MRC", "CURRENCY=USD", "XLFILL=b")</f>
        <v/>
      </c>
      <c r="AX7" s="9" t="str">
        <f>_xll.BQL("CRM US Equity", "IS_COMP_SALES/1M", "FPR=2022Y", "FPT=A", "FA_ACT_EST_DATA=E, EST_SOURCE=MZS", "ACT_EST_MAPPING=PRECISE", "FS=MRC", "CURRENCY=USD", "XLFILL=b")</f>
        <v/>
      </c>
      <c r="AY7" s="9" t="str">
        <f>_xll.BQL("CRM US Equity", "IS_COMP_SALES/1M", "FPR=2022Y", "FPT=A", "FA_ACT_EST_DATA=E, EST_SOURCE=RCP", "ACT_EST_MAPPING=PRECISE", "FS=MRC", "CURRENCY=USD", "XLFILL=b")</f>
        <v/>
      </c>
      <c r="AZ7" s="9" t="str">
        <f>_xll.BQL("CRM US Equity", "IS_COMP_SALES/1M", "FPR=2022Y", "FPT=A", "FA_ACT_EST_DATA=E, EST_SOURCE=WFR", "ACT_EST_MAPPING=PRECISE", "FS=MRC", "CURRENCY=USD", "XLFILL=b")</f>
        <v/>
      </c>
      <c r="BA7" s="9" t="str">
        <f>_xll.BQL("CRM US Equity", "IS_COMP_SALES/1M", "FPR=2022Y", "FPT=A", "FA_ACT_EST_DATA=E, EST_SOURCE=NIK", "ACT_EST_MAPPING=PRECISE", "FS=MRC", "CURRENCY=USD", "XLFILL=b")</f>
        <v/>
      </c>
      <c r="BB7" s="9" t="str">
        <f>_xll.BQL("CRM US Equity", "IS_COMP_SALES/1M", "FPR=2022Y", "FPT=A", "FA_ACT_EST_DATA=E, EST_SOURCE=ARE", "ACT_EST_MAPPING=PRECISE", "FS=MRC", "CURRENCY=USD", "XLFILL=b")</f>
        <v/>
      </c>
      <c r="BC7" s="9" t="str">
        <f>_xll.BQL("CRM US Equity", "IS_COMP_SALES/1M", "FPR=2022Y", "FPT=A", "FA_ACT_EST_DATA=E, EST_SOURCE=RED", "ACT_EST_MAPPING=PRECISE", "FS=MRC", "CURRENCY=USD", "XLFILL=b")</f>
        <v/>
      </c>
      <c r="BD7" s="9" t="str">
        <f>_xll.BQL("CRM US Equity", "IS_COMP_SALES/1M", "FPR=2022Y", "FPT=A", "FA_ACT_EST_DATA=E, EST_SOURCE=DIR", "ACT_EST_MAPPING=PRECISE", "FS=MRC", "CURRENCY=USD", "XLFILL=b")</f>
        <v/>
      </c>
    </row>
    <row r="8" spans="1:56" x14ac:dyDescent="0.55000000000000004">
      <c r="A8" s="8" t="s">
        <v>23</v>
      </c>
      <c r="B8" s="5" t="s">
        <v>24</v>
      </c>
      <c r="C8" s="5" t="s">
        <v>25</v>
      </c>
      <c r="D8" s="5"/>
      <c r="E8" s="9">
        <f>_xll.BQL("CRM US Equity", "REVENUE_GROWTH_CC_1_YR", "FPR=2022Y", "FPT=A", "FA_ACT_EST_DATA=E", "ACT_EST_MAPPING=PRECISE", "FS=MRC", "CURRENCY=USD", "XLFILL=b")</f>
        <v>23.125811187045361</v>
      </c>
      <c r="F8" s="9">
        <f>_xll.BQL("CRM US Equity", "CONTRIBUTOR_STATS(REVENUE_GROWTH_CC_1_YR, MIN)", "FPR=2022Y", "FPT=A", "FA_ACT_EST_DATA=E", "ACT_EST_MAPPING=PRECISE", "FS=MRC", "CURRENCY=USD", "XLFILL=b")</f>
        <v>22.333333333333339</v>
      </c>
      <c r="G8" s="9">
        <f>_xll.BQL("CRM US Equity", "CONTRIBUTOR_STATS(REVENUE_GROWTH_CC_1_YR, MAX)", "FPR=2022Y", "FPT=A", "FA_ACT_EST_DATA=E", "ACT_EST_MAPPING=PRECISE", "FS=MRC", "CURRENCY=USD", "XLFILL=b")</f>
        <v>24.215791454921899</v>
      </c>
      <c r="H8" s="9">
        <f>_xll.BQL("CRM US Equity", "CONTRIBUTOR_STATS(REVENUE_GROWTH_CC_1_YR, STD)", "FPR=2022Y", "FPT=A", "FA_ACT_EST_DATA=E", "ACT_EST_MAPPING=PRECISE", "FS=MRC", "CURRENCY=USD", "XLFILL=b")</f>
        <v>0.77843657422281043</v>
      </c>
      <c r="I8" s="9">
        <f>_xll.BQL("CRM US Equity", "CONTRIBUTOR_STATS(REVENUE_GROWTH_CC_1_YR, MEDIAN)", "FPR=2022Y", "FPT=A", "FA_ACT_EST_DATA=E", "ACT_EST_MAPPING=PRECISE", "FS=MRC", "CURRENCY=USD", "XLFILL=b")</f>
        <v>22.7850716991342</v>
      </c>
      <c r="J8" s="9" t="str">
        <f>_xll.BQL("CRM US Equity", "REVENUE_GROWTH_CC_1_YR", "FPR=2022Y", "FPT=A", "FA_ACT_EST_DATA=E, EST_SOURCE=CMPY", "ACT_EST_MAPPING=PRECISE", "FS=MRC", "CURRENCY=USD", "XLFILL=b")</f>
        <v/>
      </c>
      <c r="K8" s="9" t="str">
        <f>_xll.BQL("CRM US Equity", "REVENUE_GROWTH_CC_1_YR", "FPR=2022Y", "FPT=A", "FA_ACT_EST_DATA=E, EST_SOURCE=WBL", "ACT_EST_MAPPING=PRECISE", "FS=MRC", "CURRENCY=USD", "XLFILL=b")</f>
        <v/>
      </c>
      <c r="L8" s="9" t="str">
        <f>_xll.BQL("CRM US Equity", "REVENUE_GROWTH_CC_1_YR", "FPR=2022Y", "FPT=A", "FA_ACT_EST_DATA=E, EST_SOURCE=BMO", "ACT_EST_MAPPING=PRECISE", "FS=MRC", "CURRENCY=USD", "XLFILL=b")</f>
        <v/>
      </c>
      <c r="M8" s="9" t="str">
        <f>_xll.BQL("CRM US Equity", "REVENUE_GROWTH_CC_1_YR", "FPR=2022Y", "FPT=A", "FA_ACT_EST_DATA=E, EST_SOURCE=BCA", "ACT_EST_MAPPING=PRECISE", "FS=MRC", "CURRENCY=USD", "XLFILL=b")</f>
        <v/>
      </c>
      <c r="N8" s="9" t="str">
        <f>_xll.BQL("CRM US Equity", "REVENUE_GROWTH_CC_1_YR", "FPR=2022Y", "FPT=A", "FA_ACT_EST_DATA=E, EST_SOURCE=SNR", "ACT_EST_MAPPING=PRECISE", "FS=MRC", "CURRENCY=USD", "XLFILL=b")</f>
        <v/>
      </c>
      <c r="O8" s="9" t="str">
        <f>_xll.BQL("CRM US Equity", "REVENUE_GROWTH_CC_1_YR", "FPR=2022Y", "FPT=A", "FA_ACT_EST_DATA=E, EST_SOURCE=MSV", "ACT_EST_MAPPING=PRECISE", "FS=MRC", "CURRENCY=USD", "XLFILL=b")</f>
        <v/>
      </c>
      <c r="P8" s="9" t="str">
        <f>_xll.BQL("CRM US Equity", "REVENUE_GROWTH_CC_1_YR", "FPR=2022Y", "FPT=A", "FA_ACT_EST_DATA=E, EST_SOURCE=DBG", "ACT_EST_MAPPING=PRECISE", "FS=MRC", "CURRENCY=USD", "XLFILL=b")</f>
        <v/>
      </c>
      <c r="Q8" s="9" t="str">
        <f>_xll.BQL("CRM US Equity", "REVENUE_GROWTH_CC_1_YR", "FPR=2022Y", "FPT=A", "FA_ACT_EST_DATA=E, EST_SOURCE=NDH", "ACT_EST_MAPPING=PRECISE", "FS=MRC", "CURRENCY=USD", "XLFILL=b")</f>
        <v/>
      </c>
      <c r="R8" s="9" t="str">
        <f>_xll.BQL("CRM US Equity", "REVENUE_GROWTH_CC_1_YR", "FPR=2022Y", "FPT=A", "FA_ACT_EST_DATA=E, EST_SOURCE=CAN", "ACT_EST_MAPPING=PRECISE", "FS=MRC", "CURRENCY=USD", "XLFILL=b")</f>
        <v/>
      </c>
      <c r="S8" s="9" t="str">
        <f>_xll.BQL("CRM US Equity", "REVENUE_GROWTH_CC_1_YR", "FPR=2022Y", "FPT=A", "FA_ACT_EST_DATA=E, EST_SOURCE=SCB", "ACT_EST_MAPPING=PRECISE", "FS=MRC", "CURRENCY=USD", "XLFILL=b")</f>
        <v/>
      </c>
      <c r="T8" s="9" t="str">
        <f>_xll.BQL("CRM US Equity", "REVENUE_GROWTH_CC_1_YR", "FPR=2022Y", "FPT=A", "FA_ACT_EST_DATA=E, EST_SOURCE=JMP", "ACT_EST_MAPPING=PRECISE", "FS=MRC", "CURRENCY=USD", "XLFILL=b")</f>
        <v/>
      </c>
      <c r="U8" s="9" t="str">
        <f>_xll.BQL("CRM US Equity", "REVENUE_GROWTH_CC_1_YR", "FPR=2022Y", "FPT=A", "FA_ACT_EST_DATA=E, EST_SOURCE=RJA", "ACT_EST_MAPPING=PRECISE", "FS=MRC", "CURRENCY=USD", "XLFILL=b")</f>
        <v/>
      </c>
      <c r="V8" s="9" t="str">
        <f>_xll.BQL("CRM US Equity", "REVENUE_GROWTH_CC_1_YR", "FPR=2022Y", "FPT=A", "FA_ACT_EST_DATA=E, EST_SOURCE=OPY", "ACT_EST_MAPPING=PRECISE", "FS=MRC", "CURRENCY=USD", "XLFILL=b")</f>
        <v/>
      </c>
      <c r="W8" s="9" t="str">
        <f>_xll.BQL("CRM US Equity", "REVENUE_GROWTH_CC_1_YR", "FPR=2022Y", "FPT=A", "FA_ACT_EST_DATA=E, EST_SOURCE=JPM", "ACT_EST_MAPPING=PRECISE", "FS=MRC", "CURRENCY=USD", "XLFILL=b")</f>
        <v/>
      </c>
      <c r="X8" s="9">
        <f>_xll.BQL("CRM US Equity", "REVENUE_GROWTH_CC_1_YR", "FPR=2022Y", "FPT=A", "FA_ACT_EST_DATA=E, EST_SOURCE=FBC", "ACT_EST_MAPPING=PRECISE", "FS=MRC", "CURRENCY=USD", "XLFILL=b")</f>
        <v>23.000352907961609</v>
      </c>
      <c r="Y8" s="9" t="str">
        <f>_xll.BQL("CRM US Equity", "REVENUE_GROWTH_CC_1_YR", "FPR=2022Y", "FPT=A", "FA_ACT_EST_DATA=E, EST_SOURCE=WMS", "ACT_EST_MAPPING=PRECISE", "FS=MRC", "CURRENCY=USD", "XLFILL=b")</f>
        <v/>
      </c>
      <c r="Z8" s="9">
        <f>_xll.BQL("CRM US Equity", "REVENUE_GROWTH_CC_1_YR", "FPR=2022Y", "FPT=A", "FA_ACT_EST_DATA=E, EST_SOURCE=KEY", "ACT_EST_MAPPING=PRECISE", "FS=MRC", "CURRENCY=USD", "XLFILL=b")</f>
        <v>17.63419604452012</v>
      </c>
      <c r="AA8" s="9" t="str">
        <f>_xll.BQL("CRM US Equity", "REVENUE_GROWTH_CC_1_YR", "FPR=2022Y", "FPT=A", "FA_ACT_EST_DATA=E, EST_SOURCE=LCM", "ACT_EST_MAPPING=PRECISE", "FS=MRC", "CURRENCY=USD", "XLFILL=b")</f>
        <v/>
      </c>
      <c r="AB8" s="9" t="str">
        <f>_xll.BQL("CRM US Equity", "REVENUE_GROWTH_CC_1_YR", "FPR=2022Y", "FPT=A", "FA_ACT_EST_DATA=E, EST_SOURCE=CWN", "ACT_EST_MAPPING=PRECISE", "FS=MRC", "CURRENCY=USD", "XLFILL=b")</f>
        <v/>
      </c>
      <c r="AC8" s="9" t="str">
        <f>_xll.BQL("CRM US Equity", "REVENUE_GROWTH_CC_1_YR", "FPR=2022Y", "FPT=A", "FA_ACT_EST_DATA=E, EST_SOURCE=BNS", "ACT_EST_MAPPING=PRECISE", "FS=MRC", "CURRENCY=USD", "XLFILL=b")</f>
        <v/>
      </c>
      <c r="AD8" s="9" t="str">
        <f>_xll.BQL("CRM US Equity", "REVENUE_GROWTH_CC_1_YR", "FPR=2022Y", "FPT=A", "FA_ACT_EST_DATA=E, EST_SOURCE=BAM", "ACT_EST_MAPPING=PRECISE", "FS=MRC", "CURRENCY=USD", "XLFILL=b")</f>
        <v/>
      </c>
      <c r="AE8" s="9" t="str">
        <f>_xll.BQL("CRM US Equity", "REVENUE_GROWTH_CC_1_YR", "FPR=2022Y", "FPT=A", "FA_ACT_EST_DATA=E, EST_SOURCE=RBC", "ACT_EST_MAPPING=PRECISE", "FS=MRC", "CURRENCY=USD", "XLFILL=b")</f>
        <v/>
      </c>
      <c r="AF8" s="9" t="str">
        <f>_xll.BQL("CRM US Equity", "REVENUE_GROWTH_CC_1_YR", "FPR=2022Y", "FPT=A", "FA_ACT_EST_DATA=E, EST_SOURCE=UBS", "ACT_EST_MAPPING=PRECISE", "FS=MRC", "CURRENCY=USD", "XLFILL=b")</f>
        <v/>
      </c>
      <c r="AG8" s="9" t="str">
        <f>_xll.BQL("CRM US Equity", "REVENUE_GROWTH_CC_1_YR", "FPR=2022Y", "FPT=A", "FA_ACT_EST_DATA=E, EST_SOURCE=RHR", "ACT_EST_MAPPING=PRECISE", "FS=MRC", "CURRENCY=USD", "XLFILL=b")</f>
        <v/>
      </c>
      <c r="AH8" s="9" t="str">
        <f>_xll.BQL("CRM US Equity", "REVENUE_GROWTH_CC_1_YR", "FPR=2022Y", "FPT=A", "FA_ACT_EST_DATA=E, EST_SOURCE=JEF", "ACT_EST_MAPPING=PRECISE", "FS=MRC", "CURRENCY=USD", "XLFILL=b")</f>
        <v/>
      </c>
      <c r="AI8" s="9" t="str">
        <f>_xll.BQL("CRM US Equity", "REVENUE_GROWTH_CC_1_YR", "FPR=2022Y", "FPT=A", "FA_ACT_EST_DATA=E, EST_SOURCE=ATL", "ACT_EST_MAPPING=PRECISE", "FS=MRC", "CURRENCY=USD", "XLFILL=b")</f>
        <v/>
      </c>
      <c r="AJ8" s="9" t="str">
        <f>_xll.BQL("CRM US Equity", "REVENUE_GROWTH_CC_1_YR", "FPR=2022Y", "FPT=A", "FA_ACT_EST_DATA=E, EST_SOURCE=MAC", "ACT_EST_MAPPING=PRECISE", "FS=MRC", "CURRENCY=USD", "XLFILL=b")</f>
        <v/>
      </c>
      <c r="AK8" s="9" t="str">
        <f>_xll.BQL("CRM US Equity", "REVENUE_GROWTH_CC_1_YR", "FPR=2022Y", "FPT=A", "FA_ACT_EST_DATA=E, EST_SOURCE=EVR", "ACT_EST_MAPPING=PRECISE", "FS=MRC", "CURRENCY=USD", "XLFILL=b")</f>
        <v/>
      </c>
      <c r="AL8" s="9" t="str">
        <f>_xll.BQL("CRM US Equity", "REVENUE_GROWTH_CC_1_YR", "FPR=2022Y", "FPT=A", "FA_ACT_EST_DATA=E, EST_SOURCE=MSR", "ACT_EST_MAPPING=PRECISE", "FS=MRC", "CURRENCY=USD", "XLFILL=b")</f>
        <v/>
      </c>
      <c r="AM8" s="9" t="str">
        <f>_xll.BQL("CRM US Equity", "REVENUE_GROWTH_CC_1_YR", "FPR=2022Y", "FPT=A", "FA_ACT_EST_DATA=E, EST_SOURCE=KGI", "ACT_EST_MAPPING=PRECISE", "FS=MRC", "CURRENCY=USD", "XLFILL=b")</f>
        <v/>
      </c>
      <c r="AN8" s="9" t="str">
        <f>_xll.BQL("CRM US Equity", "REVENUE_GROWTH_CC_1_YR", "FPR=2022Y", "FPT=A", "FA_ACT_EST_DATA=E, EST_SOURCE=ACC", "ACT_EST_MAPPING=PRECISE", "FS=MRC", "CURRENCY=USD", "XLFILL=b")</f>
        <v/>
      </c>
      <c r="AO8" s="9" t="str">
        <f>_xll.BQL("CRM US Equity", "REVENUE_GROWTH_CC_1_YR", "FPR=2022Y", "FPT=A", "FA_ACT_EST_DATA=E, EST_SOURCE=GSR", "ACT_EST_MAPPING=PRECISE", "FS=MRC", "CURRENCY=USD", "XLFILL=b")</f>
        <v/>
      </c>
      <c r="AP8" s="9" t="str">
        <f>_xll.BQL("CRM US Equity", "REVENUE_GROWTH_CC_1_YR", "FPR=2022Y", "FPT=A", "FA_ACT_EST_DATA=E, EST_SOURCE=PSG", "ACT_EST_MAPPING=PRECISE", "FS=MRC", "CURRENCY=USD", "XLFILL=b")</f>
        <v/>
      </c>
      <c r="AQ8" s="9" t="str">
        <f>_xll.BQL("CRM US Equity", "REVENUE_GROWTH_CC_1_YR", "FPR=2022Y", "FPT=A", "FA_ACT_EST_DATA=E, EST_SOURCE=DWI", "ACT_EST_MAPPING=PRECISE", "FS=MRC", "CURRENCY=USD", "XLFILL=b")</f>
        <v/>
      </c>
      <c r="AR8" s="9" t="str">
        <f>_xll.BQL("CRM US Equity", "REVENUE_GROWTH_CC_1_YR", "FPR=2022Y", "FPT=A", "FA_ACT_EST_DATA=E, EST_SOURCE=RWB", "ACT_EST_MAPPING=PRECISE", "FS=MRC", "CURRENCY=USD", "XLFILL=b")</f>
        <v/>
      </c>
      <c r="AS8" s="9" t="str">
        <f>_xll.BQL("CRM US Equity", "REVENUE_GROWTH_CC_1_YR", "FPR=2022Y", "FPT=A", "FA_ACT_EST_DATA=E, EST_SOURCE=ARG", "ACT_EST_MAPPING=PRECISE", "FS=MRC", "CURRENCY=USD", "XLFILL=b")</f>
        <v/>
      </c>
      <c r="AT8" s="9" t="str">
        <f>_xll.BQL("CRM US Equity", "REVENUE_GROWTH_CC_1_YR", "FPR=2022Y", "FPT=A", "FA_ACT_EST_DATA=E, EST_SOURCE=CTI", "ACT_EST_MAPPING=PRECISE", "FS=MRC", "CURRENCY=USD", "XLFILL=b")</f>
        <v/>
      </c>
      <c r="AU8" s="9" t="str">
        <f>_xll.BQL("CRM US Equity", "REVENUE_GROWTH_CC_1_YR", "FPR=2022Y", "FPT=A", "FA_ACT_EST_DATA=E, EST_SOURCE=WFT", "ACT_EST_MAPPING=PRECISE", "FS=MRC", "CURRENCY=USD", "XLFILL=b")</f>
        <v/>
      </c>
      <c r="AV8" s="9" t="str">
        <f>_xll.BQL("CRM US Equity", "REVENUE_GROWTH_CC_1_YR", "FPR=2022Y", "FPT=A", "FA_ACT_EST_DATA=E, EST_SOURCE=PJE", "ACT_EST_MAPPING=PRECISE", "FS=MRC", "CURRENCY=USD", "XLFILL=b")</f>
        <v/>
      </c>
      <c r="AW8" s="9" t="str">
        <f>_xll.BQL("CRM US Equity", "REVENUE_GROWTH_CC_1_YR", "FPR=2022Y", "FPT=A", "FA_ACT_EST_DATA=E, EST_SOURCE=SGE", "ACT_EST_MAPPING=PRECISE", "FS=MRC", "CURRENCY=USD", "XLFILL=b")</f>
        <v/>
      </c>
      <c r="AX8" s="9" t="str">
        <f>_xll.BQL("CRM US Equity", "REVENUE_GROWTH_CC_1_YR", "FPR=2022Y", "FPT=A", "FA_ACT_EST_DATA=E, EST_SOURCE=MZS", "ACT_EST_MAPPING=PRECISE", "FS=MRC", "CURRENCY=USD", "XLFILL=b")</f>
        <v/>
      </c>
      <c r="AY8" s="9" t="str">
        <f>_xll.BQL("CRM US Equity", "REVENUE_GROWTH_CC_1_YR", "FPR=2022Y", "FPT=A", "FA_ACT_EST_DATA=E, EST_SOURCE=RCP", "ACT_EST_MAPPING=PRECISE", "FS=MRC", "CURRENCY=USD", "XLFILL=b")</f>
        <v/>
      </c>
      <c r="AZ8" s="9" t="str">
        <f>_xll.BQL("CRM US Equity", "REVENUE_GROWTH_CC_1_YR", "FPR=2022Y", "FPT=A", "FA_ACT_EST_DATA=E, EST_SOURCE=WFR", "ACT_EST_MAPPING=PRECISE", "FS=MRC", "CURRENCY=USD", "XLFILL=b")</f>
        <v/>
      </c>
      <c r="BA8" s="9" t="str">
        <f>_xll.BQL("CRM US Equity", "REVENUE_GROWTH_CC_1_YR", "FPR=2022Y", "FPT=A", "FA_ACT_EST_DATA=E, EST_SOURCE=NIK", "ACT_EST_MAPPING=PRECISE", "FS=MRC", "CURRENCY=USD", "XLFILL=b")</f>
        <v/>
      </c>
      <c r="BB8" s="9" t="str">
        <f>_xll.BQL("CRM US Equity", "REVENUE_GROWTH_CC_1_YR", "FPR=2022Y", "FPT=A", "FA_ACT_EST_DATA=E, EST_SOURCE=ARE", "ACT_EST_MAPPING=PRECISE", "FS=MRC", "CURRENCY=USD", "XLFILL=b")</f>
        <v/>
      </c>
      <c r="BC8" s="9" t="str">
        <f>_xll.BQL("CRM US Equity", "REVENUE_GROWTH_CC_1_YR", "FPR=2022Y", "FPT=A", "FA_ACT_EST_DATA=E, EST_SOURCE=RED", "ACT_EST_MAPPING=PRECISE", "FS=MRC", "CURRENCY=USD", "XLFILL=b")</f>
        <v/>
      </c>
      <c r="BD8" s="9" t="str">
        <f>_xll.BQL("CRM US Equity", "REVENUE_GROWTH_CC_1_YR", "FPR=2022Y", "FPT=A", "FA_ACT_EST_DATA=E, EST_SOURCE=DIR", "ACT_EST_MAPPING=PRECISE", "FS=MRC", "CURRENCY=USD", "XLFILL=b")</f>
        <v/>
      </c>
    </row>
    <row r="9" spans="1:56" x14ac:dyDescent="0.55000000000000004">
      <c r="A9" s="8" t="s">
        <v>26</v>
      </c>
      <c r="B9" s="5"/>
      <c r="C9" s="5"/>
      <c r="D9" s="5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 spans="1:56" x14ac:dyDescent="0.55000000000000004">
      <c r="A10" s="8" t="s">
        <v>27</v>
      </c>
      <c r="B10" s="5" t="s">
        <v>28</v>
      </c>
      <c r="C10" s="5" t="s">
        <v>29</v>
      </c>
      <c r="D10" s="5" t="s">
        <v>30</v>
      </c>
      <c r="E10" s="9">
        <f>_xll.BQL("SEG0000269238 Segment", "SALES_REV_TURN/1M", "FPR=2022Y", "FPT=A", "FA_ACT_EST_DATA=E", "ACT_EST_MAPPING=PRECISE", "FS=MRC", "CURRENCY=USD", "XLFILL=b")</f>
        <v>24597.759895865878</v>
      </c>
      <c r="F10" s="9">
        <f>_xll.BQL("SEG0000269238 Segment", "CONTRIBUTOR_STATS(SALES_REV_TURN, MIN)/1M", "FPR=2022Y", "FPT=A", "FA_ACT_EST_DATA=E", "ACT_EST_MAPPING=PRECISE", "FS=MRC", "CURRENCY=USD", "XLFILL=b")</f>
        <v>24540.075000000001</v>
      </c>
      <c r="G10" s="9">
        <f>_xll.BQL("SEG0000269238 Segment", "CONTRIBUTOR_STATS(SALES_REV_TURN, MAX)/1M", "FPR=2022Y", "FPT=A", "FA_ACT_EST_DATA=E", "ACT_EST_MAPPING=PRECISE", "FS=MRC", "CURRENCY=USD", "XLFILL=b")</f>
        <v>24659.339284424703</v>
      </c>
      <c r="H10" s="9">
        <f>_xll.BQL("SEG0000269238 Segment", "CONTRIBUTOR_STATS(SALES_REV_TURN, STD)/1M", "FPR=2022Y", "FPT=A", "FA_ACT_EST_DATA=E", "ACT_EST_MAPPING=PRECISE", "FS=MRC", "CURRENCY=USD", "XLFILL=b")</f>
        <v>34.760042400347395</v>
      </c>
      <c r="I10" s="9">
        <f>_xll.BQL("SEG0000269238 Segment", "CONTRIBUTOR_STATS(SALES_REV_TURN, MEDIAN)/1M", "FPR=2022Y", "FPT=A", "FA_ACT_EST_DATA=E", "ACT_EST_MAPPING=PRECISE", "FS=MRC", "CURRENCY=USD", "XLFILL=b")</f>
        <v>24593.49171875</v>
      </c>
      <c r="J10" s="9" t="str">
        <f>_xll.BQL("SEG0000269238 Segment", "SALES_REV_TURN/1M", "FPR=2022Y", "FPT=A", "FA_ACT_EST_DATA=E, EST_SOURCE=CMPY", "ACT_EST_MAPPING=PRECISE", "FS=MRC", "CURRENCY=USD", "XLFILL=b")</f>
        <v/>
      </c>
      <c r="K10" s="9" t="str">
        <f>_xll.BQL("SEG0000269238 Segment", "SALES_REV_TURN/1M", "FPR=2022Y", "FPT=A", "FA_ACT_EST_DATA=E, EST_SOURCE=WBL", "ACT_EST_MAPPING=PRECISE", "FS=MRC", "CURRENCY=USD", "XLFILL=b")</f>
        <v/>
      </c>
      <c r="L10" s="9" t="str">
        <f>_xll.BQL("SEG0000269238 Segment", "SALES_REV_TURN/1M", "FPR=2022Y", "FPT=A", "FA_ACT_EST_DATA=E, EST_SOURCE=BMO", "ACT_EST_MAPPING=PRECISE", "FS=MRC", "CURRENCY=USD", "XLFILL=b")</f>
        <v/>
      </c>
      <c r="M10" s="9">
        <f>_xll.BQL("SEG0000269238 Segment", "SALES_REV_TURN/1M", "FPR=2022Y", "FPT=A", "FA_ACT_EST_DATA=E, EST_SOURCE=BCA", "ACT_EST_MAPPING=PRECISE", "FS=MRC", "CURRENCY=USD", "XLFILL=b")</f>
        <v>24633.092672713679</v>
      </c>
      <c r="N10" s="9" t="str">
        <f>_xll.BQL("SEG0000269238 Segment", "SALES_REV_TURN/1M", "FPR=2022Y", "FPT=A", "FA_ACT_EST_DATA=E, EST_SOURCE=SNR", "ACT_EST_MAPPING=PRECISE", "FS=MRC", "CURRENCY=USD", "XLFILL=b")</f>
        <v/>
      </c>
      <c r="O10" s="9">
        <f>_xll.BQL("SEG0000269238 Segment", "SALES_REV_TURN/1M", "FPR=2022Y", "FPT=A", "FA_ACT_EST_DATA=E, EST_SOURCE=MSV", "ACT_EST_MAPPING=PRECISE", "FS=MRC", "CURRENCY=USD", "XLFILL=b")</f>
        <v>24649.947</v>
      </c>
      <c r="P10" s="9">
        <f>_xll.BQL("SEG0000269238 Segment", "SALES_REV_TURN/1M", "FPR=2022Y", "FPT=A", "FA_ACT_EST_DATA=E, EST_SOURCE=DBG", "ACT_EST_MAPPING=PRECISE", "FS=MRC", "CURRENCY=USD", "XLFILL=b")</f>
        <v>24568.92073094744</v>
      </c>
      <c r="Q10" s="9">
        <f>_xll.BQL("SEG0000269238 Segment", "SALES_REV_TURN/1M", "FPR=2022Y", "FPT=A", "FA_ACT_EST_DATA=E, EST_SOURCE=NDH", "ACT_EST_MAPPING=PRECISE", "FS=MRC", "CURRENCY=USD", "XLFILL=b")</f>
        <v>24564</v>
      </c>
      <c r="R10" s="9" t="str">
        <f>_xll.BQL("SEG0000269238 Segment", "SALES_REV_TURN/1M", "FPR=2022Y", "FPT=A", "FA_ACT_EST_DATA=E, EST_SOURCE=CAN", "ACT_EST_MAPPING=PRECISE", "FS=MRC", "CURRENCY=USD", "XLFILL=b")</f>
        <v/>
      </c>
      <c r="S10" s="9" t="str">
        <f>_xll.BQL("SEG0000269238 Segment", "SALES_REV_TURN/1M", "FPR=2022Y", "FPT=A", "FA_ACT_EST_DATA=E, EST_SOURCE=SCB", "ACT_EST_MAPPING=PRECISE", "FS=MRC", "CURRENCY=USD", "XLFILL=b")</f>
        <v/>
      </c>
      <c r="T10" s="9">
        <f>_xll.BQL("SEG0000269238 Segment", "SALES_REV_TURN/1M", "FPR=2022Y", "FPT=A", "FA_ACT_EST_DATA=E, EST_SOURCE=JMP", "ACT_EST_MAPPING=PRECISE", "FS=MRC", "CURRENCY=USD", "XLFILL=b")</f>
        <v>24604</v>
      </c>
      <c r="U10" s="9">
        <f>_xll.BQL("SEG0000269238 Segment", "SALES_REV_TURN/1M", "FPR=2022Y", "FPT=A", "FA_ACT_EST_DATA=E, EST_SOURCE=RJA", "ACT_EST_MAPPING=PRECISE", "FS=MRC", "CURRENCY=USD", "XLFILL=b")</f>
        <v>24571.602999999999</v>
      </c>
      <c r="V10" s="9" t="str">
        <f>_xll.BQL("SEG0000269238 Segment", "SALES_REV_TURN/1M", "FPR=2022Y", "FPT=A", "FA_ACT_EST_DATA=E, EST_SOURCE=OPY", "ACT_EST_MAPPING=PRECISE", "FS=MRC", "CURRENCY=USD", "XLFILL=b")</f>
        <v/>
      </c>
      <c r="W10" s="9">
        <f>_xll.BQL("SEG0000269238 Segment", "SALES_REV_TURN/1M", "FPR=2022Y", "FPT=A", "FA_ACT_EST_DATA=E, EST_SOURCE=JPM", "ACT_EST_MAPPING=PRECISE", "FS=MRC", "CURRENCY=USD", "XLFILL=b")</f>
        <v>24564.48</v>
      </c>
      <c r="X10" s="9">
        <f>_xll.BQL("SEG0000269238 Segment", "SALES_REV_TURN/1M", "FPR=2022Y", "FPT=A", "FA_ACT_EST_DATA=E, EST_SOURCE=FBC", "ACT_EST_MAPPING=PRECISE", "FS=MRC", "CURRENCY=USD", "XLFILL=b")</f>
        <v>24534.46953324202</v>
      </c>
      <c r="Y10" s="9">
        <f>_xll.BQL("SEG0000269238 Segment", "SALES_REV_TURN/1M", "FPR=2022Y", "FPT=A", "FA_ACT_EST_DATA=E, EST_SOURCE=WMS", "ACT_EST_MAPPING=PRECISE", "FS=MRC", "CURRENCY=USD", "XLFILL=b")</f>
        <v>24373.085999999999</v>
      </c>
      <c r="Z10" s="9">
        <f>_xll.BQL("SEG0000269238 Segment", "SALES_REV_TURN/1M", "FPR=2022Y", "FPT=A", "FA_ACT_EST_DATA=E, EST_SOURCE=KEY", "ACT_EST_MAPPING=PRECISE", "FS=MRC", "CURRENCY=USD", "XLFILL=b")</f>
        <v>24543.690999999999</v>
      </c>
      <c r="AA10" s="9" t="str">
        <f>_xll.BQL("SEG0000269238 Segment", "SALES_REV_TURN/1M", "FPR=2022Y", "FPT=A", "FA_ACT_EST_DATA=E, EST_SOURCE=LCM", "ACT_EST_MAPPING=PRECISE", "FS=MRC", "CURRENCY=USD", "XLFILL=b")</f>
        <v/>
      </c>
      <c r="AB10" s="9" t="str">
        <f>_xll.BQL("SEG0000269238 Segment", "SALES_REV_TURN/1M", "FPR=2022Y", "FPT=A", "FA_ACT_EST_DATA=E, EST_SOURCE=CWN", "ACT_EST_MAPPING=PRECISE", "FS=MRC", "CURRENCY=USD", "XLFILL=b")</f>
        <v/>
      </c>
      <c r="AC10" s="9" t="str">
        <f>_xll.BQL("SEG0000269238 Segment", "SALES_REV_TURN/1M", "FPR=2022Y", "FPT=A", "FA_ACT_EST_DATA=E, EST_SOURCE=BNS", "ACT_EST_MAPPING=PRECISE", "FS=MRC", "CURRENCY=USD", "XLFILL=b")</f>
        <v/>
      </c>
      <c r="AD10" s="9" t="str">
        <f>_xll.BQL("SEG0000269238 Segment", "SALES_REV_TURN/1M", "FPR=2022Y", "FPT=A", "FA_ACT_EST_DATA=E, EST_SOURCE=BAM", "ACT_EST_MAPPING=PRECISE", "FS=MRC", "CURRENCY=USD", "XLFILL=b")</f>
        <v/>
      </c>
      <c r="AE10" s="9" t="str">
        <f>_xll.BQL("SEG0000269238 Segment", "SALES_REV_TURN/1M", "FPR=2022Y", "FPT=A", "FA_ACT_EST_DATA=E, EST_SOURCE=RBC", "ACT_EST_MAPPING=PRECISE", "FS=MRC", "CURRENCY=USD", "XLFILL=b")</f>
        <v/>
      </c>
      <c r="AF10" s="9" t="str">
        <f>_xll.BQL("SEG0000269238 Segment", "SALES_REV_TURN/1M", "FPR=2022Y", "FPT=A", "FA_ACT_EST_DATA=E, EST_SOURCE=UBS", "ACT_EST_MAPPING=PRECISE", "FS=MRC", "CURRENCY=USD", "XLFILL=b")</f>
        <v/>
      </c>
      <c r="AG10" s="9" t="str">
        <f>_xll.BQL("SEG0000269238 Segment", "SALES_REV_TURN/1M", "FPR=2022Y", "FPT=A", "FA_ACT_EST_DATA=E, EST_SOURCE=RHR", "ACT_EST_MAPPING=PRECISE", "FS=MRC", "CURRENCY=USD", "XLFILL=b")</f>
        <v/>
      </c>
      <c r="AH10" s="9" t="str">
        <f>_xll.BQL("SEG0000269238 Segment", "SALES_REV_TURN/1M", "FPR=2022Y", "FPT=A", "FA_ACT_EST_DATA=E, EST_SOURCE=JEF", "ACT_EST_MAPPING=PRECISE", "FS=MRC", "CURRENCY=USD", "XLFILL=b")</f>
        <v/>
      </c>
      <c r="AI10" s="9" t="str">
        <f>_xll.BQL("SEG0000269238 Segment", "SALES_REV_TURN/1M", "FPR=2022Y", "FPT=A", "FA_ACT_EST_DATA=E, EST_SOURCE=ATL", "ACT_EST_MAPPING=PRECISE", "FS=MRC", "CURRENCY=USD", "XLFILL=b")</f>
        <v/>
      </c>
      <c r="AJ10" s="9" t="str">
        <f>_xll.BQL("SEG0000269238 Segment", "SALES_REV_TURN/1M", "FPR=2022Y", "FPT=A", "FA_ACT_EST_DATA=E, EST_SOURCE=MAC", "ACT_EST_MAPPING=PRECISE", "FS=MRC", "CURRENCY=USD", "XLFILL=b")</f>
        <v/>
      </c>
      <c r="AK10" s="9" t="str">
        <f>_xll.BQL("SEG0000269238 Segment", "SALES_REV_TURN/1M", "FPR=2022Y", "FPT=A", "FA_ACT_EST_DATA=E, EST_SOURCE=EVR", "ACT_EST_MAPPING=PRECISE", "FS=MRC", "CURRENCY=USD", "XLFILL=b")</f>
        <v/>
      </c>
      <c r="AL10" s="9" t="str">
        <f>_xll.BQL("SEG0000269238 Segment", "SALES_REV_TURN/1M", "FPR=2022Y", "FPT=A", "FA_ACT_EST_DATA=E, EST_SOURCE=MSR", "ACT_EST_MAPPING=PRECISE", "FS=MRC", "CURRENCY=USD", "XLFILL=b")</f>
        <v/>
      </c>
      <c r="AM10" s="9" t="str">
        <f>_xll.BQL("SEG0000269238 Segment", "SALES_REV_TURN/1M", "FPR=2022Y", "FPT=A", "FA_ACT_EST_DATA=E, EST_SOURCE=KGI", "ACT_EST_MAPPING=PRECISE", "FS=MRC", "CURRENCY=USD", "XLFILL=b")</f>
        <v/>
      </c>
      <c r="AN10" s="9" t="str">
        <f>_xll.BQL("SEG0000269238 Segment", "SALES_REV_TURN/1M", "FPR=2022Y", "FPT=A", "FA_ACT_EST_DATA=E, EST_SOURCE=ACC", "ACT_EST_MAPPING=PRECISE", "FS=MRC", "CURRENCY=USD", "XLFILL=b")</f>
        <v/>
      </c>
      <c r="AO10" s="9" t="str">
        <f>_xll.BQL("SEG0000269238 Segment", "SALES_REV_TURN/1M", "FPR=2022Y", "FPT=A", "FA_ACT_EST_DATA=E, EST_SOURCE=GSR", "ACT_EST_MAPPING=PRECISE", "FS=MRC", "CURRENCY=USD", "XLFILL=b")</f>
        <v/>
      </c>
      <c r="AP10" s="9" t="str">
        <f>_xll.BQL("SEG0000269238 Segment", "SALES_REV_TURN/1M", "FPR=2022Y", "FPT=A", "FA_ACT_EST_DATA=E, EST_SOURCE=PSG", "ACT_EST_MAPPING=PRECISE", "FS=MRC", "CURRENCY=USD", "XLFILL=b")</f>
        <v/>
      </c>
      <c r="AQ10" s="9" t="str">
        <f>_xll.BQL("SEG0000269238 Segment", "SALES_REV_TURN/1M", "FPR=2022Y", "FPT=A", "FA_ACT_EST_DATA=E, EST_SOURCE=DWI", "ACT_EST_MAPPING=PRECISE", "FS=MRC", "CURRENCY=USD", "XLFILL=b")</f>
        <v/>
      </c>
      <c r="AR10" s="9" t="str">
        <f>_xll.BQL("SEG0000269238 Segment", "SALES_REV_TURN/1M", "FPR=2022Y", "FPT=A", "FA_ACT_EST_DATA=E, EST_SOURCE=RWB", "ACT_EST_MAPPING=PRECISE", "FS=MRC", "CURRENCY=USD", "XLFILL=b")</f>
        <v/>
      </c>
      <c r="AS10" s="9" t="str">
        <f>_xll.BQL("SEG0000269238 Segment", "SALES_REV_TURN/1M", "FPR=2022Y", "FPT=A", "FA_ACT_EST_DATA=E, EST_SOURCE=ARG", "ACT_EST_MAPPING=PRECISE", "FS=MRC", "CURRENCY=USD", "XLFILL=b")</f>
        <v/>
      </c>
      <c r="AT10" s="9" t="str">
        <f>_xll.BQL("SEG0000269238 Segment", "SALES_REV_TURN/1M", "FPR=2022Y", "FPT=A", "FA_ACT_EST_DATA=E, EST_SOURCE=CTI", "ACT_EST_MAPPING=PRECISE", "FS=MRC", "CURRENCY=USD", "XLFILL=b")</f>
        <v/>
      </c>
      <c r="AU10" s="9" t="str">
        <f>_xll.BQL("SEG0000269238 Segment", "SALES_REV_TURN/1M", "FPR=2022Y", "FPT=A", "FA_ACT_EST_DATA=E, EST_SOURCE=WFT", "ACT_EST_MAPPING=PRECISE", "FS=MRC", "CURRENCY=USD", "XLFILL=b")</f>
        <v/>
      </c>
      <c r="AV10" s="9" t="str">
        <f>_xll.BQL("SEG0000269238 Segment", "SALES_REV_TURN/1M", "FPR=2022Y", "FPT=A", "FA_ACT_EST_DATA=E, EST_SOURCE=PJE", "ACT_EST_MAPPING=PRECISE", "FS=MRC", "CURRENCY=USD", "XLFILL=b")</f>
        <v/>
      </c>
      <c r="AW10" s="9" t="str">
        <f>_xll.BQL("SEG0000269238 Segment", "SALES_REV_TURN/1M", "FPR=2022Y", "FPT=A", "FA_ACT_EST_DATA=E, EST_SOURCE=SGE", "ACT_EST_MAPPING=PRECISE", "FS=MRC", "CURRENCY=USD", "XLFILL=b")</f>
        <v/>
      </c>
      <c r="AX10" s="9" t="str">
        <f>_xll.BQL("SEG0000269238 Segment", "SALES_REV_TURN/1M", "FPR=2022Y", "FPT=A", "FA_ACT_EST_DATA=E, EST_SOURCE=MZS", "ACT_EST_MAPPING=PRECISE", "FS=MRC", "CURRENCY=USD", "XLFILL=b")</f>
        <v/>
      </c>
      <c r="AY10" s="9" t="str">
        <f>_xll.BQL("SEG0000269238 Segment", "SALES_REV_TURN/1M", "FPR=2022Y", "FPT=A", "FA_ACT_EST_DATA=E, EST_SOURCE=RCP", "ACT_EST_MAPPING=PRECISE", "FS=MRC", "CURRENCY=USD", "XLFILL=b")</f>
        <v/>
      </c>
      <c r="AZ10" s="9" t="str">
        <f>_xll.BQL("SEG0000269238 Segment", "SALES_REV_TURN/1M", "FPR=2022Y", "FPT=A", "FA_ACT_EST_DATA=E, EST_SOURCE=WFR", "ACT_EST_MAPPING=PRECISE", "FS=MRC", "CURRENCY=USD", "XLFILL=b")</f>
        <v/>
      </c>
      <c r="BA10" s="9" t="str">
        <f>_xll.BQL("SEG0000269238 Segment", "SALES_REV_TURN/1M", "FPR=2022Y", "FPT=A", "FA_ACT_EST_DATA=E, EST_SOURCE=NIK", "ACT_EST_MAPPING=PRECISE", "FS=MRC", "CURRENCY=USD", "XLFILL=b")</f>
        <v/>
      </c>
      <c r="BB10" s="9" t="str">
        <f>_xll.BQL("SEG0000269238 Segment", "SALES_REV_TURN/1M", "FPR=2022Y", "FPT=A", "FA_ACT_EST_DATA=E, EST_SOURCE=ARE", "ACT_EST_MAPPING=PRECISE", "FS=MRC", "CURRENCY=USD", "XLFILL=b")</f>
        <v/>
      </c>
      <c r="BC10" s="9" t="str">
        <f>_xll.BQL("SEG0000269238 Segment", "SALES_REV_TURN/1M", "FPR=2022Y", "FPT=A", "FA_ACT_EST_DATA=E, EST_SOURCE=RED", "ACT_EST_MAPPING=PRECISE", "FS=MRC", "CURRENCY=USD", "XLFILL=b")</f>
        <v/>
      </c>
      <c r="BD10" s="9" t="str">
        <f>_xll.BQL("SEG0000269238 Segment", "SALES_REV_TURN/1M", "FPR=2022Y", "FPT=A", "FA_ACT_EST_DATA=E, EST_SOURCE=DIR", "ACT_EST_MAPPING=PRECISE", "FS=MRC", "CURRENCY=USD", "XLFILL=b")</f>
        <v/>
      </c>
    </row>
    <row r="11" spans="1:56" x14ac:dyDescent="0.55000000000000004">
      <c r="A11" s="8" t="s">
        <v>26</v>
      </c>
      <c r="B11" s="5"/>
      <c r="C11" s="5"/>
      <c r="D11" s="5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</row>
    <row r="12" spans="1:56" x14ac:dyDescent="0.55000000000000004">
      <c r="A12" s="8" t="s">
        <v>31</v>
      </c>
      <c r="B12" s="5" t="s">
        <v>32</v>
      </c>
      <c r="C12" s="5" t="s">
        <v>33</v>
      </c>
      <c r="D12" s="5"/>
      <c r="E12" s="9">
        <f>_xll.BQL("CRM US Equity", "TOT_FUTURE_REV_UNDER_CONTRACT/1M", "FPR=2022Y", "FPT=A", "FA_ACT_EST_DATA=E", "ACT_EST_MAPPING=PRECISE", "FS=MRC", "CURRENCY=USD", "XLFILL=b")</f>
        <v>42302.300000000025</v>
      </c>
      <c r="F12" s="9">
        <f>_xll.BQL("CRM US Equity", "CONTRIBUTOR_STATS(TOT_FUTURE_REV_UNDER_CONTRACT, MIN)/1M", "FPR=2022Y", "FPT=A", "FA_ACT_EST_DATA=E", "ACT_EST_MAPPING=PRECISE", "FS=MRC", "CURRENCY=USD", "XLFILL=b")</f>
        <v>41876</v>
      </c>
      <c r="G12" s="9">
        <f>_xll.BQL("CRM US Equity", "CONTRIBUTOR_STATS(TOT_FUTURE_REV_UNDER_CONTRACT, MAX)/1M", "FPR=2022Y", "FPT=A", "FA_ACT_EST_DATA=E", "ACT_EST_MAPPING=PRECISE", "FS=MRC", "CURRENCY=USD", "XLFILL=b")</f>
        <v>42500.000000000058</v>
      </c>
      <c r="H12" s="9">
        <f>_xll.BQL("CRM US Equity", "CONTRIBUTOR_STATS(TOT_FUTURE_REV_UNDER_CONTRACT, STD)/1M", "FPR=2022Y", "FPT=A", "FA_ACT_EST_DATA=E", "ACT_EST_MAPPING=PRECISE", "FS=MRC", "CURRENCY=USD", "XLFILL=b")</f>
        <v>286.91989590593869</v>
      </c>
      <c r="I12" s="9">
        <f>_xll.BQL("CRM US Equity", "CONTRIBUTOR_STATS(TOT_FUTURE_REV_UNDER_CONTRACT, MEDIAN)/1M", "FPR=2022Y", "FPT=A", "FA_ACT_EST_DATA=E", "ACT_EST_MAPPING=PRECISE", "FS=MRC", "CURRENCY=USD", "XLFILL=b")</f>
        <v>42416.6</v>
      </c>
      <c r="J12" s="9" t="str">
        <f>_xll.BQL("CRM US Equity", "TOT_FUTURE_REV_UNDER_CONTRACT/1M", "FPR=2022Y", "FPT=A", "FA_ACT_EST_DATA=E, EST_SOURCE=CMPY", "ACT_EST_MAPPING=PRECISE", "FS=MRC", "CURRENCY=USD", "XLFILL=b")</f>
        <v/>
      </c>
      <c r="K12" s="9" t="str">
        <f>_xll.BQL("CRM US Equity", "TOT_FUTURE_REV_UNDER_CONTRACT/1M", "FPR=2022Y", "FPT=A", "FA_ACT_EST_DATA=E, EST_SOURCE=WBL", "ACT_EST_MAPPING=PRECISE", "FS=MRC", "CURRENCY=USD", "XLFILL=b")</f>
        <v/>
      </c>
      <c r="L12" s="9" t="str">
        <f>_xll.BQL("CRM US Equity", "TOT_FUTURE_REV_UNDER_CONTRACT/1M", "FPR=2022Y", "FPT=A", "FA_ACT_EST_DATA=E, EST_SOURCE=BMO", "ACT_EST_MAPPING=PRECISE", "FS=MRC", "CURRENCY=USD", "XLFILL=b")</f>
        <v/>
      </c>
      <c r="M12" s="9" t="str">
        <f>_xll.BQL("CRM US Equity", "TOT_FUTURE_REV_UNDER_CONTRACT/1M", "FPR=2022Y", "FPT=A", "FA_ACT_EST_DATA=E, EST_SOURCE=BCA", "ACT_EST_MAPPING=PRECISE", "FS=MRC", "CURRENCY=USD", "XLFILL=b")</f>
        <v/>
      </c>
      <c r="N12" s="9" t="str">
        <f>_xll.BQL("CRM US Equity", "TOT_FUTURE_REV_UNDER_CONTRACT/1M", "FPR=2022Y", "FPT=A", "FA_ACT_EST_DATA=E, EST_SOURCE=SNR", "ACT_EST_MAPPING=PRECISE", "FS=MRC", "CURRENCY=USD", "XLFILL=b")</f>
        <v/>
      </c>
      <c r="O12" s="9" t="str">
        <f>_xll.BQL("CRM US Equity", "TOT_FUTURE_REV_UNDER_CONTRACT/1M", "FPR=2022Y", "FPT=A", "FA_ACT_EST_DATA=E, EST_SOURCE=MSV", "ACT_EST_MAPPING=PRECISE", "FS=MRC", "CURRENCY=USD", "XLFILL=b")</f>
        <v/>
      </c>
      <c r="P12" s="9" t="str">
        <f>_xll.BQL("CRM US Equity", "TOT_FUTURE_REV_UNDER_CONTRACT/1M", "FPR=2022Y", "FPT=A", "FA_ACT_EST_DATA=E, EST_SOURCE=DBG", "ACT_EST_MAPPING=PRECISE", "FS=MRC", "CURRENCY=USD", "XLFILL=b")</f>
        <v/>
      </c>
      <c r="Q12" s="9" t="str">
        <f>_xll.BQL("CRM US Equity", "TOT_FUTURE_REV_UNDER_CONTRACT/1M", "FPR=2022Y", "FPT=A", "FA_ACT_EST_DATA=E, EST_SOURCE=NDH", "ACT_EST_MAPPING=PRECISE", "FS=MRC", "CURRENCY=USD", "XLFILL=b")</f>
        <v/>
      </c>
      <c r="R12" s="9" t="str">
        <f>_xll.BQL("CRM US Equity", "TOT_FUTURE_REV_UNDER_CONTRACT/1M", "FPR=2022Y", "FPT=A", "FA_ACT_EST_DATA=E, EST_SOURCE=CAN", "ACT_EST_MAPPING=PRECISE", "FS=MRC", "CURRENCY=USD", "XLFILL=b")</f>
        <v/>
      </c>
      <c r="S12" s="9" t="str">
        <f>_xll.BQL("CRM US Equity", "TOT_FUTURE_REV_UNDER_CONTRACT/1M", "FPR=2022Y", "FPT=A", "FA_ACT_EST_DATA=E, EST_SOURCE=SCB", "ACT_EST_MAPPING=PRECISE", "FS=MRC", "CURRENCY=USD", "XLFILL=b")</f>
        <v/>
      </c>
      <c r="T12" s="9" t="str">
        <f>_xll.BQL("CRM US Equity", "TOT_FUTURE_REV_UNDER_CONTRACT/1M", "FPR=2022Y", "FPT=A", "FA_ACT_EST_DATA=E, EST_SOURCE=JMP", "ACT_EST_MAPPING=PRECISE", "FS=MRC", "CURRENCY=USD", "XLFILL=b")</f>
        <v/>
      </c>
      <c r="U12" s="9" t="str">
        <f>_xll.BQL("CRM US Equity", "TOT_FUTURE_REV_UNDER_CONTRACT/1M", "FPR=2022Y", "FPT=A", "FA_ACT_EST_DATA=E, EST_SOURCE=RJA", "ACT_EST_MAPPING=PRECISE", "FS=MRC", "CURRENCY=USD", "XLFILL=b")</f>
        <v/>
      </c>
      <c r="V12" s="9" t="str">
        <f>_xll.BQL("CRM US Equity", "TOT_FUTURE_REV_UNDER_CONTRACT/1M", "FPR=2022Y", "FPT=A", "FA_ACT_EST_DATA=E, EST_SOURCE=OPY", "ACT_EST_MAPPING=PRECISE", "FS=MRC", "CURRENCY=USD", "XLFILL=b")</f>
        <v/>
      </c>
      <c r="W12" s="9" t="str">
        <f>_xll.BQL("CRM US Equity", "TOT_FUTURE_REV_UNDER_CONTRACT/1M", "FPR=2022Y", "FPT=A", "FA_ACT_EST_DATA=E, EST_SOURCE=JPM", "ACT_EST_MAPPING=PRECISE", "FS=MRC", "CURRENCY=USD", "XLFILL=b")</f>
        <v/>
      </c>
      <c r="X12" s="9" t="str">
        <f>_xll.BQL("CRM US Equity", "TOT_FUTURE_REV_UNDER_CONTRACT/1M", "FPR=2022Y", "FPT=A", "FA_ACT_EST_DATA=E, EST_SOURCE=FBC", "ACT_EST_MAPPING=PRECISE", "FS=MRC", "CURRENCY=USD", "XLFILL=b")</f>
        <v/>
      </c>
      <c r="Y12" s="9" t="str">
        <f>_xll.BQL("CRM US Equity", "TOT_FUTURE_REV_UNDER_CONTRACT/1M", "FPR=2022Y", "FPT=A", "FA_ACT_EST_DATA=E, EST_SOURCE=WMS", "ACT_EST_MAPPING=PRECISE", "FS=MRC", "CURRENCY=USD", "XLFILL=b")</f>
        <v/>
      </c>
      <c r="Z12" s="9">
        <f>_xll.BQL("CRM US Equity", "TOT_FUTURE_REV_UNDER_CONTRACT/1M", "FPR=2022Y", "FPT=A", "FA_ACT_EST_DATA=E, EST_SOURCE=KEY", "ACT_EST_MAPPING=PRECISE", "FS=MRC", "CURRENCY=USD", "XLFILL=b")</f>
        <v>41876</v>
      </c>
      <c r="AA12" s="9" t="str">
        <f>_xll.BQL("CRM US Equity", "TOT_FUTURE_REV_UNDER_CONTRACT/1M", "FPR=2022Y", "FPT=A", "FA_ACT_EST_DATA=E, EST_SOURCE=LCM", "ACT_EST_MAPPING=PRECISE", "FS=MRC", "CURRENCY=USD", "XLFILL=b")</f>
        <v/>
      </c>
      <c r="AB12" s="9" t="str">
        <f>_xll.BQL("CRM US Equity", "TOT_FUTURE_REV_UNDER_CONTRACT/1M", "FPR=2022Y", "FPT=A", "FA_ACT_EST_DATA=E, EST_SOURCE=CWN", "ACT_EST_MAPPING=PRECISE", "FS=MRC", "CURRENCY=USD", "XLFILL=b")</f>
        <v/>
      </c>
      <c r="AC12" s="9" t="str">
        <f>_xll.BQL("CRM US Equity", "TOT_FUTURE_REV_UNDER_CONTRACT/1M", "FPR=2022Y", "FPT=A", "FA_ACT_EST_DATA=E, EST_SOURCE=BNS", "ACT_EST_MAPPING=PRECISE", "FS=MRC", "CURRENCY=USD", "XLFILL=b")</f>
        <v/>
      </c>
      <c r="AD12" s="9" t="str">
        <f>_xll.BQL("CRM US Equity", "TOT_FUTURE_REV_UNDER_CONTRACT/1M", "FPR=2022Y", "FPT=A", "FA_ACT_EST_DATA=E, EST_SOURCE=BAM", "ACT_EST_MAPPING=PRECISE", "FS=MRC", "CURRENCY=USD", "XLFILL=b")</f>
        <v/>
      </c>
      <c r="AE12" s="9" t="str">
        <f>_xll.BQL("CRM US Equity", "TOT_FUTURE_REV_UNDER_CONTRACT/1M", "FPR=2022Y", "FPT=A", "FA_ACT_EST_DATA=E, EST_SOURCE=RBC", "ACT_EST_MAPPING=PRECISE", "FS=MRC", "CURRENCY=USD", "XLFILL=b")</f>
        <v/>
      </c>
      <c r="AF12" s="9" t="str">
        <f>_xll.BQL("CRM US Equity", "TOT_FUTURE_REV_UNDER_CONTRACT/1M", "FPR=2022Y", "FPT=A", "FA_ACT_EST_DATA=E, EST_SOURCE=UBS", "ACT_EST_MAPPING=PRECISE", "FS=MRC", "CURRENCY=USD", "XLFILL=b")</f>
        <v/>
      </c>
      <c r="AG12" s="9" t="str">
        <f>_xll.BQL("CRM US Equity", "TOT_FUTURE_REV_UNDER_CONTRACT/1M", "FPR=2022Y", "FPT=A", "FA_ACT_EST_DATA=E, EST_SOURCE=RHR", "ACT_EST_MAPPING=PRECISE", "FS=MRC", "CURRENCY=USD", "XLFILL=b")</f>
        <v/>
      </c>
      <c r="AH12" s="9" t="str">
        <f>_xll.BQL("CRM US Equity", "TOT_FUTURE_REV_UNDER_CONTRACT/1M", "FPR=2022Y", "FPT=A", "FA_ACT_EST_DATA=E, EST_SOURCE=JEF", "ACT_EST_MAPPING=PRECISE", "FS=MRC", "CURRENCY=USD", "XLFILL=b")</f>
        <v/>
      </c>
      <c r="AI12" s="9" t="str">
        <f>_xll.BQL("CRM US Equity", "TOT_FUTURE_REV_UNDER_CONTRACT/1M", "FPR=2022Y", "FPT=A", "FA_ACT_EST_DATA=E, EST_SOURCE=ATL", "ACT_EST_MAPPING=PRECISE", "FS=MRC", "CURRENCY=USD", "XLFILL=b")</f>
        <v/>
      </c>
      <c r="AJ12" s="9" t="str">
        <f>_xll.BQL("CRM US Equity", "TOT_FUTURE_REV_UNDER_CONTRACT/1M", "FPR=2022Y", "FPT=A", "FA_ACT_EST_DATA=E, EST_SOURCE=MAC", "ACT_EST_MAPPING=PRECISE", "FS=MRC", "CURRENCY=USD", "XLFILL=b")</f>
        <v/>
      </c>
      <c r="AK12" s="9" t="str">
        <f>_xll.BQL("CRM US Equity", "TOT_FUTURE_REV_UNDER_CONTRACT/1M", "FPR=2022Y", "FPT=A", "FA_ACT_EST_DATA=E, EST_SOURCE=EVR", "ACT_EST_MAPPING=PRECISE", "FS=MRC", "CURRENCY=USD", "XLFILL=b")</f>
        <v/>
      </c>
      <c r="AL12" s="9" t="str">
        <f>_xll.BQL("CRM US Equity", "TOT_FUTURE_REV_UNDER_CONTRACT/1M", "FPR=2022Y", "FPT=A", "FA_ACT_EST_DATA=E, EST_SOURCE=MSR", "ACT_EST_MAPPING=PRECISE", "FS=MRC", "CURRENCY=USD", "XLFILL=b")</f>
        <v/>
      </c>
      <c r="AM12" s="9" t="str">
        <f>_xll.BQL("CRM US Equity", "TOT_FUTURE_REV_UNDER_CONTRACT/1M", "FPR=2022Y", "FPT=A", "FA_ACT_EST_DATA=E, EST_SOURCE=KGI", "ACT_EST_MAPPING=PRECISE", "FS=MRC", "CURRENCY=USD", "XLFILL=b")</f>
        <v/>
      </c>
      <c r="AN12" s="9" t="str">
        <f>_xll.BQL("CRM US Equity", "TOT_FUTURE_REV_UNDER_CONTRACT/1M", "FPR=2022Y", "FPT=A", "FA_ACT_EST_DATA=E, EST_SOURCE=ACC", "ACT_EST_MAPPING=PRECISE", "FS=MRC", "CURRENCY=USD", "XLFILL=b")</f>
        <v/>
      </c>
      <c r="AO12" s="9" t="str">
        <f>_xll.BQL("CRM US Equity", "TOT_FUTURE_REV_UNDER_CONTRACT/1M", "FPR=2022Y", "FPT=A", "FA_ACT_EST_DATA=E, EST_SOURCE=GSR", "ACT_EST_MAPPING=PRECISE", "FS=MRC", "CURRENCY=USD", "XLFILL=b")</f>
        <v/>
      </c>
      <c r="AP12" s="9" t="str">
        <f>_xll.BQL("CRM US Equity", "TOT_FUTURE_REV_UNDER_CONTRACT/1M", "FPR=2022Y", "FPT=A", "FA_ACT_EST_DATA=E, EST_SOURCE=PSG", "ACT_EST_MAPPING=PRECISE", "FS=MRC", "CURRENCY=USD", "XLFILL=b")</f>
        <v/>
      </c>
      <c r="AQ12" s="9" t="str">
        <f>_xll.BQL("CRM US Equity", "TOT_FUTURE_REV_UNDER_CONTRACT/1M", "FPR=2022Y", "FPT=A", "FA_ACT_EST_DATA=E, EST_SOURCE=DWI", "ACT_EST_MAPPING=PRECISE", "FS=MRC", "CURRENCY=USD", "XLFILL=b")</f>
        <v/>
      </c>
      <c r="AR12" s="9" t="str">
        <f>_xll.BQL("CRM US Equity", "TOT_FUTURE_REV_UNDER_CONTRACT/1M", "FPR=2022Y", "FPT=A", "FA_ACT_EST_DATA=E, EST_SOURCE=RWB", "ACT_EST_MAPPING=PRECISE", "FS=MRC", "CURRENCY=USD", "XLFILL=b")</f>
        <v/>
      </c>
      <c r="AS12" s="9" t="str">
        <f>_xll.BQL("CRM US Equity", "TOT_FUTURE_REV_UNDER_CONTRACT/1M", "FPR=2022Y", "FPT=A", "FA_ACT_EST_DATA=E, EST_SOURCE=ARG", "ACT_EST_MAPPING=PRECISE", "FS=MRC", "CURRENCY=USD", "XLFILL=b")</f>
        <v/>
      </c>
      <c r="AT12" s="9" t="str">
        <f>_xll.BQL("CRM US Equity", "TOT_FUTURE_REV_UNDER_CONTRACT/1M", "FPR=2022Y", "FPT=A", "FA_ACT_EST_DATA=E, EST_SOURCE=CTI", "ACT_EST_MAPPING=PRECISE", "FS=MRC", "CURRENCY=USD", "XLFILL=b")</f>
        <v/>
      </c>
      <c r="AU12" s="9" t="str">
        <f>_xll.BQL("CRM US Equity", "TOT_FUTURE_REV_UNDER_CONTRACT/1M", "FPR=2022Y", "FPT=A", "FA_ACT_EST_DATA=E, EST_SOURCE=WFT", "ACT_EST_MAPPING=PRECISE", "FS=MRC", "CURRENCY=USD", "XLFILL=b")</f>
        <v/>
      </c>
      <c r="AV12" s="9" t="str">
        <f>_xll.BQL("CRM US Equity", "TOT_FUTURE_REV_UNDER_CONTRACT/1M", "FPR=2022Y", "FPT=A", "FA_ACT_EST_DATA=E, EST_SOURCE=PJE", "ACT_EST_MAPPING=PRECISE", "FS=MRC", "CURRENCY=USD", "XLFILL=b")</f>
        <v/>
      </c>
      <c r="AW12" s="9" t="str">
        <f>_xll.BQL("CRM US Equity", "TOT_FUTURE_REV_UNDER_CONTRACT/1M", "FPR=2022Y", "FPT=A", "FA_ACT_EST_DATA=E, EST_SOURCE=SGE", "ACT_EST_MAPPING=PRECISE", "FS=MRC", "CURRENCY=USD", "XLFILL=b")</f>
        <v/>
      </c>
      <c r="AX12" s="9" t="str">
        <f>_xll.BQL("CRM US Equity", "TOT_FUTURE_REV_UNDER_CONTRACT/1M", "FPR=2022Y", "FPT=A", "FA_ACT_EST_DATA=E, EST_SOURCE=MZS", "ACT_EST_MAPPING=PRECISE", "FS=MRC", "CURRENCY=USD", "XLFILL=b")</f>
        <v/>
      </c>
      <c r="AY12" s="9" t="str">
        <f>_xll.BQL("CRM US Equity", "TOT_FUTURE_REV_UNDER_CONTRACT/1M", "FPR=2022Y", "FPT=A", "FA_ACT_EST_DATA=E, EST_SOURCE=RCP", "ACT_EST_MAPPING=PRECISE", "FS=MRC", "CURRENCY=USD", "XLFILL=b")</f>
        <v/>
      </c>
      <c r="AZ12" s="9" t="str">
        <f>_xll.BQL("CRM US Equity", "TOT_FUTURE_REV_UNDER_CONTRACT/1M", "FPR=2022Y", "FPT=A", "FA_ACT_EST_DATA=E, EST_SOURCE=WFR", "ACT_EST_MAPPING=PRECISE", "FS=MRC", "CURRENCY=USD", "XLFILL=b")</f>
        <v/>
      </c>
      <c r="BA12" s="9" t="str">
        <f>_xll.BQL("CRM US Equity", "TOT_FUTURE_REV_UNDER_CONTRACT/1M", "FPR=2022Y", "FPT=A", "FA_ACT_EST_DATA=E, EST_SOURCE=NIK", "ACT_EST_MAPPING=PRECISE", "FS=MRC", "CURRENCY=USD", "XLFILL=b")</f>
        <v/>
      </c>
      <c r="BB12" s="9" t="str">
        <f>_xll.BQL("CRM US Equity", "TOT_FUTURE_REV_UNDER_CONTRACT/1M", "FPR=2022Y", "FPT=A", "FA_ACT_EST_DATA=E, EST_SOURCE=ARE", "ACT_EST_MAPPING=PRECISE", "FS=MRC", "CURRENCY=USD", "XLFILL=b")</f>
        <v/>
      </c>
      <c r="BC12" s="9" t="str">
        <f>_xll.BQL("CRM US Equity", "TOT_FUTURE_REV_UNDER_CONTRACT/1M", "FPR=2022Y", "FPT=A", "FA_ACT_EST_DATA=E, EST_SOURCE=RED", "ACT_EST_MAPPING=PRECISE", "FS=MRC", "CURRENCY=USD", "XLFILL=b")</f>
        <v/>
      </c>
      <c r="BD12" s="9" t="str">
        <f>_xll.BQL("CRM US Equity", "TOT_FUTURE_REV_UNDER_CONTRACT/1M", "FPR=2022Y", "FPT=A", "FA_ACT_EST_DATA=E, EST_SOURCE=DIR", "ACT_EST_MAPPING=PRECISE", "FS=MRC", "CURRENCY=USD", "XLFILL=b")</f>
        <v/>
      </c>
    </row>
    <row r="13" spans="1:56" x14ac:dyDescent="0.55000000000000004">
      <c r="A13" s="8" t="s">
        <v>34</v>
      </c>
      <c r="B13" s="5" t="s">
        <v>35</v>
      </c>
      <c r="C13" s="5" t="s">
        <v>36</v>
      </c>
      <c r="D13" s="5"/>
      <c r="E13" s="9">
        <f>_xll.BQL("CRM US Equity", "CURRENT_FUTURE_REV_UNDER_CONTRACT/1M", "FPR=2022Y", "FPT=A", "FA_ACT_EST_DATA=E", "ACT_EST_MAPPING=PRECISE", "FS=MRC", "CURRENCY=USD", "XLFILL=b")</f>
        <v>21434.494285714292</v>
      </c>
      <c r="F13" s="9">
        <f>_xll.BQL("CRM US Equity", "CONTRIBUTOR_STATS(CURRENT_FUTURE_REV_UNDER_CONTRACT, MIN)/1M", "FPR=2022Y", "FPT=A", "FA_ACT_EST_DATA=E", "ACT_EST_MAPPING=PRECISE", "FS=MRC", "CURRENCY=USD", "XLFILL=b")</f>
        <v>21413.200000000001</v>
      </c>
      <c r="G13" s="9">
        <f>_xll.BQL("CRM US Equity", "CONTRIBUTOR_STATS(CURRENT_FUTURE_REV_UNDER_CONTRACT, MAX)/1M", "FPR=2022Y", "FPT=A", "FA_ACT_EST_DATA=E", "ACT_EST_MAPPING=PRECISE", "FS=MRC", "CURRENCY=USD", "XLFILL=b")</f>
        <v>21500</v>
      </c>
      <c r="H13" s="9">
        <f>_xll.BQL("CRM US Equity", "CONTRIBUTOR_STATS(CURRENT_FUTURE_REV_UNDER_CONTRACT, STD)/1M", "FPR=2022Y", "FPT=A", "FA_ACT_EST_DATA=E", "ACT_EST_MAPPING=PRECISE", "FS=MRC", "CURRENCY=USD", "XLFILL=b")</f>
        <v>31.022243018594931</v>
      </c>
      <c r="I13" s="9">
        <f>_xll.BQL("CRM US Equity", "CONTRIBUTOR_STATS(CURRENT_FUTURE_REV_UNDER_CONTRACT, MEDIAN)/1M", "FPR=2022Y", "FPT=A", "FA_ACT_EST_DATA=E", "ACT_EST_MAPPING=PRECISE", "FS=MRC", "CURRENCY=USD", "XLFILL=b")</f>
        <v>21420</v>
      </c>
      <c r="J13" s="9" t="str">
        <f>_xll.BQL("CRM US Equity", "CURRENT_FUTURE_REV_UNDER_CONTRACT/1M", "FPR=2022Y", "FPT=A", "FA_ACT_EST_DATA=E, EST_SOURCE=CMPY", "ACT_EST_MAPPING=PRECISE", "FS=MRC", "CURRENCY=USD", "XLFILL=b")</f>
        <v/>
      </c>
      <c r="K13" s="9" t="str">
        <f>_xll.BQL("CRM US Equity", "CURRENT_FUTURE_REV_UNDER_CONTRACT/1M", "FPR=2022Y", "FPT=A", "FA_ACT_EST_DATA=E, EST_SOURCE=WBL", "ACT_EST_MAPPING=PRECISE", "FS=MRC", "CURRENCY=USD", "XLFILL=b")</f>
        <v/>
      </c>
      <c r="L13" s="9" t="str">
        <f>_xll.BQL("CRM US Equity", "CURRENT_FUTURE_REV_UNDER_CONTRACT/1M", "FPR=2022Y", "FPT=A", "FA_ACT_EST_DATA=E, EST_SOURCE=BMO", "ACT_EST_MAPPING=PRECISE", "FS=MRC", "CURRENCY=USD", "XLFILL=b")</f>
        <v/>
      </c>
      <c r="M13" s="9">
        <f>_xll.BQL("CRM US Equity", "CURRENT_FUTURE_REV_UNDER_CONTRACT/1M", "FPR=2022Y", "FPT=A", "FA_ACT_EST_DATA=E, EST_SOURCE=BCA", "ACT_EST_MAPPING=PRECISE", "FS=MRC", "CURRENCY=USD", "XLFILL=b")</f>
        <v>21420</v>
      </c>
      <c r="N13" s="9" t="str">
        <f>_xll.BQL("CRM US Equity", "CURRENT_FUTURE_REV_UNDER_CONTRACT/1M", "FPR=2022Y", "FPT=A", "FA_ACT_EST_DATA=E, EST_SOURCE=SNR", "ACT_EST_MAPPING=PRECISE", "FS=MRC", "CURRENCY=USD", "XLFILL=b")</f>
        <v/>
      </c>
      <c r="O13" s="9" t="str">
        <f>_xll.BQL("CRM US Equity", "CURRENT_FUTURE_REV_UNDER_CONTRACT/1M", "FPR=2022Y", "FPT=A", "FA_ACT_EST_DATA=E, EST_SOURCE=MSV", "ACT_EST_MAPPING=PRECISE", "FS=MRC", "CURRENCY=USD", "XLFILL=b")</f>
        <v/>
      </c>
      <c r="P13" s="9">
        <f>_xll.BQL("CRM US Equity", "CURRENT_FUTURE_REV_UNDER_CONTRACT/1M", "FPR=2022Y", "FPT=A", "FA_ACT_EST_DATA=E, EST_SOURCE=DBG", "ACT_EST_MAPPING=PRECISE", "FS=MRC", "CURRENCY=USD", "XLFILL=b")</f>
        <v>21448.26</v>
      </c>
      <c r="Q13" s="9" t="str">
        <f>_xll.BQL("CRM US Equity", "CURRENT_FUTURE_REV_UNDER_CONTRACT/1M", "FPR=2022Y", "FPT=A", "FA_ACT_EST_DATA=E, EST_SOURCE=NDH", "ACT_EST_MAPPING=PRECISE", "FS=MRC", "CURRENCY=USD", "XLFILL=b")</f>
        <v/>
      </c>
      <c r="R13" s="9" t="str">
        <f>_xll.BQL("CRM US Equity", "CURRENT_FUTURE_REV_UNDER_CONTRACT/1M", "FPR=2022Y", "FPT=A", "FA_ACT_EST_DATA=E, EST_SOURCE=CAN", "ACT_EST_MAPPING=PRECISE", "FS=MRC", "CURRENCY=USD", "XLFILL=b")</f>
        <v/>
      </c>
      <c r="S13" s="9" t="str">
        <f>_xll.BQL("CRM US Equity", "CURRENT_FUTURE_REV_UNDER_CONTRACT/1M", "FPR=2022Y", "FPT=A", "FA_ACT_EST_DATA=E, EST_SOURCE=SCB", "ACT_EST_MAPPING=PRECISE", "FS=MRC", "CURRENCY=USD", "XLFILL=b")</f>
        <v/>
      </c>
      <c r="T13" s="9" t="str">
        <f>_xll.BQL("CRM US Equity", "CURRENT_FUTURE_REV_UNDER_CONTRACT/1M", "FPR=2022Y", "FPT=A", "FA_ACT_EST_DATA=E, EST_SOURCE=JMP", "ACT_EST_MAPPING=PRECISE", "FS=MRC", "CURRENCY=USD", "XLFILL=b")</f>
        <v/>
      </c>
      <c r="U13" s="9" t="str">
        <f>_xll.BQL("CRM US Equity", "CURRENT_FUTURE_REV_UNDER_CONTRACT/1M", "FPR=2022Y", "FPT=A", "FA_ACT_EST_DATA=E, EST_SOURCE=RJA", "ACT_EST_MAPPING=PRECISE", "FS=MRC", "CURRENCY=USD", "XLFILL=b")</f>
        <v/>
      </c>
      <c r="V13" s="9" t="str">
        <f>_xll.BQL("CRM US Equity", "CURRENT_FUTURE_REV_UNDER_CONTRACT/1M", "FPR=2022Y", "FPT=A", "FA_ACT_EST_DATA=E, EST_SOURCE=OPY", "ACT_EST_MAPPING=PRECISE", "FS=MRC", "CURRENCY=USD", "XLFILL=b")</f>
        <v/>
      </c>
      <c r="W13" s="9" t="str">
        <f>_xll.BQL("CRM US Equity", "CURRENT_FUTURE_REV_UNDER_CONTRACT/1M", "FPR=2022Y", "FPT=A", "FA_ACT_EST_DATA=E, EST_SOURCE=JPM", "ACT_EST_MAPPING=PRECISE", "FS=MRC", "CURRENCY=USD", "XLFILL=b")</f>
        <v/>
      </c>
      <c r="X13" s="9">
        <f>_xll.BQL("CRM US Equity", "CURRENT_FUTURE_REV_UNDER_CONTRACT/1M", "FPR=2022Y", "FPT=A", "FA_ACT_EST_DATA=E, EST_SOURCE=FBC", "ACT_EST_MAPPING=PRECISE", "FS=MRC", "CURRENCY=USD", "XLFILL=b")</f>
        <v>22118</v>
      </c>
      <c r="Y13" s="9" t="str">
        <f>_xll.BQL("CRM US Equity", "CURRENT_FUTURE_REV_UNDER_CONTRACT/1M", "FPR=2022Y", "FPT=A", "FA_ACT_EST_DATA=E, EST_SOURCE=WMS", "ACT_EST_MAPPING=PRECISE", "FS=MRC", "CURRENCY=USD", "XLFILL=b")</f>
        <v/>
      </c>
      <c r="Z13" s="9">
        <f>_xll.BQL("CRM US Equity", "CURRENT_FUTURE_REV_UNDER_CONTRACT/1M", "FPR=2022Y", "FPT=A", "FA_ACT_EST_DATA=E, EST_SOURCE=KEY", "ACT_EST_MAPPING=PRECISE", "FS=MRC", "CURRENCY=USD", "XLFILL=b")</f>
        <v>21147.38</v>
      </c>
      <c r="AA13" s="9" t="str">
        <f>_xll.BQL("CRM US Equity", "CURRENT_FUTURE_REV_UNDER_CONTRACT/1M", "FPR=2022Y", "FPT=A", "FA_ACT_EST_DATA=E, EST_SOURCE=LCM", "ACT_EST_MAPPING=PRECISE", "FS=MRC", "CURRENCY=USD", "XLFILL=b")</f>
        <v/>
      </c>
      <c r="AB13" s="9" t="str">
        <f>_xll.BQL("CRM US Equity", "CURRENT_FUTURE_REV_UNDER_CONTRACT/1M", "FPR=2022Y", "FPT=A", "FA_ACT_EST_DATA=E, EST_SOURCE=CWN", "ACT_EST_MAPPING=PRECISE", "FS=MRC", "CURRENCY=USD", "XLFILL=b")</f>
        <v/>
      </c>
      <c r="AC13" s="9" t="str">
        <f>_xll.BQL("CRM US Equity", "CURRENT_FUTURE_REV_UNDER_CONTRACT/1M", "FPR=2022Y", "FPT=A", "FA_ACT_EST_DATA=E, EST_SOURCE=BNS", "ACT_EST_MAPPING=PRECISE", "FS=MRC", "CURRENCY=USD", "XLFILL=b")</f>
        <v/>
      </c>
      <c r="AD13" s="9" t="str">
        <f>_xll.BQL("CRM US Equity", "CURRENT_FUTURE_REV_UNDER_CONTRACT/1M", "FPR=2022Y", "FPT=A", "FA_ACT_EST_DATA=E, EST_SOURCE=BAM", "ACT_EST_MAPPING=PRECISE", "FS=MRC", "CURRENCY=USD", "XLFILL=b")</f>
        <v/>
      </c>
      <c r="AE13" s="9" t="str">
        <f>_xll.BQL("CRM US Equity", "CURRENT_FUTURE_REV_UNDER_CONTRACT/1M", "FPR=2022Y", "FPT=A", "FA_ACT_EST_DATA=E, EST_SOURCE=RBC", "ACT_EST_MAPPING=PRECISE", "FS=MRC", "CURRENCY=USD", "XLFILL=b")</f>
        <v/>
      </c>
      <c r="AF13" s="9" t="str">
        <f>_xll.BQL("CRM US Equity", "CURRENT_FUTURE_REV_UNDER_CONTRACT/1M", "FPR=2022Y", "FPT=A", "FA_ACT_EST_DATA=E, EST_SOURCE=UBS", "ACT_EST_MAPPING=PRECISE", "FS=MRC", "CURRENCY=USD", "XLFILL=b")</f>
        <v/>
      </c>
      <c r="AG13" s="9" t="str">
        <f>_xll.BQL("CRM US Equity", "CURRENT_FUTURE_REV_UNDER_CONTRACT/1M", "FPR=2022Y", "FPT=A", "FA_ACT_EST_DATA=E, EST_SOURCE=RHR", "ACT_EST_MAPPING=PRECISE", "FS=MRC", "CURRENCY=USD", "XLFILL=b")</f>
        <v/>
      </c>
      <c r="AH13" s="9" t="str">
        <f>_xll.BQL("CRM US Equity", "CURRENT_FUTURE_REV_UNDER_CONTRACT/1M", "FPR=2022Y", "FPT=A", "FA_ACT_EST_DATA=E, EST_SOURCE=JEF", "ACT_EST_MAPPING=PRECISE", "FS=MRC", "CURRENCY=USD", "XLFILL=b")</f>
        <v/>
      </c>
      <c r="AI13" s="9" t="str">
        <f>_xll.BQL("CRM US Equity", "CURRENT_FUTURE_REV_UNDER_CONTRACT/1M", "FPR=2022Y", "FPT=A", "FA_ACT_EST_DATA=E, EST_SOURCE=ATL", "ACT_EST_MAPPING=PRECISE", "FS=MRC", "CURRENCY=USD", "XLFILL=b")</f>
        <v/>
      </c>
      <c r="AJ13" s="9" t="str">
        <f>_xll.BQL("CRM US Equity", "CURRENT_FUTURE_REV_UNDER_CONTRACT/1M", "FPR=2022Y", "FPT=A", "FA_ACT_EST_DATA=E, EST_SOURCE=MAC", "ACT_EST_MAPPING=PRECISE", "FS=MRC", "CURRENCY=USD", "XLFILL=b")</f>
        <v/>
      </c>
      <c r="AK13" s="9" t="str">
        <f>_xll.BQL("CRM US Equity", "CURRENT_FUTURE_REV_UNDER_CONTRACT/1M", "FPR=2022Y", "FPT=A", "FA_ACT_EST_DATA=E, EST_SOURCE=EVR", "ACT_EST_MAPPING=PRECISE", "FS=MRC", "CURRENCY=USD", "XLFILL=b")</f>
        <v/>
      </c>
      <c r="AL13" s="9" t="str">
        <f>_xll.BQL("CRM US Equity", "CURRENT_FUTURE_REV_UNDER_CONTRACT/1M", "FPR=2022Y", "FPT=A", "FA_ACT_EST_DATA=E, EST_SOURCE=MSR", "ACT_EST_MAPPING=PRECISE", "FS=MRC", "CURRENCY=USD", "XLFILL=b")</f>
        <v/>
      </c>
      <c r="AM13" s="9" t="str">
        <f>_xll.BQL("CRM US Equity", "CURRENT_FUTURE_REV_UNDER_CONTRACT/1M", "FPR=2022Y", "FPT=A", "FA_ACT_EST_DATA=E, EST_SOURCE=KGI", "ACT_EST_MAPPING=PRECISE", "FS=MRC", "CURRENCY=USD", "XLFILL=b")</f>
        <v/>
      </c>
      <c r="AN13" s="9" t="str">
        <f>_xll.BQL("CRM US Equity", "CURRENT_FUTURE_REV_UNDER_CONTRACT/1M", "FPR=2022Y", "FPT=A", "FA_ACT_EST_DATA=E, EST_SOURCE=ACC", "ACT_EST_MAPPING=PRECISE", "FS=MRC", "CURRENCY=USD", "XLFILL=b")</f>
        <v/>
      </c>
      <c r="AO13" s="9" t="str">
        <f>_xll.BQL("CRM US Equity", "CURRENT_FUTURE_REV_UNDER_CONTRACT/1M", "FPR=2022Y", "FPT=A", "FA_ACT_EST_DATA=E, EST_SOURCE=GSR", "ACT_EST_MAPPING=PRECISE", "FS=MRC", "CURRENCY=USD", "XLFILL=b")</f>
        <v/>
      </c>
      <c r="AP13" s="9" t="str">
        <f>_xll.BQL("CRM US Equity", "CURRENT_FUTURE_REV_UNDER_CONTRACT/1M", "FPR=2022Y", "FPT=A", "FA_ACT_EST_DATA=E, EST_SOURCE=PSG", "ACT_EST_MAPPING=PRECISE", "FS=MRC", "CURRENCY=USD", "XLFILL=b")</f>
        <v/>
      </c>
      <c r="AQ13" s="9" t="str">
        <f>_xll.BQL("CRM US Equity", "CURRENT_FUTURE_REV_UNDER_CONTRACT/1M", "FPR=2022Y", "FPT=A", "FA_ACT_EST_DATA=E, EST_SOURCE=DWI", "ACT_EST_MAPPING=PRECISE", "FS=MRC", "CURRENCY=USD", "XLFILL=b")</f>
        <v/>
      </c>
      <c r="AR13" s="9" t="str">
        <f>_xll.BQL("CRM US Equity", "CURRENT_FUTURE_REV_UNDER_CONTRACT/1M", "FPR=2022Y", "FPT=A", "FA_ACT_EST_DATA=E, EST_SOURCE=RWB", "ACT_EST_MAPPING=PRECISE", "FS=MRC", "CURRENCY=USD", "XLFILL=b")</f>
        <v/>
      </c>
      <c r="AS13" s="9" t="str">
        <f>_xll.BQL("CRM US Equity", "CURRENT_FUTURE_REV_UNDER_CONTRACT/1M", "FPR=2022Y", "FPT=A", "FA_ACT_EST_DATA=E, EST_SOURCE=ARG", "ACT_EST_MAPPING=PRECISE", "FS=MRC", "CURRENCY=USD", "XLFILL=b")</f>
        <v/>
      </c>
      <c r="AT13" s="9" t="str">
        <f>_xll.BQL("CRM US Equity", "CURRENT_FUTURE_REV_UNDER_CONTRACT/1M", "FPR=2022Y", "FPT=A", "FA_ACT_EST_DATA=E, EST_SOURCE=CTI", "ACT_EST_MAPPING=PRECISE", "FS=MRC", "CURRENCY=USD", "XLFILL=b")</f>
        <v/>
      </c>
      <c r="AU13" s="9" t="str">
        <f>_xll.BQL("CRM US Equity", "CURRENT_FUTURE_REV_UNDER_CONTRACT/1M", "FPR=2022Y", "FPT=A", "FA_ACT_EST_DATA=E, EST_SOURCE=WFT", "ACT_EST_MAPPING=PRECISE", "FS=MRC", "CURRENCY=USD", "XLFILL=b")</f>
        <v/>
      </c>
      <c r="AV13" s="9" t="str">
        <f>_xll.BQL("CRM US Equity", "CURRENT_FUTURE_REV_UNDER_CONTRACT/1M", "FPR=2022Y", "FPT=A", "FA_ACT_EST_DATA=E, EST_SOURCE=PJE", "ACT_EST_MAPPING=PRECISE", "FS=MRC", "CURRENCY=USD", "XLFILL=b")</f>
        <v/>
      </c>
      <c r="AW13" s="9" t="str">
        <f>_xll.BQL("CRM US Equity", "CURRENT_FUTURE_REV_UNDER_CONTRACT/1M", "FPR=2022Y", "FPT=A", "FA_ACT_EST_DATA=E, EST_SOURCE=SGE", "ACT_EST_MAPPING=PRECISE", "FS=MRC", "CURRENCY=USD", "XLFILL=b")</f>
        <v/>
      </c>
      <c r="AX13" s="9" t="str">
        <f>_xll.BQL("CRM US Equity", "CURRENT_FUTURE_REV_UNDER_CONTRACT/1M", "FPR=2022Y", "FPT=A", "FA_ACT_EST_DATA=E, EST_SOURCE=MZS", "ACT_EST_MAPPING=PRECISE", "FS=MRC", "CURRENCY=USD", "XLFILL=b")</f>
        <v/>
      </c>
      <c r="AY13" s="9" t="str">
        <f>_xll.BQL("CRM US Equity", "CURRENT_FUTURE_REV_UNDER_CONTRACT/1M", "FPR=2022Y", "FPT=A", "FA_ACT_EST_DATA=E, EST_SOURCE=RCP", "ACT_EST_MAPPING=PRECISE", "FS=MRC", "CURRENCY=USD", "XLFILL=b")</f>
        <v/>
      </c>
      <c r="AZ13" s="9" t="str">
        <f>_xll.BQL("CRM US Equity", "CURRENT_FUTURE_REV_UNDER_CONTRACT/1M", "FPR=2022Y", "FPT=A", "FA_ACT_EST_DATA=E, EST_SOURCE=WFR", "ACT_EST_MAPPING=PRECISE", "FS=MRC", "CURRENCY=USD", "XLFILL=b")</f>
        <v/>
      </c>
      <c r="BA13" s="9" t="str">
        <f>_xll.BQL("CRM US Equity", "CURRENT_FUTURE_REV_UNDER_CONTRACT/1M", "FPR=2022Y", "FPT=A", "FA_ACT_EST_DATA=E, EST_SOURCE=NIK", "ACT_EST_MAPPING=PRECISE", "FS=MRC", "CURRENCY=USD", "XLFILL=b")</f>
        <v/>
      </c>
      <c r="BB13" s="9" t="str">
        <f>_xll.BQL("CRM US Equity", "CURRENT_FUTURE_REV_UNDER_CONTRACT/1M", "FPR=2022Y", "FPT=A", "FA_ACT_EST_DATA=E, EST_SOURCE=ARE", "ACT_EST_MAPPING=PRECISE", "FS=MRC", "CURRENCY=USD", "XLFILL=b")</f>
        <v/>
      </c>
      <c r="BC13" s="9" t="str">
        <f>_xll.BQL("CRM US Equity", "CURRENT_FUTURE_REV_UNDER_CONTRACT/1M", "FPR=2022Y", "FPT=A", "FA_ACT_EST_DATA=E, EST_SOURCE=RED", "ACT_EST_MAPPING=PRECISE", "FS=MRC", "CURRENCY=USD", "XLFILL=b")</f>
        <v/>
      </c>
      <c r="BD13" s="9" t="str">
        <f>_xll.BQL("CRM US Equity", "CURRENT_FUTURE_REV_UNDER_CONTRACT/1M", "FPR=2022Y", "FPT=A", "FA_ACT_EST_DATA=E, EST_SOURCE=DIR", "ACT_EST_MAPPING=PRECISE", "FS=MRC", "CURRENCY=USD", "XLFILL=b")</f>
        <v/>
      </c>
    </row>
    <row r="14" spans="1:56" x14ac:dyDescent="0.55000000000000004">
      <c r="A14" s="8" t="s">
        <v>37</v>
      </c>
      <c r="B14" s="5" t="s">
        <v>38</v>
      </c>
      <c r="C14" s="5" t="s">
        <v>39</v>
      </c>
      <c r="D14" s="5"/>
      <c r="E14" s="9">
        <f>_xll.BQL("CRM US Equity", "NON_CURRENT_FUTURE_REV_UNDER_CONTRACT/1M", "FPR=2022Y", "FPT=A", "FA_ACT_EST_DATA=E", "ACT_EST_MAPPING=PRECISE", "FS=MRC", "CURRENCY=USD", "XLFILL=b")</f>
        <v>21026.666666666679</v>
      </c>
      <c r="F14" s="9">
        <f>_xll.BQL("CRM US Equity", "CONTRIBUTOR_STATS(NON_CURRENT_FUTURE_REV_UNDER_CONTRACT, MIN)/1M", "FPR=2022Y", "FPT=A", "FA_ACT_EST_DATA=E", "ACT_EST_MAPPING=PRECISE", "FS=MRC", "CURRENCY=USD", "XLFILL=b")</f>
        <v>21000</v>
      </c>
      <c r="G14" s="9">
        <f>_xll.BQL("CRM US Equity", "CONTRIBUTOR_STATS(NON_CURRENT_FUTURE_REV_UNDER_CONTRACT, MAX)/1M", "FPR=2022Y", "FPT=A", "FA_ACT_EST_DATA=E", "ACT_EST_MAPPING=PRECISE", "FS=MRC", "CURRENCY=USD", "XLFILL=b")</f>
        <v>21080.000000000051</v>
      </c>
      <c r="H14" s="9">
        <f>_xll.BQL("CRM US Equity", "CONTRIBUTOR_STATS(NON_CURRENT_FUTURE_REV_UNDER_CONTRACT, STD)/1M", "FPR=2022Y", "FPT=A", "FA_ACT_EST_DATA=E", "ACT_EST_MAPPING=PRECISE", "FS=MRC", "CURRENCY=USD", "XLFILL=b")</f>
        <v>46.188021535200889</v>
      </c>
      <c r="I14" s="9">
        <f>_xll.BQL("CRM US Equity", "CONTRIBUTOR_STATS(NON_CURRENT_FUTURE_REV_UNDER_CONTRACT, MEDIAN)/1M", "FPR=2022Y", "FPT=A", "FA_ACT_EST_DATA=E", "ACT_EST_MAPPING=PRECISE", "FS=MRC", "CURRENCY=USD", "XLFILL=b")</f>
        <v>21000</v>
      </c>
      <c r="J14" s="9" t="str">
        <f>_xll.BQL("CRM US Equity", "NON_CURRENT_FUTURE_REV_UNDER_CONTRACT/1M", "FPR=2022Y", "FPT=A", "FA_ACT_EST_DATA=E, EST_SOURCE=CMPY", "ACT_EST_MAPPING=PRECISE", "FS=MRC", "CURRENCY=USD", "XLFILL=b")</f>
        <v/>
      </c>
      <c r="K14" s="9" t="str">
        <f>_xll.BQL("CRM US Equity", "NON_CURRENT_FUTURE_REV_UNDER_CONTRACT/1M", "FPR=2022Y", "FPT=A", "FA_ACT_EST_DATA=E, EST_SOURCE=WBL", "ACT_EST_MAPPING=PRECISE", "FS=MRC", "CURRENCY=USD", "XLFILL=b")</f>
        <v/>
      </c>
      <c r="L14" s="9" t="str">
        <f>_xll.BQL("CRM US Equity", "NON_CURRENT_FUTURE_REV_UNDER_CONTRACT/1M", "FPR=2022Y", "FPT=A", "FA_ACT_EST_DATA=E, EST_SOURCE=BMO", "ACT_EST_MAPPING=PRECISE", "FS=MRC", "CURRENCY=USD", "XLFILL=b")</f>
        <v/>
      </c>
      <c r="M14" s="9" t="str">
        <f>_xll.BQL("CRM US Equity", "NON_CURRENT_FUTURE_REV_UNDER_CONTRACT/1M", "FPR=2022Y", "FPT=A", "FA_ACT_EST_DATA=E, EST_SOURCE=BCA", "ACT_EST_MAPPING=PRECISE", "FS=MRC", "CURRENCY=USD", "XLFILL=b")</f>
        <v/>
      </c>
      <c r="N14" s="9" t="str">
        <f>_xll.BQL("CRM US Equity", "NON_CURRENT_FUTURE_REV_UNDER_CONTRACT/1M", "FPR=2022Y", "FPT=A", "FA_ACT_EST_DATA=E, EST_SOURCE=SNR", "ACT_EST_MAPPING=PRECISE", "FS=MRC", "CURRENCY=USD", "XLFILL=b")</f>
        <v/>
      </c>
      <c r="O14" s="9" t="str">
        <f>_xll.BQL("CRM US Equity", "NON_CURRENT_FUTURE_REV_UNDER_CONTRACT/1M", "FPR=2022Y", "FPT=A", "FA_ACT_EST_DATA=E, EST_SOURCE=MSV", "ACT_EST_MAPPING=PRECISE", "FS=MRC", "CURRENCY=USD", "XLFILL=b")</f>
        <v/>
      </c>
      <c r="P14" s="9" t="str">
        <f>_xll.BQL("CRM US Equity", "NON_CURRENT_FUTURE_REV_UNDER_CONTRACT/1M", "FPR=2022Y", "FPT=A", "FA_ACT_EST_DATA=E, EST_SOURCE=DBG", "ACT_EST_MAPPING=PRECISE", "FS=MRC", "CURRENCY=USD", "XLFILL=b")</f>
        <v/>
      </c>
      <c r="Q14" s="9" t="str">
        <f>_xll.BQL("CRM US Equity", "NON_CURRENT_FUTURE_REV_UNDER_CONTRACT/1M", "FPR=2022Y", "FPT=A", "FA_ACT_EST_DATA=E, EST_SOURCE=NDH", "ACT_EST_MAPPING=PRECISE", "FS=MRC", "CURRENCY=USD", "XLFILL=b")</f>
        <v/>
      </c>
      <c r="R14" s="9" t="str">
        <f>_xll.BQL("CRM US Equity", "NON_CURRENT_FUTURE_REV_UNDER_CONTRACT/1M", "FPR=2022Y", "FPT=A", "FA_ACT_EST_DATA=E, EST_SOURCE=CAN", "ACT_EST_MAPPING=PRECISE", "FS=MRC", "CURRENCY=USD", "XLFILL=b")</f>
        <v/>
      </c>
      <c r="S14" s="9" t="str">
        <f>_xll.BQL("CRM US Equity", "NON_CURRENT_FUTURE_REV_UNDER_CONTRACT/1M", "FPR=2022Y", "FPT=A", "FA_ACT_EST_DATA=E, EST_SOURCE=SCB", "ACT_EST_MAPPING=PRECISE", "FS=MRC", "CURRENCY=USD", "XLFILL=b")</f>
        <v/>
      </c>
      <c r="T14" s="9" t="str">
        <f>_xll.BQL("CRM US Equity", "NON_CURRENT_FUTURE_REV_UNDER_CONTRACT/1M", "FPR=2022Y", "FPT=A", "FA_ACT_EST_DATA=E, EST_SOURCE=JMP", "ACT_EST_MAPPING=PRECISE", "FS=MRC", "CURRENCY=USD", "XLFILL=b")</f>
        <v/>
      </c>
      <c r="U14" s="9" t="str">
        <f>_xll.BQL("CRM US Equity", "NON_CURRENT_FUTURE_REV_UNDER_CONTRACT/1M", "FPR=2022Y", "FPT=A", "FA_ACT_EST_DATA=E, EST_SOURCE=RJA", "ACT_EST_MAPPING=PRECISE", "FS=MRC", "CURRENCY=USD", "XLFILL=b")</f>
        <v/>
      </c>
      <c r="V14" s="9" t="str">
        <f>_xll.BQL("CRM US Equity", "NON_CURRENT_FUTURE_REV_UNDER_CONTRACT/1M", "FPR=2022Y", "FPT=A", "FA_ACT_EST_DATA=E, EST_SOURCE=OPY", "ACT_EST_MAPPING=PRECISE", "FS=MRC", "CURRENCY=USD", "XLFILL=b")</f>
        <v/>
      </c>
      <c r="W14" s="9" t="str">
        <f>_xll.BQL("CRM US Equity", "NON_CURRENT_FUTURE_REV_UNDER_CONTRACT/1M", "FPR=2022Y", "FPT=A", "FA_ACT_EST_DATA=E, EST_SOURCE=JPM", "ACT_EST_MAPPING=PRECISE", "FS=MRC", "CURRENCY=USD", "XLFILL=b")</f>
        <v/>
      </c>
      <c r="X14" s="9" t="str">
        <f>_xll.BQL("CRM US Equity", "NON_CURRENT_FUTURE_REV_UNDER_CONTRACT/1M", "FPR=2022Y", "FPT=A", "FA_ACT_EST_DATA=E, EST_SOURCE=FBC", "ACT_EST_MAPPING=PRECISE", "FS=MRC", "CURRENCY=USD", "XLFILL=b")</f>
        <v/>
      </c>
      <c r="Y14" s="9" t="str">
        <f>_xll.BQL("CRM US Equity", "NON_CURRENT_FUTURE_REV_UNDER_CONTRACT/1M", "FPR=2022Y", "FPT=A", "FA_ACT_EST_DATA=E, EST_SOURCE=WMS", "ACT_EST_MAPPING=PRECISE", "FS=MRC", "CURRENCY=USD", "XLFILL=b")</f>
        <v/>
      </c>
      <c r="Z14" s="9" t="str">
        <f>_xll.BQL("CRM US Equity", "NON_CURRENT_FUTURE_REV_UNDER_CONTRACT/1M", "FPR=2022Y", "FPT=A", "FA_ACT_EST_DATA=E, EST_SOURCE=KEY", "ACT_EST_MAPPING=PRECISE", "FS=MRC", "CURRENCY=USD", "XLFILL=b")</f>
        <v/>
      </c>
      <c r="AA14" s="9" t="str">
        <f>_xll.BQL("CRM US Equity", "NON_CURRENT_FUTURE_REV_UNDER_CONTRACT/1M", "FPR=2022Y", "FPT=A", "FA_ACT_EST_DATA=E, EST_SOURCE=LCM", "ACT_EST_MAPPING=PRECISE", "FS=MRC", "CURRENCY=USD", "XLFILL=b")</f>
        <v/>
      </c>
      <c r="AB14" s="9" t="str">
        <f>_xll.BQL("CRM US Equity", "NON_CURRENT_FUTURE_REV_UNDER_CONTRACT/1M", "FPR=2022Y", "FPT=A", "FA_ACT_EST_DATA=E, EST_SOURCE=CWN", "ACT_EST_MAPPING=PRECISE", "FS=MRC", "CURRENCY=USD", "XLFILL=b")</f>
        <v/>
      </c>
      <c r="AC14" s="9" t="str">
        <f>_xll.BQL("CRM US Equity", "NON_CURRENT_FUTURE_REV_UNDER_CONTRACT/1M", "FPR=2022Y", "FPT=A", "FA_ACT_EST_DATA=E, EST_SOURCE=BNS", "ACT_EST_MAPPING=PRECISE", "FS=MRC", "CURRENCY=USD", "XLFILL=b")</f>
        <v/>
      </c>
      <c r="AD14" s="9" t="str">
        <f>_xll.BQL("CRM US Equity", "NON_CURRENT_FUTURE_REV_UNDER_CONTRACT/1M", "FPR=2022Y", "FPT=A", "FA_ACT_EST_DATA=E, EST_SOURCE=BAM", "ACT_EST_MAPPING=PRECISE", "FS=MRC", "CURRENCY=USD", "XLFILL=b")</f>
        <v/>
      </c>
      <c r="AE14" s="9" t="str">
        <f>_xll.BQL("CRM US Equity", "NON_CURRENT_FUTURE_REV_UNDER_CONTRACT/1M", "FPR=2022Y", "FPT=A", "FA_ACT_EST_DATA=E, EST_SOURCE=RBC", "ACT_EST_MAPPING=PRECISE", "FS=MRC", "CURRENCY=USD", "XLFILL=b")</f>
        <v/>
      </c>
      <c r="AF14" s="9" t="str">
        <f>_xll.BQL("CRM US Equity", "NON_CURRENT_FUTURE_REV_UNDER_CONTRACT/1M", "FPR=2022Y", "FPT=A", "FA_ACT_EST_DATA=E, EST_SOURCE=UBS", "ACT_EST_MAPPING=PRECISE", "FS=MRC", "CURRENCY=USD", "XLFILL=b")</f>
        <v/>
      </c>
      <c r="AG14" s="9" t="str">
        <f>_xll.BQL("CRM US Equity", "NON_CURRENT_FUTURE_REV_UNDER_CONTRACT/1M", "FPR=2022Y", "FPT=A", "FA_ACT_EST_DATA=E, EST_SOURCE=RHR", "ACT_EST_MAPPING=PRECISE", "FS=MRC", "CURRENCY=USD", "XLFILL=b")</f>
        <v/>
      </c>
      <c r="AH14" s="9" t="str">
        <f>_xll.BQL("CRM US Equity", "NON_CURRENT_FUTURE_REV_UNDER_CONTRACT/1M", "FPR=2022Y", "FPT=A", "FA_ACT_EST_DATA=E, EST_SOURCE=JEF", "ACT_EST_MAPPING=PRECISE", "FS=MRC", "CURRENCY=USD", "XLFILL=b")</f>
        <v/>
      </c>
      <c r="AI14" s="9" t="str">
        <f>_xll.BQL("CRM US Equity", "NON_CURRENT_FUTURE_REV_UNDER_CONTRACT/1M", "FPR=2022Y", "FPT=A", "FA_ACT_EST_DATA=E, EST_SOURCE=ATL", "ACT_EST_MAPPING=PRECISE", "FS=MRC", "CURRENCY=USD", "XLFILL=b")</f>
        <v/>
      </c>
      <c r="AJ14" s="9" t="str">
        <f>_xll.BQL("CRM US Equity", "NON_CURRENT_FUTURE_REV_UNDER_CONTRACT/1M", "FPR=2022Y", "FPT=A", "FA_ACT_EST_DATA=E, EST_SOURCE=MAC", "ACT_EST_MAPPING=PRECISE", "FS=MRC", "CURRENCY=USD", "XLFILL=b")</f>
        <v/>
      </c>
      <c r="AK14" s="9" t="str">
        <f>_xll.BQL("CRM US Equity", "NON_CURRENT_FUTURE_REV_UNDER_CONTRACT/1M", "FPR=2022Y", "FPT=A", "FA_ACT_EST_DATA=E, EST_SOURCE=EVR", "ACT_EST_MAPPING=PRECISE", "FS=MRC", "CURRENCY=USD", "XLFILL=b")</f>
        <v/>
      </c>
      <c r="AL14" s="9" t="str">
        <f>_xll.BQL("CRM US Equity", "NON_CURRENT_FUTURE_REV_UNDER_CONTRACT/1M", "FPR=2022Y", "FPT=A", "FA_ACT_EST_DATA=E, EST_SOURCE=MSR", "ACT_EST_MAPPING=PRECISE", "FS=MRC", "CURRENCY=USD", "XLFILL=b")</f>
        <v/>
      </c>
      <c r="AM14" s="9" t="str">
        <f>_xll.BQL("CRM US Equity", "NON_CURRENT_FUTURE_REV_UNDER_CONTRACT/1M", "FPR=2022Y", "FPT=A", "FA_ACT_EST_DATA=E, EST_SOURCE=KGI", "ACT_EST_MAPPING=PRECISE", "FS=MRC", "CURRENCY=USD", "XLFILL=b")</f>
        <v/>
      </c>
      <c r="AN14" s="9" t="str">
        <f>_xll.BQL("CRM US Equity", "NON_CURRENT_FUTURE_REV_UNDER_CONTRACT/1M", "FPR=2022Y", "FPT=A", "FA_ACT_EST_DATA=E, EST_SOURCE=ACC", "ACT_EST_MAPPING=PRECISE", "FS=MRC", "CURRENCY=USD", "XLFILL=b")</f>
        <v/>
      </c>
      <c r="AO14" s="9" t="str">
        <f>_xll.BQL("CRM US Equity", "NON_CURRENT_FUTURE_REV_UNDER_CONTRACT/1M", "FPR=2022Y", "FPT=A", "FA_ACT_EST_DATA=E, EST_SOURCE=GSR", "ACT_EST_MAPPING=PRECISE", "FS=MRC", "CURRENCY=USD", "XLFILL=b")</f>
        <v/>
      </c>
      <c r="AP14" s="9" t="str">
        <f>_xll.BQL("CRM US Equity", "NON_CURRENT_FUTURE_REV_UNDER_CONTRACT/1M", "FPR=2022Y", "FPT=A", "FA_ACT_EST_DATA=E, EST_SOURCE=PSG", "ACT_EST_MAPPING=PRECISE", "FS=MRC", "CURRENCY=USD", "XLFILL=b")</f>
        <v/>
      </c>
      <c r="AQ14" s="9" t="str">
        <f>_xll.BQL("CRM US Equity", "NON_CURRENT_FUTURE_REV_UNDER_CONTRACT/1M", "FPR=2022Y", "FPT=A", "FA_ACT_EST_DATA=E, EST_SOURCE=DWI", "ACT_EST_MAPPING=PRECISE", "FS=MRC", "CURRENCY=USD", "XLFILL=b")</f>
        <v/>
      </c>
      <c r="AR14" s="9" t="str">
        <f>_xll.BQL("CRM US Equity", "NON_CURRENT_FUTURE_REV_UNDER_CONTRACT/1M", "FPR=2022Y", "FPT=A", "FA_ACT_EST_DATA=E, EST_SOURCE=RWB", "ACT_EST_MAPPING=PRECISE", "FS=MRC", "CURRENCY=USD", "XLFILL=b")</f>
        <v/>
      </c>
      <c r="AS14" s="9" t="str">
        <f>_xll.BQL("CRM US Equity", "NON_CURRENT_FUTURE_REV_UNDER_CONTRACT/1M", "FPR=2022Y", "FPT=A", "FA_ACT_EST_DATA=E, EST_SOURCE=ARG", "ACT_EST_MAPPING=PRECISE", "FS=MRC", "CURRENCY=USD", "XLFILL=b")</f>
        <v/>
      </c>
      <c r="AT14" s="9" t="str">
        <f>_xll.BQL("CRM US Equity", "NON_CURRENT_FUTURE_REV_UNDER_CONTRACT/1M", "FPR=2022Y", "FPT=A", "FA_ACT_EST_DATA=E, EST_SOURCE=CTI", "ACT_EST_MAPPING=PRECISE", "FS=MRC", "CURRENCY=USD", "XLFILL=b")</f>
        <v/>
      </c>
      <c r="AU14" s="9" t="str">
        <f>_xll.BQL("CRM US Equity", "NON_CURRENT_FUTURE_REV_UNDER_CONTRACT/1M", "FPR=2022Y", "FPT=A", "FA_ACT_EST_DATA=E, EST_SOURCE=WFT", "ACT_EST_MAPPING=PRECISE", "FS=MRC", "CURRENCY=USD", "XLFILL=b")</f>
        <v/>
      </c>
      <c r="AV14" s="9" t="str">
        <f>_xll.BQL("CRM US Equity", "NON_CURRENT_FUTURE_REV_UNDER_CONTRACT/1M", "FPR=2022Y", "FPT=A", "FA_ACT_EST_DATA=E, EST_SOURCE=PJE", "ACT_EST_MAPPING=PRECISE", "FS=MRC", "CURRENCY=USD", "XLFILL=b")</f>
        <v/>
      </c>
      <c r="AW14" s="9" t="str">
        <f>_xll.BQL("CRM US Equity", "NON_CURRENT_FUTURE_REV_UNDER_CONTRACT/1M", "FPR=2022Y", "FPT=A", "FA_ACT_EST_DATA=E, EST_SOURCE=SGE", "ACT_EST_MAPPING=PRECISE", "FS=MRC", "CURRENCY=USD", "XLFILL=b")</f>
        <v/>
      </c>
      <c r="AX14" s="9" t="str">
        <f>_xll.BQL("CRM US Equity", "NON_CURRENT_FUTURE_REV_UNDER_CONTRACT/1M", "FPR=2022Y", "FPT=A", "FA_ACT_EST_DATA=E, EST_SOURCE=MZS", "ACT_EST_MAPPING=PRECISE", "FS=MRC", "CURRENCY=USD", "XLFILL=b")</f>
        <v/>
      </c>
      <c r="AY14" s="9" t="str">
        <f>_xll.BQL("CRM US Equity", "NON_CURRENT_FUTURE_REV_UNDER_CONTRACT/1M", "FPR=2022Y", "FPT=A", "FA_ACT_EST_DATA=E, EST_SOURCE=RCP", "ACT_EST_MAPPING=PRECISE", "FS=MRC", "CURRENCY=USD", "XLFILL=b")</f>
        <v/>
      </c>
      <c r="AZ14" s="9" t="str">
        <f>_xll.BQL("CRM US Equity", "NON_CURRENT_FUTURE_REV_UNDER_CONTRACT/1M", "FPR=2022Y", "FPT=A", "FA_ACT_EST_DATA=E, EST_SOURCE=WFR", "ACT_EST_MAPPING=PRECISE", "FS=MRC", "CURRENCY=USD", "XLFILL=b")</f>
        <v/>
      </c>
      <c r="BA14" s="9" t="str">
        <f>_xll.BQL("CRM US Equity", "NON_CURRENT_FUTURE_REV_UNDER_CONTRACT/1M", "FPR=2022Y", "FPT=A", "FA_ACT_EST_DATA=E, EST_SOURCE=NIK", "ACT_EST_MAPPING=PRECISE", "FS=MRC", "CURRENCY=USD", "XLFILL=b")</f>
        <v/>
      </c>
      <c r="BB14" s="9" t="str">
        <f>_xll.BQL("CRM US Equity", "NON_CURRENT_FUTURE_REV_UNDER_CONTRACT/1M", "FPR=2022Y", "FPT=A", "FA_ACT_EST_DATA=E, EST_SOURCE=ARE", "ACT_EST_MAPPING=PRECISE", "FS=MRC", "CURRENCY=USD", "XLFILL=b")</f>
        <v/>
      </c>
      <c r="BC14" s="9" t="str">
        <f>_xll.BQL("CRM US Equity", "NON_CURRENT_FUTURE_REV_UNDER_CONTRACT/1M", "FPR=2022Y", "FPT=A", "FA_ACT_EST_DATA=E, EST_SOURCE=RED", "ACT_EST_MAPPING=PRECISE", "FS=MRC", "CURRENCY=USD", "XLFILL=b")</f>
        <v/>
      </c>
      <c r="BD14" s="9" t="str">
        <f>_xll.BQL("CRM US Equity", "NON_CURRENT_FUTURE_REV_UNDER_CONTRACT/1M", "FPR=2022Y", "FPT=A", "FA_ACT_EST_DATA=E, EST_SOURCE=DIR", "ACT_EST_MAPPING=PRECISE", "FS=MRC", "CURRENCY=USD", "XLFILL=b")</f>
        <v/>
      </c>
    </row>
    <row r="15" spans="1:56" x14ac:dyDescent="0.55000000000000004">
      <c r="A15" s="8" t="s">
        <v>26</v>
      </c>
      <c r="B15" s="5"/>
      <c r="C15" s="5"/>
      <c r="D15" s="5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</row>
    <row r="16" spans="1:56" x14ac:dyDescent="0.55000000000000004">
      <c r="A16" s="8" t="s">
        <v>40</v>
      </c>
      <c r="B16" s="5" t="s">
        <v>41</v>
      </c>
      <c r="C16" s="5" t="s">
        <v>42</v>
      </c>
      <c r="D16" s="5"/>
      <c r="E16" s="9">
        <f>_xll.BQL("CRM US Equity", "IS_ADJ_GROSS_PROFIT_AS_REPORTED/1M", "FPR=2022Y", "FPT=A", "FA_ACT_EST_DATA=E", "ACT_EST_MAPPING=PRECISE", "FS=MRC", "CURRENCY=USD", "XLFILL=b")</f>
        <v>20739.943312719151</v>
      </c>
      <c r="F16" s="9">
        <f>_xll.BQL("CRM US Equity", "CONTRIBUTOR_STATS(IS_ADJ_GROSS_PROFIT_AS_REPORTED, MIN)/1M", "FPR=2022Y", "FPT=A", "FA_ACT_EST_DATA=E", "ACT_EST_MAPPING=PRECISE", "FS=MRC", "CURRENCY=USD", "XLFILL=b")</f>
        <v>20628.699000000001</v>
      </c>
      <c r="G16" s="9">
        <f>_xll.BQL("CRM US Equity", "CONTRIBUTOR_STATS(IS_ADJ_GROSS_PROFIT_AS_REPORTED, MAX)/1M", "FPR=2022Y", "FPT=A", "FA_ACT_EST_DATA=E", "ACT_EST_MAPPING=PRECISE", "FS=MRC", "CURRENCY=USD", "XLFILL=b")</f>
        <v>20882.010759000001</v>
      </c>
      <c r="H16" s="9">
        <f>_xll.BQL("CRM US Equity", "CONTRIBUTOR_STATS(IS_ADJ_GROSS_PROFIT_AS_REPORTED, STD)/1M", "FPR=2022Y", "FPT=A", "FA_ACT_EST_DATA=E", "ACT_EST_MAPPING=PRECISE", "FS=MRC", "CURRENCY=USD", "XLFILL=b")</f>
        <v>66.595912860913728</v>
      </c>
      <c r="I16" s="9">
        <f>_xll.BQL("CRM US Equity", "CONTRIBUTOR_STATS(IS_ADJ_GROSS_PROFIT_AS_REPORTED, MEDIAN)/1M", "FPR=2022Y", "FPT=A", "FA_ACT_EST_DATA=E", "ACT_EST_MAPPING=PRECISE", "FS=MRC", "CURRENCY=USD", "XLFILL=b")</f>
        <v>20745.753210452451</v>
      </c>
      <c r="J16" s="9" t="str">
        <f>_xll.BQL("CRM US Equity", "IS_ADJ_GROSS_PROFIT_AS_REPORTED/1M", "FPR=2022Y", "FPT=A", "FA_ACT_EST_DATA=E, EST_SOURCE=CMPY", "ACT_EST_MAPPING=PRECISE", "FS=MRC", "CURRENCY=USD", "XLFILL=b")</f>
        <v/>
      </c>
      <c r="K16" s="9" t="str">
        <f>_xll.BQL("CRM US Equity", "IS_ADJ_GROSS_PROFIT_AS_REPORTED/1M", "FPR=2022Y", "FPT=A", "FA_ACT_EST_DATA=E, EST_SOURCE=WBL", "ACT_EST_MAPPING=PRECISE", "FS=MRC", "CURRENCY=USD", "XLFILL=b")</f>
        <v/>
      </c>
      <c r="L16" s="9" t="str">
        <f>_xll.BQL("CRM US Equity", "IS_ADJ_GROSS_PROFIT_AS_REPORTED/1M", "FPR=2022Y", "FPT=A", "FA_ACT_EST_DATA=E, EST_SOURCE=BMO", "ACT_EST_MAPPING=PRECISE", "FS=MRC", "CURRENCY=USD", "XLFILL=b")</f>
        <v/>
      </c>
      <c r="M16" s="9">
        <f>_xll.BQL("CRM US Equity", "IS_ADJ_GROSS_PROFIT_AS_REPORTED/1M", "FPR=2022Y", "FPT=A", "FA_ACT_EST_DATA=E, EST_SOURCE=BCA", "ACT_EST_MAPPING=PRECISE", "FS=MRC", "CURRENCY=USD", "XLFILL=b")</f>
        <v>20786.174195079489</v>
      </c>
      <c r="N16" s="9" t="str">
        <f>_xll.BQL("CRM US Equity", "IS_ADJ_GROSS_PROFIT_AS_REPORTED/1M", "FPR=2022Y", "FPT=A", "FA_ACT_EST_DATA=E, EST_SOURCE=SNR", "ACT_EST_MAPPING=PRECISE", "FS=MRC", "CURRENCY=USD", "XLFILL=b")</f>
        <v/>
      </c>
      <c r="O16" s="9">
        <f>_xll.BQL("CRM US Equity", "IS_ADJ_GROSS_PROFIT_AS_REPORTED/1M", "FPR=2022Y", "FPT=A", "FA_ACT_EST_DATA=E, EST_SOURCE=MSV", "ACT_EST_MAPPING=PRECISE", "FS=MRC", "CURRENCY=USD", "XLFILL=b")</f>
        <v>20882.010759000001</v>
      </c>
      <c r="P16" s="9">
        <f>_xll.BQL("CRM US Equity", "IS_ADJ_GROSS_PROFIT_AS_REPORTED/1M", "FPR=2022Y", "FPT=A", "FA_ACT_EST_DATA=E, EST_SOURCE=DBG", "ACT_EST_MAPPING=PRECISE", "FS=MRC", "CURRENCY=USD", "XLFILL=b")</f>
        <v>20743.551510904901</v>
      </c>
      <c r="Q16" s="9">
        <f>_xll.BQL("CRM US Equity", "IS_ADJ_GROSS_PROFIT_AS_REPORTED/1M", "FPR=2022Y", "FPT=A", "FA_ACT_EST_DATA=E, EST_SOURCE=NDH", "ACT_EST_MAPPING=PRECISE", "FS=MRC", "CURRENCY=USD", "XLFILL=b")</f>
        <v>20628.699000000001</v>
      </c>
      <c r="R16" s="9" t="str">
        <f>_xll.BQL("CRM US Equity", "IS_ADJ_GROSS_PROFIT_AS_REPORTED/1M", "FPR=2022Y", "FPT=A", "FA_ACT_EST_DATA=E, EST_SOURCE=CAN", "ACT_EST_MAPPING=PRECISE", "FS=MRC", "CURRENCY=USD", "XLFILL=b")</f>
        <v/>
      </c>
      <c r="S16" s="9" t="str">
        <f>_xll.BQL("CRM US Equity", "IS_ADJ_GROSS_PROFIT_AS_REPORTED/1M", "FPR=2022Y", "FPT=A", "FA_ACT_EST_DATA=E, EST_SOURCE=SCB", "ACT_EST_MAPPING=PRECISE", "FS=MRC", "CURRENCY=USD", "XLFILL=b")</f>
        <v/>
      </c>
      <c r="T16" s="9" t="str">
        <f>_xll.BQL("CRM US Equity", "IS_ADJ_GROSS_PROFIT_AS_REPORTED/1M", "FPR=2022Y", "FPT=A", "FA_ACT_EST_DATA=E, EST_SOURCE=JMP", "ACT_EST_MAPPING=PRECISE", "FS=MRC", "CURRENCY=USD", "XLFILL=b")</f>
        <v/>
      </c>
      <c r="U16" s="9">
        <f>_xll.BQL("CRM US Equity", "IS_ADJ_GROSS_PROFIT_AS_REPORTED/1M", "FPR=2022Y", "FPT=A", "FA_ACT_EST_DATA=E, EST_SOURCE=RJA", "ACT_EST_MAPPING=PRECISE", "FS=MRC", "CURRENCY=USD", "XLFILL=b")</f>
        <v>20722.459289999999</v>
      </c>
      <c r="V16" s="9" t="str">
        <f>_xll.BQL("CRM US Equity", "IS_ADJ_GROSS_PROFIT_AS_REPORTED/1M", "FPR=2022Y", "FPT=A", "FA_ACT_EST_DATA=E, EST_SOURCE=OPY", "ACT_EST_MAPPING=PRECISE", "FS=MRC", "CURRENCY=USD", "XLFILL=b")</f>
        <v/>
      </c>
      <c r="W16" s="9">
        <f>_xll.BQL("CRM US Equity", "IS_ADJ_GROSS_PROFIT_AS_REPORTED/1M", "FPR=2022Y", "FPT=A", "FA_ACT_EST_DATA=E, EST_SOURCE=JPM", "ACT_EST_MAPPING=PRECISE", "FS=MRC", "CURRENCY=USD", "XLFILL=b")</f>
        <v>20747.95491</v>
      </c>
      <c r="X16" s="9">
        <f>_xll.BQL("CRM US Equity", "IS_ADJ_GROSS_PROFIT_AS_REPORTED/1M", "FPR=2022Y", "FPT=A", "FA_ACT_EST_DATA=E, EST_SOURCE=FBC", "ACT_EST_MAPPING=PRECISE", "FS=MRC", "CURRENCY=USD", "XLFILL=b")</f>
        <v>20753.614542696461</v>
      </c>
      <c r="Y16" s="9">
        <f>_xll.BQL("CRM US Equity", "IS_ADJ_GROSS_PROFIT_AS_REPORTED/1M", "FPR=2022Y", "FPT=A", "FA_ACT_EST_DATA=E, EST_SOURCE=WMS", "ACT_EST_MAPPING=PRECISE", "FS=MRC", "CURRENCY=USD", "XLFILL=b")</f>
        <v>20371.377765000001</v>
      </c>
      <c r="Z16" s="9">
        <f>_xll.BQL("CRM US Equity", "IS_ADJ_GROSS_PROFIT_AS_REPORTED/1M", "FPR=2022Y", "FPT=A", "FA_ACT_EST_DATA=E, EST_SOURCE=KEY", "ACT_EST_MAPPING=PRECISE", "FS=MRC", "CURRENCY=USD", "XLFILL=b")</f>
        <v>20715.436813</v>
      </c>
      <c r="AA16" s="9" t="str">
        <f>_xll.BQL("CRM US Equity", "IS_ADJ_GROSS_PROFIT_AS_REPORTED/1M", "FPR=2022Y", "FPT=A", "FA_ACT_EST_DATA=E, EST_SOURCE=LCM", "ACT_EST_MAPPING=PRECISE", "FS=MRC", "CURRENCY=USD", "XLFILL=b")</f>
        <v/>
      </c>
      <c r="AB16" s="9" t="str">
        <f>_xll.BQL("CRM US Equity", "IS_ADJ_GROSS_PROFIT_AS_REPORTED/1M", "FPR=2022Y", "FPT=A", "FA_ACT_EST_DATA=E, EST_SOURCE=CWN", "ACT_EST_MAPPING=PRECISE", "FS=MRC", "CURRENCY=USD", "XLFILL=b")</f>
        <v/>
      </c>
      <c r="AC16" s="9" t="str">
        <f>_xll.BQL("CRM US Equity", "IS_ADJ_GROSS_PROFIT_AS_REPORTED/1M", "FPR=2022Y", "FPT=A", "FA_ACT_EST_DATA=E, EST_SOURCE=BNS", "ACT_EST_MAPPING=PRECISE", "FS=MRC", "CURRENCY=USD", "XLFILL=b")</f>
        <v/>
      </c>
      <c r="AD16" s="9" t="str">
        <f>_xll.BQL("CRM US Equity", "IS_ADJ_GROSS_PROFIT_AS_REPORTED/1M", "FPR=2022Y", "FPT=A", "FA_ACT_EST_DATA=E, EST_SOURCE=BAM", "ACT_EST_MAPPING=PRECISE", "FS=MRC", "CURRENCY=USD", "XLFILL=b")</f>
        <v/>
      </c>
      <c r="AE16" s="9" t="str">
        <f>_xll.BQL("CRM US Equity", "IS_ADJ_GROSS_PROFIT_AS_REPORTED/1M", "FPR=2022Y", "FPT=A", "FA_ACT_EST_DATA=E, EST_SOURCE=RBC", "ACT_EST_MAPPING=PRECISE", "FS=MRC", "CURRENCY=USD", "XLFILL=b")</f>
        <v/>
      </c>
      <c r="AF16" s="9" t="str">
        <f>_xll.BQL("CRM US Equity", "IS_ADJ_GROSS_PROFIT_AS_REPORTED/1M", "FPR=2022Y", "FPT=A", "FA_ACT_EST_DATA=E, EST_SOURCE=UBS", "ACT_EST_MAPPING=PRECISE", "FS=MRC", "CURRENCY=USD", "XLFILL=b")</f>
        <v/>
      </c>
      <c r="AG16" s="9" t="str">
        <f>_xll.BQL("CRM US Equity", "IS_ADJ_GROSS_PROFIT_AS_REPORTED/1M", "FPR=2022Y", "FPT=A", "FA_ACT_EST_DATA=E, EST_SOURCE=RHR", "ACT_EST_MAPPING=PRECISE", "FS=MRC", "CURRENCY=USD", "XLFILL=b")</f>
        <v/>
      </c>
      <c r="AH16" s="9" t="str">
        <f>_xll.BQL("CRM US Equity", "IS_ADJ_GROSS_PROFIT_AS_REPORTED/1M", "FPR=2022Y", "FPT=A", "FA_ACT_EST_DATA=E, EST_SOURCE=JEF", "ACT_EST_MAPPING=PRECISE", "FS=MRC", "CURRENCY=USD", "XLFILL=b")</f>
        <v/>
      </c>
      <c r="AI16" s="9" t="str">
        <f>_xll.BQL("CRM US Equity", "IS_ADJ_GROSS_PROFIT_AS_REPORTED/1M", "FPR=2022Y", "FPT=A", "FA_ACT_EST_DATA=E, EST_SOURCE=ATL", "ACT_EST_MAPPING=PRECISE", "FS=MRC", "CURRENCY=USD", "XLFILL=b")</f>
        <v/>
      </c>
      <c r="AJ16" s="9" t="str">
        <f>_xll.BQL("CRM US Equity", "IS_ADJ_GROSS_PROFIT_AS_REPORTED/1M", "FPR=2022Y", "FPT=A", "FA_ACT_EST_DATA=E, EST_SOURCE=MAC", "ACT_EST_MAPPING=PRECISE", "FS=MRC", "CURRENCY=USD", "XLFILL=b")</f>
        <v/>
      </c>
      <c r="AK16" s="9" t="str">
        <f>_xll.BQL("CRM US Equity", "IS_ADJ_GROSS_PROFIT_AS_REPORTED/1M", "FPR=2022Y", "FPT=A", "FA_ACT_EST_DATA=E, EST_SOURCE=EVR", "ACT_EST_MAPPING=PRECISE", "FS=MRC", "CURRENCY=USD", "XLFILL=b")</f>
        <v/>
      </c>
      <c r="AL16" s="9" t="str">
        <f>_xll.BQL("CRM US Equity", "IS_ADJ_GROSS_PROFIT_AS_REPORTED/1M", "FPR=2022Y", "FPT=A", "FA_ACT_EST_DATA=E, EST_SOURCE=MSR", "ACT_EST_MAPPING=PRECISE", "FS=MRC", "CURRENCY=USD", "XLFILL=b")</f>
        <v/>
      </c>
      <c r="AM16" s="9" t="str">
        <f>_xll.BQL("CRM US Equity", "IS_ADJ_GROSS_PROFIT_AS_REPORTED/1M", "FPR=2022Y", "FPT=A", "FA_ACT_EST_DATA=E, EST_SOURCE=KGI", "ACT_EST_MAPPING=PRECISE", "FS=MRC", "CURRENCY=USD", "XLFILL=b")</f>
        <v/>
      </c>
      <c r="AN16" s="9" t="str">
        <f>_xll.BQL("CRM US Equity", "IS_ADJ_GROSS_PROFIT_AS_REPORTED/1M", "FPR=2022Y", "FPT=A", "FA_ACT_EST_DATA=E, EST_SOURCE=ACC", "ACT_EST_MAPPING=PRECISE", "FS=MRC", "CURRENCY=USD", "XLFILL=b")</f>
        <v/>
      </c>
      <c r="AO16" s="9" t="str">
        <f>_xll.BQL("CRM US Equity", "IS_ADJ_GROSS_PROFIT_AS_REPORTED/1M", "FPR=2022Y", "FPT=A", "FA_ACT_EST_DATA=E, EST_SOURCE=GSR", "ACT_EST_MAPPING=PRECISE", "FS=MRC", "CURRENCY=USD", "XLFILL=b")</f>
        <v/>
      </c>
      <c r="AP16" s="9" t="str">
        <f>_xll.BQL("CRM US Equity", "IS_ADJ_GROSS_PROFIT_AS_REPORTED/1M", "FPR=2022Y", "FPT=A", "FA_ACT_EST_DATA=E, EST_SOURCE=PSG", "ACT_EST_MAPPING=PRECISE", "FS=MRC", "CURRENCY=USD", "XLFILL=b")</f>
        <v/>
      </c>
      <c r="AQ16" s="9" t="str">
        <f>_xll.BQL("CRM US Equity", "IS_ADJ_GROSS_PROFIT_AS_REPORTED/1M", "FPR=2022Y", "FPT=A", "FA_ACT_EST_DATA=E, EST_SOURCE=DWI", "ACT_EST_MAPPING=PRECISE", "FS=MRC", "CURRENCY=USD", "XLFILL=b")</f>
        <v/>
      </c>
      <c r="AR16" s="9" t="str">
        <f>_xll.BQL("CRM US Equity", "IS_ADJ_GROSS_PROFIT_AS_REPORTED/1M", "FPR=2022Y", "FPT=A", "FA_ACT_EST_DATA=E, EST_SOURCE=RWB", "ACT_EST_MAPPING=PRECISE", "FS=MRC", "CURRENCY=USD", "XLFILL=b")</f>
        <v/>
      </c>
      <c r="AS16" s="9" t="str">
        <f>_xll.BQL("CRM US Equity", "IS_ADJ_GROSS_PROFIT_AS_REPORTED/1M", "FPR=2022Y", "FPT=A", "FA_ACT_EST_DATA=E, EST_SOURCE=ARG", "ACT_EST_MAPPING=PRECISE", "FS=MRC", "CURRENCY=USD", "XLFILL=b")</f>
        <v/>
      </c>
      <c r="AT16" s="9" t="str">
        <f>_xll.BQL("CRM US Equity", "IS_ADJ_GROSS_PROFIT_AS_REPORTED/1M", "FPR=2022Y", "FPT=A", "FA_ACT_EST_DATA=E, EST_SOURCE=CTI", "ACT_EST_MAPPING=PRECISE", "FS=MRC", "CURRENCY=USD", "XLFILL=b")</f>
        <v/>
      </c>
      <c r="AU16" s="9" t="str">
        <f>_xll.BQL("CRM US Equity", "IS_ADJ_GROSS_PROFIT_AS_REPORTED/1M", "FPR=2022Y", "FPT=A", "FA_ACT_EST_DATA=E, EST_SOURCE=WFT", "ACT_EST_MAPPING=PRECISE", "FS=MRC", "CURRENCY=USD", "XLFILL=b")</f>
        <v/>
      </c>
      <c r="AV16" s="9" t="str">
        <f>_xll.BQL("CRM US Equity", "IS_ADJ_GROSS_PROFIT_AS_REPORTED/1M", "FPR=2022Y", "FPT=A", "FA_ACT_EST_DATA=E, EST_SOURCE=PJE", "ACT_EST_MAPPING=PRECISE", "FS=MRC", "CURRENCY=USD", "XLFILL=b")</f>
        <v/>
      </c>
      <c r="AW16" s="9" t="str">
        <f>_xll.BQL("CRM US Equity", "IS_ADJ_GROSS_PROFIT_AS_REPORTED/1M", "FPR=2022Y", "FPT=A", "FA_ACT_EST_DATA=E, EST_SOURCE=SGE", "ACT_EST_MAPPING=PRECISE", "FS=MRC", "CURRENCY=USD", "XLFILL=b")</f>
        <v/>
      </c>
      <c r="AX16" s="9" t="str">
        <f>_xll.BQL("CRM US Equity", "IS_ADJ_GROSS_PROFIT_AS_REPORTED/1M", "FPR=2022Y", "FPT=A", "FA_ACT_EST_DATA=E, EST_SOURCE=MZS", "ACT_EST_MAPPING=PRECISE", "FS=MRC", "CURRENCY=USD", "XLFILL=b")</f>
        <v/>
      </c>
      <c r="AY16" s="9" t="str">
        <f>_xll.BQL("CRM US Equity", "IS_ADJ_GROSS_PROFIT_AS_REPORTED/1M", "FPR=2022Y", "FPT=A", "FA_ACT_EST_DATA=E, EST_SOURCE=RCP", "ACT_EST_MAPPING=PRECISE", "FS=MRC", "CURRENCY=USD", "XLFILL=b")</f>
        <v/>
      </c>
      <c r="AZ16" s="9" t="str">
        <f>_xll.BQL("CRM US Equity", "IS_ADJ_GROSS_PROFIT_AS_REPORTED/1M", "FPR=2022Y", "FPT=A", "FA_ACT_EST_DATA=E, EST_SOURCE=WFR", "ACT_EST_MAPPING=PRECISE", "FS=MRC", "CURRENCY=USD", "XLFILL=b")</f>
        <v/>
      </c>
      <c r="BA16" s="9" t="str">
        <f>_xll.BQL("CRM US Equity", "IS_ADJ_GROSS_PROFIT_AS_REPORTED/1M", "FPR=2022Y", "FPT=A", "FA_ACT_EST_DATA=E, EST_SOURCE=NIK", "ACT_EST_MAPPING=PRECISE", "FS=MRC", "CURRENCY=USD", "XLFILL=b")</f>
        <v/>
      </c>
      <c r="BB16" s="9" t="str">
        <f>_xll.BQL("CRM US Equity", "IS_ADJ_GROSS_PROFIT_AS_REPORTED/1M", "FPR=2022Y", "FPT=A", "FA_ACT_EST_DATA=E, EST_SOURCE=ARE", "ACT_EST_MAPPING=PRECISE", "FS=MRC", "CURRENCY=USD", "XLFILL=b")</f>
        <v/>
      </c>
      <c r="BC16" s="9" t="str">
        <f>_xll.BQL("CRM US Equity", "IS_ADJ_GROSS_PROFIT_AS_REPORTED/1M", "FPR=2022Y", "FPT=A", "FA_ACT_EST_DATA=E, EST_SOURCE=RED", "ACT_EST_MAPPING=PRECISE", "FS=MRC", "CURRENCY=USD", "XLFILL=b")</f>
        <v/>
      </c>
      <c r="BD16" s="9" t="str">
        <f>_xll.BQL("CRM US Equity", "IS_ADJ_GROSS_PROFIT_AS_REPORTED/1M", "FPR=2022Y", "FPT=A", "FA_ACT_EST_DATA=E, EST_SOURCE=DIR", "ACT_EST_MAPPING=PRECISE", "FS=MRC", "CURRENCY=USD", "XLFILL=b")</f>
        <v/>
      </c>
    </row>
    <row r="17" spans="1:56" x14ac:dyDescent="0.55000000000000004">
      <c r="A17" s="8" t="s">
        <v>43</v>
      </c>
      <c r="B17" s="5" t="s">
        <v>44</v>
      </c>
      <c r="C17" s="5" t="s">
        <v>45</v>
      </c>
      <c r="D17" s="5"/>
      <c r="E17" s="9">
        <f>_xll.BQL("CRM US Equity", "IS_COMP_GROSS_MARGIN_PERCENTAGE", "FPR=2022Y", "FPT=A", "FA_ACT_EST_DATA=E", "ACT_EST_MAPPING=PRECISE", "FS=MRC", "CURRENCY=USD", "XLFILL=b")</f>
        <v>78.610101705341833</v>
      </c>
      <c r="F17" s="9">
        <f>_xll.BQL("CRM US Equity", "CONTRIBUTOR_STATS(IS_COMP_GROSS_MARGIN_PERCENTAGE, MIN)", "FPR=2022Y", "FPT=A", "FA_ACT_EST_DATA=E", "ACT_EST_MAPPING=PRECISE", "FS=MRC", "CURRENCY=USD", "XLFILL=b")</f>
        <v>78</v>
      </c>
      <c r="G17" s="9">
        <f>_xll.BQL("CRM US Equity", "CONTRIBUTOR_STATS(IS_COMP_GROSS_MARGIN_PERCENTAGE, MAX)", "FPR=2022Y", "FPT=A", "FA_ACT_EST_DATA=E", "ACT_EST_MAPPING=PRECISE", "FS=MRC", "CURRENCY=USD", "XLFILL=b")</f>
        <v>79.069213087557301</v>
      </c>
      <c r="H17" s="9">
        <f>_xll.BQL("CRM US Equity", "CONTRIBUTOR_STATS(IS_COMP_GROSS_MARGIN_PERCENTAGE, STD)", "FPR=2022Y", "FPT=A", "FA_ACT_EST_DATA=E", "ACT_EST_MAPPING=PRECISE", "FS=MRC", "CURRENCY=USD", "XLFILL=b")</f>
        <v>0.2428383810366363</v>
      </c>
      <c r="I17" s="9">
        <f>_xll.BQL("CRM US Equity", "CONTRIBUTOR_STATS(IS_COMP_GROSS_MARGIN_PERCENTAGE, MEDIAN)", "FPR=2022Y", "FPT=A", "FA_ACT_EST_DATA=E", "ACT_EST_MAPPING=PRECISE", "FS=MRC", "CURRENCY=USD", "XLFILL=b")</f>
        <v>78.634227763136195</v>
      </c>
      <c r="J17" s="9" t="str">
        <f>_xll.BQL("CRM US Equity", "IS_COMP_GROSS_MARGIN_PERCENTAGE", "FPR=2022Y", "FPT=A", "FA_ACT_EST_DATA=E, EST_SOURCE=CMPY", "ACT_EST_MAPPING=PRECISE", "FS=MRC", "CURRENCY=USD", "XLFILL=b")</f>
        <v/>
      </c>
      <c r="K17" s="9">
        <f>_xll.BQL("CRM US Equity", "IS_COMP_GROSS_MARGIN_PERCENTAGE", "FPR=2022Y", "FPT=A", "FA_ACT_EST_DATA=E, EST_SOURCE=WBL", "ACT_EST_MAPPING=PRECISE", "FS=MRC", "CURRENCY=USD", "XLFILL=b")</f>
        <v>78.7</v>
      </c>
      <c r="L17" s="9">
        <f>_xll.BQL("CRM US Equity", "IS_COMP_GROSS_MARGIN_PERCENTAGE", "FPR=2022Y", "FPT=A", "FA_ACT_EST_DATA=E, EST_SOURCE=BMO", "ACT_EST_MAPPING=PRECISE", "FS=MRC", "CURRENCY=USD", "XLFILL=b")</f>
        <v>78.289501915650703</v>
      </c>
      <c r="M17" s="9">
        <f>_xll.BQL("CRM US Equity", "IS_COMP_GROSS_MARGIN_PERCENTAGE", "FPR=2022Y", "FPT=A", "FA_ACT_EST_DATA=E, EST_SOURCE=BCA", "ACT_EST_MAPPING=PRECISE", "FS=MRC", "CURRENCY=USD", "XLFILL=b")</f>
        <v>78.751504198778505</v>
      </c>
      <c r="N17" s="9">
        <f>_xll.BQL("CRM US Equity", "IS_COMP_GROSS_MARGIN_PERCENTAGE", "FPR=2022Y", "FPT=A", "FA_ACT_EST_DATA=E, EST_SOURCE=SNR", "ACT_EST_MAPPING=PRECISE", "FS=MRC", "CURRENCY=USD", "XLFILL=b")</f>
        <v>78.738636363636402</v>
      </c>
      <c r="O17" s="9">
        <f>_xll.BQL("CRM US Equity", "IS_COMP_GROSS_MARGIN_PERCENTAGE", "FPR=2022Y", "FPT=A", "FA_ACT_EST_DATA=E, EST_SOURCE=MSV", "ACT_EST_MAPPING=PRECISE", "FS=MRC", "CURRENCY=USD", "XLFILL=b")</f>
        <v>79.069213087557301</v>
      </c>
      <c r="P17" s="9">
        <f>_xll.BQL("CRM US Equity", "IS_COMP_GROSS_MARGIN_PERCENTAGE", "FPR=2022Y", "FPT=A", "FA_ACT_EST_DATA=E, EST_SOURCE=DBG", "ACT_EST_MAPPING=PRECISE", "FS=MRC", "CURRENCY=USD", "XLFILL=b")</f>
        <v>78.599999999999994</v>
      </c>
      <c r="Q17" s="9">
        <f>_xll.BQL("CRM US Equity", "IS_COMP_GROSS_MARGIN_PERCENTAGE", "FPR=2022Y", "FPT=A", "FA_ACT_EST_DATA=E, EST_SOURCE=NDH", "ACT_EST_MAPPING=PRECISE", "FS=MRC", "CURRENCY=USD", "XLFILL=b")</f>
        <v>78.2</v>
      </c>
      <c r="R17" s="9">
        <f>_xll.BQL("CRM US Equity", "IS_COMP_GROSS_MARGIN_PERCENTAGE", "FPR=2022Y", "FPT=A", "FA_ACT_EST_DATA=E, EST_SOURCE=CAN", "ACT_EST_MAPPING=PRECISE", "FS=MRC", "CURRENCY=USD", "XLFILL=b")</f>
        <v>78.400000000000006</v>
      </c>
      <c r="S17" s="9">
        <f>_xll.BQL("CRM US Equity", "IS_COMP_GROSS_MARGIN_PERCENTAGE", "FPR=2022Y", "FPT=A", "FA_ACT_EST_DATA=E, EST_SOURCE=SCB", "ACT_EST_MAPPING=PRECISE", "FS=MRC", "CURRENCY=USD", "XLFILL=b")</f>
        <v>78.5193965598814</v>
      </c>
      <c r="T17" s="9" t="str">
        <f>_xll.BQL("CRM US Equity", "IS_COMP_GROSS_MARGIN_PERCENTAGE", "FPR=2022Y", "FPT=A", "FA_ACT_EST_DATA=E, EST_SOURCE=JMP", "ACT_EST_MAPPING=PRECISE", "FS=MRC", "CURRENCY=USD", "XLFILL=b")</f>
        <v/>
      </c>
      <c r="U17" s="9">
        <f>_xll.BQL("CRM US Equity", "IS_COMP_GROSS_MARGIN_PERCENTAGE", "FPR=2022Y", "FPT=A", "FA_ACT_EST_DATA=E, EST_SOURCE=RJA", "ACT_EST_MAPPING=PRECISE", "FS=MRC", "CURRENCY=USD", "XLFILL=b")</f>
        <v>78.5</v>
      </c>
      <c r="V17" s="9">
        <f>_xll.BQL("CRM US Equity", "IS_COMP_GROSS_MARGIN_PERCENTAGE", "FPR=2022Y", "FPT=A", "FA_ACT_EST_DATA=E, EST_SOURCE=OPY", "ACT_EST_MAPPING=PRECISE", "FS=MRC", "CURRENCY=USD", "XLFILL=b")</f>
        <v>78.400000000000006</v>
      </c>
      <c r="W17" s="9">
        <f>_xll.BQL("CRM US Equity", "IS_COMP_GROSS_MARGIN_PERCENTAGE", "FPR=2022Y", "FPT=A", "FA_ACT_EST_DATA=E, EST_SOURCE=JPM", "ACT_EST_MAPPING=PRECISE", "FS=MRC", "CURRENCY=USD", "XLFILL=b")</f>
        <v>78.599999999999994</v>
      </c>
      <c r="X17" s="9">
        <f>_xll.BQL("CRM US Equity", "IS_COMP_GROSS_MARGIN_PERCENTAGE", "FPR=2022Y", "FPT=A", "FA_ACT_EST_DATA=E, EST_SOURCE=FBC", "ACT_EST_MAPPING=PRECISE", "FS=MRC", "CURRENCY=USD", "XLFILL=b")</f>
        <v>78.847500173192799</v>
      </c>
      <c r="Y17" s="9">
        <f>_xll.BQL("CRM US Equity", "IS_COMP_GROSS_MARGIN_PERCENTAGE", "FPR=2022Y", "FPT=A", "FA_ACT_EST_DATA=E, EST_SOURCE=WMS", "ACT_EST_MAPPING=PRECISE", "FS=MRC", "CURRENCY=USD", "XLFILL=b")</f>
        <v>78.099999999999994</v>
      </c>
      <c r="Z17" s="9">
        <f>_xll.BQL("CRM US Equity", "IS_COMP_GROSS_MARGIN_PERCENTAGE", "FPR=2022Y", "FPT=A", "FA_ACT_EST_DATA=E, EST_SOURCE=KEY", "ACT_EST_MAPPING=PRECISE", "FS=MRC", "CURRENCY=USD", "XLFILL=b")</f>
        <v>78.7</v>
      </c>
      <c r="AA17" s="9">
        <f>_xll.BQL("CRM US Equity", "IS_COMP_GROSS_MARGIN_PERCENTAGE", "FPR=2022Y", "FPT=A", "FA_ACT_EST_DATA=E, EST_SOURCE=LCM", "ACT_EST_MAPPING=PRECISE", "FS=MRC", "CURRENCY=USD", "XLFILL=b")</f>
        <v>79</v>
      </c>
      <c r="AB17" s="9">
        <f>_xll.BQL("CRM US Equity", "IS_COMP_GROSS_MARGIN_PERCENTAGE", "FPR=2022Y", "FPT=A", "FA_ACT_EST_DATA=E, EST_SOURCE=CWN", "ACT_EST_MAPPING=PRECISE", "FS=MRC", "CURRENCY=USD", "XLFILL=b")</f>
        <v>78.7</v>
      </c>
      <c r="AC17" s="9">
        <f>_xll.BQL("CRM US Equity", "IS_COMP_GROSS_MARGIN_PERCENTAGE", "FPR=2022Y", "FPT=A", "FA_ACT_EST_DATA=E, EST_SOURCE=BNS", "ACT_EST_MAPPING=PRECISE", "FS=MRC", "CURRENCY=USD", "XLFILL=b")</f>
        <v>78.7</v>
      </c>
      <c r="AD17" s="9" t="str">
        <f>_xll.BQL("CRM US Equity", "IS_COMP_GROSS_MARGIN_PERCENTAGE", "FPR=2022Y", "FPT=A", "FA_ACT_EST_DATA=E, EST_SOURCE=BAM", "ACT_EST_MAPPING=PRECISE", "FS=MRC", "CURRENCY=USD", "XLFILL=b")</f>
        <v/>
      </c>
      <c r="AE17" s="9">
        <f>_xll.BQL("CRM US Equity", "IS_COMP_GROSS_MARGIN_PERCENTAGE", "FPR=2022Y", "FPT=A", "FA_ACT_EST_DATA=E, EST_SOURCE=RBC", "ACT_EST_MAPPING=PRECISE", "FS=MRC", "CURRENCY=USD", "XLFILL=b")</f>
        <v>78</v>
      </c>
      <c r="AF17" s="9">
        <f>_xll.BQL("CRM US Equity", "IS_COMP_GROSS_MARGIN_PERCENTAGE", "FPR=2022Y", "FPT=A", "FA_ACT_EST_DATA=E, EST_SOURCE=UBS", "ACT_EST_MAPPING=PRECISE", "FS=MRC", "CURRENCY=USD", "XLFILL=b")</f>
        <v>78.573504999999997</v>
      </c>
      <c r="AG17" s="9">
        <f>_xll.BQL("CRM US Equity", "IS_COMP_GROSS_MARGIN_PERCENTAGE", "FPR=2022Y", "FPT=A", "FA_ACT_EST_DATA=E, EST_SOURCE=RHR", "ACT_EST_MAPPING=PRECISE", "FS=MRC", "CURRENCY=USD", "XLFILL=b")</f>
        <v>78.8</v>
      </c>
      <c r="AH17" s="9">
        <f>_xll.BQL("CRM US Equity", "IS_COMP_GROSS_MARGIN_PERCENTAGE", "FPR=2022Y", "FPT=A", "FA_ACT_EST_DATA=E, EST_SOURCE=JEF", "ACT_EST_MAPPING=PRECISE", "FS=MRC", "CURRENCY=USD", "XLFILL=b")</f>
        <v>78.900000000000006</v>
      </c>
      <c r="AI17" s="9">
        <f>_xll.BQL("CRM US Equity", "IS_COMP_GROSS_MARGIN_PERCENTAGE", "FPR=2022Y", "FPT=A", "FA_ACT_EST_DATA=E, EST_SOURCE=ATL", "ACT_EST_MAPPING=PRECISE", "FS=MRC", "CURRENCY=USD", "XLFILL=b")</f>
        <v>78.889667803762904</v>
      </c>
      <c r="AJ17" s="9" t="str">
        <f>_xll.BQL("CRM US Equity", "IS_COMP_GROSS_MARGIN_PERCENTAGE", "FPR=2022Y", "FPT=A", "FA_ACT_EST_DATA=E, EST_SOURCE=MAC", "ACT_EST_MAPPING=PRECISE", "FS=MRC", "CURRENCY=USD", "XLFILL=b")</f>
        <v/>
      </c>
      <c r="AK17" s="9">
        <f>_xll.BQL("CRM US Equity", "IS_COMP_GROSS_MARGIN_PERCENTAGE", "FPR=2022Y", "FPT=A", "FA_ACT_EST_DATA=E, EST_SOURCE=EVR", "ACT_EST_MAPPING=PRECISE", "FS=MRC", "CURRENCY=USD", "XLFILL=b")</f>
        <v>78.599999999999994</v>
      </c>
      <c r="AL17" s="9" t="str">
        <f>_xll.BQL("CRM US Equity", "IS_COMP_GROSS_MARGIN_PERCENTAGE", "FPR=2022Y", "FPT=A", "FA_ACT_EST_DATA=E, EST_SOURCE=MSR", "ACT_EST_MAPPING=PRECISE", "FS=MRC", "CURRENCY=USD", "XLFILL=b")</f>
        <v/>
      </c>
      <c r="AM17" s="9">
        <f>_xll.BQL("CRM US Equity", "IS_COMP_GROSS_MARGIN_PERCENTAGE", "FPR=2022Y", "FPT=A", "FA_ACT_EST_DATA=E, EST_SOURCE=KGI", "ACT_EST_MAPPING=PRECISE", "FS=MRC", "CURRENCY=USD", "XLFILL=b")</f>
        <v>78.7</v>
      </c>
      <c r="AN17" s="9" t="str">
        <f>_xll.BQL("CRM US Equity", "IS_COMP_GROSS_MARGIN_PERCENTAGE", "FPR=2022Y", "FPT=A", "FA_ACT_EST_DATA=E, EST_SOURCE=ACC", "ACT_EST_MAPPING=PRECISE", "FS=MRC", "CURRENCY=USD", "XLFILL=b")</f>
        <v/>
      </c>
      <c r="AO17" s="9" t="str">
        <f>_xll.BQL("CRM US Equity", "IS_COMP_GROSS_MARGIN_PERCENTAGE", "FPR=2022Y", "FPT=A", "FA_ACT_EST_DATA=E, EST_SOURCE=GSR", "ACT_EST_MAPPING=PRECISE", "FS=MRC", "CURRENCY=USD", "XLFILL=b")</f>
        <v/>
      </c>
      <c r="AP17" s="9">
        <f>_xll.BQL("CRM US Equity", "IS_COMP_GROSS_MARGIN_PERCENTAGE", "FPR=2022Y", "FPT=A", "FA_ACT_EST_DATA=E, EST_SOURCE=PSG", "ACT_EST_MAPPING=PRECISE", "FS=MRC", "CURRENCY=USD", "XLFILL=b")</f>
        <v>78.5</v>
      </c>
      <c r="AQ17" s="9" t="str">
        <f>_xll.BQL("CRM US Equity", "IS_COMP_GROSS_MARGIN_PERCENTAGE", "FPR=2022Y", "FPT=A", "FA_ACT_EST_DATA=E, EST_SOURCE=DWI", "ACT_EST_MAPPING=PRECISE", "FS=MRC", "CURRENCY=USD", "XLFILL=b")</f>
        <v/>
      </c>
      <c r="AR17" s="9">
        <f>_xll.BQL("CRM US Equity", "IS_COMP_GROSS_MARGIN_PERCENTAGE", "FPR=2022Y", "FPT=A", "FA_ACT_EST_DATA=E, EST_SOURCE=RWB", "ACT_EST_MAPPING=PRECISE", "FS=MRC", "CURRENCY=USD", "XLFILL=b")</f>
        <v>78.3</v>
      </c>
      <c r="AS17" s="9" t="str">
        <f>_xll.BQL("CRM US Equity", "IS_COMP_GROSS_MARGIN_PERCENTAGE", "FPR=2022Y", "FPT=A", "FA_ACT_EST_DATA=E, EST_SOURCE=ARG", "ACT_EST_MAPPING=PRECISE", "FS=MRC", "CURRENCY=USD", "XLFILL=b")</f>
        <v/>
      </c>
      <c r="AT17" s="9" t="str">
        <f>_xll.BQL("CRM US Equity", "IS_COMP_GROSS_MARGIN_PERCENTAGE", "FPR=2022Y", "FPT=A", "FA_ACT_EST_DATA=E, EST_SOURCE=CTI", "ACT_EST_MAPPING=PRECISE", "FS=MRC", "CURRENCY=USD", "XLFILL=b")</f>
        <v/>
      </c>
      <c r="AU17" s="9" t="str">
        <f>_xll.BQL("CRM US Equity", "IS_COMP_GROSS_MARGIN_PERCENTAGE", "FPR=2022Y", "FPT=A", "FA_ACT_EST_DATA=E, EST_SOURCE=WFT", "ACT_EST_MAPPING=PRECISE", "FS=MRC", "CURRENCY=USD", "XLFILL=b")</f>
        <v/>
      </c>
      <c r="AV17" s="9" t="str">
        <f>_xll.BQL("CRM US Equity", "IS_COMP_GROSS_MARGIN_PERCENTAGE", "FPR=2022Y", "FPT=A", "FA_ACT_EST_DATA=E, EST_SOURCE=PJE", "ACT_EST_MAPPING=PRECISE", "FS=MRC", "CURRENCY=USD", "XLFILL=b")</f>
        <v/>
      </c>
      <c r="AW17" s="9" t="str">
        <f>_xll.BQL("CRM US Equity", "IS_COMP_GROSS_MARGIN_PERCENTAGE", "FPR=2022Y", "FPT=A", "FA_ACT_EST_DATA=E, EST_SOURCE=SGE", "ACT_EST_MAPPING=PRECISE", "FS=MRC", "CURRENCY=USD", "XLFILL=b")</f>
        <v/>
      </c>
      <c r="AX17" s="9" t="str">
        <f>_xll.BQL("CRM US Equity", "IS_COMP_GROSS_MARGIN_PERCENTAGE", "FPR=2022Y", "FPT=A", "FA_ACT_EST_DATA=E, EST_SOURCE=MZS", "ACT_EST_MAPPING=PRECISE", "FS=MRC", "CURRENCY=USD", "XLFILL=b")</f>
        <v/>
      </c>
      <c r="AY17" s="9" t="str">
        <f>_xll.BQL("CRM US Equity", "IS_COMP_GROSS_MARGIN_PERCENTAGE", "FPR=2022Y", "FPT=A", "FA_ACT_EST_DATA=E, EST_SOURCE=RCP", "ACT_EST_MAPPING=PRECISE", "FS=MRC", "CURRENCY=USD", "XLFILL=b")</f>
        <v/>
      </c>
      <c r="AZ17" s="9" t="str">
        <f>_xll.BQL("CRM US Equity", "IS_COMP_GROSS_MARGIN_PERCENTAGE", "FPR=2022Y", "FPT=A", "FA_ACT_EST_DATA=E, EST_SOURCE=WFR", "ACT_EST_MAPPING=PRECISE", "FS=MRC", "CURRENCY=USD", "XLFILL=b")</f>
        <v/>
      </c>
      <c r="BA17" s="9" t="str">
        <f>_xll.BQL("CRM US Equity", "IS_COMP_GROSS_MARGIN_PERCENTAGE", "FPR=2022Y", "FPT=A", "FA_ACT_EST_DATA=E, EST_SOURCE=NIK", "ACT_EST_MAPPING=PRECISE", "FS=MRC", "CURRENCY=USD", "XLFILL=b")</f>
        <v/>
      </c>
      <c r="BB17" s="9" t="str">
        <f>_xll.BQL("CRM US Equity", "IS_COMP_GROSS_MARGIN_PERCENTAGE", "FPR=2022Y", "FPT=A", "FA_ACT_EST_DATA=E, EST_SOURCE=ARE", "ACT_EST_MAPPING=PRECISE", "FS=MRC", "CURRENCY=USD", "XLFILL=b")</f>
        <v/>
      </c>
      <c r="BC17" s="9" t="str">
        <f>_xll.BQL("CRM US Equity", "IS_COMP_GROSS_MARGIN_PERCENTAGE", "FPR=2022Y", "FPT=A", "FA_ACT_EST_DATA=E, EST_SOURCE=RED", "ACT_EST_MAPPING=PRECISE", "FS=MRC", "CURRENCY=USD", "XLFILL=b")</f>
        <v/>
      </c>
      <c r="BD17" s="9" t="str">
        <f>_xll.BQL("CRM US Equity", "IS_COMP_GROSS_MARGIN_PERCENTAGE", "FPR=2022Y", "FPT=A", "FA_ACT_EST_DATA=E, EST_SOURCE=DIR", "ACT_EST_MAPPING=PRECISE", "FS=MRC", "CURRENCY=USD", "XLFILL=b")</f>
        <v/>
      </c>
    </row>
    <row r="18" spans="1:56" x14ac:dyDescent="0.55000000000000004">
      <c r="A18" s="8" t="s">
        <v>26</v>
      </c>
      <c r="B18" s="5"/>
      <c r="C18" s="5"/>
      <c r="D18" s="5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</row>
    <row r="19" spans="1:56" x14ac:dyDescent="0.55000000000000004">
      <c r="A19" s="8" t="s">
        <v>46</v>
      </c>
      <c r="B19" s="5" t="s">
        <v>47</v>
      </c>
      <c r="C19" s="5" t="s">
        <v>48</v>
      </c>
      <c r="D19" s="5"/>
      <c r="E19" s="9">
        <f>_xll.BQL("CRM US Equity", "IS_COMPARABLE_EBIT/1M", "FPR=2022Y", "FPT=A", "FA_ACT_EST_DATA=E", "ACT_EST_MAPPING=PRECISE", "FS=MRC", "CURRENCY=USD", "XLFILL=b")</f>
        <v>4926.105263157895</v>
      </c>
      <c r="F19" s="9">
        <f>_xll.BQL("CRM US Equity", "CONTRIBUTOR_STATS(IS_COMPARABLE_EBIT, MIN)/1M", "FPR=2022Y", "FPT=A", "FA_ACT_EST_DATA=E", "ACT_EST_MAPPING=PRECISE", "FS=MRC", "CURRENCY=USD", "XLFILL=b")</f>
        <v>4859</v>
      </c>
      <c r="G19" s="9">
        <f>_xll.BQL("CRM US Equity", "CONTRIBUTOR_STATS(IS_COMPARABLE_EBIT, MAX)/1M", "FPR=2022Y", "FPT=A", "FA_ACT_EST_DATA=E", "ACT_EST_MAPPING=PRECISE", "FS=MRC", "CURRENCY=USD", "XLFILL=b")</f>
        <v>5210</v>
      </c>
      <c r="H19" s="9">
        <f>_xll.BQL("CRM US Equity", "CONTRIBUTOR_STATS(IS_COMPARABLE_EBIT, STD)/1M", "FPR=2022Y", "FPT=A", "FA_ACT_EST_DATA=E", "ACT_EST_MAPPING=PRECISE", "FS=MRC", "CURRENCY=USD", "XLFILL=b")</f>
        <v>62.671511469956414</v>
      </c>
      <c r="I19" s="9">
        <f>_xll.BQL("CRM US Equity", "CONTRIBUTOR_STATS(IS_COMPARABLE_EBIT, MEDIAN)/1M", "FPR=2022Y", "FPT=A", "FA_ACT_EST_DATA=E", "ACT_EST_MAPPING=PRECISE", "FS=MRC", "CURRENCY=USD", "XLFILL=b")</f>
        <v>4910.5</v>
      </c>
      <c r="J19" s="9" t="str">
        <f>_xll.BQL("CRM US Equity", "IS_COMPARABLE_EBIT/1M", "FPR=2022Y", "FPT=A", "FA_ACT_EST_DATA=E, EST_SOURCE=CMPY", "ACT_EST_MAPPING=PRECISE", "FS=MRC", "CURRENCY=USD", "XLFILL=b")</f>
        <v/>
      </c>
      <c r="K19" s="9">
        <f>_xll.BQL("CRM US Equity", "IS_COMPARABLE_EBIT/1M", "FPR=2022Y", "FPT=A", "FA_ACT_EST_DATA=E, EST_SOURCE=WBL", "ACT_EST_MAPPING=PRECISE", "FS=MRC", "CURRENCY=USD", "XLFILL=b")</f>
        <v>4918</v>
      </c>
      <c r="L19" s="9">
        <f>_xll.BQL("CRM US Equity", "IS_COMPARABLE_EBIT/1M", "FPR=2022Y", "FPT=A", "FA_ACT_EST_DATA=E, EST_SOURCE=BMO", "ACT_EST_MAPPING=PRECISE", "FS=MRC", "CURRENCY=USD", "XLFILL=b")</f>
        <v>4904</v>
      </c>
      <c r="M19" s="9">
        <f>_xll.BQL("CRM US Equity", "IS_COMPARABLE_EBIT/1M", "FPR=2022Y", "FPT=A", "FA_ACT_EST_DATA=E, EST_SOURCE=BCA", "ACT_EST_MAPPING=PRECISE", "FS=MRC", "CURRENCY=USD", "XLFILL=b")</f>
        <v>4921</v>
      </c>
      <c r="N19" s="9">
        <f>_xll.BQL("CRM US Equity", "IS_COMPARABLE_EBIT/1M", "FPR=2022Y", "FPT=A", "FA_ACT_EST_DATA=E, EST_SOURCE=SNR", "ACT_EST_MAPPING=PRECISE", "FS=MRC", "CURRENCY=USD", "XLFILL=b")</f>
        <v>4900</v>
      </c>
      <c r="O19" s="9">
        <f>_xll.BQL("CRM US Equity", "IS_COMPARABLE_EBIT/1M", "FPR=2022Y", "FPT=A", "FA_ACT_EST_DATA=E, EST_SOURCE=MSV", "ACT_EST_MAPPING=PRECISE", "FS=MRC", "CURRENCY=USD", "XLFILL=b")</f>
        <v>424</v>
      </c>
      <c r="P19" s="9">
        <f>_xll.BQL("CRM US Equity", "IS_COMPARABLE_EBIT/1M", "FPR=2022Y", "FPT=A", "FA_ACT_EST_DATA=E, EST_SOURCE=DBG", "ACT_EST_MAPPING=PRECISE", "FS=MRC", "CURRENCY=USD", "XLFILL=b")</f>
        <v>4913</v>
      </c>
      <c r="Q19" s="9">
        <f>_xll.BQL("CRM US Equity", "IS_COMPARABLE_EBIT/1M", "FPR=2022Y", "FPT=A", "FA_ACT_EST_DATA=E, EST_SOURCE=NDH", "ACT_EST_MAPPING=PRECISE", "FS=MRC", "CURRENCY=USD", "XLFILL=b")</f>
        <v>4922</v>
      </c>
      <c r="R19" s="9">
        <f>_xll.BQL("CRM US Equity", "IS_COMPARABLE_EBIT/1M", "FPR=2022Y", "FPT=A", "FA_ACT_EST_DATA=E, EST_SOURCE=CAN", "ACT_EST_MAPPING=PRECISE", "FS=MRC", "CURRENCY=USD", "XLFILL=b")</f>
        <v>4895</v>
      </c>
      <c r="S19" s="9">
        <f>_xll.BQL("CRM US Equity", "IS_COMPARABLE_EBIT/1M", "FPR=2022Y", "FPT=A", "FA_ACT_EST_DATA=E, EST_SOURCE=SCB", "ACT_EST_MAPPING=PRECISE", "FS=MRC", "CURRENCY=USD", "XLFILL=b")</f>
        <v>5086</v>
      </c>
      <c r="T19" s="9">
        <f>_xll.BQL("CRM US Equity", "IS_COMPARABLE_EBIT/1M", "FPR=2022Y", "FPT=A", "FA_ACT_EST_DATA=E, EST_SOURCE=JMP", "ACT_EST_MAPPING=PRECISE", "FS=MRC", "CURRENCY=USD", "XLFILL=b")</f>
        <v>484</v>
      </c>
      <c r="U19" s="9">
        <f>_xll.BQL("CRM US Equity", "IS_COMPARABLE_EBIT/1M", "FPR=2022Y", "FPT=A", "FA_ACT_EST_DATA=E, EST_SOURCE=RJA", "ACT_EST_MAPPING=PRECISE", "FS=MRC", "CURRENCY=USD", "XLFILL=b")</f>
        <v>4902</v>
      </c>
      <c r="V19" s="9">
        <f>_xll.BQL("CRM US Equity", "IS_COMPARABLE_EBIT/1M", "FPR=2022Y", "FPT=A", "FA_ACT_EST_DATA=E, EST_SOURCE=OPY", "ACT_EST_MAPPING=PRECISE", "FS=MRC", "CURRENCY=USD", "XLFILL=b")</f>
        <v>4918</v>
      </c>
      <c r="W19" s="9">
        <f>_xll.BQL("CRM US Equity", "IS_COMPARABLE_EBIT/1M", "FPR=2022Y", "FPT=A", "FA_ACT_EST_DATA=E, EST_SOURCE=JPM", "ACT_EST_MAPPING=PRECISE", "FS=MRC", "CURRENCY=USD", "XLFILL=b")</f>
        <v>4904</v>
      </c>
      <c r="X19" s="9">
        <f>_xll.BQL("CRM US Equity", "IS_COMPARABLE_EBIT/1M", "FPR=2022Y", "FPT=A", "FA_ACT_EST_DATA=E, EST_SOURCE=FBC", "ACT_EST_MAPPING=PRECISE", "FS=MRC", "CURRENCY=USD", "XLFILL=b")</f>
        <v>4859</v>
      </c>
      <c r="Y19" s="9">
        <f>_xll.BQL("CRM US Equity", "IS_COMPARABLE_EBIT/1M", "FPR=2022Y", "FPT=A", "FA_ACT_EST_DATA=E, EST_SOURCE=WMS", "ACT_EST_MAPPING=PRECISE", "FS=MRC", "CURRENCY=USD", "XLFILL=b")</f>
        <v>4876</v>
      </c>
      <c r="Z19" s="9">
        <f>_xll.BQL("CRM US Equity", "IS_COMPARABLE_EBIT/1M", "FPR=2022Y", "FPT=A", "FA_ACT_EST_DATA=E, EST_SOURCE=KEY", "ACT_EST_MAPPING=PRECISE", "FS=MRC", "CURRENCY=USD", "XLFILL=b")</f>
        <v>4882</v>
      </c>
      <c r="AA19" s="9">
        <f>_xll.BQL("CRM US Equity", "IS_COMPARABLE_EBIT/1M", "FPR=2022Y", "FPT=A", "FA_ACT_EST_DATA=E, EST_SOURCE=LCM", "ACT_EST_MAPPING=PRECISE", "FS=MRC", "CURRENCY=USD", "XLFILL=b")</f>
        <v>4921</v>
      </c>
      <c r="AB19" s="9">
        <f>_xll.BQL("CRM US Equity", "IS_COMPARABLE_EBIT/1M", "FPR=2022Y", "FPT=A", "FA_ACT_EST_DATA=E, EST_SOURCE=CWN", "ACT_EST_MAPPING=PRECISE", "FS=MRC", "CURRENCY=USD", "XLFILL=b")</f>
        <v>4935</v>
      </c>
      <c r="AC19" s="9">
        <f>_xll.BQL("CRM US Equity", "IS_COMPARABLE_EBIT/1M", "FPR=2022Y", "FPT=A", "FA_ACT_EST_DATA=E, EST_SOURCE=BNS", "ACT_EST_MAPPING=PRECISE", "FS=MRC", "CURRENCY=USD", "XLFILL=b")</f>
        <v>4896</v>
      </c>
      <c r="AD19" s="9">
        <f>_xll.BQL("CRM US Equity", "IS_COMPARABLE_EBIT/1M", "FPR=2022Y", "FPT=A", "FA_ACT_EST_DATA=E, EST_SOURCE=BAM", "ACT_EST_MAPPING=PRECISE", "FS=MRC", "CURRENCY=USD", "XLFILL=b")</f>
        <v>4911</v>
      </c>
      <c r="AE19" s="9">
        <f>_xll.BQL("CRM US Equity", "IS_COMPARABLE_EBIT/1M", "FPR=2022Y", "FPT=A", "FA_ACT_EST_DATA=E, EST_SOURCE=RBC", "ACT_EST_MAPPING=PRECISE", "FS=MRC", "CURRENCY=USD", "XLFILL=b")</f>
        <v>4904</v>
      </c>
      <c r="AF19" s="9">
        <f>_xll.BQL("CRM US Equity", "IS_COMPARABLE_EBIT/1M", "FPR=2022Y", "FPT=A", "FA_ACT_EST_DATA=E, EST_SOURCE=UBS", "ACT_EST_MAPPING=PRECISE", "FS=MRC", "CURRENCY=USD", "XLFILL=b")</f>
        <v>4956</v>
      </c>
      <c r="AG19" s="9">
        <f>_xll.BQL("CRM US Equity", "IS_COMPARABLE_EBIT/1M", "FPR=2022Y", "FPT=A", "FA_ACT_EST_DATA=E, EST_SOURCE=RHR", "ACT_EST_MAPPING=PRECISE", "FS=MRC", "CURRENCY=USD", "XLFILL=b")</f>
        <v>4913</v>
      </c>
      <c r="AH19" s="9">
        <f>_xll.BQL("CRM US Equity", "IS_COMPARABLE_EBIT/1M", "FPR=2022Y", "FPT=A", "FA_ACT_EST_DATA=E, EST_SOURCE=JEF", "ACT_EST_MAPPING=PRECISE", "FS=MRC", "CURRENCY=USD", "XLFILL=b")</f>
        <v>4898</v>
      </c>
      <c r="AI19" s="9">
        <f>_xll.BQL("CRM US Equity", "IS_COMPARABLE_EBIT/1M", "FPR=2022Y", "FPT=A", "FA_ACT_EST_DATA=E, EST_SOURCE=ATL", "ACT_EST_MAPPING=PRECISE", "FS=MRC", "CURRENCY=USD", "XLFILL=b")</f>
        <v>4994</v>
      </c>
      <c r="AJ19" s="9">
        <f>_xll.BQL("CRM US Equity", "IS_COMPARABLE_EBIT/1M", "FPR=2022Y", "FPT=A", "FA_ACT_EST_DATA=E, EST_SOURCE=MAC", "ACT_EST_MAPPING=PRECISE", "FS=MRC", "CURRENCY=USD", "XLFILL=b")</f>
        <v>4906</v>
      </c>
      <c r="AK19" s="9">
        <f>_xll.BQL("CRM US Equity", "IS_COMPARABLE_EBIT/1M", "FPR=2022Y", "FPT=A", "FA_ACT_EST_DATA=E, EST_SOURCE=EVR", "ACT_EST_MAPPING=PRECISE", "FS=MRC", "CURRENCY=USD", "XLFILL=b")</f>
        <v>4921</v>
      </c>
      <c r="AL19" s="9">
        <f>_xll.BQL("CRM US Equity", "IS_COMPARABLE_EBIT/1M", "FPR=2022Y", "FPT=A", "FA_ACT_EST_DATA=E, EST_SOURCE=MSR", "ACT_EST_MAPPING=PRECISE", "FS=MRC", "CURRENCY=USD", "XLFILL=b")</f>
        <v>4922</v>
      </c>
      <c r="AM19" s="9">
        <f>_xll.BQL("CRM US Equity", "IS_COMPARABLE_EBIT/1M", "FPR=2022Y", "FPT=A", "FA_ACT_EST_DATA=E, EST_SOURCE=KGI", "ACT_EST_MAPPING=PRECISE", "FS=MRC", "CURRENCY=USD", "XLFILL=b")</f>
        <v>5267</v>
      </c>
      <c r="AN19" s="9">
        <f>_xll.BQL("CRM US Equity", "IS_COMPARABLE_EBIT/1M", "FPR=2022Y", "FPT=A", "FA_ACT_EST_DATA=E, EST_SOURCE=ACC", "ACT_EST_MAPPING=PRECISE", "FS=MRC", "CURRENCY=USD", "XLFILL=b")</f>
        <v>483</v>
      </c>
      <c r="AO19" s="9">
        <f>_xll.BQL("CRM US Equity", "IS_COMPARABLE_EBIT/1M", "FPR=2022Y", "FPT=A", "FA_ACT_EST_DATA=E, EST_SOURCE=GSR", "ACT_EST_MAPPING=PRECISE", "FS=MRC", "CURRENCY=USD", "XLFILL=b")</f>
        <v>4916</v>
      </c>
      <c r="AP19" s="9">
        <f>_xll.BQL("CRM US Equity", "IS_COMPARABLE_EBIT/1M", "FPR=2022Y", "FPT=A", "FA_ACT_EST_DATA=E, EST_SOURCE=PSG", "ACT_EST_MAPPING=PRECISE", "FS=MRC", "CURRENCY=USD", "XLFILL=b")</f>
        <v>5210</v>
      </c>
      <c r="AQ19" s="9">
        <f>_xll.BQL("CRM US Equity", "IS_COMPARABLE_EBIT/1M", "FPR=2022Y", "FPT=A", "FA_ACT_EST_DATA=E, EST_SOURCE=DWI", "ACT_EST_MAPPING=PRECISE", "FS=MRC", "CURRENCY=USD", "XLFILL=b")</f>
        <v>4900</v>
      </c>
      <c r="AR19" s="9">
        <f>_xll.BQL("CRM US Equity", "IS_COMPARABLE_EBIT/1M", "FPR=2022Y", "FPT=A", "FA_ACT_EST_DATA=E, EST_SOURCE=RWB", "ACT_EST_MAPPING=PRECISE", "FS=MRC", "CURRENCY=USD", "XLFILL=b")</f>
        <v>4875</v>
      </c>
      <c r="AS19" s="9" t="str">
        <f>_xll.BQL("CRM US Equity", "IS_COMPARABLE_EBIT/1M", "FPR=2022Y", "FPT=A", "FA_ACT_EST_DATA=E, EST_SOURCE=ARG", "ACT_EST_MAPPING=PRECISE", "FS=MRC", "CURRENCY=USD", "XLFILL=b")</f>
        <v/>
      </c>
      <c r="AT19" s="9" t="str">
        <f>_xll.BQL("CRM US Equity", "IS_COMPARABLE_EBIT/1M", "FPR=2022Y", "FPT=A", "FA_ACT_EST_DATA=E, EST_SOURCE=CTI", "ACT_EST_MAPPING=PRECISE", "FS=MRC", "CURRENCY=USD", "XLFILL=b")</f>
        <v/>
      </c>
      <c r="AU19" s="9" t="str">
        <f>_xll.BQL("CRM US Equity", "IS_COMPARABLE_EBIT/1M", "FPR=2022Y", "FPT=A", "FA_ACT_EST_DATA=E, EST_SOURCE=WFT", "ACT_EST_MAPPING=PRECISE", "FS=MRC", "CURRENCY=USD", "XLFILL=b")</f>
        <v/>
      </c>
      <c r="AV19" s="9" t="str">
        <f>_xll.BQL("CRM US Equity", "IS_COMPARABLE_EBIT/1M", "FPR=2022Y", "FPT=A", "FA_ACT_EST_DATA=E, EST_SOURCE=PJE", "ACT_EST_MAPPING=PRECISE", "FS=MRC", "CURRENCY=USD", "XLFILL=b")</f>
        <v/>
      </c>
      <c r="AW19" s="9" t="str">
        <f>_xll.BQL("CRM US Equity", "IS_COMPARABLE_EBIT/1M", "FPR=2022Y", "FPT=A", "FA_ACT_EST_DATA=E, EST_SOURCE=SGE", "ACT_EST_MAPPING=PRECISE", "FS=MRC", "CURRENCY=USD", "XLFILL=b")</f>
        <v/>
      </c>
      <c r="AX19" s="9" t="str">
        <f>_xll.BQL("CRM US Equity", "IS_COMPARABLE_EBIT/1M", "FPR=2022Y", "FPT=A", "FA_ACT_EST_DATA=E, EST_SOURCE=MZS", "ACT_EST_MAPPING=PRECISE", "FS=MRC", "CURRENCY=USD", "XLFILL=b")</f>
        <v/>
      </c>
      <c r="AY19" s="9" t="str">
        <f>_xll.BQL("CRM US Equity", "IS_COMPARABLE_EBIT/1M", "FPR=2022Y", "FPT=A", "FA_ACT_EST_DATA=E, EST_SOURCE=RCP", "ACT_EST_MAPPING=PRECISE", "FS=MRC", "CURRENCY=USD", "XLFILL=b")</f>
        <v/>
      </c>
      <c r="AZ19" s="9" t="str">
        <f>_xll.BQL("CRM US Equity", "IS_COMPARABLE_EBIT/1M", "FPR=2022Y", "FPT=A", "FA_ACT_EST_DATA=E, EST_SOURCE=WFR", "ACT_EST_MAPPING=PRECISE", "FS=MRC", "CURRENCY=USD", "XLFILL=b")</f>
        <v/>
      </c>
      <c r="BA19" s="9" t="str">
        <f>_xll.BQL("CRM US Equity", "IS_COMPARABLE_EBIT/1M", "FPR=2022Y", "FPT=A", "FA_ACT_EST_DATA=E, EST_SOURCE=NIK", "ACT_EST_MAPPING=PRECISE", "FS=MRC", "CURRENCY=USD", "XLFILL=b")</f>
        <v/>
      </c>
      <c r="BB19" s="9" t="str">
        <f>_xll.BQL("CRM US Equity", "IS_COMPARABLE_EBIT/1M", "FPR=2022Y", "FPT=A", "FA_ACT_EST_DATA=E, EST_SOURCE=ARE", "ACT_EST_MAPPING=PRECISE", "FS=MRC", "CURRENCY=USD", "XLFILL=b")</f>
        <v/>
      </c>
      <c r="BC19" s="9" t="str">
        <f>_xll.BQL("CRM US Equity", "IS_COMPARABLE_EBIT/1M", "FPR=2022Y", "FPT=A", "FA_ACT_EST_DATA=E, EST_SOURCE=RED", "ACT_EST_MAPPING=PRECISE", "FS=MRC", "CURRENCY=USD", "XLFILL=b")</f>
        <v/>
      </c>
      <c r="BD19" s="9" t="str">
        <f>_xll.BQL("CRM US Equity", "IS_COMPARABLE_EBIT/1M", "FPR=2022Y", "FPT=A", "FA_ACT_EST_DATA=E, EST_SOURCE=DIR", "ACT_EST_MAPPING=PRECISE", "FS=MRC", "CURRENCY=USD", "XLFILL=b")</f>
        <v/>
      </c>
    </row>
    <row r="20" spans="1:56" x14ac:dyDescent="0.55000000000000004">
      <c r="A20" s="8" t="s">
        <v>49</v>
      </c>
      <c r="B20" s="5" t="s">
        <v>50</v>
      </c>
      <c r="C20" s="5" t="s">
        <v>51</v>
      </c>
      <c r="D20" s="5"/>
      <c r="E20" s="9">
        <f>_xll.BQL("CRM US Equity", "ADJ_OPERATING_MARGIN", "FPR=2022Y", "FPT=A", "FA_ACT_EST_DATA=E", "ACT_EST_MAPPING=PRECISE", "FS=MRC", "CURRENCY=USD", "XLFILL=b")</f>
        <v>18.639690654329922</v>
      </c>
      <c r="F20" s="9">
        <f>_xll.BQL("CRM US Equity", "CONTRIBUTOR_STATS(ADJ_OPERATING_MARGIN, MIN)", "FPR=2022Y", "FPT=A", "FA_ACT_EST_DATA=E", "ACT_EST_MAPPING=PRECISE", "FS=MRC", "CURRENCY=USD", "XLFILL=b")</f>
        <v>18.541102272727279</v>
      </c>
      <c r="G20" s="9">
        <f>_xll.BQL("CRM US Equity", "CONTRIBUTOR_STATS(ADJ_OPERATING_MARGIN, MAX)", "FPR=2022Y", "FPT=A", "FA_ACT_EST_DATA=E", "ACT_EST_MAPPING=PRECISE", "FS=MRC", "CURRENCY=USD", "XLFILL=b")</f>
        <v>19.196068038204121</v>
      </c>
      <c r="H20" s="9">
        <f>_xll.BQL("CRM US Equity", "CONTRIBUTOR_STATS(ADJ_OPERATING_MARGIN, STD)", "FPR=2022Y", "FPT=A", "FA_ACT_EST_DATA=E", "ACT_EST_MAPPING=PRECISE", "FS=MRC", "CURRENCY=USD", "XLFILL=b")</f>
        <v>0.15346615431085389</v>
      </c>
      <c r="I20" s="9">
        <f>_xll.BQL("CRM US Equity", "CONTRIBUTOR_STATS(ADJ_OPERATING_MARGIN, MEDIAN)", "FPR=2022Y", "FPT=A", "FA_ACT_EST_DATA=E", "ACT_EST_MAPPING=PRECISE", "FS=MRC", "CURRENCY=USD", "XLFILL=b")</f>
        <v>18.607424962347121</v>
      </c>
      <c r="J20" s="9" t="str">
        <f>_xll.BQL("CRM US Equity", "ADJ_OPERATING_MARGIN", "FPR=2022Y", "FPT=A", "FA_ACT_EST_DATA=E, EST_SOURCE=CMPY", "ACT_EST_MAPPING=PRECISE", "FS=MRC", "CURRENCY=USD", "XLFILL=b")</f>
        <v/>
      </c>
      <c r="K20" s="9" t="str">
        <f>_xll.BQL("CRM US Equity", "ADJ_OPERATING_MARGIN", "FPR=2022Y", "FPT=A", "FA_ACT_EST_DATA=E, EST_SOURCE=WBL", "ACT_EST_MAPPING=PRECISE", "FS=MRC", "CURRENCY=USD", "XLFILL=b")</f>
        <v/>
      </c>
      <c r="L20" s="9" t="str">
        <f>_xll.BQL("CRM US Equity", "ADJ_OPERATING_MARGIN", "FPR=2022Y", "FPT=A", "FA_ACT_EST_DATA=E, EST_SOURCE=BMO", "ACT_EST_MAPPING=PRECISE", "FS=MRC", "CURRENCY=USD", "XLFILL=b")</f>
        <v/>
      </c>
      <c r="M20" s="9">
        <f>_xll.BQL("CRM US Equity", "ADJ_OPERATING_MARGIN", "FPR=2022Y", "FPT=A", "FA_ACT_EST_DATA=E, EST_SOURCE=BCA", "ACT_EST_MAPPING=PRECISE", "FS=MRC", "CURRENCY=USD", "XLFILL=b")</f>
        <v>18.64281282128038</v>
      </c>
      <c r="N20" s="9" t="str">
        <f>_xll.BQL("CRM US Equity", "ADJ_OPERATING_MARGIN", "FPR=2022Y", "FPT=A", "FA_ACT_EST_DATA=E, EST_SOURCE=SNR", "ACT_EST_MAPPING=PRECISE", "FS=MRC", "CURRENCY=USD", "XLFILL=b")</f>
        <v/>
      </c>
      <c r="O20" s="9">
        <f>_xll.BQL("CRM US Equity", "ADJ_OPERATING_MARGIN", "FPR=2022Y", "FPT=A", "FA_ACT_EST_DATA=E, EST_SOURCE=MSV", "ACT_EST_MAPPING=PRECISE", "FS=MRC", "CURRENCY=USD", "XLFILL=b")</f>
        <v>18.555220369630401</v>
      </c>
      <c r="P20" s="9" t="str">
        <f>_xll.BQL("CRM US Equity", "ADJ_OPERATING_MARGIN", "FPR=2022Y", "FPT=A", "FA_ACT_EST_DATA=E, EST_SOURCE=DBG", "ACT_EST_MAPPING=PRECISE", "FS=MRC", "CURRENCY=USD", "XLFILL=b")</f>
        <v/>
      </c>
      <c r="Q20" s="9">
        <f>_xll.BQL("CRM US Equity", "ADJ_OPERATING_MARGIN", "FPR=2022Y", "FPT=A", "FA_ACT_EST_DATA=E, EST_SOURCE=NDH", "ACT_EST_MAPPING=PRECISE", "FS=MRC", "CURRENCY=USD", "XLFILL=b")</f>
        <v>18.646212320684061</v>
      </c>
      <c r="R20" s="9" t="str">
        <f>_xll.BQL("CRM US Equity", "ADJ_OPERATING_MARGIN", "FPR=2022Y", "FPT=A", "FA_ACT_EST_DATA=E, EST_SOURCE=CAN", "ACT_EST_MAPPING=PRECISE", "FS=MRC", "CURRENCY=USD", "XLFILL=b")</f>
        <v/>
      </c>
      <c r="S20" s="9" t="str">
        <f>_xll.BQL("CRM US Equity", "ADJ_OPERATING_MARGIN", "FPR=2022Y", "FPT=A", "FA_ACT_EST_DATA=E, EST_SOURCE=SCB", "ACT_EST_MAPPING=PRECISE", "FS=MRC", "CURRENCY=USD", "XLFILL=b")</f>
        <v/>
      </c>
      <c r="T20" s="9">
        <f>_xll.BQL("CRM US Equity", "ADJ_OPERATING_MARGIN", "FPR=2022Y", "FPT=A", "FA_ACT_EST_DATA=E, EST_SOURCE=JMP", "ACT_EST_MAPPING=PRECISE", "FS=MRC", "CURRENCY=USD", "XLFILL=b")</f>
        <v>18.61918472495833</v>
      </c>
      <c r="U20" s="9">
        <f>_xll.BQL("CRM US Equity", "ADJ_OPERATING_MARGIN", "FPR=2022Y", "FPT=A", "FA_ACT_EST_DATA=E, EST_SOURCE=RJA", "ACT_EST_MAPPING=PRECISE", "FS=MRC", "CURRENCY=USD", "XLFILL=b")</f>
        <v>18.57181291336628</v>
      </c>
      <c r="V20" s="9" t="str">
        <f>_xll.BQL("CRM US Equity", "ADJ_OPERATING_MARGIN", "FPR=2022Y", "FPT=A", "FA_ACT_EST_DATA=E, EST_SOURCE=OPY", "ACT_EST_MAPPING=PRECISE", "FS=MRC", "CURRENCY=USD", "XLFILL=b")</f>
        <v/>
      </c>
      <c r="W20" s="9">
        <f>_xll.BQL("CRM US Equity", "ADJ_OPERATING_MARGIN", "FPR=2022Y", "FPT=A", "FA_ACT_EST_DATA=E, EST_SOURCE=JPM", "ACT_EST_MAPPING=PRECISE", "FS=MRC", "CURRENCY=USD", "XLFILL=b")</f>
        <v>18.577617496333719</v>
      </c>
      <c r="X20" s="9">
        <f>_xll.BQL("CRM US Equity", "ADJ_OPERATING_MARGIN", "FPR=2022Y", "FPT=A", "FA_ACT_EST_DATA=E, EST_SOURCE=FBC", "ACT_EST_MAPPING=PRECISE", "FS=MRC", "CURRENCY=USD", "XLFILL=b")</f>
        <v>18.47989689404497</v>
      </c>
      <c r="Y20" s="9">
        <f>_xll.BQL("CRM US Equity", "ADJ_OPERATING_MARGIN", "FPR=2022Y", "FPT=A", "FA_ACT_EST_DATA=E, EST_SOURCE=WMS", "ACT_EST_MAPPING=PRECISE", "FS=MRC", "CURRENCY=USD", "XLFILL=b")</f>
        <v>18.86580706299236</v>
      </c>
      <c r="Z20" s="9">
        <f>_xll.BQL("CRM US Equity", "ADJ_OPERATING_MARGIN", "FPR=2022Y", "FPT=A", "FA_ACT_EST_DATA=E, EST_SOURCE=KEY", "ACT_EST_MAPPING=PRECISE", "FS=MRC", "CURRENCY=USD", "XLFILL=b")</f>
        <v>18.56302150942296</v>
      </c>
      <c r="AA20" s="9" t="str">
        <f>_xll.BQL("CRM US Equity", "ADJ_OPERATING_MARGIN", "FPR=2022Y", "FPT=A", "FA_ACT_EST_DATA=E, EST_SOURCE=LCM", "ACT_EST_MAPPING=PRECISE", "FS=MRC", "CURRENCY=USD", "XLFILL=b")</f>
        <v/>
      </c>
      <c r="AB20" s="9" t="str">
        <f>_xll.BQL("CRM US Equity", "ADJ_OPERATING_MARGIN", "FPR=2022Y", "FPT=A", "FA_ACT_EST_DATA=E, EST_SOURCE=CWN", "ACT_EST_MAPPING=PRECISE", "FS=MRC", "CURRENCY=USD", "XLFILL=b")</f>
        <v/>
      </c>
      <c r="AC20" s="9" t="str">
        <f>_xll.BQL("CRM US Equity", "ADJ_OPERATING_MARGIN", "FPR=2022Y", "FPT=A", "FA_ACT_EST_DATA=E, EST_SOURCE=BNS", "ACT_EST_MAPPING=PRECISE", "FS=MRC", "CURRENCY=USD", "XLFILL=b")</f>
        <v/>
      </c>
      <c r="AD20" s="9" t="str">
        <f>_xll.BQL("CRM US Equity", "ADJ_OPERATING_MARGIN", "FPR=2022Y", "FPT=A", "FA_ACT_EST_DATA=E, EST_SOURCE=BAM", "ACT_EST_MAPPING=PRECISE", "FS=MRC", "CURRENCY=USD", "XLFILL=b")</f>
        <v/>
      </c>
      <c r="AE20" s="9" t="str">
        <f>_xll.BQL("CRM US Equity", "ADJ_OPERATING_MARGIN", "FPR=2022Y", "FPT=A", "FA_ACT_EST_DATA=E, EST_SOURCE=RBC", "ACT_EST_MAPPING=PRECISE", "FS=MRC", "CURRENCY=USD", "XLFILL=b")</f>
        <v/>
      </c>
      <c r="AF20" s="9" t="str">
        <f>_xll.BQL("CRM US Equity", "ADJ_OPERATING_MARGIN", "FPR=2022Y", "FPT=A", "FA_ACT_EST_DATA=E, EST_SOURCE=UBS", "ACT_EST_MAPPING=PRECISE", "FS=MRC", "CURRENCY=USD", "XLFILL=b")</f>
        <v/>
      </c>
      <c r="AG20" s="9" t="str">
        <f>_xll.BQL("CRM US Equity", "ADJ_OPERATING_MARGIN", "FPR=2022Y", "FPT=A", "FA_ACT_EST_DATA=E, EST_SOURCE=RHR", "ACT_EST_MAPPING=PRECISE", "FS=MRC", "CURRENCY=USD", "XLFILL=b")</f>
        <v/>
      </c>
      <c r="AH20" s="9" t="str">
        <f>_xll.BQL("CRM US Equity", "ADJ_OPERATING_MARGIN", "FPR=2022Y", "FPT=A", "FA_ACT_EST_DATA=E, EST_SOURCE=JEF", "ACT_EST_MAPPING=PRECISE", "FS=MRC", "CURRENCY=USD", "XLFILL=b")</f>
        <v/>
      </c>
      <c r="AI20" s="9" t="str">
        <f>_xll.BQL("CRM US Equity", "ADJ_OPERATING_MARGIN", "FPR=2022Y", "FPT=A", "FA_ACT_EST_DATA=E, EST_SOURCE=ATL", "ACT_EST_MAPPING=PRECISE", "FS=MRC", "CURRENCY=USD", "XLFILL=b")</f>
        <v/>
      </c>
      <c r="AJ20" s="9" t="str">
        <f>_xll.BQL("CRM US Equity", "ADJ_OPERATING_MARGIN", "FPR=2022Y", "FPT=A", "FA_ACT_EST_DATA=E, EST_SOURCE=MAC", "ACT_EST_MAPPING=PRECISE", "FS=MRC", "CURRENCY=USD", "XLFILL=b")</f>
        <v/>
      </c>
      <c r="AK20" s="9" t="str">
        <f>_xll.BQL("CRM US Equity", "ADJ_OPERATING_MARGIN", "FPR=2022Y", "FPT=A", "FA_ACT_EST_DATA=E, EST_SOURCE=EVR", "ACT_EST_MAPPING=PRECISE", "FS=MRC", "CURRENCY=USD", "XLFILL=b")</f>
        <v/>
      </c>
      <c r="AL20" s="9" t="str">
        <f>_xll.BQL("CRM US Equity", "ADJ_OPERATING_MARGIN", "FPR=2022Y", "FPT=A", "FA_ACT_EST_DATA=E, EST_SOURCE=MSR", "ACT_EST_MAPPING=PRECISE", "FS=MRC", "CURRENCY=USD", "XLFILL=b")</f>
        <v/>
      </c>
      <c r="AM20" s="9" t="str">
        <f>_xll.BQL("CRM US Equity", "ADJ_OPERATING_MARGIN", "FPR=2022Y", "FPT=A", "FA_ACT_EST_DATA=E, EST_SOURCE=KGI", "ACT_EST_MAPPING=PRECISE", "FS=MRC", "CURRENCY=USD", "XLFILL=b")</f>
        <v/>
      </c>
      <c r="AN20" s="9" t="str">
        <f>_xll.BQL("CRM US Equity", "ADJ_OPERATING_MARGIN", "FPR=2022Y", "FPT=A", "FA_ACT_EST_DATA=E, EST_SOURCE=ACC", "ACT_EST_MAPPING=PRECISE", "FS=MRC", "CURRENCY=USD", "XLFILL=b")</f>
        <v/>
      </c>
      <c r="AO20" s="9" t="str">
        <f>_xll.BQL("CRM US Equity", "ADJ_OPERATING_MARGIN", "FPR=2022Y", "FPT=A", "FA_ACT_EST_DATA=E, EST_SOURCE=GSR", "ACT_EST_MAPPING=PRECISE", "FS=MRC", "CURRENCY=USD", "XLFILL=b")</f>
        <v/>
      </c>
      <c r="AP20" s="9" t="str">
        <f>_xll.BQL("CRM US Equity", "ADJ_OPERATING_MARGIN", "FPR=2022Y", "FPT=A", "FA_ACT_EST_DATA=E, EST_SOURCE=PSG", "ACT_EST_MAPPING=PRECISE", "FS=MRC", "CURRENCY=USD", "XLFILL=b")</f>
        <v/>
      </c>
      <c r="AQ20" s="9" t="str">
        <f>_xll.BQL("CRM US Equity", "ADJ_OPERATING_MARGIN", "FPR=2022Y", "FPT=A", "FA_ACT_EST_DATA=E, EST_SOURCE=DWI", "ACT_EST_MAPPING=PRECISE", "FS=MRC", "CURRENCY=USD", "XLFILL=b")</f>
        <v/>
      </c>
      <c r="AR20" s="9" t="str">
        <f>_xll.BQL("CRM US Equity", "ADJ_OPERATING_MARGIN", "FPR=2022Y", "FPT=A", "FA_ACT_EST_DATA=E, EST_SOURCE=RWB", "ACT_EST_MAPPING=PRECISE", "FS=MRC", "CURRENCY=USD", "XLFILL=b")</f>
        <v/>
      </c>
      <c r="AS20" s="9" t="str">
        <f>_xll.BQL("CRM US Equity", "ADJ_OPERATING_MARGIN", "FPR=2022Y", "FPT=A", "FA_ACT_EST_DATA=E, EST_SOURCE=ARG", "ACT_EST_MAPPING=PRECISE", "FS=MRC", "CURRENCY=USD", "XLFILL=b")</f>
        <v/>
      </c>
      <c r="AT20" s="9" t="str">
        <f>_xll.BQL("CRM US Equity", "ADJ_OPERATING_MARGIN", "FPR=2022Y", "FPT=A", "FA_ACT_EST_DATA=E, EST_SOURCE=CTI", "ACT_EST_MAPPING=PRECISE", "FS=MRC", "CURRENCY=USD", "XLFILL=b")</f>
        <v/>
      </c>
      <c r="AU20" s="9" t="str">
        <f>_xll.BQL("CRM US Equity", "ADJ_OPERATING_MARGIN", "FPR=2022Y", "FPT=A", "FA_ACT_EST_DATA=E, EST_SOURCE=WFT", "ACT_EST_MAPPING=PRECISE", "FS=MRC", "CURRENCY=USD", "XLFILL=b")</f>
        <v/>
      </c>
      <c r="AV20" s="9" t="str">
        <f>_xll.BQL("CRM US Equity", "ADJ_OPERATING_MARGIN", "FPR=2022Y", "FPT=A", "FA_ACT_EST_DATA=E, EST_SOURCE=PJE", "ACT_EST_MAPPING=PRECISE", "FS=MRC", "CURRENCY=USD", "XLFILL=b")</f>
        <v/>
      </c>
      <c r="AW20" s="9" t="str">
        <f>_xll.BQL("CRM US Equity", "ADJ_OPERATING_MARGIN", "FPR=2022Y", "FPT=A", "FA_ACT_EST_DATA=E, EST_SOURCE=SGE", "ACT_EST_MAPPING=PRECISE", "FS=MRC", "CURRENCY=USD", "XLFILL=b")</f>
        <v/>
      </c>
      <c r="AX20" s="9" t="str">
        <f>_xll.BQL("CRM US Equity", "ADJ_OPERATING_MARGIN", "FPR=2022Y", "FPT=A", "FA_ACT_EST_DATA=E, EST_SOURCE=MZS", "ACT_EST_MAPPING=PRECISE", "FS=MRC", "CURRENCY=USD", "XLFILL=b")</f>
        <v/>
      </c>
      <c r="AY20" s="9" t="str">
        <f>_xll.BQL("CRM US Equity", "ADJ_OPERATING_MARGIN", "FPR=2022Y", "FPT=A", "FA_ACT_EST_DATA=E, EST_SOURCE=RCP", "ACT_EST_MAPPING=PRECISE", "FS=MRC", "CURRENCY=USD", "XLFILL=b")</f>
        <v/>
      </c>
      <c r="AZ20" s="9" t="str">
        <f>_xll.BQL("CRM US Equity", "ADJ_OPERATING_MARGIN", "FPR=2022Y", "FPT=A", "FA_ACT_EST_DATA=E, EST_SOURCE=WFR", "ACT_EST_MAPPING=PRECISE", "FS=MRC", "CURRENCY=USD", "XLFILL=b")</f>
        <v/>
      </c>
      <c r="BA20" s="9" t="str">
        <f>_xll.BQL("CRM US Equity", "ADJ_OPERATING_MARGIN", "FPR=2022Y", "FPT=A", "FA_ACT_EST_DATA=E, EST_SOURCE=NIK", "ACT_EST_MAPPING=PRECISE", "FS=MRC", "CURRENCY=USD", "XLFILL=b")</f>
        <v/>
      </c>
      <c r="BB20" s="9" t="str">
        <f>_xll.BQL("CRM US Equity", "ADJ_OPERATING_MARGIN", "FPR=2022Y", "FPT=A", "FA_ACT_EST_DATA=E, EST_SOURCE=ARE", "ACT_EST_MAPPING=PRECISE", "FS=MRC", "CURRENCY=USD", "XLFILL=b")</f>
        <v/>
      </c>
      <c r="BC20" s="9" t="str">
        <f>_xll.BQL("CRM US Equity", "ADJ_OPERATING_MARGIN", "FPR=2022Y", "FPT=A", "FA_ACT_EST_DATA=E, EST_SOURCE=RED", "ACT_EST_MAPPING=PRECISE", "FS=MRC", "CURRENCY=USD", "XLFILL=b")</f>
        <v/>
      </c>
      <c r="BD20" s="9" t="str">
        <f>_xll.BQL("CRM US Equity", "ADJ_OPERATING_MARGIN", "FPR=2022Y", "FPT=A", "FA_ACT_EST_DATA=E, EST_SOURCE=DIR", "ACT_EST_MAPPING=PRECISE", "FS=MRC", "CURRENCY=USD", "XLFILL=b")</f>
        <v/>
      </c>
    </row>
    <row r="21" spans="1:56" x14ac:dyDescent="0.55000000000000004">
      <c r="A21" s="8" t="s">
        <v>26</v>
      </c>
      <c r="B21" s="5"/>
      <c r="C21" s="5"/>
      <c r="D21" s="5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 spans="1:56" x14ac:dyDescent="0.55000000000000004">
      <c r="A22" s="8" t="s">
        <v>52</v>
      </c>
      <c r="B22" s="5"/>
      <c r="C22" s="5" t="s">
        <v>53</v>
      </c>
      <c r="D22" s="5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</row>
    <row r="23" spans="1:56" x14ac:dyDescent="0.55000000000000004">
      <c r="A23" s="8" t="s">
        <v>54</v>
      </c>
      <c r="B23" s="5"/>
      <c r="C23" s="5" t="s">
        <v>55</v>
      </c>
      <c r="D23" s="5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</row>
    <row r="24" spans="1:56" x14ac:dyDescent="0.55000000000000004">
      <c r="A24" s="8" t="s">
        <v>56</v>
      </c>
      <c r="B24" s="5" t="s">
        <v>28</v>
      </c>
      <c r="C24" s="5" t="s">
        <v>0</v>
      </c>
      <c r="D24" s="5" t="s">
        <v>30</v>
      </c>
      <c r="E24" s="9">
        <f>_xll.BQL("SEG0000269238 Segment", "SALES_REV_TURN/1M", "FPR=2022Y", "FPT=A", "FA_ACT_EST_DATA=E", "ACT_EST_MAPPING=PRECISE", "FS=MRC", "CURRENCY=USD", "XLFILL=b")</f>
        <v>24597.759895865878</v>
      </c>
      <c r="F24" s="9">
        <f>_xll.BQL("SEG0000269238 Segment", "CONTRIBUTOR_STATS(SALES_REV_TURN, MIN)/1M", "FPR=2022Y", "FPT=A", "FA_ACT_EST_DATA=E", "ACT_EST_MAPPING=PRECISE", "FS=MRC", "CURRENCY=USD", "XLFILL=b")</f>
        <v>24540.075000000001</v>
      </c>
      <c r="G24" s="9">
        <f>_xll.BQL("SEG0000269238 Segment", "CONTRIBUTOR_STATS(SALES_REV_TURN, MAX)/1M", "FPR=2022Y", "FPT=A", "FA_ACT_EST_DATA=E", "ACT_EST_MAPPING=PRECISE", "FS=MRC", "CURRENCY=USD", "XLFILL=b")</f>
        <v>24659.339284424703</v>
      </c>
      <c r="H24" s="9">
        <f>_xll.BQL("SEG0000269238 Segment", "CONTRIBUTOR_STATS(SALES_REV_TURN, STD)/1M", "FPR=2022Y", "FPT=A", "FA_ACT_EST_DATA=E", "ACT_EST_MAPPING=PRECISE", "FS=MRC", "CURRENCY=USD", "XLFILL=b")</f>
        <v>34.760042400347395</v>
      </c>
      <c r="I24" s="9">
        <f>_xll.BQL("SEG0000269238 Segment", "CONTRIBUTOR_STATS(SALES_REV_TURN, MEDIAN)/1M", "FPR=2022Y", "FPT=A", "FA_ACT_EST_DATA=E", "ACT_EST_MAPPING=PRECISE", "FS=MRC", "CURRENCY=USD", "XLFILL=b")</f>
        <v>24593.49171875</v>
      </c>
      <c r="J24" s="9" t="str">
        <f>_xll.BQL("SEG0000269238 Segment", "SALES_REV_TURN/1M", "FPR=2022Y", "FPT=A", "FA_ACT_EST_DATA=E, EST_SOURCE=CMPY", "ACT_EST_MAPPING=PRECISE", "FS=MRC", "CURRENCY=USD", "XLFILL=b")</f>
        <v/>
      </c>
      <c r="K24" s="9" t="str">
        <f>_xll.BQL("SEG0000269238 Segment", "SALES_REV_TURN/1M", "FPR=2022Y", "FPT=A", "FA_ACT_EST_DATA=E, EST_SOURCE=WBL", "ACT_EST_MAPPING=PRECISE", "FS=MRC", "CURRENCY=USD", "XLFILL=b")</f>
        <v/>
      </c>
      <c r="L24" s="9" t="str">
        <f>_xll.BQL("SEG0000269238 Segment", "SALES_REV_TURN/1M", "FPR=2022Y", "FPT=A", "FA_ACT_EST_DATA=E, EST_SOURCE=BMO", "ACT_EST_MAPPING=PRECISE", "FS=MRC", "CURRENCY=USD", "XLFILL=b")</f>
        <v/>
      </c>
      <c r="M24" s="9">
        <f>_xll.BQL("SEG0000269238 Segment", "SALES_REV_TURN/1M", "FPR=2022Y", "FPT=A", "FA_ACT_EST_DATA=E, EST_SOURCE=BCA", "ACT_EST_MAPPING=PRECISE", "FS=MRC", "CURRENCY=USD", "XLFILL=b")</f>
        <v>24633.092672713679</v>
      </c>
      <c r="N24" s="9" t="str">
        <f>_xll.BQL("SEG0000269238 Segment", "SALES_REV_TURN/1M", "FPR=2022Y", "FPT=A", "FA_ACT_EST_DATA=E, EST_SOURCE=SNR", "ACT_EST_MAPPING=PRECISE", "FS=MRC", "CURRENCY=USD", "XLFILL=b")</f>
        <v/>
      </c>
      <c r="O24" s="9">
        <f>_xll.BQL("SEG0000269238 Segment", "SALES_REV_TURN/1M", "FPR=2022Y", "FPT=A", "FA_ACT_EST_DATA=E, EST_SOURCE=MSV", "ACT_EST_MAPPING=PRECISE", "FS=MRC", "CURRENCY=USD", "XLFILL=b")</f>
        <v>24649.947</v>
      </c>
      <c r="P24" s="9">
        <f>_xll.BQL("SEG0000269238 Segment", "SALES_REV_TURN/1M", "FPR=2022Y", "FPT=A", "FA_ACT_EST_DATA=E, EST_SOURCE=DBG", "ACT_EST_MAPPING=PRECISE", "FS=MRC", "CURRENCY=USD", "XLFILL=b")</f>
        <v>24568.92073094744</v>
      </c>
      <c r="Q24" s="9">
        <f>_xll.BQL("SEG0000269238 Segment", "SALES_REV_TURN/1M", "FPR=2022Y", "FPT=A", "FA_ACT_EST_DATA=E, EST_SOURCE=NDH", "ACT_EST_MAPPING=PRECISE", "FS=MRC", "CURRENCY=USD", "XLFILL=b")</f>
        <v>24564</v>
      </c>
      <c r="R24" s="9" t="str">
        <f>_xll.BQL("SEG0000269238 Segment", "SALES_REV_TURN/1M", "FPR=2022Y", "FPT=A", "FA_ACT_EST_DATA=E, EST_SOURCE=CAN", "ACT_EST_MAPPING=PRECISE", "FS=MRC", "CURRENCY=USD", "XLFILL=b")</f>
        <v/>
      </c>
      <c r="S24" s="9" t="str">
        <f>_xll.BQL("SEG0000269238 Segment", "SALES_REV_TURN/1M", "FPR=2022Y", "FPT=A", "FA_ACT_EST_DATA=E, EST_SOURCE=SCB", "ACT_EST_MAPPING=PRECISE", "FS=MRC", "CURRENCY=USD", "XLFILL=b")</f>
        <v/>
      </c>
      <c r="T24" s="9">
        <f>_xll.BQL("SEG0000269238 Segment", "SALES_REV_TURN/1M", "FPR=2022Y", "FPT=A", "FA_ACT_EST_DATA=E, EST_SOURCE=JMP", "ACT_EST_MAPPING=PRECISE", "FS=MRC", "CURRENCY=USD", "XLFILL=b")</f>
        <v>24604</v>
      </c>
      <c r="U24" s="9">
        <f>_xll.BQL("SEG0000269238 Segment", "SALES_REV_TURN/1M", "FPR=2022Y", "FPT=A", "FA_ACT_EST_DATA=E, EST_SOURCE=RJA", "ACT_EST_MAPPING=PRECISE", "FS=MRC", "CURRENCY=USD", "XLFILL=b")</f>
        <v>24571.602999999999</v>
      </c>
      <c r="V24" s="9" t="str">
        <f>_xll.BQL("SEG0000269238 Segment", "SALES_REV_TURN/1M", "FPR=2022Y", "FPT=A", "FA_ACT_EST_DATA=E, EST_SOURCE=OPY", "ACT_EST_MAPPING=PRECISE", "FS=MRC", "CURRENCY=USD", "XLFILL=b")</f>
        <v/>
      </c>
      <c r="W24" s="9">
        <f>_xll.BQL("SEG0000269238 Segment", "SALES_REV_TURN/1M", "FPR=2022Y", "FPT=A", "FA_ACT_EST_DATA=E, EST_SOURCE=JPM", "ACT_EST_MAPPING=PRECISE", "FS=MRC", "CURRENCY=USD", "XLFILL=b")</f>
        <v>24564.48</v>
      </c>
      <c r="X24" s="9">
        <f>_xll.BQL("SEG0000269238 Segment", "SALES_REV_TURN/1M", "FPR=2022Y", "FPT=A", "FA_ACT_EST_DATA=E, EST_SOURCE=FBC", "ACT_EST_MAPPING=PRECISE", "FS=MRC", "CURRENCY=USD", "XLFILL=b")</f>
        <v>24534.46953324202</v>
      </c>
      <c r="Y24" s="9">
        <f>_xll.BQL("SEG0000269238 Segment", "SALES_REV_TURN/1M", "FPR=2022Y", "FPT=A", "FA_ACT_EST_DATA=E, EST_SOURCE=WMS", "ACT_EST_MAPPING=PRECISE", "FS=MRC", "CURRENCY=USD", "XLFILL=b")</f>
        <v>24373.085999999999</v>
      </c>
      <c r="Z24" s="9">
        <f>_xll.BQL("SEG0000269238 Segment", "SALES_REV_TURN/1M", "FPR=2022Y", "FPT=A", "FA_ACT_EST_DATA=E, EST_SOURCE=KEY", "ACT_EST_MAPPING=PRECISE", "FS=MRC", "CURRENCY=USD", "XLFILL=b")</f>
        <v>24543.690999999999</v>
      </c>
      <c r="AA24" s="9" t="str">
        <f>_xll.BQL("SEG0000269238 Segment", "SALES_REV_TURN/1M", "FPR=2022Y", "FPT=A", "FA_ACT_EST_DATA=E, EST_SOURCE=LCM", "ACT_EST_MAPPING=PRECISE", "FS=MRC", "CURRENCY=USD", "XLFILL=b")</f>
        <v/>
      </c>
      <c r="AB24" s="9" t="str">
        <f>_xll.BQL("SEG0000269238 Segment", "SALES_REV_TURN/1M", "FPR=2022Y", "FPT=A", "FA_ACT_EST_DATA=E, EST_SOURCE=CWN", "ACT_EST_MAPPING=PRECISE", "FS=MRC", "CURRENCY=USD", "XLFILL=b")</f>
        <v/>
      </c>
      <c r="AC24" s="9" t="str">
        <f>_xll.BQL("SEG0000269238 Segment", "SALES_REV_TURN/1M", "FPR=2022Y", "FPT=A", "FA_ACT_EST_DATA=E, EST_SOURCE=BNS", "ACT_EST_MAPPING=PRECISE", "FS=MRC", "CURRENCY=USD", "XLFILL=b")</f>
        <v/>
      </c>
      <c r="AD24" s="9" t="str">
        <f>_xll.BQL("SEG0000269238 Segment", "SALES_REV_TURN/1M", "FPR=2022Y", "FPT=A", "FA_ACT_EST_DATA=E, EST_SOURCE=BAM", "ACT_EST_MAPPING=PRECISE", "FS=MRC", "CURRENCY=USD", "XLFILL=b")</f>
        <v/>
      </c>
      <c r="AE24" s="9" t="str">
        <f>_xll.BQL("SEG0000269238 Segment", "SALES_REV_TURN/1M", "FPR=2022Y", "FPT=A", "FA_ACT_EST_DATA=E, EST_SOURCE=RBC", "ACT_EST_MAPPING=PRECISE", "FS=MRC", "CURRENCY=USD", "XLFILL=b")</f>
        <v/>
      </c>
      <c r="AF24" s="9" t="str">
        <f>_xll.BQL("SEG0000269238 Segment", "SALES_REV_TURN/1M", "FPR=2022Y", "FPT=A", "FA_ACT_EST_DATA=E, EST_SOURCE=UBS", "ACT_EST_MAPPING=PRECISE", "FS=MRC", "CURRENCY=USD", "XLFILL=b")</f>
        <v/>
      </c>
      <c r="AG24" s="9" t="str">
        <f>_xll.BQL("SEG0000269238 Segment", "SALES_REV_TURN/1M", "FPR=2022Y", "FPT=A", "FA_ACT_EST_DATA=E, EST_SOURCE=RHR", "ACT_EST_MAPPING=PRECISE", "FS=MRC", "CURRENCY=USD", "XLFILL=b")</f>
        <v/>
      </c>
      <c r="AH24" s="9" t="str">
        <f>_xll.BQL("SEG0000269238 Segment", "SALES_REV_TURN/1M", "FPR=2022Y", "FPT=A", "FA_ACT_EST_DATA=E, EST_SOURCE=JEF", "ACT_EST_MAPPING=PRECISE", "FS=MRC", "CURRENCY=USD", "XLFILL=b")</f>
        <v/>
      </c>
      <c r="AI24" s="9" t="str">
        <f>_xll.BQL("SEG0000269238 Segment", "SALES_REV_TURN/1M", "FPR=2022Y", "FPT=A", "FA_ACT_EST_DATA=E, EST_SOURCE=ATL", "ACT_EST_MAPPING=PRECISE", "FS=MRC", "CURRENCY=USD", "XLFILL=b")</f>
        <v/>
      </c>
      <c r="AJ24" s="9" t="str">
        <f>_xll.BQL("SEG0000269238 Segment", "SALES_REV_TURN/1M", "FPR=2022Y", "FPT=A", "FA_ACT_EST_DATA=E, EST_SOURCE=MAC", "ACT_EST_MAPPING=PRECISE", "FS=MRC", "CURRENCY=USD", "XLFILL=b")</f>
        <v/>
      </c>
      <c r="AK24" s="9" t="str">
        <f>_xll.BQL("SEG0000269238 Segment", "SALES_REV_TURN/1M", "FPR=2022Y", "FPT=A", "FA_ACT_EST_DATA=E, EST_SOURCE=EVR", "ACT_EST_MAPPING=PRECISE", "FS=MRC", "CURRENCY=USD", "XLFILL=b")</f>
        <v/>
      </c>
      <c r="AL24" s="9" t="str">
        <f>_xll.BQL("SEG0000269238 Segment", "SALES_REV_TURN/1M", "FPR=2022Y", "FPT=A", "FA_ACT_EST_DATA=E, EST_SOURCE=MSR", "ACT_EST_MAPPING=PRECISE", "FS=MRC", "CURRENCY=USD", "XLFILL=b")</f>
        <v/>
      </c>
      <c r="AM24" s="9" t="str">
        <f>_xll.BQL("SEG0000269238 Segment", "SALES_REV_TURN/1M", "FPR=2022Y", "FPT=A", "FA_ACT_EST_DATA=E, EST_SOURCE=KGI", "ACT_EST_MAPPING=PRECISE", "FS=MRC", "CURRENCY=USD", "XLFILL=b")</f>
        <v/>
      </c>
      <c r="AN24" s="9" t="str">
        <f>_xll.BQL("SEG0000269238 Segment", "SALES_REV_TURN/1M", "FPR=2022Y", "FPT=A", "FA_ACT_EST_DATA=E, EST_SOURCE=ACC", "ACT_EST_MAPPING=PRECISE", "FS=MRC", "CURRENCY=USD", "XLFILL=b")</f>
        <v/>
      </c>
      <c r="AO24" s="9" t="str">
        <f>_xll.BQL("SEG0000269238 Segment", "SALES_REV_TURN/1M", "FPR=2022Y", "FPT=A", "FA_ACT_EST_DATA=E, EST_SOURCE=GSR", "ACT_EST_MAPPING=PRECISE", "FS=MRC", "CURRENCY=USD", "XLFILL=b")</f>
        <v/>
      </c>
      <c r="AP24" s="9" t="str">
        <f>_xll.BQL("SEG0000269238 Segment", "SALES_REV_TURN/1M", "FPR=2022Y", "FPT=A", "FA_ACT_EST_DATA=E, EST_SOURCE=PSG", "ACT_EST_MAPPING=PRECISE", "FS=MRC", "CURRENCY=USD", "XLFILL=b")</f>
        <v/>
      </c>
      <c r="AQ24" s="9" t="str">
        <f>_xll.BQL("SEG0000269238 Segment", "SALES_REV_TURN/1M", "FPR=2022Y", "FPT=A", "FA_ACT_EST_DATA=E, EST_SOURCE=DWI", "ACT_EST_MAPPING=PRECISE", "FS=MRC", "CURRENCY=USD", "XLFILL=b")</f>
        <v/>
      </c>
      <c r="AR24" s="9" t="str">
        <f>_xll.BQL("SEG0000269238 Segment", "SALES_REV_TURN/1M", "FPR=2022Y", "FPT=A", "FA_ACT_EST_DATA=E, EST_SOURCE=RWB", "ACT_EST_MAPPING=PRECISE", "FS=MRC", "CURRENCY=USD", "XLFILL=b")</f>
        <v/>
      </c>
      <c r="AS24" s="9" t="str">
        <f>_xll.BQL("SEG0000269238 Segment", "SALES_REV_TURN/1M", "FPR=2022Y", "FPT=A", "FA_ACT_EST_DATA=E, EST_SOURCE=ARG", "ACT_EST_MAPPING=PRECISE", "FS=MRC", "CURRENCY=USD", "XLFILL=b")</f>
        <v/>
      </c>
      <c r="AT24" s="9" t="str">
        <f>_xll.BQL("SEG0000269238 Segment", "SALES_REV_TURN/1M", "FPR=2022Y", "FPT=A", "FA_ACT_EST_DATA=E, EST_SOURCE=CTI", "ACT_EST_MAPPING=PRECISE", "FS=MRC", "CURRENCY=USD", "XLFILL=b")</f>
        <v/>
      </c>
      <c r="AU24" s="9" t="str">
        <f>_xll.BQL("SEG0000269238 Segment", "SALES_REV_TURN/1M", "FPR=2022Y", "FPT=A", "FA_ACT_EST_DATA=E, EST_SOURCE=WFT", "ACT_EST_MAPPING=PRECISE", "FS=MRC", "CURRENCY=USD", "XLFILL=b")</f>
        <v/>
      </c>
      <c r="AV24" s="9" t="str">
        <f>_xll.BQL("SEG0000269238 Segment", "SALES_REV_TURN/1M", "FPR=2022Y", "FPT=A", "FA_ACT_EST_DATA=E, EST_SOURCE=PJE", "ACT_EST_MAPPING=PRECISE", "FS=MRC", "CURRENCY=USD", "XLFILL=b")</f>
        <v/>
      </c>
      <c r="AW24" s="9" t="str">
        <f>_xll.BQL("SEG0000269238 Segment", "SALES_REV_TURN/1M", "FPR=2022Y", "FPT=A", "FA_ACT_EST_DATA=E, EST_SOURCE=SGE", "ACT_EST_MAPPING=PRECISE", "FS=MRC", "CURRENCY=USD", "XLFILL=b")</f>
        <v/>
      </c>
      <c r="AX24" s="9" t="str">
        <f>_xll.BQL("SEG0000269238 Segment", "SALES_REV_TURN/1M", "FPR=2022Y", "FPT=A", "FA_ACT_EST_DATA=E, EST_SOURCE=MZS", "ACT_EST_MAPPING=PRECISE", "FS=MRC", "CURRENCY=USD", "XLFILL=b")</f>
        <v/>
      </c>
      <c r="AY24" s="9" t="str">
        <f>_xll.BQL("SEG0000269238 Segment", "SALES_REV_TURN/1M", "FPR=2022Y", "FPT=A", "FA_ACT_EST_DATA=E, EST_SOURCE=RCP", "ACT_EST_MAPPING=PRECISE", "FS=MRC", "CURRENCY=USD", "XLFILL=b")</f>
        <v/>
      </c>
      <c r="AZ24" s="9" t="str">
        <f>_xll.BQL("SEG0000269238 Segment", "SALES_REV_TURN/1M", "FPR=2022Y", "FPT=A", "FA_ACT_EST_DATA=E, EST_SOURCE=WFR", "ACT_EST_MAPPING=PRECISE", "FS=MRC", "CURRENCY=USD", "XLFILL=b")</f>
        <v/>
      </c>
      <c r="BA24" s="9" t="str">
        <f>_xll.BQL("SEG0000269238 Segment", "SALES_REV_TURN/1M", "FPR=2022Y", "FPT=A", "FA_ACT_EST_DATA=E, EST_SOURCE=NIK", "ACT_EST_MAPPING=PRECISE", "FS=MRC", "CURRENCY=USD", "XLFILL=b")</f>
        <v/>
      </c>
      <c r="BB24" s="9" t="str">
        <f>_xll.BQL("SEG0000269238 Segment", "SALES_REV_TURN/1M", "FPR=2022Y", "FPT=A", "FA_ACT_EST_DATA=E, EST_SOURCE=ARE", "ACT_EST_MAPPING=PRECISE", "FS=MRC", "CURRENCY=USD", "XLFILL=b")</f>
        <v/>
      </c>
      <c r="BC24" s="9" t="str">
        <f>_xll.BQL("SEG0000269238 Segment", "SALES_REV_TURN/1M", "FPR=2022Y", "FPT=A", "FA_ACT_EST_DATA=E, EST_SOURCE=RED", "ACT_EST_MAPPING=PRECISE", "FS=MRC", "CURRENCY=USD", "XLFILL=b")</f>
        <v/>
      </c>
      <c r="BD24" s="9" t="str">
        <f>_xll.BQL("SEG0000269238 Segment", "SALES_REV_TURN/1M", "FPR=2022Y", "FPT=A", "FA_ACT_EST_DATA=E, EST_SOURCE=DIR", "ACT_EST_MAPPING=PRECISE", "FS=MRC", "CURRENCY=USD", "XLFILL=b")</f>
        <v/>
      </c>
    </row>
    <row r="25" spans="1:56" x14ac:dyDescent="0.55000000000000004">
      <c r="A25" s="8" t="s">
        <v>57</v>
      </c>
      <c r="B25" s="5" t="s">
        <v>58</v>
      </c>
      <c r="C25" s="5" t="s">
        <v>59</v>
      </c>
      <c r="D25" s="5" t="s">
        <v>30</v>
      </c>
      <c r="E25" s="9">
        <f>_xll.BQL("SEG0000269238 Segment", "IS_PERCENTAGE_OF_REVENUE", "FPR=2022Y", "FPT=A", "FA_ACT_EST_DATA=E", "ACT_EST_MAPPING=PRECISE", "FS=MRC", "CURRENCY=USD", "XLFILL=b")</f>
        <v>93.188230682790632</v>
      </c>
      <c r="F25" s="9">
        <f>_xll.BQL("SEG0000269238 Segment", "CONTRIBUTOR_STATS(IS_PERCENTAGE_OF_REVENUE, MIN)", "FPR=2022Y", "FPT=A", "FA_ACT_EST_DATA=E", "ACT_EST_MAPPING=PRECISE", "FS=MRC", "CURRENCY=USD", "XLFILL=b")</f>
        <v>92.989647828363005</v>
      </c>
      <c r="G25" s="9">
        <f>_xll.BQL("SEG0000269238 Segment", "CONTRIBUTOR_STATS(IS_PERCENTAGE_OF_REVENUE, MAX)", "FPR=2022Y", "FPT=A", "FA_ACT_EST_DATA=E", "ACT_EST_MAPPING=PRECISE", "FS=MRC", "CURRENCY=USD", "XLFILL=b")</f>
        <v>93.336409718109422</v>
      </c>
      <c r="H25" s="9">
        <f>_xll.BQL("SEG0000269238 Segment", "CONTRIBUTOR_STATS(IS_PERCENTAGE_OF_REVENUE, STD)", "FPR=2022Y", "FPT=A", "FA_ACT_EST_DATA=E", "ACT_EST_MAPPING=PRECISE", "FS=MRC", "CURRENCY=USD", "XLFILL=b")</f>
        <v>0.1212692874587543</v>
      </c>
      <c r="I25" s="9">
        <f>_xll.BQL("SEG0000269238 Segment", "CONTRIBUTOR_STATS(IS_PERCENTAGE_OF_REVENUE, MEDIAN)", "FPR=2022Y", "FPT=A", "FA_ACT_EST_DATA=E", "ACT_EST_MAPPING=PRECISE", "FS=MRC", "CURRENCY=USD", "XLFILL=b")</f>
        <v>93.20218641223218</v>
      </c>
      <c r="J25" s="9" t="str">
        <f>_xll.BQL("SEG0000269238 Segment", "IS_PERCENTAGE_OF_REVENUE", "FPR=2022Y", "FPT=A", "FA_ACT_EST_DATA=E, EST_SOURCE=CMPY", "ACT_EST_MAPPING=PRECISE", "FS=MRC", "CURRENCY=USD", "XLFILL=b")</f>
        <v/>
      </c>
      <c r="K25" s="9" t="str">
        <f>_xll.BQL("SEG0000269238 Segment", "IS_PERCENTAGE_OF_REVENUE", "FPR=2022Y", "FPT=A", "FA_ACT_EST_DATA=E, EST_SOURCE=WBL", "ACT_EST_MAPPING=PRECISE", "FS=MRC", "CURRENCY=USD", "XLFILL=b")</f>
        <v/>
      </c>
      <c r="L25" s="9" t="str">
        <f>_xll.BQL("SEG0000269238 Segment", "IS_PERCENTAGE_OF_REVENUE", "FPR=2022Y", "FPT=A", "FA_ACT_EST_DATA=E, EST_SOURCE=BMO", "ACT_EST_MAPPING=PRECISE", "FS=MRC", "CURRENCY=USD", "XLFILL=b")</f>
        <v/>
      </c>
      <c r="M25" s="9">
        <f>_xll.BQL("SEG0000269238 Segment", "IS_PERCENTAGE_OF_REVENUE", "FPR=2022Y", "FPT=A", "FA_ACT_EST_DATA=E, EST_SOURCE=BCA", "ACT_EST_MAPPING=PRECISE", "FS=MRC", "CURRENCY=USD", "XLFILL=b")</f>
        <v>93.32612547350459</v>
      </c>
      <c r="N25" s="9" t="str">
        <f>_xll.BQL("SEG0000269238 Segment", "IS_PERCENTAGE_OF_REVENUE", "FPR=2022Y", "FPT=A", "FA_ACT_EST_DATA=E, EST_SOURCE=SNR", "ACT_EST_MAPPING=PRECISE", "FS=MRC", "CURRENCY=USD", "XLFILL=b")</f>
        <v/>
      </c>
      <c r="O25" s="9">
        <f>_xll.BQL("SEG0000269238 Segment", "IS_PERCENTAGE_OF_REVENUE", "FPR=2022Y", "FPT=A", "FA_ACT_EST_DATA=E, EST_SOURCE=MSV", "ACT_EST_MAPPING=PRECISE", "FS=MRC", "CURRENCY=USD", "XLFILL=b")</f>
        <v>93.336409718109422</v>
      </c>
      <c r="P25" s="9">
        <f>_xll.BQL("SEG0000269238 Segment", "IS_PERCENTAGE_OF_REVENUE", "FPR=2022Y", "FPT=A", "FA_ACT_EST_DATA=E, EST_SOURCE=DBG", "ACT_EST_MAPPING=PRECISE", "FS=MRC", "CURRENCY=USD", "XLFILL=b")</f>
        <v>93.077234496745248</v>
      </c>
      <c r="Q25" s="9">
        <f>_xll.BQL("SEG0000269238 Segment", "IS_PERCENTAGE_OF_REVENUE", "FPR=2022Y", "FPT=A", "FA_ACT_EST_DATA=E, EST_SOURCE=NDH", "ACT_EST_MAPPING=PRECISE", "FS=MRC", "CURRENCY=USD", "XLFILL=b")</f>
        <v>93.061493552866111</v>
      </c>
      <c r="R25" s="9" t="str">
        <f>_xll.BQL("SEG0000269238 Segment", "IS_PERCENTAGE_OF_REVENUE", "FPR=2022Y", "FPT=A", "FA_ACT_EST_DATA=E, EST_SOURCE=CAN", "ACT_EST_MAPPING=PRECISE", "FS=MRC", "CURRENCY=USD", "XLFILL=b")</f>
        <v/>
      </c>
      <c r="S25" s="9" t="str">
        <f>_xll.BQL("SEG0000269238 Segment", "IS_PERCENTAGE_OF_REVENUE", "FPR=2022Y", "FPT=A", "FA_ACT_EST_DATA=E, EST_SOURCE=SCB", "ACT_EST_MAPPING=PRECISE", "FS=MRC", "CURRENCY=USD", "XLFILL=b")</f>
        <v/>
      </c>
      <c r="T25" s="9">
        <f>_xll.BQL("SEG0000269238 Segment", "IS_PERCENTAGE_OF_REVENUE", "FPR=2022Y", "FPT=A", "FA_ACT_EST_DATA=E, EST_SOURCE=JMP", "ACT_EST_MAPPING=PRECISE", "FS=MRC", "CURRENCY=USD", "XLFILL=b")</f>
        <v>93.211092589786332</v>
      </c>
      <c r="U25" s="9" t="str">
        <f>_xll.BQL("SEG0000269238 Segment", "IS_PERCENTAGE_OF_REVENUE", "FPR=2022Y", "FPT=A", "FA_ACT_EST_DATA=E, EST_SOURCE=RJA", "ACT_EST_MAPPING=PRECISE", "FS=MRC", "CURRENCY=USD", "XLFILL=b")</f>
        <v/>
      </c>
      <c r="V25" s="9" t="str">
        <f>_xll.BQL("SEG0000269238 Segment", "IS_PERCENTAGE_OF_REVENUE", "FPR=2022Y", "FPT=A", "FA_ACT_EST_DATA=E, EST_SOURCE=OPY", "ACT_EST_MAPPING=PRECISE", "FS=MRC", "CURRENCY=USD", "XLFILL=b")</f>
        <v/>
      </c>
      <c r="W25" s="9">
        <f>_xll.BQL("SEG0000269238 Segment", "IS_PERCENTAGE_OF_REVENUE", "FPR=2022Y", "FPT=A", "FA_ACT_EST_DATA=E, EST_SOURCE=JPM", "ACT_EST_MAPPING=PRECISE", "FS=MRC", "CURRENCY=USD", "XLFILL=b")</f>
        <v>93.061619726980638</v>
      </c>
      <c r="X25" s="9">
        <f>_xll.BQL("SEG0000269238 Segment", "IS_PERCENTAGE_OF_REVENUE", "FPR=2022Y", "FPT=A", "FA_ACT_EST_DATA=E, EST_SOURCE=FBC", "ACT_EST_MAPPING=PRECISE", "FS=MRC", "CURRENCY=USD", "XLFILL=b")</f>
        <v>93.527552068962478</v>
      </c>
      <c r="Y25" s="9">
        <f>_xll.BQL("SEG0000269238 Segment", "IS_PERCENTAGE_OF_REVENUE", "FPR=2022Y", "FPT=A", "FA_ACT_EST_DATA=E, EST_SOURCE=WMS", "ACT_EST_MAPPING=PRECISE", "FS=MRC", "CURRENCY=USD", "XLFILL=b")</f>
        <v>94.755459943210539</v>
      </c>
      <c r="Z25" s="9">
        <f>_xll.BQL("SEG0000269238 Segment", "IS_PERCENTAGE_OF_REVENUE", "FPR=2022Y", "FPT=A", "FA_ACT_EST_DATA=E, EST_SOURCE=KEY", "ACT_EST_MAPPING=PRECISE", "FS=MRC", "CURRENCY=USD", "XLFILL=b")</f>
        <v>93.325776882042504</v>
      </c>
      <c r="AA25" s="9" t="str">
        <f>_xll.BQL("SEG0000269238 Segment", "IS_PERCENTAGE_OF_REVENUE", "FPR=2022Y", "FPT=A", "FA_ACT_EST_DATA=E, EST_SOURCE=LCM", "ACT_EST_MAPPING=PRECISE", "FS=MRC", "CURRENCY=USD", "XLFILL=b")</f>
        <v/>
      </c>
      <c r="AB25" s="9" t="str">
        <f>_xll.BQL("SEG0000269238 Segment", "IS_PERCENTAGE_OF_REVENUE", "FPR=2022Y", "FPT=A", "FA_ACT_EST_DATA=E, EST_SOURCE=CWN", "ACT_EST_MAPPING=PRECISE", "FS=MRC", "CURRENCY=USD", "XLFILL=b")</f>
        <v/>
      </c>
      <c r="AC25" s="9" t="str">
        <f>_xll.BQL("SEG0000269238 Segment", "IS_PERCENTAGE_OF_REVENUE", "FPR=2022Y", "FPT=A", "FA_ACT_EST_DATA=E, EST_SOURCE=BNS", "ACT_EST_MAPPING=PRECISE", "FS=MRC", "CURRENCY=USD", "XLFILL=b")</f>
        <v/>
      </c>
      <c r="AD25" s="9" t="str">
        <f>_xll.BQL("SEG0000269238 Segment", "IS_PERCENTAGE_OF_REVENUE", "FPR=2022Y", "FPT=A", "FA_ACT_EST_DATA=E, EST_SOURCE=BAM", "ACT_EST_MAPPING=PRECISE", "FS=MRC", "CURRENCY=USD", "XLFILL=b")</f>
        <v/>
      </c>
      <c r="AE25" s="9" t="str">
        <f>_xll.BQL("SEG0000269238 Segment", "IS_PERCENTAGE_OF_REVENUE", "FPR=2022Y", "FPT=A", "FA_ACT_EST_DATA=E, EST_SOURCE=RBC", "ACT_EST_MAPPING=PRECISE", "FS=MRC", "CURRENCY=USD", "XLFILL=b")</f>
        <v/>
      </c>
      <c r="AF25" s="9" t="str">
        <f>_xll.BQL("SEG0000269238 Segment", "IS_PERCENTAGE_OF_REVENUE", "FPR=2022Y", "FPT=A", "FA_ACT_EST_DATA=E, EST_SOURCE=UBS", "ACT_EST_MAPPING=PRECISE", "FS=MRC", "CURRENCY=USD", "XLFILL=b")</f>
        <v/>
      </c>
      <c r="AG25" s="9" t="str">
        <f>_xll.BQL("SEG0000269238 Segment", "IS_PERCENTAGE_OF_REVENUE", "FPR=2022Y", "FPT=A", "FA_ACT_EST_DATA=E, EST_SOURCE=RHR", "ACT_EST_MAPPING=PRECISE", "FS=MRC", "CURRENCY=USD", "XLFILL=b")</f>
        <v/>
      </c>
      <c r="AH25" s="9" t="str">
        <f>_xll.BQL("SEG0000269238 Segment", "IS_PERCENTAGE_OF_REVENUE", "FPR=2022Y", "FPT=A", "FA_ACT_EST_DATA=E, EST_SOURCE=JEF", "ACT_EST_MAPPING=PRECISE", "FS=MRC", "CURRENCY=USD", "XLFILL=b")</f>
        <v/>
      </c>
      <c r="AI25" s="9" t="str">
        <f>_xll.BQL("SEG0000269238 Segment", "IS_PERCENTAGE_OF_REVENUE", "FPR=2022Y", "FPT=A", "FA_ACT_EST_DATA=E, EST_SOURCE=ATL", "ACT_EST_MAPPING=PRECISE", "FS=MRC", "CURRENCY=USD", "XLFILL=b")</f>
        <v/>
      </c>
      <c r="AJ25" s="9" t="str">
        <f>_xll.BQL("SEG0000269238 Segment", "IS_PERCENTAGE_OF_REVENUE", "FPR=2022Y", "FPT=A", "FA_ACT_EST_DATA=E, EST_SOURCE=MAC", "ACT_EST_MAPPING=PRECISE", "FS=MRC", "CURRENCY=USD", "XLFILL=b")</f>
        <v/>
      </c>
      <c r="AK25" s="9" t="str">
        <f>_xll.BQL("SEG0000269238 Segment", "IS_PERCENTAGE_OF_REVENUE", "FPR=2022Y", "FPT=A", "FA_ACT_EST_DATA=E, EST_SOURCE=EVR", "ACT_EST_MAPPING=PRECISE", "FS=MRC", "CURRENCY=USD", "XLFILL=b")</f>
        <v/>
      </c>
      <c r="AL25" s="9" t="str">
        <f>_xll.BQL("SEG0000269238 Segment", "IS_PERCENTAGE_OF_REVENUE", "FPR=2022Y", "FPT=A", "FA_ACT_EST_DATA=E, EST_SOURCE=MSR", "ACT_EST_MAPPING=PRECISE", "FS=MRC", "CURRENCY=USD", "XLFILL=b")</f>
        <v/>
      </c>
      <c r="AM25" s="9" t="str">
        <f>_xll.BQL("SEG0000269238 Segment", "IS_PERCENTAGE_OF_REVENUE", "FPR=2022Y", "FPT=A", "FA_ACT_EST_DATA=E, EST_SOURCE=KGI", "ACT_EST_MAPPING=PRECISE", "FS=MRC", "CURRENCY=USD", "XLFILL=b")</f>
        <v/>
      </c>
      <c r="AN25" s="9" t="str">
        <f>_xll.BQL("SEG0000269238 Segment", "IS_PERCENTAGE_OF_REVENUE", "FPR=2022Y", "FPT=A", "FA_ACT_EST_DATA=E, EST_SOURCE=ACC", "ACT_EST_MAPPING=PRECISE", "FS=MRC", "CURRENCY=USD", "XLFILL=b")</f>
        <v/>
      </c>
      <c r="AO25" s="9" t="str">
        <f>_xll.BQL("SEG0000269238 Segment", "IS_PERCENTAGE_OF_REVENUE", "FPR=2022Y", "FPT=A", "FA_ACT_EST_DATA=E, EST_SOURCE=GSR", "ACT_EST_MAPPING=PRECISE", "FS=MRC", "CURRENCY=USD", "XLFILL=b")</f>
        <v/>
      </c>
      <c r="AP25" s="9" t="str">
        <f>_xll.BQL("SEG0000269238 Segment", "IS_PERCENTAGE_OF_REVENUE", "FPR=2022Y", "FPT=A", "FA_ACT_EST_DATA=E, EST_SOURCE=PSG", "ACT_EST_MAPPING=PRECISE", "FS=MRC", "CURRENCY=USD", "XLFILL=b")</f>
        <v/>
      </c>
      <c r="AQ25" s="9" t="str">
        <f>_xll.BQL("SEG0000269238 Segment", "IS_PERCENTAGE_OF_REVENUE", "FPR=2022Y", "FPT=A", "FA_ACT_EST_DATA=E, EST_SOURCE=DWI", "ACT_EST_MAPPING=PRECISE", "FS=MRC", "CURRENCY=USD", "XLFILL=b")</f>
        <v/>
      </c>
      <c r="AR25" s="9" t="str">
        <f>_xll.BQL("SEG0000269238 Segment", "IS_PERCENTAGE_OF_REVENUE", "FPR=2022Y", "FPT=A", "FA_ACT_EST_DATA=E, EST_SOURCE=RWB", "ACT_EST_MAPPING=PRECISE", "FS=MRC", "CURRENCY=USD", "XLFILL=b")</f>
        <v/>
      </c>
      <c r="AS25" s="9" t="str">
        <f>_xll.BQL("SEG0000269238 Segment", "IS_PERCENTAGE_OF_REVENUE", "FPR=2022Y", "FPT=A", "FA_ACT_EST_DATA=E, EST_SOURCE=ARG", "ACT_EST_MAPPING=PRECISE", "FS=MRC", "CURRENCY=USD", "XLFILL=b")</f>
        <v/>
      </c>
      <c r="AT25" s="9" t="str">
        <f>_xll.BQL("SEG0000269238 Segment", "IS_PERCENTAGE_OF_REVENUE", "FPR=2022Y", "FPT=A", "FA_ACT_EST_DATA=E, EST_SOURCE=CTI", "ACT_EST_MAPPING=PRECISE", "FS=MRC", "CURRENCY=USD", "XLFILL=b")</f>
        <v/>
      </c>
      <c r="AU25" s="9" t="str">
        <f>_xll.BQL("SEG0000269238 Segment", "IS_PERCENTAGE_OF_REVENUE", "FPR=2022Y", "FPT=A", "FA_ACT_EST_DATA=E, EST_SOURCE=WFT", "ACT_EST_MAPPING=PRECISE", "FS=MRC", "CURRENCY=USD", "XLFILL=b")</f>
        <v/>
      </c>
      <c r="AV25" s="9" t="str">
        <f>_xll.BQL("SEG0000269238 Segment", "IS_PERCENTAGE_OF_REVENUE", "FPR=2022Y", "FPT=A", "FA_ACT_EST_DATA=E, EST_SOURCE=PJE", "ACT_EST_MAPPING=PRECISE", "FS=MRC", "CURRENCY=USD", "XLFILL=b")</f>
        <v/>
      </c>
      <c r="AW25" s="9" t="str">
        <f>_xll.BQL("SEG0000269238 Segment", "IS_PERCENTAGE_OF_REVENUE", "FPR=2022Y", "FPT=A", "FA_ACT_EST_DATA=E, EST_SOURCE=SGE", "ACT_EST_MAPPING=PRECISE", "FS=MRC", "CURRENCY=USD", "XLFILL=b")</f>
        <v/>
      </c>
      <c r="AX25" s="9" t="str">
        <f>_xll.BQL("SEG0000269238 Segment", "IS_PERCENTAGE_OF_REVENUE", "FPR=2022Y", "FPT=A", "FA_ACT_EST_DATA=E, EST_SOURCE=MZS", "ACT_EST_MAPPING=PRECISE", "FS=MRC", "CURRENCY=USD", "XLFILL=b")</f>
        <v/>
      </c>
      <c r="AY25" s="9" t="str">
        <f>_xll.BQL("SEG0000269238 Segment", "IS_PERCENTAGE_OF_REVENUE", "FPR=2022Y", "FPT=A", "FA_ACT_EST_DATA=E, EST_SOURCE=RCP", "ACT_EST_MAPPING=PRECISE", "FS=MRC", "CURRENCY=USD", "XLFILL=b")</f>
        <v/>
      </c>
      <c r="AZ25" s="9" t="str">
        <f>_xll.BQL("SEG0000269238 Segment", "IS_PERCENTAGE_OF_REVENUE", "FPR=2022Y", "FPT=A", "FA_ACT_EST_DATA=E, EST_SOURCE=WFR", "ACT_EST_MAPPING=PRECISE", "FS=MRC", "CURRENCY=USD", "XLFILL=b")</f>
        <v/>
      </c>
      <c r="BA25" s="9" t="str">
        <f>_xll.BQL("SEG0000269238 Segment", "IS_PERCENTAGE_OF_REVENUE", "FPR=2022Y", "FPT=A", "FA_ACT_EST_DATA=E, EST_SOURCE=NIK", "ACT_EST_MAPPING=PRECISE", "FS=MRC", "CURRENCY=USD", "XLFILL=b")</f>
        <v/>
      </c>
      <c r="BB25" s="9" t="str">
        <f>_xll.BQL("SEG0000269238 Segment", "IS_PERCENTAGE_OF_REVENUE", "FPR=2022Y", "FPT=A", "FA_ACT_EST_DATA=E, EST_SOURCE=ARE", "ACT_EST_MAPPING=PRECISE", "FS=MRC", "CURRENCY=USD", "XLFILL=b")</f>
        <v/>
      </c>
      <c r="BC25" s="9" t="str">
        <f>_xll.BQL("SEG0000269238 Segment", "IS_PERCENTAGE_OF_REVENUE", "FPR=2022Y", "FPT=A", "FA_ACT_EST_DATA=E, EST_SOURCE=RED", "ACT_EST_MAPPING=PRECISE", "FS=MRC", "CURRENCY=USD", "XLFILL=b")</f>
        <v/>
      </c>
      <c r="BD25" s="9" t="str">
        <f>_xll.BQL("SEG0000269238 Segment", "IS_PERCENTAGE_OF_REVENUE", "FPR=2022Y", "FPT=A", "FA_ACT_EST_DATA=E, EST_SOURCE=DIR", "ACT_EST_MAPPING=PRECISE", "FS=MRC", "CURRENCY=USD", "XLFILL=b")</f>
        <v/>
      </c>
    </row>
    <row r="26" spans="1:56" x14ac:dyDescent="0.55000000000000004">
      <c r="A26" s="8" t="s">
        <v>60</v>
      </c>
      <c r="B26" s="5" t="s">
        <v>28</v>
      </c>
      <c r="C26" s="5" t="s">
        <v>61</v>
      </c>
      <c r="D26" s="5" t="s">
        <v>62</v>
      </c>
      <c r="E26" s="9">
        <f>_xll.BQL("SEG0000269247 Segment", "SALES_REV_TURN/1M", "FPR=2022Y", "FPT=A", "FA_ACT_EST_DATA=E", "ACT_EST_MAPPING=PRECISE", "FS=MRC", "CURRENCY=USD", "XLFILL=b")</f>
        <v>5968.4552708333331</v>
      </c>
      <c r="F26" s="9">
        <f>_xll.BQL("SEG0000269247 Segment", "CONTRIBUTOR_STATS(SALES_REV_TURN, MIN)/1M", "FPR=2022Y", "FPT=A", "FA_ACT_EST_DATA=E", "ACT_EST_MAPPING=PRECISE", "FS=MRC", "CURRENCY=USD", "XLFILL=b")</f>
        <v>5935.28</v>
      </c>
      <c r="G26" s="9">
        <f>_xll.BQL("SEG0000269247 Segment", "CONTRIBUTOR_STATS(SALES_REV_TURN, MAX)/1M", "FPR=2022Y", "FPT=A", "FA_ACT_EST_DATA=E", "ACT_EST_MAPPING=PRECISE", "FS=MRC", "CURRENCY=USD", "XLFILL=b")</f>
        <v>6006</v>
      </c>
      <c r="H26" s="9">
        <f>_xll.BQL("SEG0000269247 Segment", "CONTRIBUTOR_STATS(SALES_REV_TURN, STD)/1M", "FPR=2022Y", "FPT=A", "FA_ACT_EST_DATA=E", "ACT_EST_MAPPING=PRECISE", "FS=MRC", "CURRENCY=USD", "XLFILL=b")</f>
        <v>21.911564142255092</v>
      </c>
      <c r="I26" s="9">
        <f>_xll.BQL("SEG0000269247 Segment", "CONTRIBUTOR_STATS(SALES_REV_TURN, MEDIAN)/1M", "FPR=2022Y", "FPT=A", "FA_ACT_EST_DATA=E", "ACT_EST_MAPPING=PRECISE", "FS=MRC", "CURRENCY=USD", "XLFILL=b")</f>
        <v>5963</v>
      </c>
      <c r="J26" s="9" t="str">
        <f>_xll.BQL("SEG0000269247 Segment", "SALES_REV_TURN/1M", "FPR=2022Y", "FPT=A", "FA_ACT_EST_DATA=E, EST_SOURCE=CMPY", "ACT_EST_MAPPING=PRECISE", "FS=MRC", "CURRENCY=USD", "XLFILL=b")</f>
        <v/>
      </c>
      <c r="K26" s="9" t="str">
        <f>_xll.BQL("SEG0000269247 Segment", "SALES_REV_TURN/1M", "FPR=2022Y", "FPT=A", "FA_ACT_EST_DATA=E, EST_SOURCE=WBL", "ACT_EST_MAPPING=PRECISE", "FS=MRC", "CURRENCY=USD", "XLFILL=b")</f>
        <v/>
      </c>
      <c r="L26" s="9" t="str">
        <f>_xll.BQL("SEG0000269247 Segment", "SALES_REV_TURN/1M", "FPR=2022Y", "FPT=A", "FA_ACT_EST_DATA=E, EST_SOURCE=BMO", "ACT_EST_MAPPING=PRECISE", "FS=MRC", "CURRENCY=USD", "XLFILL=b")</f>
        <v/>
      </c>
      <c r="M26" s="9" t="str">
        <f>_xll.BQL("SEG0000269247 Segment", "SALES_REV_TURN/1M", "FPR=2022Y", "FPT=A", "FA_ACT_EST_DATA=E, EST_SOURCE=BCA", "ACT_EST_MAPPING=PRECISE", "FS=MRC", "CURRENCY=USD", "XLFILL=b")</f>
        <v/>
      </c>
      <c r="N26" s="9" t="str">
        <f>_xll.BQL("SEG0000269247 Segment", "SALES_REV_TURN/1M", "FPR=2022Y", "FPT=A", "FA_ACT_EST_DATA=E, EST_SOURCE=SNR", "ACT_EST_MAPPING=PRECISE", "FS=MRC", "CURRENCY=USD", "XLFILL=b")</f>
        <v/>
      </c>
      <c r="O26" s="9">
        <f>_xll.BQL("SEG0000269247 Segment", "SALES_REV_TURN/1M", "FPR=2022Y", "FPT=A", "FA_ACT_EST_DATA=E, EST_SOURCE=MSV", "ACT_EST_MAPPING=PRECISE", "FS=MRC", "CURRENCY=USD", "XLFILL=b")</f>
        <v>5988.1639999999998</v>
      </c>
      <c r="P26" s="9" t="str">
        <f>_xll.BQL("SEG0000269247 Segment", "SALES_REV_TURN/1M", "FPR=2022Y", "FPT=A", "FA_ACT_EST_DATA=E, EST_SOURCE=DBG", "ACT_EST_MAPPING=PRECISE", "FS=MRC", "CURRENCY=USD", "XLFILL=b")</f>
        <v/>
      </c>
      <c r="Q26" s="9">
        <f>_xll.BQL("SEG0000269247 Segment", "SALES_REV_TURN/1M", "FPR=2022Y", "FPT=A", "FA_ACT_EST_DATA=E, EST_SOURCE=NDH", "ACT_EST_MAPPING=PRECISE", "FS=MRC", "CURRENCY=USD", "XLFILL=b")</f>
        <v>5963</v>
      </c>
      <c r="R26" s="9" t="str">
        <f>_xll.BQL("SEG0000269247 Segment", "SALES_REV_TURN/1M", "FPR=2022Y", "FPT=A", "FA_ACT_EST_DATA=E, EST_SOURCE=CAN", "ACT_EST_MAPPING=PRECISE", "FS=MRC", "CURRENCY=USD", "XLFILL=b")</f>
        <v/>
      </c>
      <c r="S26" s="9" t="str">
        <f>_xll.BQL("SEG0000269247 Segment", "SALES_REV_TURN/1M", "FPR=2022Y", "FPT=A", "FA_ACT_EST_DATA=E, EST_SOURCE=SCB", "ACT_EST_MAPPING=PRECISE", "FS=MRC", "CURRENCY=USD", "XLFILL=b")</f>
        <v/>
      </c>
      <c r="T26" s="9">
        <f>_xll.BQL("SEG0000269247 Segment", "SALES_REV_TURN/1M", "FPR=2022Y", "FPT=A", "FA_ACT_EST_DATA=E, EST_SOURCE=JMP", "ACT_EST_MAPPING=PRECISE", "FS=MRC", "CURRENCY=USD", "XLFILL=b")</f>
        <v>5953</v>
      </c>
      <c r="U26" s="9" t="str">
        <f>_xll.BQL("SEG0000269247 Segment", "SALES_REV_TURN/1M", "FPR=2022Y", "FPT=A", "FA_ACT_EST_DATA=E, EST_SOURCE=RJA", "ACT_EST_MAPPING=PRECISE", "FS=MRC", "CURRENCY=USD", "XLFILL=b")</f>
        <v/>
      </c>
      <c r="V26" s="9" t="str">
        <f>_xll.BQL("SEG0000269247 Segment", "SALES_REV_TURN/1M", "FPR=2022Y", "FPT=A", "FA_ACT_EST_DATA=E, EST_SOURCE=OPY", "ACT_EST_MAPPING=PRECISE", "FS=MRC", "CURRENCY=USD", "XLFILL=b")</f>
        <v/>
      </c>
      <c r="W26" s="9" t="str">
        <f>_xll.BQL("SEG0000269247 Segment", "SALES_REV_TURN/1M", "FPR=2022Y", "FPT=A", "FA_ACT_EST_DATA=E, EST_SOURCE=JPM", "ACT_EST_MAPPING=PRECISE", "FS=MRC", "CURRENCY=USD", "XLFILL=b")</f>
        <v/>
      </c>
      <c r="X26" s="9" t="str">
        <f>_xll.BQL("SEG0000269247 Segment", "SALES_REV_TURN/1M", "FPR=2022Y", "FPT=A", "FA_ACT_EST_DATA=E, EST_SOURCE=FBC", "ACT_EST_MAPPING=PRECISE", "FS=MRC", "CURRENCY=USD", "XLFILL=b")</f>
        <v/>
      </c>
      <c r="Y26" s="9" t="str">
        <f>_xll.BQL("SEG0000269247 Segment", "SALES_REV_TURN/1M", "FPR=2022Y", "FPT=A", "FA_ACT_EST_DATA=E, EST_SOURCE=WMS", "ACT_EST_MAPPING=PRECISE", "FS=MRC", "CURRENCY=USD", "XLFILL=b")</f>
        <v/>
      </c>
      <c r="Z26" s="9">
        <f>_xll.BQL("SEG0000269247 Segment", "SALES_REV_TURN/1M", "FPR=2022Y", "FPT=A", "FA_ACT_EST_DATA=E, EST_SOURCE=KEY", "ACT_EST_MAPPING=PRECISE", "FS=MRC", "CURRENCY=USD", "XLFILL=b")</f>
        <v>5892.1154999999999</v>
      </c>
      <c r="AA26" s="9" t="str">
        <f>_xll.BQL("SEG0000269247 Segment", "SALES_REV_TURN/1M", "FPR=2022Y", "FPT=A", "FA_ACT_EST_DATA=E, EST_SOURCE=LCM", "ACT_EST_MAPPING=PRECISE", "FS=MRC", "CURRENCY=USD", "XLFILL=b")</f>
        <v/>
      </c>
      <c r="AB26" s="9" t="str">
        <f>_xll.BQL("SEG0000269247 Segment", "SALES_REV_TURN/1M", "FPR=2022Y", "FPT=A", "FA_ACT_EST_DATA=E, EST_SOURCE=CWN", "ACT_EST_MAPPING=PRECISE", "FS=MRC", "CURRENCY=USD", "XLFILL=b")</f>
        <v/>
      </c>
      <c r="AC26" s="9" t="str">
        <f>_xll.BQL("SEG0000269247 Segment", "SALES_REV_TURN/1M", "FPR=2022Y", "FPT=A", "FA_ACT_EST_DATA=E, EST_SOURCE=BNS", "ACT_EST_MAPPING=PRECISE", "FS=MRC", "CURRENCY=USD", "XLFILL=b")</f>
        <v/>
      </c>
      <c r="AD26" s="9" t="str">
        <f>_xll.BQL("SEG0000269247 Segment", "SALES_REV_TURN/1M", "FPR=2022Y", "FPT=A", "FA_ACT_EST_DATA=E, EST_SOURCE=BAM", "ACT_EST_MAPPING=PRECISE", "FS=MRC", "CURRENCY=USD", "XLFILL=b")</f>
        <v/>
      </c>
      <c r="AE26" s="9" t="str">
        <f>_xll.BQL("SEG0000269247 Segment", "SALES_REV_TURN/1M", "FPR=2022Y", "FPT=A", "FA_ACT_EST_DATA=E, EST_SOURCE=RBC", "ACT_EST_MAPPING=PRECISE", "FS=MRC", "CURRENCY=USD", "XLFILL=b")</f>
        <v/>
      </c>
      <c r="AF26" s="9" t="str">
        <f>_xll.BQL("SEG0000269247 Segment", "SALES_REV_TURN/1M", "FPR=2022Y", "FPT=A", "FA_ACT_EST_DATA=E, EST_SOURCE=UBS", "ACT_EST_MAPPING=PRECISE", "FS=MRC", "CURRENCY=USD", "XLFILL=b")</f>
        <v/>
      </c>
      <c r="AG26" s="9" t="str">
        <f>_xll.BQL("SEG0000269247 Segment", "SALES_REV_TURN/1M", "FPR=2022Y", "FPT=A", "FA_ACT_EST_DATA=E, EST_SOURCE=RHR", "ACT_EST_MAPPING=PRECISE", "FS=MRC", "CURRENCY=USD", "XLFILL=b")</f>
        <v/>
      </c>
      <c r="AH26" s="9" t="str">
        <f>_xll.BQL("SEG0000269247 Segment", "SALES_REV_TURN/1M", "FPR=2022Y", "FPT=A", "FA_ACT_EST_DATA=E, EST_SOURCE=JEF", "ACT_EST_MAPPING=PRECISE", "FS=MRC", "CURRENCY=USD", "XLFILL=b")</f>
        <v/>
      </c>
      <c r="AI26" s="9" t="str">
        <f>_xll.BQL("SEG0000269247 Segment", "SALES_REV_TURN/1M", "FPR=2022Y", "FPT=A", "FA_ACT_EST_DATA=E, EST_SOURCE=ATL", "ACT_EST_MAPPING=PRECISE", "FS=MRC", "CURRENCY=USD", "XLFILL=b")</f>
        <v/>
      </c>
      <c r="AJ26" s="9" t="str">
        <f>_xll.BQL("SEG0000269247 Segment", "SALES_REV_TURN/1M", "FPR=2022Y", "FPT=A", "FA_ACT_EST_DATA=E, EST_SOURCE=MAC", "ACT_EST_MAPPING=PRECISE", "FS=MRC", "CURRENCY=USD", "XLFILL=b")</f>
        <v/>
      </c>
      <c r="AK26" s="9" t="str">
        <f>_xll.BQL("SEG0000269247 Segment", "SALES_REV_TURN/1M", "FPR=2022Y", "FPT=A", "FA_ACT_EST_DATA=E, EST_SOURCE=EVR", "ACT_EST_MAPPING=PRECISE", "FS=MRC", "CURRENCY=USD", "XLFILL=b")</f>
        <v/>
      </c>
      <c r="AL26" s="9" t="str">
        <f>_xll.BQL("SEG0000269247 Segment", "SALES_REV_TURN/1M", "FPR=2022Y", "FPT=A", "FA_ACT_EST_DATA=E, EST_SOURCE=MSR", "ACT_EST_MAPPING=PRECISE", "FS=MRC", "CURRENCY=USD", "XLFILL=b")</f>
        <v/>
      </c>
      <c r="AM26" s="9" t="str">
        <f>_xll.BQL("SEG0000269247 Segment", "SALES_REV_TURN/1M", "FPR=2022Y", "FPT=A", "FA_ACT_EST_DATA=E, EST_SOURCE=KGI", "ACT_EST_MAPPING=PRECISE", "FS=MRC", "CURRENCY=USD", "XLFILL=b")</f>
        <v/>
      </c>
      <c r="AN26" s="9" t="str">
        <f>_xll.BQL("SEG0000269247 Segment", "SALES_REV_TURN/1M", "FPR=2022Y", "FPT=A", "FA_ACT_EST_DATA=E, EST_SOURCE=ACC", "ACT_EST_MAPPING=PRECISE", "FS=MRC", "CURRENCY=USD", "XLFILL=b")</f>
        <v/>
      </c>
      <c r="AO26" s="9" t="str">
        <f>_xll.BQL("SEG0000269247 Segment", "SALES_REV_TURN/1M", "FPR=2022Y", "FPT=A", "FA_ACT_EST_DATA=E, EST_SOURCE=GSR", "ACT_EST_MAPPING=PRECISE", "FS=MRC", "CURRENCY=USD", "XLFILL=b")</f>
        <v/>
      </c>
      <c r="AP26" s="9" t="str">
        <f>_xll.BQL("SEG0000269247 Segment", "SALES_REV_TURN/1M", "FPR=2022Y", "FPT=A", "FA_ACT_EST_DATA=E, EST_SOURCE=PSG", "ACT_EST_MAPPING=PRECISE", "FS=MRC", "CURRENCY=USD", "XLFILL=b")</f>
        <v/>
      </c>
      <c r="AQ26" s="9" t="str">
        <f>_xll.BQL("SEG0000269247 Segment", "SALES_REV_TURN/1M", "FPR=2022Y", "FPT=A", "FA_ACT_EST_DATA=E, EST_SOURCE=DWI", "ACT_EST_MAPPING=PRECISE", "FS=MRC", "CURRENCY=USD", "XLFILL=b")</f>
        <v/>
      </c>
      <c r="AR26" s="9" t="str">
        <f>_xll.BQL("SEG0000269247 Segment", "SALES_REV_TURN/1M", "FPR=2022Y", "FPT=A", "FA_ACT_EST_DATA=E, EST_SOURCE=RWB", "ACT_EST_MAPPING=PRECISE", "FS=MRC", "CURRENCY=USD", "XLFILL=b")</f>
        <v/>
      </c>
      <c r="AS26" s="9" t="str">
        <f>_xll.BQL("SEG0000269247 Segment", "SALES_REV_TURN/1M", "FPR=2022Y", "FPT=A", "FA_ACT_EST_DATA=E, EST_SOURCE=ARG", "ACT_EST_MAPPING=PRECISE", "FS=MRC", "CURRENCY=USD", "XLFILL=b")</f>
        <v/>
      </c>
      <c r="AT26" s="9" t="str">
        <f>_xll.BQL("SEG0000269247 Segment", "SALES_REV_TURN/1M", "FPR=2022Y", "FPT=A", "FA_ACT_EST_DATA=E, EST_SOURCE=CTI", "ACT_EST_MAPPING=PRECISE", "FS=MRC", "CURRENCY=USD", "XLFILL=b")</f>
        <v/>
      </c>
      <c r="AU26" s="9" t="str">
        <f>_xll.BQL("SEG0000269247 Segment", "SALES_REV_TURN/1M", "FPR=2022Y", "FPT=A", "FA_ACT_EST_DATA=E, EST_SOURCE=WFT", "ACT_EST_MAPPING=PRECISE", "FS=MRC", "CURRENCY=USD", "XLFILL=b")</f>
        <v/>
      </c>
      <c r="AV26" s="9" t="str">
        <f>_xll.BQL("SEG0000269247 Segment", "SALES_REV_TURN/1M", "FPR=2022Y", "FPT=A", "FA_ACT_EST_DATA=E, EST_SOURCE=PJE", "ACT_EST_MAPPING=PRECISE", "FS=MRC", "CURRENCY=USD", "XLFILL=b")</f>
        <v/>
      </c>
      <c r="AW26" s="9" t="str">
        <f>_xll.BQL("SEG0000269247 Segment", "SALES_REV_TURN/1M", "FPR=2022Y", "FPT=A", "FA_ACT_EST_DATA=E, EST_SOURCE=SGE", "ACT_EST_MAPPING=PRECISE", "FS=MRC", "CURRENCY=USD", "XLFILL=b")</f>
        <v/>
      </c>
      <c r="AX26" s="9" t="str">
        <f>_xll.BQL("SEG0000269247 Segment", "SALES_REV_TURN/1M", "FPR=2022Y", "FPT=A", "FA_ACT_EST_DATA=E, EST_SOURCE=MZS", "ACT_EST_MAPPING=PRECISE", "FS=MRC", "CURRENCY=USD", "XLFILL=b")</f>
        <v/>
      </c>
      <c r="AY26" s="9" t="str">
        <f>_xll.BQL("SEG0000269247 Segment", "SALES_REV_TURN/1M", "FPR=2022Y", "FPT=A", "FA_ACT_EST_DATA=E, EST_SOURCE=RCP", "ACT_EST_MAPPING=PRECISE", "FS=MRC", "CURRENCY=USD", "XLFILL=b")</f>
        <v/>
      </c>
      <c r="AZ26" s="9" t="str">
        <f>_xll.BQL("SEG0000269247 Segment", "SALES_REV_TURN/1M", "FPR=2022Y", "FPT=A", "FA_ACT_EST_DATA=E, EST_SOURCE=WFR", "ACT_EST_MAPPING=PRECISE", "FS=MRC", "CURRENCY=USD", "XLFILL=b")</f>
        <v/>
      </c>
      <c r="BA26" s="9" t="str">
        <f>_xll.BQL("SEG0000269247 Segment", "SALES_REV_TURN/1M", "FPR=2022Y", "FPT=A", "FA_ACT_EST_DATA=E, EST_SOURCE=NIK", "ACT_EST_MAPPING=PRECISE", "FS=MRC", "CURRENCY=USD", "XLFILL=b")</f>
        <v/>
      </c>
      <c r="BB26" s="9" t="str">
        <f>_xll.BQL("SEG0000269247 Segment", "SALES_REV_TURN/1M", "FPR=2022Y", "FPT=A", "FA_ACT_EST_DATA=E, EST_SOURCE=ARE", "ACT_EST_MAPPING=PRECISE", "FS=MRC", "CURRENCY=USD", "XLFILL=b")</f>
        <v/>
      </c>
      <c r="BC26" s="9" t="str">
        <f>_xll.BQL("SEG0000269247 Segment", "SALES_REV_TURN/1M", "FPR=2022Y", "FPT=A", "FA_ACT_EST_DATA=E, EST_SOURCE=RED", "ACT_EST_MAPPING=PRECISE", "FS=MRC", "CURRENCY=USD", "XLFILL=b")</f>
        <v/>
      </c>
      <c r="BD26" s="9" t="str">
        <f>_xll.BQL("SEG0000269247 Segment", "SALES_REV_TURN/1M", "FPR=2022Y", "FPT=A", "FA_ACT_EST_DATA=E, EST_SOURCE=DIR", "ACT_EST_MAPPING=PRECISE", "FS=MRC", "CURRENCY=USD", "XLFILL=b")</f>
        <v/>
      </c>
    </row>
    <row r="27" spans="1:56" x14ac:dyDescent="0.55000000000000004">
      <c r="A27" s="8" t="s">
        <v>63</v>
      </c>
      <c r="B27" s="5" t="s">
        <v>28</v>
      </c>
      <c r="C27" s="5" t="s">
        <v>64</v>
      </c>
      <c r="D27" s="5" t="s">
        <v>65</v>
      </c>
      <c r="E27" s="9">
        <f>_xll.BQL("SEG0000269241 Segment", "SALES_REV_TURN/1M", "FPR=2022Y", "FPT=A", "FA_ACT_EST_DATA=E", "ACT_EST_MAPPING=PRECISE", "FS=MRC", "CURRENCY=USD", "XLFILL=b")</f>
        <v>6499.5853333333334</v>
      </c>
      <c r="F27" s="9">
        <f>_xll.BQL("SEG0000269241 Segment", "CONTRIBUTOR_STATS(SALES_REV_TURN, MIN)/1M", "FPR=2022Y", "FPT=A", "FA_ACT_EST_DATA=E", "ACT_EST_MAPPING=PRECISE", "FS=MRC", "CURRENCY=USD", "XLFILL=b")</f>
        <v>6444</v>
      </c>
      <c r="G27" s="9">
        <f>_xll.BQL("SEG0000269241 Segment", "CONTRIBUTOR_STATS(SALES_REV_TURN, MAX)/1M", "FPR=2022Y", "FPT=A", "FA_ACT_EST_DATA=E", "ACT_EST_MAPPING=PRECISE", "FS=MRC", "CURRENCY=USD", "XLFILL=b")</f>
        <v>6542.58</v>
      </c>
      <c r="H27" s="9">
        <f>_xll.BQL("SEG0000269241 Segment", "CONTRIBUTOR_STATS(SALES_REV_TURN, STD)/1M", "FPR=2022Y", "FPT=A", "FA_ACT_EST_DATA=E", "ACT_EST_MAPPING=PRECISE", "FS=MRC", "CURRENCY=USD", "XLFILL=b")</f>
        <v>25.97787781940626</v>
      </c>
      <c r="I27" s="9">
        <f>_xll.BQL("SEG0000269241 Segment", "CONTRIBUTOR_STATS(SALES_REV_TURN, MEDIAN)/1M", "FPR=2022Y", "FPT=A", "FA_ACT_EST_DATA=E", "ACT_EST_MAPPING=PRECISE", "FS=MRC", "CURRENCY=USD", "XLFILL=b")</f>
        <v>6499.2</v>
      </c>
      <c r="J27" s="9" t="str">
        <f>_xll.BQL("SEG0000269241 Segment", "SALES_REV_TURN/1M", "FPR=2022Y", "FPT=A", "FA_ACT_EST_DATA=E, EST_SOURCE=CMPY", "ACT_EST_MAPPING=PRECISE", "FS=MRC", "CURRENCY=USD", "XLFILL=b")</f>
        <v/>
      </c>
      <c r="K27" s="9" t="str">
        <f>_xll.BQL("SEG0000269241 Segment", "SALES_REV_TURN/1M", "FPR=2022Y", "FPT=A", "FA_ACT_EST_DATA=E, EST_SOURCE=WBL", "ACT_EST_MAPPING=PRECISE", "FS=MRC", "CURRENCY=USD", "XLFILL=b")</f>
        <v/>
      </c>
      <c r="L27" s="9" t="str">
        <f>_xll.BQL("SEG0000269241 Segment", "SALES_REV_TURN/1M", "FPR=2022Y", "FPT=A", "FA_ACT_EST_DATA=E, EST_SOURCE=BMO", "ACT_EST_MAPPING=PRECISE", "FS=MRC", "CURRENCY=USD", "XLFILL=b")</f>
        <v/>
      </c>
      <c r="M27" s="9" t="str">
        <f>_xll.BQL("SEG0000269241 Segment", "SALES_REV_TURN/1M", "FPR=2022Y", "FPT=A", "FA_ACT_EST_DATA=E, EST_SOURCE=BCA", "ACT_EST_MAPPING=PRECISE", "FS=MRC", "CURRENCY=USD", "XLFILL=b")</f>
        <v/>
      </c>
      <c r="N27" s="9" t="str">
        <f>_xll.BQL("SEG0000269241 Segment", "SALES_REV_TURN/1M", "FPR=2022Y", "FPT=A", "FA_ACT_EST_DATA=E, EST_SOURCE=SNR", "ACT_EST_MAPPING=PRECISE", "FS=MRC", "CURRENCY=USD", "XLFILL=b")</f>
        <v/>
      </c>
      <c r="O27" s="9">
        <f>_xll.BQL("SEG0000269241 Segment", "SALES_REV_TURN/1M", "FPR=2022Y", "FPT=A", "FA_ACT_EST_DATA=E, EST_SOURCE=MSV", "ACT_EST_MAPPING=PRECISE", "FS=MRC", "CURRENCY=USD", "XLFILL=b")</f>
        <v>6510.768</v>
      </c>
      <c r="P27" s="9" t="str">
        <f>_xll.BQL("SEG0000269241 Segment", "SALES_REV_TURN/1M", "FPR=2022Y", "FPT=A", "FA_ACT_EST_DATA=E, EST_SOURCE=DBG", "ACT_EST_MAPPING=PRECISE", "FS=MRC", "CURRENCY=USD", "XLFILL=b")</f>
        <v/>
      </c>
      <c r="Q27" s="9">
        <f>_xll.BQL("SEG0000269241 Segment", "SALES_REV_TURN/1M", "FPR=2022Y", "FPT=A", "FA_ACT_EST_DATA=E, EST_SOURCE=NDH", "ACT_EST_MAPPING=PRECISE", "FS=MRC", "CURRENCY=USD", "XLFILL=b")</f>
        <v>6514</v>
      </c>
      <c r="R27" s="9" t="str">
        <f>_xll.BQL("SEG0000269241 Segment", "SALES_REV_TURN/1M", "FPR=2022Y", "FPT=A", "FA_ACT_EST_DATA=E, EST_SOURCE=CAN", "ACT_EST_MAPPING=PRECISE", "FS=MRC", "CURRENCY=USD", "XLFILL=b")</f>
        <v/>
      </c>
      <c r="S27" s="9" t="str">
        <f>_xll.BQL("SEG0000269241 Segment", "SALES_REV_TURN/1M", "FPR=2022Y", "FPT=A", "FA_ACT_EST_DATA=E, EST_SOURCE=SCB", "ACT_EST_MAPPING=PRECISE", "FS=MRC", "CURRENCY=USD", "XLFILL=b")</f>
        <v/>
      </c>
      <c r="T27" s="9">
        <f>_xll.BQL("SEG0000269241 Segment", "SALES_REV_TURN/1M", "FPR=2022Y", "FPT=A", "FA_ACT_EST_DATA=E, EST_SOURCE=JMP", "ACT_EST_MAPPING=PRECISE", "FS=MRC", "CURRENCY=USD", "XLFILL=b")</f>
        <v>6444</v>
      </c>
      <c r="U27" s="9" t="str">
        <f>_xll.BQL("SEG0000269241 Segment", "SALES_REV_TURN/1M", "FPR=2022Y", "FPT=A", "FA_ACT_EST_DATA=E, EST_SOURCE=RJA", "ACT_EST_MAPPING=PRECISE", "FS=MRC", "CURRENCY=USD", "XLFILL=b")</f>
        <v/>
      </c>
      <c r="V27" s="9" t="str">
        <f>_xll.BQL("SEG0000269241 Segment", "SALES_REV_TURN/1M", "FPR=2022Y", "FPT=A", "FA_ACT_EST_DATA=E, EST_SOURCE=OPY", "ACT_EST_MAPPING=PRECISE", "FS=MRC", "CURRENCY=USD", "XLFILL=b")</f>
        <v/>
      </c>
      <c r="W27" s="9" t="str">
        <f>_xll.BQL("SEG0000269241 Segment", "SALES_REV_TURN/1M", "FPR=2022Y", "FPT=A", "FA_ACT_EST_DATA=E, EST_SOURCE=JPM", "ACT_EST_MAPPING=PRECISE", "FS=MRC", "CURRENCY=USD", "XLFILL=b")</f>
        <v/>
      </c>
      <c r="X27" s="9" t="str">
        <f>_xll.BQL("SEG0000269241 Segment", "SALES_REV_TURN/1M", "FPR=2022Y", "FPT=A", "FA_ACT_EST_DATA=E, EST_SOURCE=FBC", "ACT_EST_MAPPING=PRECISE", "FS=MRC", "CURRENCY=USD", "XLFILL=b")</f>
        <v/>
      </c>
      <c r="Y27" s="9" t="str">
        <f>_xll.BQL("SEG0000269241 Segment", "SALES_REV_TURN/1M", "FPR=2022Y", "FPT=A", "FA_ACT_EST_DATA=E, EST_SOURCE=WMS", "ACT_EST_MAPPING=PRECISE", "FS=MRC", "CURRENCY=USD", "XLFILL=b")</f>
        <v/>
      </c>
      <c r="Z27" s="9">
        <f>_xll.BQL("SEG0000269241 Segment", "SALES_REV_TURN/1M", "FPR=2022Y", "FPT=A", "FA_ACT_EST_DATA=E, EST_SOURCE=KEY", "ACT_EST_MAPPING=PRECISE", "FS=MRC", "CURRENCY=USD", "XLFILL=b")</f>
        <v>6523.5350000000008</v>
      </c>
      <c r="AA27" s="9" t="str">
        <f>_xll.BQL("SEG0000269241 Segment", "SALES_REV_TURN/1M", "FPR=2022Y", "FPT=A", "FA_ACT_EST_DATA=E, EST_SOURCE=LCM", "ACT_EST_MAPPING=PRECISE", "FS=MRC", "CURRENCY=USD", "XLFILL=b")</f>
        <v/>
      </c>
      <c r="AB27" s="9" t="str">
        <f>_xll.BQL("SEG0000269241 Segment", "SALES_REV_TURN/1M", "FPR=2022Y", "FPT=A", "FA_ACT_EST_DATA=E, EST_SOURCE=CWN", "ACT_EST_MAPPING=PRECISE", "FS=MRC", "CURRENCY=USD", "XLFILL=b")</f>
        <v/>
      </c>
      <c r="AC27" s="9" t="str">
        <f>_xll.BQL("SEG0000269241 Segment", "SALES_REV_TURN/1M", "FPR=2022Y", "FPT=A", "FA_ACT_EST_DATA=E, EST_SOURCE=BNS", "ACT_EST_MAPPING=PRECISE", "FS=MRC", "CURRENCY=USD", "XLFILL=b")</f>
        <v/>
      </c>
      <c r="AD27" s="9" t="str">
        <f>_xll.BQL("SEG0000269241 Segment", "SALES_REV_TURN/1M", "FPR=2022Y", "FPT=A", "FA_ACT_EST_DATA=E, EST_SOURCE=BAM", "ACT_EST_MAPPING=PRECISE", "FS=MRC", "CURRENCY=USD", "XLFILL=b")</f>
        <v/>
      </c>
      <c r="AE27" s="9" t="str">
        <f>_xll.BQL("SEG0000269241 Segment", "SALES_REV_TURN/1M", "FPR=2022Y", "FPT=A", "FA_ACT_EST_DATA=E, EST_SOURCE=RBC", "ACT_EST_MAPPING=PRECISE", "FS=MRC", "CURRENCY=USD", "XLFILL=b")</f>
        <v/>
      </c>
      <c r="AF27" s="9" t="str">
        <f>_xll.BQL("SEG0000269241 Segment", "SALES_REV_TURN/1M", "FPR=2022Y", "FPT=A", "FA_ACT_EST_DATA=E, EST_SOURCE=UBS", "ACT_EST_MAPPING=PRECISE", "FS=MRC", "CURRENCY=USD", "XLFILL=b")</f>
        <v/>
      </c>
      <c r="AG27" s="9" t="str">
        <f>_xll.BQL("SEG0000269241 Segment", "SALES_REV_TURN/1M", "FPR=2022Y", "FPT=A", "FA_ACT_EST_DATA=E, EST_SOURCE=RHR", "ACT_EST_MAPPING=PRECISE", "FS=MRC", "CURRENCY=USD", "XLFILL=b")</f>
        <v/>
      </c>
      <c r="AH27" s="9" t="str">
        <f>_xll.BQL("SEG0000269241 Segment", "SALES_REV_TURN/1M", "FPR=2022Y", "FPT=A", "FA_ACT_EST_DATA=E, EST_SOURCE=JEF", "ACT_EST_MAPPING=PRECISE", "FS=MRC", "CURRENCY=USD", "XLFILL=b")</f>
        <v/>
      </c>
      <c r="AI27" s="9" t="str">
        <f>_xll.BQL("SEG0000269241 Segment", "SALES_REV_TURN/1M", "FPR=2022Y", "FPT=A", "FA_ACT_EST_DATA=E, EST_SOURCE=ATL", "ACT_EST_MAPPING=PRECISE", "FS=MRC", "CURRENCY=USD", "XLFILL=b")</f>
        <v/>
      </c>
      <c r="AJ27" s="9" t="str">
        <f>_xll.BQL("SEG0000269241 Segment", "SALES_REV_TURN/1M", "FPR=2022Y", "FPT=A", "FA_ACT_EST_DATA=E, EST_SOURCE=MAC", "ACT_EST_MAPPING=PRECISE", "FS=MRC", "CURRENCY=USD", "XLFILL=b")</f>
        <v/>
      </c>
      <c r="AK27" s="9" t="str">
        <f>_xll.BQL("SEG0000269241 Segment", "SALES_REV_TURN/1M", "FPR=2022Y", "FPT=A", "FA_ACT_EST_DATA=E, EST_SOURCE=EVR", "ACT_EST_MAPPING=PRECISE", "FS=MRC", "CURRENCY=USD", "XLFILL=b")</f>
        <v/>
      </c>
      <c r="AL27" s="9" t="str">
        <f>_xll.BQL("SEG0000269241 Segment", "SALES_REV_TURN/1M", "FPR=2022Y", "FPT=A", "FA_ACT_EST_DATA=E, EST_SOURCE=MSR", "ACT_EST_MAPPING=PRECISE", "FS=MRC", "CURRENCY=USD", "XLFILL=b")</f>
        <v/>
      </c>
      <c r="AM27" s="9" t="str">
        <f>_xll.BQL("SEG0000269241 Segment", "SALES_REV_TURN/1M", "FPR=2022Y", "FPT=A", "FA_ACT_EST_DATA=E, EST_SOURCE=KGI", "ACT_EST_MAPPING=PRECISE", "FS=MRC", "CURRENCY=USD", "XLFILL=b")</f>
        <v/>
      </c>
      <c r="AN27" s="9" t="str">
        <f>_xll.BQL("SEG0000269241 Segment", "SALES_REV_TURN/1M", "FPR=2022Y", "FPT=A", "FA_ACT_EST_DATA=E, EST_SOURCE=ACC", "ACT_EST_MAPPING=PRECISE", "FS=MRC", "CURRENCY=USD", "XLFILL=b")</f>
        <v/>
      </c>
      <c r="AO27" s="9" t="str">
        <f>_xll.BQL("SEG0000269241 Segment", "SALES_REV_TURN/1M", "FPR=2022Y", "FPT=A", "FA_ACT_EST_DATA=E, EST_SOURCE=GSR", "ACT_EST_MAPPING=PRECISE", "FS=MRC", "CURRENCY=USD", "XLFILL=b")</f>
        <v/>
      </c>
      <c r="AP27" s="9" t="str">
        <f>_xll.BQL("SEG0000269241 Segment", "SALES_REV_TURN/1M", "FPR=2022Y", "FPT=A", "FA_ACT_EST_DATA=E, EST_SOURCE=PSG", "ACT_EST_MAPPING=PRECISE", "FS=MRC", "CURRENCY=USD", "XLFILL=b")</f>
        <v/>
      </c>
      <c r="AQ27" s="9" t="str">
        <f>_xll.BQL("SEG0000269241 Segment", "SALES_REV_TURN/1M", "FPR=2022Y", "FPT=A", "FA_ACT_EST_DATA=E, EST_SOURCE=DWI", "ACT_EST_MAPPING=PRECISE", "FS=MRC", "CURRENCY=USD", "XLFILL=b")</f>
        <v/>
      </c>
      <c r="AR27" s="9" t="str">
        <f>_xll.BQL("SEG0000269241 Segment", "SALES_REV_TURN/1M", "FPR=2022Y", "FPT=A", "FA_ACT_EST_DATA=E, EST_SOURCE=RWB", "ACT_EST_MAPPING=PRECISE", "FS=MRC", "CURRENCY=USD", "XLFILL=b")</f>
        <v/>
      </c>
      <c r="AS27" s="9" t="str">
        <f>_xll.BQL("SEG0000269241 Segment", "SALES_REV_TURN/1M", "FPR=2022Y", "FPT=A", "FA_ACT_EST_DATA=E, EST_SOURCE=ARG", "ACT_EST_MAPPING=PRECISE", "FS=MRC", "CURRENCY=USD", "XLFILL=b")</f>
        <v/>
      </c>
      <c r="AT27" s="9" t="str">
        <f>_xll.BQL("SEG0000269241 Segment", "SALES_REV_TURN/1M", "FPR=2022Y", "FPT=A", "FA_ACT_EST_DATA=E, EST_SOURCE=CTI", "ACT_EST_MAPPING=PRECISE", "FS=MRC", "CURRENCY=USD", "XLFILL=b")</f>
        <v/>
      </c>
      <c r="AU27" s="9" t="str">
        <f>_xll.BQL("SEG0000269241 Segment", "SALES_REV_TURN/1M", "FPR=2022Y", "FPT=A", "FA_ACT_EST_DATA=E, EST_SOURCE=WFT", "ACT_EST_MAPPING=PRECISE", "FS=MRC", "CURRENCY=USD", "XLFILL=b")</f>
        <v/>
      </c>
      <c r="AV27" s="9" t="str">
        <f>_xll.BQL("SEG0000269241 Segment", "SALES_REV_TURN/1M", "FPR=2022Y", "FPT=A", "FA_ACT_EST_DATA=E, EST_SOURCE=PJE", "ACT_EST_MAPPING=PRECISE", "FS=MRC", "CURRENCY=USD", "XLFILL=b")</f>
        <v/>
      </c>
      <c r="AW27" s="9" t="str">
        <f>_xll.BQL("SEG0000269241 Segment", "SALES_REV_TURN/1M", "FPR=2022Y", "FPT=A", "FA_ACT_EST_DATA=E, EST_SOURCE=SGE", "ACT_EST_MAPPING=PRECISE", "FS=MRC", "CURRENCY=USD", "XLFILL=b")</f>
        <v/>
      </c>
      <c r="AX27" s="9" t="str">
        <f>_xll.BQL("SEG0000269241 Segment", "SALES_REV_TURN/1M", "FPR=2022Y", "FPT=A", "FA_ACT_EST_DATA=E, EST_SOURCE=MZS", "ACT_EST_MAPPING=PRECISE", "FS=MRC", "CURRENCY=USD", "XLFILL=b")</f>
        <v/>
      </c>
      <c r="AY27" s="9" t="str">
        <f>_xll.BQL("SEG0000269241 Segment", "SALES_REV_TURN/1M", "FPR=2022Y", "FPT=A", "FA_ACT_EST_DATA=E, EST_SOURCE=RCP", "ACT_EST_MAPPING=PRECISE", "FS=MRC", "CURRENCY=USD", "XLFILL=b")</f>
        <v/>
      </c>
      <c r="AZ27" s="9" t="str">
        <f>_xll.BQL("SEG0000269241 Segment", "SALES_REV_TURN/1M", "FPR=2022Y", "FPT=A", "FA_ACT_EST_DATA=E, EST_SOURCE=WFR", "ACT_EST_MAPPING=PRECISE", "FS=MRC", "CURRENCY=USD", "XLFILL=b")</f>
        <v/>
      </c>
      <c r="BA27" s="9" t="str">
        <f>_xll.BQL("SEG0000269241 Segment", "SALES_REV_TURN/1M", "FPR=2022Y", "FPT=A", "FA_ACT_EST_DATA=E, EST_SOURCE=NIK", "ACT_EST_MAPPING=PRECISE", "FS=MRC", "CURRENCY=USD", "XLFILL=b")</f>
        <v/>
      </c>
      <c r="BB27" s="9" t="str">
        <f>_xll.BQL("SEG0000269241 Segment", "SALES_REV_TURN/1M", "FPR=2022Y", "FPT=A", "FA_ACT_EST_DATA=E, EST_SOURCE=ARE", "ACT_EST_MAPPING=PRECISE", "FS=MRC", "CURRENCY=USD", "XLFILL=b")</f>
        <v/>
      </c>
      <c r="BC27" s="9" t="str">
        <f>_xll.BQL("SEG0000269241 Segment", "SALES_REV_TURN/1M", "FPR=2022Y", "FPT=A", "FA_ACT_EST_DATA=E, EST_SOURCE=RED", "ACT_EST_MAPPING=PRECISE", "FS=MRC", "CURRENCY=USD", "XLFILL=b")</f>
        <v/>
      </c>
      <c r="BD27" s="9" t="str">
        <f>_xll.BQL("SEG0000269241 Segment", "SALES_REV_TURN/1M", "FPR=2022Y", "FPT=A", "FA_ACT_EST_DATA=E, EST_SOURCE=DIR", "ACT_EST_MAPPING=PRECISE", "FS=MRC", "CURRENCY=USD", "XLFILL=b")</f>
        <v/>
      </c>
    </row>
    <row r="28" spans="1:56" x14ac:dyDescent="0.55000000000000004">
      <c r="A28" s="8" t="s">
        <v>66</v>
      </c>
      <c r="B28" s="5" t="s">
        <v>28</v>
      </c>
      <c r="C28" s="5" t="s">
        <v>67</v>
      </c>
      <c r="D28" s="5" t="s">
        <v>68</v>
      </c>
      <c r="E28" s="9">
        <f>_xll.BQL("SEG0000269242 Segment", "SALES_REV_TURN/1M", "FPR=2022Y", "FPT=A", "FA_ACT_EST_DATA=E", "ACT_EST_MAPPING=PRECISE", "FS=MRC", "CURRENCY=USD", "XLFILL=b")</f>
        <v>6244.9018749999996</v>
      </c>
      <c r="F28" s="9">
        <f>_xll.BQL("SEG0000269242 Segment", "CONTRIBUTOR_STATS(SALES_REV_TURN, MIN)/1M", "FPR=2022Y", "FPT=A", "FA_ACT_EST_DATA=E", "ACT_EST_MAPPING=PRECISE", "FS=MRC", "CURRENCY=USD", "XLFILL=b")</f>
        <v>4442.25</v>
      </c>
      <c r="G28" s="9">
        <f>_xll.BQL("SEG0000269242 Segment", "CONTRIBUTOR_STATS(SALES_REV_TURN, MAX)/1M", "FPR=2022Y", "FPT=A", "FA_ACT_EST_DATA=E", "ACT_EST_MAPPING=PRECISE", "FS=MRC", "CURRENCY=USD", "XLFILL=b")</f>
        <v>8291</v>
      </c>
      <c r="H28" s="9">
        <f>_xll.BQL("SEG0000269242 Segment", "CONTRIBUTOR_STATS(SALES_REV_TURN, STD)/1M", "FPR=2022Y", "FPT=A", "FA_ACT_EST_DATA=E", "ACT_EST_MAPPING=PRECISE", "FS=MRC", "CURRENCY=USD", "XLFILL=b")</f>
        <v>1911.44549118861</v>
      </c>
      <c r="I28" s="9">
        <f>_xll.BQL("SEG0000269242 Segment", "CONTRIBUTOR_STATS(SALES_REV_TURN, MEDIAN)/1M", "FPR=2022Y", "FPT=A", "FA_ACT_EST_DATA=E", "ACT_EST_MAPPING=PRECISE", "FS=MRC", "CURRENCY=USD", "XLFILL=b")</f>
        <v>5926.06</v>
      </c>
      <c r="J28" s="9" t="str">
        <f>_xll.BQL("SEG0000269242 Segment", "SALES_REV_TURN/1M", "FPR=2022Y", "FPT=A", "FA_ACT_EST_DATA=E, EST_SOURCE=CMPY", "ACT_EST_MAPPING=PRECISE", "FS=MRC", "CURRENCY=USD", "XLFILL=b")</f>
        <v/>
      </c>
      <c r="K28" s="9" t="str">
        <f>_xll.BQL("SEG0000269242 Segment", "SALES_REV_TURN/1M", "FPR=2022Y", "FPT=A", "FA_ACT_EST_DATA=E, EST_SOURCE=WBL", "ACT_EST_MAPPING=PRECISE", "FS=MRC", "CURRENCY=USD", "XLFILL=b")</f>
        <v/>
      </c>
      <c r="L28" s="9" t="str">
        <f>_xll.BQL("SEG0000269242 Segment", "SALES_REV_TURN/1M", "FPR=2022Y", "FPT=A", "FA_ACT_EST_DATA=E, EST_SOURCE=BMO", "ACT_EST_MAPPING=PRECISE", "FS=MRC", "CURRENCY=USD", "XLFILL=b")</f>
        <v/>
      </c>
      <c r="M28" s="9" t="str">
        <f>_xll.BQL("SEG0000269242 Segment", "SALES_REV_TURN/1M", "FPR=2022Y", "FPT=A", "FA_ACT_EST_DATA=E, EST_SOURCE=BCA", "ACT_EST_MAPPING=PRECISE", "FS=MRC", "CURRENCY=USD", "XLFILL=b")</f>
        <v/>
      </c>
      <c r="N28" s="9" t="str">
        <f>_xll.BQL("SEG0000269242 Segment", "SALES_REV_TURN/1M", "FPR=2022Y", "FPT=A", "FA_ACT_EST_DATA=E, EST_SOURCE=SNR", "ACT_EST_MAPPING=PRECISE", "FS=MRC", "CURRENCY=USD", "XLFILL=b")</f>
        <v/>
      </c>
      <c r="O28" s="9">
        <f>_xll.BQL("SEG0000269242 Segment", "SALES_REV_TURN/1M", "FPR=2022Y", "FPT=A", "FA_ACT_EST_DATA=E, EST_SOURCE=MSV", "ACT_EST_MAPPING=PRECISE", "FS=MRC", "CURRENCY=USD", "XLFILL=b")</f>
        <v>4482.33</v>
      </c>
      <c r="P28" s="9" t="str">
        <f>_xll.BQL("SEG0000269242 Segment", "SALES_REV_TURN/1M", "FPR=2022Y", "FPT=A", "FA_ACT_EST_DATA=E, EST_SOURCE=DBG", "ACT_EST_MAPPING=PRECISE", "FS=MRC", "CURRENCY=USD", "XLFILL=b")</f>
        <v/>
      </c>
      <c r="Q28" s="9">
        <f>_xll.BQL("SEG0000269242 Segment", "SALES_REV_TURN/1M", "FPR=2022Y", "FPT=A", "FA_ACT_EST_DATA=E, EST_SOURCE=NDH", "ACT_EST_MAPPING=PRECISE", "FS=MRC", "CURRENCY=USD", "XLFILL=b")</f>
        <v>8199</v>
      </c>
      <c r="R28" s="9" t="str">
        <f>_xll.BQL("SEG0000269242 Segment", "SALES_REV_TURN/1M", "FPR=2022Y", "FPT=A", "FA_ACT_EST_DATA=E, EST_SOURCE=CAN", "ACT_EST_MAPPING=PRECISE", "FS=MRC", "CURRENCY=USD", "XLFILL=b")</f>
        <v/>
      </c>
      <c r="S28" s="9" t="str">
        <f>_xll.BQL("SEG0000269242 Segment", "SALES_REV_TURN/1M", "FPR=2022Y", "FPT=A", "FA_ACT_EST_DATA=E, EST_SOURCE=SCB", "ACT_EST_MAPPING=PRECISE", "FS=MRC", "CURRENCY=USD", "XLFILL=b")</f>
        <v/>
      </c>
      <c r="T28" s="9">
        <f>_xll.BQL("SEG0000269242 Segment", "SALES_REV_TURN/1M", "FPR=2022Y", "FPT=A", "FA_ACT_EST_DATA=E, EST_SOURCE=JMP", "ACT_EST_MAPPING=PRECISE", "FS=MRC", "CURRENCY=USD", "XLFILL=b")</f>
        <v>8291</v>
      </c>
      <c r="U28" s="9" t="str">
        <f>_xll.BQL("SEG0000269242 Segment", "SALES_REV_TURN/1M", "FPR=2022Y", "FPT=A", "FA_ACT_EST_DATA=E, EST_SOURCE=RJA", "ACT_EST_MAPPING=PRECISE", "FS=MRC", "CURRENCY=USD", "XLFILL=b")</f>
        <v/>
      </c>
      <c r="V28" s="9" t="str">
        <f>_xll.BQL("SEG0000269242 Segment", "SALES_REV_TURN/1M", "FPR=2022Y", "FPT=A", "FA_ACT_EST_DATA=E, EST_SOURCE=OPY", "ACT_EST_MAPPING=PRECISE", "FS=MRC", "CURRENCY=USD", "XLFILL=b")</f>
        <v/>
      </c>
      <c r="W28" s="9" t="str">
        <f>_xll.BQL("SEG0000269242 Segment", "SALES_REV_TURN/1M", "FPR=2022Y", "FPT=A", "FA_ACT_EST_DATA=E, EST_SOURCE=JPM", "ACT_EST_MAPPING=PRECISE", "FS=MRC", "CURRENCY=USD", "XLFILL=b")</f>
        <v/>
      </c>
      <c r="X28" s="9" t="str">
        <f>_xll.BQL("SEG0000269242 Segment", "SALES_REV_TURN/1M", "FPR=2022Y", "FPT=A", "FA_ACT_EST_DATA=E, EST_SOURCE=FBC", "ACT_EST_MAPPING=PRECISE", "FS=MRC", "CURRENCY=USD", "XLFILL=b")</f>
        <v/>
      </c>
      <c r="Y28" s="9" t="str">
        <f>_xll.BQL("SEG0000269242 Segment", "SALES_REV_TURN/1M", "FPR=2022Y", "FPT=A", "FA_ACT_EST_DATA=E, EST_SOURCE=WMS", "ACT_EST_MAPPING=PRECISE", "FS=MRC", "CURRENCY=USD", "XLFILL=b")</f>
        <v/>
      </c>
      <c r="Z28" s="9">
        <f>_xll.BQL("SEG0000269242 Segment", "SALES_REV_TURN/1M", "FPR=2022Y", "FPT=A", "FA_ACT_EST_DATA=E, EST_SOURCE=KEY", "ACT_EST_MAPPING=PRECISE", "FS=MRC", "CURRENCY=USD", "XLFILL=b")</f>
        <v>8226.1144999999997</v>
      </c>
      <c r="AA28" s="9" t="str">
        <f>_xll.BQL("SEG0000269242 Segment", "SALES_REV_TURN/1M", "FPR=2022Y", "FPT=A", "FA_ACT_EST_DATA=E, EST_SOURCE=LCM", "ACT_EST_MAPPING=PRECISE", "FS=MRC", "CURRENCY=USD", "XLFILL=b")</f>
        <v/>
      </c>
      <c r="AB28" s="9" t="str">
        <f>_xll.BQL("SEG0000269242 Segment", "SALES_REV_TURN/1M", "FPR=2022Y", "FPT=A", "FA_ACT_EST_DATA=E, EST_SOURCE=CWN", "ACT_EST_MAPPING=PRECISE", "FS=MRC", "CURRENCY=USD", "XLFILL=b")</f>
        <v/>
      </c>
      <c r="AC28" s="9" t="str">
        <f>_xll.BQL("SEG0000269242 Segment", "SALES_REV_TURN/1M", "FPR=2022Y", "FPT=A", "FA_ACT_EST_DATA=E, EST_SOURCE=BNS", "ACT_EST_MAPPING=PRECISE", "FS=MRC", "CURRENCY=USD", "XLFILL=b")</f>
        <v/>
      </c>
      <c r="AD28" s="9" t="str">
        <f>_xll.BQL("SEG0000269242 Segment", "SALES_REV_TURN/1M", "FPR=2022Y", "FPT=A", "FA_ACT_EST_DATA=E, EST_SOURCE=BAM", "ACT_EST_MAPPING=PRECISE", "FS=MRC", "CURRENCY=USD", "XLFILL=b")</f>
        <v/>
      </c>
      <c r="AE28" s="9" t="str">
        <f>_xll.BQL("SEG0000269242 Segment", "SALES_REV_TURN/1M", "FPR=2022Y", "FPT=A", "FA_ACT_EST_DATA=E, EST_SOURCE=RBC", "ACT_EST_MAPPING=PRECISE", "FS=MRC", "CURRENCY=USD", "XLFILL=b")</f>
        <v/>
      </c>
      <c r="AF28" s="9" t="str">
        <f>_xll.BQL("SEG0000269242 Segment", "SALES_REV_TURN/1M", "FPR=2022Y", "FPT=A", "FA_ACT_EST_DATA=E, EST_SOURCE=UBS", "ACT_EST_MAPPING=PRECISE", "FS=MRC", "CURRENCY=USD", "XLFILL=b")</f>
        <v/>
      </c>
      <c r="AG28" s="9" t="str">
        <f>_xll.BQL("SEG0000269242 Segment", "SALES_REV_TURN/1M", "FPR=2022Y", "FPT=A", "FA_ACT_EST_DATA=E, EST_SOURCE=RHR", "ACT_EST_MAPPING=PRECISE", "FS=MRC", "CURRENCY=USD", "XLFILL=b")</f>
        <v/>
      </c>
      <c r="AH28" s="9" t="str">
        <f>_xll.BQL("SEG0000269242 Segment", "SALES_REV_TURN/1M", "FPR=2022Y", "FPT=A", "FA_ACT_EST_DATA=E, EST_SOURCE=JEF", "ACT_EST_MAPPING=PRECISE", "FS=MRC", "CURRENCY=USD", "XLFILL=b")</f>
        <v/>
      </c>
      <c r="AI28" s="9" t="str">
        <f>_xll.BQL("SEG0000269242 Segment", "SALES_REV_TURN/1M", "FPR=2022Y", "FPT=A", "FA_ACT_EST_DATA=E, EST_SOURCE=ATL", "ACT_EST_MAPPING=PRECISE", "FS=MRC", "CURRENCY=USD", "XLFILL=b")</f>
        <v/>
      </c>
      <c r="AJ28" s="9" t="str">
        <f>_xll.BQL("SEG0000269242 Segment", "SALES_REV_TURN/1M", "FPR=2022Y", "FPT=A", "FA_ACT_EST_DATA=E, EST_SOURCE=MAC", "ACT_EST_MAPPING=PRECISE", "FS=MRC", "CURRENCY=USD", "XLFILL=b")</f>
        <v/>
      </c>
      <c r="AK28" s="9" t="str">
        <f>_xll.BQL("SEG0000269242 Segment", "SALES_REV_TURN/1M", "FPR=2022Y", "FPT=A", "FA_ACT_EST_DATA=E, EST_SOURCE=EVR", "ACT_EST_MAPPING=PRECISE", "FS=MRC", "CURRENCY=USD", "XLFILL=b")</f>
        <v/>
      </c>
      <c r="AL28" s="9" t="str">
        <f>_xll.BQL("SEG0000269242 Segment", "SALES_REV_TURN/1M", "FPR=2022Y", "FPT=A", "FA_ACT_EST_DATA=E, EST_SOURCE=MSR", "ACT_EST_MAPPING=PRECISE", "FS=MRC", "CURRENCY=USD", "XLFILL=b")</f>
        <v/>
      </c>
      <c r="AM28" s="9" t="str">
        <f>_xll.BQL("SEG0000269242 Segment", "SALES_REV_TURN/1M", "FPR=2022Y", "FPT=A", "FA_ACT_EST_DATA=E, EST_SOURCE=KGI", "ACT_EST_MAPPING=PRECISE", "FS=MRC", "CURRENCY=USD", "XLFILL=b")</f>
        <v/>
      </c>
      <c r="AN28" s="9" t="str">
        <f>_xll.BQL("SEG0000269242 Segment", "SALES_REV_TURN/1M", "FPR=2022Y", "FPT=A", "FA_ACT_EST_DATA=E, EST_SOURCE=ACC", "ACT_EST_MAPPING=PRECISE", "FS=MRC", "CURRENCY=USD", "XLFILL=b")</f>
        <v/>
      </c>
      <c r="AO28" s="9" t="str">
        <f>_xll.BQL("SEG0000269242 Segment", "SALES_REV_TURN/1M", "FPR=2022Y", "FPT=A", "FA_ACT_EST_DATA=E, EST_SOURCE=GSR", "ACT_EST_MAPPING=PRECISE", "FS=MRC", "CURRENCY=USD", "XLFILL=b")</f>
        <v/>
      </c>
      <c r="AP28" s="9" t="str">
        <f>_xll.BQL("SEG0000269242 Segment", "SALES_REV_TURN/1M", "FPR=2022Y", "FPT=A", "FA_ACT_EST_DATA=E, EST_SOURCE=PSG", "ACT_EST_MAPPING=PRECISE", "FS=MRC", "CURRENCY=USD", "XLFILL=b")</f>
        <v/>
      </c>
      <c r="AQ28" s="9" t="str">
        <f>_xll.BQL("SEG0000269242 Segment", "SALES_REV_TURN/1M", "FPR=2022Y", "FPT=A", "FA_ACT_EST_DATA=E, EST_SOURCE=DWI", "ACT_EST_MAPPING=PRECISE", "FS=MRC", "CURRENCY=USD", "XLFILL=b")</f>
        <v/>
      </c>
      <c r="AR28" s="9" t="str">
        <f>_xll.BQL("SEG0000269242 Segment", "SALES_REV_TURN/1M", "FPR=2022Y", "FPT=A", "FA_ACT_EST_DATA=E, EST_SOURCE=RWB", "ACT_EST_MAPPING=PRECISE", "FS=MRC", "CURRENCY=USD", "XLFILL=b")</f>
        <v/>
      </c>
      <c r="AS28" s="9" t="str">
        <f>_xll.BQL("SEG0000269242 Segment", "SALES_REV_TURN/1M", "FPR=2022Y", "FPT=A", "FA_ACT_EST_DATA=E, EST_SOURCE=ARG", "ACT_EST_MAPPING=PRECISE", "FS=MRC", "CURRENCY=USD", "XLFILL=b")</f>
        <v/>
      </c>
      <c r="AT28" s="9" t="str">
        <f>_xll.BQL("SEG0000269242 Segment", "SALES_REV_TURN/1M", "FPR=2022Y", "FPT=A", "FA_ACT_EST_DATA=E, EST_SOURCE=CTI", "ACT_EST_MAPPING=PRECISE", "FS=MRC", "CURRENCY=USD", "XLFILL=b")</f>
        <v/>
      </c>
      <c r="AU28" s="9" t="str">
        <f>_xll.BQL("SEG0000269242 Segment", "SALES_REV_TURN/1M", "FPR=2022Y", "FPT=A", "FA_ACT_EST_DATA=E, EST_SOURCE=WFT", "ACT_EST_MAPPING=PRECISE", "FS=MRC", "CURRENCY=USD", "XLFILL=b")</f>
        <v/>
      </c>
      <c r="AV28" s="9" t="str">
        <f>_xll.BQL("SEG0000269242 Segment", "SALES_REV_TURN/1M", "FPR=2022Y", "FPT=A", "FA_ACT_EST_DATA=E, EST_SOURCE=PJE", "ACT_EST_MAPPING=PRECISE", "FS=MRC", "CURRENCY=USD", "XLFILL=b")</f>
        <v/>
      </c>
      <c r="AW28" s="9" t="str">
        <f>_xll.BQL("SEG0000269242 Segment", "SALES_REV_TURN/1M", "FPR=2022Y", "FPT=A", "FA_ACT_EST_DATA=E, EST_SOURCE=SGE", "ACT_EST_MAPPING=PRECISE", "FS=MRC", "CURRENCY=USD", "XLFILL=b")</f>
        <v/>
      </c>
      <c r="AX28" s="9" t="str">
        <f>_xll.BQL("SEG0000269242 Segment", "SALES_REV_TURN/1M", "FPR=2022Y", "FPT=A", "FA_ACT_EST_DATA=E, EST_SOURCE=MZS", "ACT_EST_MAPPING=PRECISE", "FS=MRC", "CURRENCY=USD", "XLFILL=b")</f>
        <v/>
      </c>
      <c r="AY28" s="9" t="str">
        <f>_xll.BQL("SEG0000269242 Segment", "SALES_REV_TURN/1M", "FPR=2022Y", "FPT=A", "FA_ACT_EST_DATA=E, EST_SOURCE=RCP", "ACT_EST_MAPPING=PRECISE", "FS=MRC", "CURRENCY=USD", "XLFILL=b")</f>
        <v/>
      </c>
      <c r="AZ28" s="9" t="str">
        <f>_xll.BQL("SEG0000269242 Segment", "SALES_REV_TURN/1M", "FPR=2022Y", "FPT=A", "FA_ACT_EST_DATA=E, EST_SOURCE=WFR", "ACT_EST_MAPPING=PRECISE", "FS=MRC", "CURRENCY=USD", "XLFILL=b")</f>
        <v/>
      </c>
      <c r="BA28" s="9" t="str">
        <f>_xll.BQL("SEG0000269242 Segment", "SALES_REV_TURN/1M", "FPR=2022Y", "FPT=A", "FA_ACT_EST_DATA=E, EST_SOURCE=NIK", "ACT_EST_MAPPING=PRECISE", "FS=MRC", "CURRENCY=USD", "XLFILL=b")</f>
        <v/>
      </c>
      <c r="BB28" s="9" t="str">
        <f>_xll.BQL("SEG0000269242 Segment", "SALES_REV_TURN/1M", "FPR=2022Y", "FPT=A", "FA_ACT_EST_DATA=E, EST_SOURCE=ARE", "ACT_EST_MAPPING=PRECISE", "FS=MRC", "CURRENCY=USD", "XLFILL=b")</f>
        <v/>
      </c>
      <c r="BC28" s="9" t="str">
        <f>_xll.BQL("SEG0000269242 Segment", "SALES_REV_TURN/1M", "FPR=2022Y", "FPT=A", "FA_ACT_EST_DATA=E, EST_SOURCE=RED", "ACT_EST_MAPPING=PRECISE", "FS=MRC", "CURRENCY=USD", "XLFILL=b")</f>
        <v/>
      </c>
      <c r="BD28" s="9" t="str">
        <f>_xll.BQL("SEG0000269242 Segment", "SALES_REV_TURN/1M", "FPR=2022Y", "FPT=A", "FA_ACT_EST_DATA=E, EST_SOURCE=DIR", "ACT_EST_MAPPING=PRECISE", "FS=MRC", "CURRENCY=USD", "XLFILL=b")</f>
        <v/>
      </c>
    </row>
    <row r="29" spans="1:56" x14ac:dyDescent="0.55000000000000004">
      <c r="A29" s="8" t="s">
        <v>69</v>
      </c>
      <c r="B29" s="5" t="s">
        <v>28</v>
      </c>
      <c r="C29" s="5" t="s">
        <v>70</v>
      </c>
      <c r="D29" s="5" t="s">
        <v>71</v>
      </c>
      <c r="E29" s="9">
        <f>_xll.BQL("SEG0000269233 Segment", "SALES_REV_TURN/1M", "FPR=2022Y", "FPT=A", "FA_ACT_EST_DATA=E", "ACT_EST_MAPPING=PRECISE", "FS=MRC", "CURRENCY=USD", "XLFILL=b")</f>
        <v>3927.3205555555551</v>
      </c>
      <c r="F29" s="9">
        <f>_xll.BQL("SEG0000269233 Segment", "CONTRIBUTOR_STATS(SALES_REV_TURN, MIN)/1M", "FPR=2022Y", "FPT=A", "FA_ACT_EST_DATA=E", "ACT_EST_MAPPING=PRECISE", "FS=MRC", "CURRENCY=USD", "XLFILL=b")</f>
        <v>3881</v>
      </c>
      <c r="G29" s="9">
        <f>_xll.BQL("SEG0000269233 Segment", "CONTRIBUTOR_STATS(SALES_REV_TURN, MAX)/1M", "FPR=2022Y", "FPT=A", "FA_ACT_EST_DATA=E", "ACT_EST_MAPPING=PRECISE", "FS=MRC", "CURRENCY=USD", "XLFILL=b")</f>
        <v>3959.63</v>
      </c>
      <c r="H29" s="9">
        <f>_xll.BQL("SEG0000269233 Segment", "CONTRIBUTOR_STATS(SALES_REV_TURN, STD)/1M", "FPR=2022Y", "FPT=A", "FA_ACT_EST_DATA=E", "ACT_EST_MAPPING=PRECISE", "FS=MRC", "CURRENCY=USD", "XLFILL=b")</f>
        <v>24.597008004588311</v>
      </c>
      <c r="I29" s="9">
        <f>_xll.BQL("SEG0000269233 Segment", "CONTRIBUTOR_STATS(SALES_REV_TURN, MEDIAN)/1M", "FPR=2022Y", "FPT=A", "FA_ACT_EST_DATA=E", "ACT_EST_MAPPING=PRECISE", "FS=MRC", "CURRENCY=USD", "XLFILL=b")</f>
        <v>3924.87</v>
      </c>
      <c r="J29" s="9" t="str">
        <f>_xll.BQL("SEG0000269233 Segment", "SALES_REV_TURN/1M", "FPR=2022Y", "FPT=A", "FA_ACT_EST_DATA=E, EST_SOURCE=CMPY", "ACT_EST_MAPPING=PRECISE", "FS=MRC", "CURRENCY=USD", "XLFILL=b")</f>
        <v/>
      </c>
      <c r="K29" s="9" t="str">
        <f>_xll.BQL("SEG0000269233 Segment", "SALES_REV_TURN/1M", "FPR=2022Y", "FPT=A", "FA_ACT_EST_DATA=E, EST_SOURCE=WBL", "ACT_EST_MAPPING=PRECISE", "FS=MRC", "CURRENCY=USD", "XLFILL=b")</f>
        <v/>
      </c>
      <c r="L29" s="9" t="str">
        <f>_xll.BQL("SEG0000269233 Segment", "SALES_REV_TURN/1M", "FPR=2022Y", "FPT=A", "FA_ACT_EST_DATA=E, EST_SOURCE=BMO", "ACT_EST_MAPPING=PRECISE", "FS=MRC", "CURRENCY=USD", "XLFILL=b")</f>
        <v/>
      </c>
      <c r="M29" s="9" t="str">
        <f>_xll.BQL("SEG0000269233 Segment", "SALES_REV_TURN/1M", "FPR=2022Y", "FPT=A", "FA_ACT_EST_DATA=E, EST_SOURCE=BCA", "ACT_EST_MAPPING=PRECISE", "FS=MRC", "CURRENCY=USD", "XLFILL=b")</f>
        <v/>
      </c>
      <c r="N29" s="9" t="str">
        <f>_xll.BQL("SEG0000269233 Segment", "SALES_REV_TURN/1M", "FPR=2022Y", "FPT=A", "FA_ACT_EST_DATA=E, EST_SOURCE=SNR", "ACT_EST_MAPPING=PRECISE", "FS=MRC", "CURRENCY=USD", "XLFILL=b")</f>
        <v/>
      </c>
      <c r="O29" s="9">
        <f>_xll.BQL("SEG0000269233 Segment", "SALES_REV_TURN/1M", "FPR=2022Y", "FPT=A", "FA_ACT_EST_DATA=E, EST_SOURCE=MSV", "ACT_EST_MAPPING=PRECISE", "FS=MRC", "CURRENCY=USD", "XLFILL=b")</f>
        <v>3955.2849999999999</v>
      </c>
      <c r="P29" s="9" t="str">
        <f>_xll.BQL("SEG0000269233 Segment", "SALES_REV_TURN/1M", "FPR=2022Y", "FPT=A", "FA_ACT_EST_DATA=E, EST_SOURCE=DBG", "ACT_EST_MAPPING=PRECISE", "FS=MRC", "CURRENCY=USD", "XLFILL=b")</f>
        <v/>
      </c>
      <c r="Q29" s="9">
        <f>_xll.BQL("SEG0000269233 Segment", "SALES_REV_TURN/1M", "FPR=2022Y", "FPT=A", "FA_ACT_EST_DATA=E, EST_SOURCE=NDH", "ACT_EST_MAPPING=PRECISE", "FS=MRC", "CURRENCY=USD", "XLFILL=b")</f>
        <v>3881</v>
      </c>
      <c r="R29" s="9" t="str">
        <f>_xll.BQL("SEG0000269233 Segment", "SALES_REV_TURN/1M", "FPR=2022Y", "FPT=A", "FA_ACT_EST_DATA=E, EST_SOURCE=CAN", "ACT_EST_MAPPING=PRECISE", "FS=MRC", "CURRENCY=USD", "XLFILL=b")</f>
        <v/>
      </c>
      <c r="S29" s="9" t="str">
        <f>_xll.BQL("SEG0000269233 Segment", "SALES_REV_TURN/1M", "FPR=2022Y", "FPT=A", "FA_ACT_EST_DATA=E, EST_SOURCE=SCB", "ACT_EST_MAPPING=PRECISE", "FS=MRC", "CURRENCY=USD", "XLFILL=b")</f>
        <v/>
      </c>
      <c r="T29" s="9">
        <f>_xll.BQL("SEG0000269233 Segment", "SALES_REV_TURN/1M", "FPR=2022Y", "FPT=A", "FA_ACT_EST_DATA=E, EST_SOURCE=JMP", "ACT_EST_MAPPING=PRECISE", "FS=MRC", "CURRENCY=USD", "XLFILL=b")</f>
        <v>3916</v>
      </c>
      <c r="U29" s="9" t="str">
        <f>_xll.BQL("SEG0000269233 Segment", "SALES_REV_TURN/1M", "FPR=2022Y", "FPT=A", "FA_ACT_EST_DATA=E, EST_SOURCE=RJA", "ACT_EST_MAPPING=PRECISE", "FS=MRC", "CURRENCY=USD", "XLFILL=b")</f>
        <v/>
      </c>
      <c r="V29" s="9" t="str">
        <f>_xll.BQL("SEG0000269233 Segment", "SALES_REV_TURN/1M", "FPR=2022Y", "FPT=A", "FA_ACT_EST_DATA=E, EST_SOURCE=OPY", "ACT_EST_MAPPING=PRECISE", "FS=MRC", "CURRENCY=USD", "XLFILL=b")</f>
        <v/>
      </c>
      <c r="W29" s="9" t="str">
        <f>_xll.BQL("SEG0000269233 Segment", "SALES_REV_TURN/1M", "FPR=2022Y", "FPT=A", "FA_ACT_EST_DATA=E, EST_SOURCE=JPM", "ACT_EST_MAPPING=PRECISE", "FS=MRC", "CURRENCY=USD", "XLFILL=b")</f>
        <v/>
      </c>
      <c r="X29" s="9" t="str">
        <f>_xll.BQL("SEG0000269233 Segment", "SALES_REV_TURN/1M", "FPR=2022Y", "FPT=A", "FA_ACT_EST_DATA=E, EST_SOURCE=FBC", "ACT_EST_MAPPING=PRECISE", "FS=MRC", "CURRENCY=USD", "XLFILL=b")</f>
        <v/>
      </c>
      <c r="Y29" s="9" t="str">
        <f>_xll.BQL("SEG0000269233 Segment", "SALES_REV_TURN/1M", "FPR=2022Y", "FPT=A", "FA_ACT_EST_DATA=E, EST_SOURCE=WMS", "ACT_EST_MAPPING=PRECISE", "FS=MRC", "CURRENCY=USD", "XLFILL=b")</f>
        <v/>
      </c>
      <c r="Z29" s="9">
        <f>_xll.BQL("SEG0000269233 Segment", "SALES_REV_TURN/1M", "FPR=2022Y", "FPT=A", "FA_ACT_EST_DATA=E, EST_SOURCE=KEY", "ACT_EST_MAPPING=PRECISE", "FS=MRC", "CURRENCY=USD", "XLFILL=b")</f>
        <v>3901.9259999999999</v>
      </c>
      <c r="AA29" s="9" t="str">
        <f>_xll.BQL("SEG0000269233 Segment", "SALES_REV_TURN/1M", "FPR=2022Y", "FPT=A", "FA_ACT_EST_DATA=E, EST_SOURCE=LCM", "ACT_EST_MAPPING=PRECISE", "FS=MRC", "CURRENCY=USD", "XLFILL=b")</f>
        <v/>
      </c>
      <c r="AB29" s="9" t="str">
        <f>_xll.BQL("SEG0000269233 Segment", "SALES_REV_TURN/1M", "FPR=2022Y", "FPT=A", "FA_ACT_EST_DATA=E, EST_SOURCE=CWN", "ACT_EST_MAPPING=PRECISE", "FS=MRC", "CURRENCY=USD", "XLFILL=b")</f>
        <v/>
      </c>
      <c r="AC29" s="9" t="str">
        <f>_xll.BQL("SEG0000269233 Segment", "SALES_REV_TURN/1M", "FPR=2022Y", "FPT=A", "FA_ACT_EST_DATA=E, EST_SOURCE=BNS", "ACT_EST_MAPPING=PRECISE", "FS=MRC", "CURRENCY=USD", "XLFILL=b")</f>
        <v/>
      </c>
      <c r="AD29" s="9" t="str">
        <f>_xll.BQL("SEG0000269233 Segment", "SALES_REV_TURN/1M", "FPR=2022Y", "FPT=A", "FA_ACT_EST_DATA=E, EST_SOURCE=BAM", "ACT_EST_MAPPING=PRECISE", "FS=MRC", "CURRENCY=USD", "XLFILL=b")</f>
        <v/>
      </c>
      <c r="AE29" s="9" t="str">
        <f>_xll.BQL("SEG0000269233 Segment", "SALES_REV_TURN/1M", "FPR=2022Y", "FPT=A", "FA_ACT_EST_DATA=E, EST_SOURCE=RBC", "ACT_EST_MAPPING=PRECISE", "FS=MRC", "CURRENCY=USD", "XLFILL=b")</f>
        <v/>
      </c>
      <c r="AF29" s="9" t="str">
        <f>_xll.BQL("SEG0000269233 Segment", "SALES_REV_TURN/1M", "FPR=2022Y", "FPT=A", "FA_ACT_EST_DATA=E, EST_SOURCE=UBS", "ACT_EST_MAPPING=PRECISE", "FS=MRC", "CURRENCY=USD", "XLFILL=b")</f>
        <v/>
      </c>
      <c r="AG29" s="9" t="str">
        <f>_xll.BQL("SEG0000269233 Segment", "SALES_REV_TURN/1M", "FPR=2022Y", "FPT=A", "FA_ACT_EST_DATA=E, EST_SOURCE=RHR", "ACT_EST_MAPPING=PRECISE", "FS=MRC", "CURRENCY=USD", "XLFILL=b")</f>
        <v/>
      </c>
      <c r="AH29" s="9" t="str">
        <f>_xll.BQL("SEG0000269233 Segment", "SALES_REV_TURN/1M", "FPR=2022Y", "FPT=A", "FA_ACT_EST_DATA=E, EST_SOURCE=JEF", "ACT_EST_MAPPING=PRECISE", "FS=MRC", "CURRENCY=USD", "XLFILL=b")</f>
        <v/>
      </c>
      <c r="AI29" s="9" t="str">
        <f>_xll.BQL("SEG0000269233 Segment", "SALES_REV_TURN/1M", "FPR=2022Y", "FPT=A", "FA_ACT_EST_DATA=E, EST_SOURCE=ATL", "ACT_EST_MAPPING=PRECISE", "FS=MRC", "CURRENCY=USD", "XLFILL=b")</f>
        <v/>
      </c>
      <c r="AJ29" s="9" t="str">
        <f>_xll.BQL("SEG0000269233 Segment", "SALES_REV_TURN/1M", "FPR=2022Y", "FPT=A", "FA_ACT_EST_DATA=E, EST_SOURCE=MAC", "ACT_EST_MAPPING=PRECISE", "FS=MRC", "CURRENCY=USD", "XLFILL=b")</f>
        <v/>
      </c>
      <c r="AK29" s="9" t="str">
        <f>_xll.BQL("SEG0000269233 Segment", "SALES_REV_TURN/1M", "FPR=2022Y", "FPT=A", "FA_ACT_EST_DATA=E, EST_SOURCE=EVR", "ACT_EST_MAPPING=PRECISE", "FS=MRC", "CURRENCY=USD", "XLFILL=b")</f>
        <v/>
      </c>
      <c r="AL29" s="9" t="str">
        <f>_xll.BQL("SEG0000269233 Segment", "SALES_REV_TURN/1M", "FPR=2022Y", "FPT=A", "FA_ACT_EST_DATA=E, EST_SOURCE=MSR", "ACT_EST_MAPPING=PRECISE", "FS=MRC", "CURRENCY=USD", "XLFILL=b")</f>
        <v/>
      </c>
      <c r="AM29" s="9" t="str">
        <f>_xll.BQL("SEG0000269233 Segment", "SALES_REV_TURN/1M", "FPR=2022Y", "FPT=A", "FA_ACT_EST_DATA=E, EST_SOURCE=KGI", "ACT_EST_MAPPING=PRECISE", "FS=MRC", "CURRENCY=USD", "XLFILL=b")</f>
        <v/>
      </c>
      <c r="AN29" s="9" t="str">
        <f>_xll.BQL("SEG0000269233 Segment", "SALES_REV_TURN/1M", "FPR=2022Y", "FPT=A", "FA_ACT_EST_DATA=E, EST_SOURCE=ACC", "ACT_EST_MAPPING=PRECISE", "FS=MRC", "CURRENCY=USD", "XLFILL=b")</f>
        <v/>
      </c>
      <c r="AO29" s="9" t="str">
        <f>_xll.BQL("SEG0000269233 Segment", "SALES_REV_TURN/1M", "FPR=2022Y", "FPT=A", "FA_ACT_EST_DATA=E, EST_SOURCE=GSR", "ACT_EST_MAPPING=PRECISE", "FS=MRC", "CURRENCY=USD", "XLFILL=b")</f>
        <v/>
      </c>
      <c r="AP29" s="9" t="str">
        <f>_xll.BQL("SEG0000269233 Segment", "SALES_REV_TURN/1M", "FPR=2022Y", "FPT=A", "FA_ACT_EST_DATA=E, EST_SOURCE=PSG", "ACT_EST_MAPPING=PRECISE", "FS=MRC", "CURRENCY=USD", "XLFILL=b")</f>
        <v/>
      </c>
      <c r="AQ29" s="9" t="str">
        <f>_xll.BQL("SEG0000269233 Segment", "SALES_REV_TURN/1M", "FPR=2022Y", "FPT=A", "FA_ACT_EST_DATA=E, EST_SOURCE=DWI", "ACT_EST_MAPPING=PRECISE", "FS=MRC", "CURRENCY=USD", "XLFILL=b")</f>
        <v/>
      </c>
      <c r="AR29" s="9" t="str">
        <f>_xll.BQL("SEG0000269233 Segment", "SALES_REV_TURN/1M", "FPR=2022Y", "FPT=A", "FA_ACT_EST_DATA=E, EST_SOURCE=RWB", "ACT_EST_MAPPING=PRECISE", "FS=MRC", "CURRENCY=USD", "XLFILL=b")</f>
        <v/>
      </c>
      <c r="AS29" s="9" t="str">
        <f>_xll.BQL("SEG0000269233 Segment", "SALES_REV_TURN/1M", "FPR=2022Y", "FPT=A", "FA_ACT_EST_DATA=E, EST_SOURCE=ARG", "ACT_EST_MAPPING=PRECISE", "FS=MRC", "CURRENCY=USD", "XLFILL=b")</f>
        <v/>
      </c>
      <c r="AT29" s="9" t="str">
        <f>_xll.BQL("SEG0000269233 Segment", "SALES_REV_TURN/1M", "FPR=2022Y", "FPT=A", "FA_ACT_EST_DATA=E, EST_SOURCE=CTI", "ACT_EST_MAPPING=PRECISE", "FS=MRC", "CURRENCY=USD", "XLFILL=b")</f>
        <v/>
      </c>
      <c r="AU29" s="9" t="str">
        <f>_xll.BQL("SEG0000269233 Segment", "SALES_REV_TURN/1M", "FPR=2022Y", "FPT=A", "FA_ACT_EST_DATA=E, EST_SOURCE=WFT", "ACT_EST_MAPPING=PRECISE", "FS=MRC", "CURRENCY=USD", "XLFILL=b")</f>
        <v/>
      </c>
      <c r="AV29" s="9" t="str">
        <f>_xll.BQL("SEG0000269233 Segment", "SALES_REV_TURN/1M", "FPR=2022Y", "FPT=A", "FA_ACT_EST_DATA=E, EST_SOURCE=PJE", "ACT_EST_MAPPING=PRECISE", "FS=MRC", "CURRENCY=USD", "XLFILL=b")</f>
        <v/>
      </c>
      <c r="AW29" s="9" t="str">
        <f>_xll.BQL("SEG0000269233 Segment", "SALES_REV_TURN/1M", "FPR=2022Y", "FPT=A", "FA_ACT_EST_DATA=E, EST_SOURCE=SGE", "ACT_EST_MAPPING=PRECISE", "FS=MRC", "CURRENCY=USD", "XLFILL=b")</f>
        <v/>
      </c>
      <c r="AX29" s="9" t="str">
        <f>_xll.BQL("SEG0000269233 Segment", "SALES_REV_TURN/1M", "FPR=2022Y", "FPT=A", "FA_ACT_EST_DATA=E, EST_SOURCE=MZS", "ACT_EST_MAPPING=PRECISE", "FS=MRC", "CURRENCY=USD", "XLFILL=b")</f>
        <v/>
      </c>
      <c r="AY29" s="9" t="str">
        <f>_xll.BQL("SEG0000269233 Segment", "SALES_REV_TURN/1M", "FPR=2022Y", "FPT=A", "FA_ACT_EST_DATA=E, EST_SOURCE=RCP", "ACT_EST_MAPPING=PRECISE", "FS=MRC", "CURRENCY=USD", "XLFILL=b")</f>
        <v/>
      </c>
      <c r="AZ29" s="9" t="str">
        <f>_xll.BQL("SEG0000269233 Segment", "SALES_REV_TURN/1M", "FPR=2022Y", "FPT=A", "FA_ACT_EST_DATA=E, EST_SOURCE=WFR", "ACT_EST_MAPPING=PRECISE", "FS=MRC", "CURRENCY=USD", "XLFILL=b")</f>
        <v/>
      </c>
      <c r="BA29" s="9" t="str">
        <f>_xll.BQL("SEG0000269233 Segment", "SALES_REV_TURN/1M", "FPR=2022Y", "FPT=A", "FA_ACT_EST_DATA=E, EST_SOURCE=NIK", "ACT_EST_MAPPING=PRECISE", "FS=MRC", "CURRENCY=USD", "XLFILL=b")</f>
        <v/>
      </c>
      <c r="BB29" s="9" t="str">
        <f>_xll.BQL("SEG0000269233 Segment", "SALES_REV_TURN/1M", "FPR=2022Y", "FPT=A", "FA_ACT_EST_DATA=E, EST_SOURCE=ARE", "ACT_EST_MAPPING=PRECISE", "FS=MRC", "CURRENCY=USD", "XLFILL=b")</f>
        <v/>
      </c>
      <c r="BC29" s="9" t="str">
        <f>_xll.BQL("SEG0000269233 Segment", "SALES_REV_TURN/1M", "FPR=2022Y", "FPT=A", "FA_ACT_EST_DATA=E, EST_SOURCE=RED", "ACT_EST_MAPPING=PRECISE", "FS=MRC", "CURRENCY=USD", "XLFILL=b")</f>
        <v/>
      </c>
      <c r="BD29" s="9" t="str">
        <f>_xll.BQL("SEG0000269233 Segment", "SALES_REV_TURN/1M", "FPR=2022Y", "FPT=A", "FA_ACT_EST_DATA=E, EST_SOURCE=DIR", "ACT_EST_MAPPING=PRECISE", "FS=MRC", "CURRENCY=USD", "XLFILL=b")</f>
        <v/>
      </c>
    </row>
    <row r="30" spans="1:56" x14ac:dyDescent="0.55000000000000004">
      <c r="A30" s="8" t="s">
        <v>72</v>
      </c>
      <c r="B30" s="5" t="s">
        <v>73</v>
      </c>
      <c r="C30" s="5" t="s">
        <v>74</v>
      </c>
      <c r="D30" s="5" t="s">
        <v>30</v>
      </c>
      <c r="E30" s="9">
        <f>_xll.BQL("SEG0000269238 Segment", "IS_COGS_TO_FE_AND_PP_AND_G/1M", "FPR=2022Y", "FPT=A", "FA_ACT_EST_DATA=E", "ACT_EST_MAPPING=PRECISE", "FS=MRC", "CURRENCY=USD", "XLFILL=b")</f>
        <v>4866.5291849999739</v>
      </c>
      <c r="F30" s="9">
        <f>_xll.BQL("SEG0000269238 Segment", "CONTRIBUTOR_STATS(IS_COGS_TO_FE_AND_PP_AND_G, MIN)/1M", "FPR=2022Y", "FPT=A", "FA_ACT_EST_DATA=E", "ACT_EST_MAPPING=PRECISE", "FS=MRC", "CURRENCY=USD", "XLFILL=b")</f>
        <v>3603</v>
      </c>
      <c r="G30" s="9">
        <f>_xll.BQL("SEG0000269238 Segment", "CONTRIBUTOR_STATS(IS_COGS_TO_FE_AND_PP_AND_G, MAX)/1M", "FPR=2022Y", "FPT=A", "FA_ACT_EST_DATA=E", "ACT_EST_MAPPING=PRECISE", "FS=MRC", "CURRENCY=USD", "XLFILL=b")</f>
        <v>5131.1447670446742</v>
      </c>
      <c r="H30" s="9">
        <f>_xll.BQL("SEG0000269238 Segment", "CONTRIBUTOR_STATS(IS_COGS_TO_FE_AND_PP_AND_G, STD)/1M", "FPR=2022Y", "FPT=A", "FA_ACT_EST_DATA=E", "ACT_EST_MAPPING=PRECISE", "FS=MRC", "CURRENCY=USD", "XLFILL=b")</f>
        <v>450.55044349745117</v>
      </c>
      <c r="I30" s="9">
        <f>_xll.BQL("SEG0000269238 Segment", "CONTRIBUTOR_STATS(IS_COGS_TO_FE_AND_PP_AND_G, MEDIAN)/1M", "FPR=2022Y", "FPT=A", "FA_ACT_EST_DATA=E", "ACT_EST_MAPPING=PRECISE", "FS=MRC", "CURRENCY=USD", "XLFILL=b")</f>
        <v>5009.3162549999997</v>
      </c>
      <c r="J30" s="9" t="str">
        <f>_xll.BQL("SEG0000269238 Segment", "IS_COGS_TO_FE_AND_PP_AND_G/1M", "FPR=2022Y", "FPT=A", "FA_ACT_EST_DATA=E, EST_SOURCE=CMPY", "ACT_EST_MAPPING=PRECISE", "FS=MRC", "CURRENCY=USD", "XLFILL=b")</f>
        <v/>
      </c>
      <c r="K30" s="9" t="str">
        <f>_xll.BQL("SEG0000269238 Segment", "IS_COGS_TO_FE_AND_PP_AND_G/1M", "FPR=2022Y", "FPT=A", "FA_ACT_EST_DATA=E, EST_SOURCE=WBL", "ACT_EST_MAPPING=PRECISE", "FS=MRC", "CURRENCY=USD", "XLFILL=b")</f>
        <v/>
      </c>
      <c r="L30" s="9" t="str">
        <f>_xll.BQL("SEG0000269238 Segment", "IS_COGS_TO_FE_AND_PP_AND_G/1M", "FPR=2022Y", "FPT=A", "FA_ACT_EST_DATA=E, EST_SOURCE=BMO", "ACT_EST_MAPPING=PRECISE", "FS=MRC", "CURRENCY=USD", "XLFILL=b")</f>
        <v/>
      </c>
      <c r="M30" s="9">
        <f>_xll.BQL("SEG0000269238 Segment", "IS_COGS_TO_FE_AND_PP_AND_G/1M", "FPR=2022Y", "FPT=A", "FA_ACT_EST_DATA=E, EST_SOURCE=BCA", "ACT_EST_MAPPING=PRECISE", "FS=MRC", "CURRENCY=USD", "XLFILL=b")</f>
        <v>5063.65482763419</v>
      </c>
      <c r="N30" s="9" t="str">
        <f>_xll.BQL("SEG0000269238 Segment", "IS_COGS_TO_FE_AND_PP_AND_G/1M", "FPR=2022Y", "FPT=A", "FA_ACT_EST_DATA=E, EST_SOURCE=SNR", "ACT_EST_MAPPING=PRECISE", "FS=MRC", "CURRENCY=USD", "XLFILL=b")</f>
        <v/>
      </c>
      <c r="O30" s="9">
        <f>_xll.BQL("SEG0000269238 Segment", "IS_COGS_TO_FE_AND_PP_AND_G/1M", "FPR=2022Y", "FPT=A", "FA_ACT_EST_DATA=E, EST_SOURCE=MSV", "ACT_EST_MAPPING=PRECISE", "FS=MRC", "CURRENCY=USD", "XLFILL=b")</f>
        <v>4987.6522409999998</v>
      </c>
      <c r="P30" s="9" t="str">
        <f>_xll.BQL("SEG0000269238 Segment", "IS_COGS_TO_FE_AND_PP_AND_G/1M", "FPR=2022Y", "FPT=A", "FA_ACT_EST_DATA=E, EST_SOURCE=DBG", "ACT_EST_MAPPING=PRECISE", "FS=MRC", "CURRENCY=USD", "XLFILL=b")</f>
        <v/>
      </c>
      <c r="Q30" s="9" t="str">
        <f>_xll.BQL("SEG0000269238 Segment", "IS_COGS_TO_FE_AND_PP_AND_G/1M", "FPR=2022Y", "FPT=A", "FA_ACT_EST_DATA=E, EST_SOURCE=NDH", "ACT_EST_MAPPING=PRECISE", "FS=MRC", "CURRENCY=USD", "XLFILL=b")</f>
        <v/>
      </c>
      <c r="R30" s="9" t="str">
        <f>_xll.BQL("SEG0000269238 Segment", "IS_COGS_TO_FE_AND_PP_AND_G/1M", "FPR=2022Y", "FPT=A", "FA_ACT_EST_DATA=E, EST_SOURCE=CAN", "ACT_EST_MAPPING=PRECISE", "FS=MRC", "CURRENCY=USD", "XLFILL=b")</f>
        <v/>
      </c>
      <c r="S30" s="9" t="str">
        <f>_xll.BQL("SEG0000269238 Segment", "IS_COGS_TO_FE_AND_PP_AND_G/1M", "FPR=2022Y", "FPT=A", "FA_ACT_EST_DATA=E, EST_SOURCE=SCB", "ACT_EST_MAPPING=PRECISE", "FS=MRC", "CURRENCY=USD", "XLFILL=b")</f>
        <v/>
      </c>
      <c r="T30" s="9">
        <f>_xll.BQL("SEG0000269238 Segment", "IS_COGS_TO_FE_AND_PP_AND_G/1M", "FPR=2022Y", "FPT=A", "FA_ACT_EST_DATA=E, EST_SOURCE=JMP", "ACT_EST_MAPPING=PRECISE", "FS=MRC", "CURRENCY=USD", "XLFILL=b")</f>
        <v>5025.75</v>
      </c>
      <c r="U30" s="9" t="str">
        <f>_xll.BQL("SEG0000269238 Segment", "IS_COGS_TO_FE_AND_PP_AND_G/1M", "FPR=2022Y", "FPT=A", "FA_ACT_EST_DATA=E, EST_SOURCE=RJA", "ACT_EST_MAPPING=PRECISE", "FS=MRC", "CURRENCY=USD", "XLFILL=b")</f>
        <v/>
      </c>
      <c r="V30" s="9" t="str">
        <f>_xll.BQL("SEG0000269238 Segment", "IS_COGS_TO_FE_AND_PP_AND_G/1M", "FPR=2022Y", "FPT=A", "FA_ACT_EST_DATA=E, EST_SOURCE=OPY", "ACT_EST_MAPPING=PRECISE", "FS=MRC", "CURRENCY=USD", "XLFILL=b")</f>
        <v/>
      </c>
      <c r="W30" s="9">
        <f>_xll.BQL("SEG0000269238 Segment", "IS_COGS_TO_FE_AND_PP_AND_G/1M", "FPR=2022Y", "FPT=A", "FA_ACT_EST_DATA=E, EST_SOURCE=JPM", "ACT_EST_MAPPING=PRECISE", "FS=MRC", "CURRENCY=USD", "XLFILL=b")</f>
        <v>3603</v>
      </c>
      <c r="X30" s="9">
        <f>_xll.BQL("SEG0000269238 Segment", "IS_COGS_TO_FE_AND_PP_AND_G/1M", "FPR=2022Y", "FPT=A", "FA_ACT_EST_DATA=E, EST_SOURCE=FBC", "ACT_EST_MAPPING=PRECISE", "FS=MRC", "CURRENCY=USD", "XLFILL=b")</f>
        <v>4916.6115899345095</v>
      </c>
      <c r="Y30" s="9">
        <f>_xll.BQL("SEG0000269238 Segment", "IS_COGS_TO_FE_AND_PP_AND_G/1M", "FPR=2022Y", "FPT=A", "FA_ACT_EST_DATA=E, EST_SOURCE=WMS", "ACT_EST_MAPPING=PRECISE", "FS=MRC", "CURRENCY=USD", "XLFILL=b")</f>
        <v>5018.5626099999999</v>
      </c>
      <c r="Z30" s="9">
        <f>_xll.BQL("SEG0000269238 Segment", "IS_COGS_TO_FE_AND_PP_AND_G/1M", "FPR=2022Y", "FPT=A", "FA_ACT_EST_DATA=E, EST_SOURCE=KEY", "ACT_EST_MAPPING=PRECISE", "FS=MRC", "CURRENCY=USD", "XLFILL=b")</f>
        <v>5137.7198366751163</v>
      </c>
      <c r="AA30" s="9" t="str">
        <f>_xll.BQL("SEG0000269238 Segment", "IS_COGS_TO_FE_AND_PP_AND_G/1M", "FPR=2022Y", "FPT=A", "FA_ACT_EST_DATA=E, EST_SOURCE=LCM", "ACT_EST_MAPPING=PRECISE", "FS=MRC", "CURRENCY=USD", "XLFILL=b")</f>
        <v/>
      </c>
      <c r="AB30" s="9" t="str">
        <f>_xll.BQL("SEG0000269238 Segment", "IS_COGS_TO_FE_AND_PP_AND_G/1M", "FPR=2022Y", "FPT=A", "FA_ACT_EST_DATA=E, EST_SOURCE=CWN", "ACT_EST_MAPPING=PRECISE", "FS=MRC", "CURRENCY=USD", "XLFILL=b")</f>
        <v/>
      </c>
      <c r="AC30" s="9" t="str">
        <f>_xll.BQL("SEG0000269238 Segment", "IS_COGS_TO_FE_AND_PP_AND_G/1M", "FPR=2022Y", "FPT=A", "FA_ACT_EST_DATA=E, EST_SOURCE=BNS", "ACT_EST_MAPPING=PRECISE", "FS=MRC", "CURRENCY=USD", "XLFILL=b")</f>
        <v/>
      </c>
      <c r="AD30" s="9" t="str">
        <f>_xll.BQL("SEG0000269238 Segment", "IS_COGS_TO_FE_AND_PP_AND_G/1M", "FPR=2022Y", "FPT=A", "FA_ACT_EST_DATA=E, EST_SOURCE=BAM", "ACT_EST_MAPPING=PRECISE", "FS=MRC", "CURRENCY=USD", "XLFILL=b")</f>
        <v/>
      </c>
      <c r="AE30" s="9" t="str">
        <f>_xll.BQL("SEG0000269238 Segment", "IS_COGS_TO_FE_AND_PP_AND_G/1M", "FPR=2022Y", "FPT=A", "FA_ACT_EST_DATA=E, EST_SOURCE=RBC", "ACT_EST_MAPPING=PRECISE", "FS=MRC", "CURRENCY=USD", "XLFILL=b")</f>
        <v/>
      </c>
      <c r="AF30" s="9" t="str">
        <f>_xll.BQL("SEG0000269238 Segment", "IS_COGS_TO_FE_AND_PP_AND_G/1M", "FPR=2022Y", "FPT=A", "FA_ACT_EST_DATA=E, EST_SOURCE=UBS", "ACT_EST_MAPPING=PRECISE", "FS=MRC", "CURRENCY=USD", "XLFILL=b")</f>
        <v/>
      </c>
      <c r="AG30" s="9" t="str">
        <f>_xll.BQL("SEG0000269238 Segment", "IS_COGS_TO_FE_AND_PP_AND_G/1M", "FPR=2022Y", "FPT=A", "FA_ACT_EST_DATA=E, EST_SOURCE=RHR", "ACT_EST_MAPPING=PRECISE", "FS=MRC", "CURRENCY=USD", "XLFILL=b")</f>
        <v/>
      </c>
      <c r="AH30" s="9" t="str">
        <f>_xll.BQL("SEG0000269238 Segment", "IS_COGS_TO_FE_AND_PP_AND_G/1M", "FPR=2022Y", "FPT=A", "FA_ACT_EST_DATA=E, EST_SOURCE=JEF", "ACT_EST_MAPPING=PRECISE", "FS=MRC", "CURRENCY=USD", "XLFILL=b")</f>
        <v/>
      </c>
      <c r="AI30" s="9" t="str">
        <f>_xll.BQL("SEG0000269238 Segment", "IS_COGS_TO_FE_AND_PP_AND_G/1M", "FPR=2022Y", "FPT=A", "FA_ACT_EST_DATA=E, EST_SOURCE=ATL", "ACT_EST_MAPPING=PRECISE", "FS=MRC", "CURRENCY=USD", "XLFILL=b")</f>
        <v/>
      </c>
      <c r="AJ30" s="9" t="str">
        <f>_xll.BQL("SEG0000269238 Segment", "IS_COGS_TO_FE_AND_PP_AND_G/1M", "FPR=2022Y", "FPT=A", "FA_ACT_EST_DATA=E, EST_SOURCE=MAC", "ACT_EST_MAPPING=PRECISE", "FS=MRC", "CURRENCY=USD", "XLFILL=b")</f>
        <v/>
      </c>
      <c r="AK30" s="9" t="str">
        <f>_xll.BQL("SEG0000269238 Segment", "IS_COGS_TO_FE_AND_PP_AND_G/1M", "FPR=2022Y", "FPT=A", "FA_ACT_EST_DATA=E, EST_SOURCE=EVR", "ACT_EST_MAPPING=PRECISE", "FS=MRC", "CURRENCY=USD", "XLFILL=b")</f>
        <v/>
      </c>
      <c r="AL30" s="9" t="str">
        <f>_xll.BQL("SEG0000269238 Segment", "IS_COGS_TO_FE_AND_PP_AND_G/1M", "FPR=2022Y", "FPT=A", "FA_ACT_EST_DATA=E, EST_SOURCE=MSR", "ACT_EST_MAPPING=PRECISE", "FS=MRC", "CURRENCY=USD", "XLFILL=b")</f>
        <v/>
      </c>
      <c r="AM30" s="9" t="str">
        <f>_xll.BQL("SEG0000269238 Segment", "IS_COGS_TO_FE_AND_PP_AND_G/1M", "FPR=2022Y", "FPT=A", "FA_ACT_EST_DATA=E, EST_SOURCE=KGI", "ACT_EST_MAPPING=PRECISE", "FS=MRC", "CURRENCY=USD", "XLFILL=b")</f>
        <v/>
      </c>
      <c r="AN30" s="9" t="str">
        <f>_xll.BQL("SEG0000269238 Segment", "IS_COGS_TO_FE_AND_PP_AND_G/1M", "FPR=2022Y", "FPT=A", "FA_ACT_EST_DATA=E, EST_SOURCE=ACC", "ACT_EST_MAPPING=PRECISE", "FS=MRC", "CURRENCY=USD", "XLFILL=b")</f>
        <v/>
      </c>
      <c r="AO30" s="9" t="str">
        <f>_xll.BQL("SEG0000269238 Segment", "IS_COGS_TO_FE_AND_PP_AND_G/1M", "FPR=2022Y", "FPT=A", "FA_ACT_EST_DATA=E, EST_SOURCE=GSR", "ACT_EST_MAPPING=PRECISE", "FS=MRC", "CURRENCY=USD", "XLFILL=b")</f>
        <v/>
      </c>
      <c r="AP30" s="9" t="str">
        <f>_xll.BQL("SEG0000269238 Segment", "IS_COGS_TO_FE_AND_PP_AND_G/1M", "FPR=2022Y", "FPT=A", "FA_ACT_EST_DATA=E, EST_SOURCE=PSG", "ACT_EST_MAPPING=PRECISE", "FS=MRC", "CURRENCY=USD", "XLFILL=b")</f>
        <v/>
      </c>
      <c r="AQ30" s="9" t="str">
        <f>_xll.BQL("SEG0000269238 Segment", "IS_COGS_TO_FE_AND_PP_AND_G/1M", "FPR=2022Y", "FPT=A", "FA_ACT_EST_DATA=E, EST_SOURCE=DWI", "ACT_EST_MAPPING=PRECISE", "FS=MRC", "CURRENCY=USD", "XLFILL=b")</f>
        <v/>
      </c>
      <c r="AR30" s="9" t="str">
        <f>_xll.BQL("SEG0000269238 Segment", "IS_COGS_TO_FE_AND_PP_AND_G/1M", "FPR=2022Y", "FPT=A", "FA_ACT_EST_DATA=E, EST_SOURCE=RWB", "ACT_EST_MAPPING=PRECISE", "FS=MRC", "CURRENCY=USD", "XLFILL=b")</f>
        <v/>
      </c>
      <c r="AS30" s="9" t="str">
        <f>_xll.BQL("SEG0000269238 Segment", "IS_COGS_TO_FE_AND_PP_AND_G/1M", "FPR=2022Y", "FPT=A", "FA_ACT_EST_DATA=E, EST_SOURCE=ARG", "ACT_EST_MAPPING=PRECISE", "FS=MRC", "CURRENCY=USD", "XLFILL=b")</f>
        <v/>
      </c>
      <c r="AT30" s="9" t="str">
        <f>_xll.BQL("SEG0000269238 Segment", "IS_COGS_TO_FE_AND_PP_AND_G/1M", "FPR=2022Y", "FPT=A", "FA_ACT_EST_DATA=E, EST_SOURCE=CTI", "ACT_EST_MAPPING=PRECISE", "FS=MRC", "CURRENCY=USD", "XLFILL=b")</f>
        <v/>
      </c>
      <c r="AU30" s="9" t="str">
        <f>_xll.BQL("SEG0000269238 Segment", "IS_COGS_TO_FE_AND_PP_AND_G/1M", "FPR=2022Y", "FPT=A", "FA_ACT_EST_DATA=E, EST_SOURCE=WFT", "ACT_EST_MAPPING=PRECISE", "FS=MRC", "CURRENCY=USD", "XLFILL=b")</f>
        <v/>
      </c>
      <c r="AV30" s="9" t="str">
        <f>_xll.BQL("SEG0000269238 Segment", "IS_COGS_TO_FE_AND_PP_AND_G/1M", "FPR=2022Y", "FPT=A", "FA_ACT_EST_DATA=E, EST_SOURCE=PJE", "ACT_EST_MAPPING=PRECISE", "FS=MRC", "CURRENCY=USD", "XLFILL=b")</f>
        <v/>
      </c>
      <c r="AW30" s="9" t="str">
        <f>_xll.BQL("SEG0000269238 Segment", "IS_COGS_TO_FE_AND_PP_AND_G/1M", "FPR=2022Y", "FPT=A", "FA_ACT_EST_DATA=E, EST_SOURCE=SGE", "ACT_EST_MAPPING=PRECISE", "FS=MRC", "CURRENCY=USD", "XLFILL=b")</f>
        <v/>
      </c>
      <c r="AX30" s="9" t="str">
        <f>_xll.BQL("SEG0000269238 Segment", "IS_COGS_TO_FE_AND_PP_AND_G/1M", "FPR=2022Y", "FPT=A", "FA_ACT_EST_DATA=E, EST_SOURCE=MZS", "ACT_EST_MAPPING=PRECISE", "FS=MRC", "CURRENCY=USD", "XLFILL=b")</f>
        <v/>
      </c>
      <c r="AY30" s="9" t="str">
        <f>_xll.BQL("SEG0000269238 Segment", "IS_COGS_TO_FE_AND_PP_AND_G/1M", "FPR=2022Y", "FPT=A", "FA_ACT_EST_DATA=E, EST_SOURCE=RCP", "ACT_EST_MAPPING=PRECISE", "FS=MRC", "CURRENCY=USD", "XLFILL=b")</f>
        <v/>
      </c>
      <c r="AZ30" s="9" t="str">
        <f>_xll.BQL("SEG0000269238 Segment", "IS_COGS_TO_FE_AND_PP_AND_G/1M", "FPR=2022Y", "FPT=A", "FA_ACT_EST_DATA=E, EST_SOURCE=WFR", "ACT_EST_MAPPING=PRECISE", "FS=MRC", "CURRENCY=USD", "XLFILL=b")</f>
        <v/>
      </c>
      <c r="BA30" s="9" t="str">
        <f>_xll.BQL("SEG0000269238 Segment", "IS_COGS_TO_FE_AND_PP_AND_G/1M", "FPR=2022Y", "FPT=A", "FA_ACT_EST_DATA=E, EST_SOURCE=NIK", "ACT_EST_MAPPING=PRECISE", "FS=MRC", "CURRENCY=USD", "XLFILL=b")</f>
        <v/>
      </c>
      <c r="BB30" s="9" t="str">
        <f>_xll.BQL("SEG0000269238 Segment", "IS_COGS_TO_FE_AND_PP_AND_G/1M", "FPR=2022Y", "FPT=A", "FA_ACT_EST_DATA=E, EST_SOURCE=ARE", "ACT_EST_MAPPING=PRECISE", "FS=MRC", "CURRENCY=USD", "XLFILL=b")</f>
        <v/>
      </c>
      <c r="BC30" s="9" t="str">
        <f>_xll.BQL("SEG0000269238 Segment", "IS_COGS_TO_FE_AND_PP_AND_G/1M", "FPR=2022Y", "FPT=A", "FA_ACT_EST_DATA=E, EST_SOURCE=RED", "ACT_EST_MAPPING=PRECISE", "FS=MRC", "CURRENCY=USD", "XLFILL=b")</f>
        <v/>
      </c>
      <c r="BD30" s="9" t="str">
        <f>_xll.BQL("SEG0000269238 Segment", "IS_COGS_TO_FE_AND_PP_AND_G/1M", "FPR=2022Y", "FPT=A", "FA_ACT_EST_DATA=E, EST_SOURCE=DIR", "ACT_EST_MAPPING=PRECISE", "FS=MRC", "CURRENCY=USD", "XLFILL=b")</f>
        <v/>
      </c>
    </row>
    <row r="31" spans="1:56" x14ac:dyDescent="0.55000000000000004">
      <c r="A31" s="8" t="s">
        <v>75</v>
      </c>
      <c r="B31" s="5"/>
      <c r="C31" s="5" t="s">
        <v>76</v>
      </c>
      <c r="D31" s="5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</row>
    <row r="32" spans="1:56" x14ac:dyDescent="0.55000000000000004">
      <c r="A32" s="8" t="s">
        <v>56</v>
      </c>
      <c r="B32" s="5" t="s">
        <v>28</v>
      </c>
      <c r="C32" s="5" t="s">
        <v>0</v>
      </c>
      <c r="D32" s="5" t="s">
        <v>77</v>
      </c>
      <c r="E32" s="9">
        <f>_xll.BQL("SEG0000269227 Segment", "SALES_REV_TURN/1M", "FPR=2022Y", "FPT=A", "FA_ACT_EST_DATA=E", "ACT_EST_MAPPING=PRECISE", "FS=MRC", "CURRENCY=USD", "XLFILL=b")</f>
        <v>1804.786670412843</v>
      </c>
      <c r="F32" s="9">
        <f>_xll.BQL("SEG0000269227 Segment", "CONTRIBUTOR_STATS(SALES_REV_TURN, MIN)/1M", "FPR=2022Y", "FPT=A", "FA_ACT_EST_DATA=E", "ACT_EST_MAPPING=PRECISE", "FS=MRC", "CURRENCY=USD", "XLFILL=b")</f>
        <v>1759.1579999999999</v>
      </c>
      <c r="G32" s="9">
        <f>_xll.BQL("SEG0000269227 Segment", "CONTRIBUTOR_STATS(SALES_REV_TURN, MAX)/1M", "FPR=2022Y", "FPT=A", "FA_ACT_EST_DATA=E", "ACT_EST_MAPPING=PRECISE", "FS=MRC", "CURRENCY=USD", "XLFILL=b")</f>
        <v>1850.04</v>
      </c>
      <c r="H32" s="9">
        <f>_xll.BQL("SEG0000269227 Segment", "CONTRIBUTOR_STATS(SALES_REV_TURN, STD)/1M", "FPR=2022Y", "FPT=A", "FA_ACT_EST_DATA=E", "ACT_EST_MAPPING=PRECISE", "FS=MRC", "CURRENCY=USD", "XLFILL=b")</f>
        <v>30.321726399338509</v>
      </c>
      <c r="I32" s="9">
        <f>_xll.BQL("SEG0000269227 Segment", "CONTRIBUTOR_STATS(SALES_REV_TURN, MEDIAN)/1M", "FPR=2022Y", "FPT=A", "FA_ACT_EST_DATA=E", "ACT_EST_MAPPING=PRECISE", "FS=MRC", "CURRENCY=USD", "XLFILL=b")</f>
        <v>1817</v>
      </c>
      <c r="J32" s="9" t="str">
        <f>_xll.BQL("SEG0000269227 Segment", "SALES_REV_TURN/1M", "FPR=2022Y", "FPT=A", "FA_ACT_EST_DATA=E, EST_SOURCE=CMPY", "ACT_EST_MAPPING=PRECISE", "FS=MRC", "CURRENCY=USD", "XLFILL=b")</f>
        <v/>
      </c>
      <c r="K32" s="9" t="str">
        <f>_xll.BQL("SEG0000269227 Segment", "SALES_REV_TURN/1M", "FPR=2022Y", "FPT=A", "FA_ACT_EST_DATA=E, EST_SOURCE=WBL", "ACT_EST_MAPPING=PRECISE", "FS=MRC", "CURRENCY=USD", "XLFILL=b")</f>
        <v/>
      </c>
      <c r="L32" s="9" t="str">
        <f>_xll.BQL("SEG0000269227 Segment", "SALES_REV_TURN/1M", "FPR=2022Y", "FPT=A", "FA_ACT_EST_DATA=E, EST_SOURCE=BMO", "ACT_EST_MAPPING=PRECISE", "FS=MRC", "CURRENCY=USD", "XLFILL=b")</f>
        <v/>
      </c>
      <c r="M32" s="9">
        <f>_xll.BQL("SEG0000269227 Segment", "SALES_REV_TURN/1M", "FPR=2022Y", "FPT=A", "FA_ACT_EST_DATA=E, EST_SOURCE=BCA", "ACT_EST_MAPPING=PRECISE", "FS=MRC", "CURRENCY=USD", "XLFILL=b")</f>
        <v>1761.5450000000001</v>
      </c>
      <c r="N32" s="9" t="str">
        <f>_xll.BQL("SEG0000269227 Segment", "SALES_REV_TURN/1M", "FPR=2022Y", "FPT=A", "FA_ACT_EST_DATA=E, EST_SOURCE=SNR", "ACT_EST_MAPPING=PRECISE", "FS=MRC", "CURRENCY=USD", "XLFILL=b")</f>
        <v/>
      </c>
      <c r="O32" s="9">
        <f>_xll.BQL("SEG0000269227 Segment", "SALES_REV_TURN/1M", "FPR=2022Y", "FPT=A", "FA_ACT_EST_DATA=E, EST_SOURCE=MSV", "ACT_EST_MAPPING=PRECISE", "FS=MRC", "CURRENCY=USD", "XLFILL=b")</f>
        <v>1759.84</v>
      </c>
      <c r="P32" s="9">
        <f>_xll.BQL("SEG0000269227 Segment", "SALES_REV_TURN/1M", "FPR=2022Y", "FPT=A", "FA_ACT_EST_DATA=E, EST_SOURCE=DBG", "ACT_EST_MAPPING=PRECISE", "FS=MRC", "CURRENCY=USD", "XLFILL=b")</f>
        <v>1827.3520674311681</v>
      </c>
      <c r="Q32" s="9">
        <f>_xll.BQL("SEG0000269227 Segment", "SALES_REV_TURN/1M", "FPR=2022Y", "FPT=A", "FA_ACT_EST_DATA=E, EST_SOURCE=NDH", "ACT_EST_MAPPING=PRECISE", "FS=MRC", "CURRENCY=USD", "XLFILL=b")</f>
        <v>1831.45</v>
      </c>
      <c r="R32" s="9" t="str">
        <f>_xll.BQL("SEG0000269227 Segment", "SALES_REV_TURN/1M", "FPR=2022Y", "FPT=A", "FA_ACT_EST_DATA=E, EST_SOURCE=CAN", "ACT_EST_MAPPING=PRECISE", "FS=MRC", "CURRENCY=USD", "XLFILL=b")</f>
        <v/>
      </c>
      <c r="S32" s="9" t="str">
        <f>_xll.BQL("SEG0000269227 Segment", "SALES_REV_TURN/1M", "FPR=2022Y", "FPT=A", "FA_ACT_EST_DATA=E, EST_SOURCE=SCB", "ACT_EST_MAPPING=PRECISE", "FS=MRC", "CURRENCY=USD", "XLFILL=b")</f>
        <v/>
      </c>
      <c r="T32" s="9">
        <f>_xll.BQL("SEG0000269227 Segment", "SALES_REV_TURN/1M", "FPR=2022Y", "FPT=A", "FA_ACT_EST_DATA=E, EST_SOURCE=JMP", "ACT_EST_MAPPING=PRECISE", "FS=MRC", "CURRENCY=USD", "XLFILL=b")</f>
        <v>1792</v>
      </c>
      <c r="U32" s="9">
        <f>_xll.BQL("SEG0000269227 Segment", "SALES_REV_TURN/1M", "FPR=2022Y", "FPT=A", "FA_ACT_EST_DATA=E, EST_SOURCE=RJA", "ACT_EST_MAPPING=PRECISE", "FS=MRC", "CURRENCY=USD", "XLFILL=b")</f>
        <v>1823.42</v>
      </c>
      <c r="V32" s="9" t="str">
        <f>_xll.BQL("SEG0000269227 Segment", "SALES_REV_TURN/1M", "FPR=2022Y", "FPT=A", "FA_ACT_EST_DATA=E, EST_SOURCE=OPY", "ACT_EST_MAPPING=PRECISE", "FS=MRC", "CURRENCY=USD", "XLFILL=b")</f>
        <v/>
      </c>
      <c r="W32" s="9">
        <f>_xll.BQL("SEG0000269227 Segment", "SALES_REV_TURN/1M", "FPR=2022Y", "FPT=A", "FA_ACT_EST_DATA=E, EST_SOURCE=JPM", "ACT_EST_MAPPING=PRECISE", "FS=MRC", "CURRENCY=USD", "XLFILL=b")</f>
        <v>1831.45</v>
      </c>
      <c r="X32" s="9">
        <f>_xll.BQL("SEG0000269227 Segment", "SALES_REV_TURN/1M", "FPR=2022Y", "FPT=A", "FA_ACT_EST_DATA=E, EST_SOURCE=FBC", "ACT_EST_MAPPING=PRECISE", "FS=MRC", "CURRENCY=USD", "XLFILL=b")</f>
        <v>1697.874830001391</v>
      </c>
      <c r="Y32" s="9">
        <f>_xll.BQL("SEG0000269227 Segment", "SALES_REV_TURN/1M", "FPR=2022Y", "FPT=A", "FA_ACT_EST_DATA=E, EST_SOURCE=WMS", "ACT_EST_MAPPING=PRECISE", "FS=MRC", "CURRENCY=USD", "XLFILL=b")</f>
        <v>1583.0229999999999</v>
      </c>
      <c r="Z32" s="9">
        <f>_xll.BQL("SEG0000269227 Segment", "SALES_REV_TURN/1M", "FPR=2022Y", "FPT=A", "FA_ACT_EST_DATA=E, EST_SOURCE=KEY", "ACT_EST_MAPPING=PRECISE", "FS=MRC", "CURRENCY=USD", "XLFILL=b")</f>
        <v>1755.25</v>
      </c>
      <c r="AA32" s="9" t="str">
        <f>_xll.BQL("SEG0000269227 Segment", "SALES_REV_TURN/1M", "FPR=2022Y", "FPT=A", "FA_ACT_EST_DATA=E, EST_SOURCE=LCM", "ACT_EST_MAPPING=PRECISE", "FS=MRC", "CURRENCY=USD", "XLFILL=b")</f>
        <v/>
      </c>
      <c r="AB32" s="9" t="str">
        <f>_xll.BQL("SEG0000269227 Segment", "SALES_REV_TURN/1M", "FPR=2022Y", "FPT=A", "FA_ACT_EST_DATA=E, EST_SOURCE=CWN", "ACT_EST_MAPPING=PRECISE", "FS=MRC", "CURRENCY=USD", "XLFILL=b")</f>
        <v/>
      </c>
      <c r="AC32" s="9" t="str">
        <f>_xll.BQL("SEG0000269227 Segment", "SALES_REV_TURN/1M", "FPR=2022Y", "FPT=A", "FA_ACT_EST_DATA=E, EST_SOURCE=BNS", "ACT_EST_MAPPING=PRECISE", "FS=MRC", "CURRENCY=USD", "XLFILL=b")</f>
        <v/>
      </c>
      <c r="AD32" s="9" t="str">
        <f>_xll.BQL("SEG0000269227 Segment", "SALES_REV_TURN/1M", "FPR=2022Y", "FPT=A", "FA_ACT_EST_DATA=E, EST_SOURCE=BAM", "ACT_EST_MAPPING=PRECISE", "FS=MRC", "CURRENCY=USD", "XLFILL=b")</f>
        <v/>
      </c>
      <c r="AE32" s="9" t="str">
        <f>_xll.BQL("SEG0000269227 Segment", "SALES_REV_TURN/1M", "FPR=2022Y", "FPT=A", "FA_ACT_EST_DATA=E, EST_SOURCE=RBC", "ACT_EST_MAPPING=PRECISE", "FS=MRC", "CURRENCY=USD", "XLFILL=b")</f>
        <v/>
      </c>
      <c r="AF32" s="9" t="str">
        <f>_xll.BQL("SEG0000269227 Segment", "SALES_REV_TURN/1M", "FPR=2022Y", "FPT=A", "FA_ACT_EST_DATA=E, EST_SOURCE=UBS", "ACT_EST_MAPPING=PRECISE", "FS=MRC", "CURRENCY=USD", "XLFILL=b")</f>
        <v/>
      </c>
      <c r="AG32" s="9" t="str">
        <f>_xll.BQL("SEG0000269227 Segment", "SALES_REV_TURN/1M", "FPR=2022Y", "FPT=A", "FA_ACT_EST_DATA=E, EST_SOURCE=RHR", "ACT_EST_MAPPING=PRECISE", "FS=MRC", "CURRENCY=USD", "XLFILL=b")</f>
        <v/>
      </c>
      <c r="AH32" s="9" t="str">
        <f>_xll.BQL("SEG0000269227 Segment", "SALES_REV_TURN/1M", "FPR=2022Y", "FPT=A", "FA_ACT_EST_DATA=E, EST_SOURCE=JEF", "ACT_EST_MAPPING=PRECISE", "FS=MRC", "CURRENCY=USD", "XLFILL=b")</f>
        <v/>
      </c>
      <c r="AI32" s="9" t="str">
        <f>_xll.BQL("SEG0000269227 Segment", "SALES_REV_TURN/1M", "FPR=2022Y", "FPT=A", "FA_ACT_EST_DATA=E, EST_SOURCE=ATL", "ACT_EST_MAPPING=PRECISE", "FS=MRC", "CURRENCY=USD", "XLFILL=b")</f>
        <v/>
      </c>
      <c r="AJ32" s="9" t="str">
        <f>_xll.BQL("SEG0000269227 Segment", "SALES_REV_TURN/1M", "FPR=2022Y", "FPT=A", "FA_ACT_EST_DATA=E, EST_SOURCE=MAC", "ACT_EST_MAPPING=PRECISE", "FS=MRC", "CURRENCY=USD", "XLFILL=b")</f>
        <v/>
      </c>
      <c r="AK32" s="9" t="str">
        <f>_xll.BQL("SEG0000269227 Segment", "SALES_REV_TURN/1M", "FPR=2022Y", "FPT=A", "FA_ACT_EST_DATA=E, EST_SOURCE=EVR", "ACT_EST_MAPPING=PRECISE", "FS=MRC", "CURRENCY=USD", "XLFILL=b")</f>
        <v/>
      </c>
      <c r="AL32" s="9" t="str">
        <f>_xll.BQL("SEG0000269227 Segment", "SALES_REV_TURN/1M", "FPR=2022Y", "FPT=A", "FA_ACT_EST_DATA=E, EST_SOURCE=MSR", "ACT_EST_MAPPING=PRECISE", "FS=MRC", "CURRENCY=USD", "XLFILL=b")</f>
        <v/>
      </c>
      <c r="AM32" s="9" t="str">
        <f>_xll.BQL("SEG0000269227 Segment", "SALES_REV_TURN/1M", "FPR=2022Y", "FPT=A", "FA_ACT_EST_DATA=E, EST_SOURCE=KGI", "ACT_EST_MAPPING=PRECISE", "FS=MRC", "CURRENCY=USD", "XLFILL=b")</f>
        <v/>
      </c>
      <c r="AN32" s="9" t="str">
        <f>_xll.BQL("SEG0000269227 Segment", "SALES_REV_TURN/1M", "FPR=2022Y", "FPT=A", "FA_ACT_EST_DATA=E, EST_SOURCE=ACC", "ACT_EST_MAPPING=PRECISE", "FS=MRC", "CURRENCY=USD", "XLFILL=b")</f>
        <v/>
      </c>
      <c r="AO32" s="9" t="str">
        <f>_xll.BQL("SEG0000269227 Segment", "SALES_REV_TURN/1M", "FPR=2022Y", "FPT=A", "FA_ACT_EST_DATA=E, EST_SOURCE=GSR", "ACT_EST_MAPPING=PRECISE", "FS=MRC", "CURRENCY=USD", "XLFILL=b")</f>
        <v/>
      </c>
      <c r="AP32" s="9" t="str">
        <f>_xll.BQL("SEG0000269227 Segment", "SALES_REV_TURN/1M", "FPR=2022Y", "FPT=A", "FA_ACT_EST_DATA=E, EST_SOURCE=PSG", "ACT_EST_MAPPING=PRECISE", "FS=MRC", "CURRENCY=USD", "XLFILL=b")</f>
        <v/>
      </c>
      <c r="AQ32" s="9" t="str">
        <f>_xll.BQL("SEG0000269227 Segment", "SALES_REV_TURN/1M", "FPR=2022Y", "FPT=A", "FA_ACT_EST_DATA=E, EST_SOURCE=DWI", "ACT_EST_MAPPING=PRECISE", "FS=MRC", "CURRENCY=USD", "XLFILL=b")</f>
        <v/>
      </c>
      <c r="AR32" s="9" t="str">
        <f>_xll.BQL("SEG0000269227 Segment", "SALES_REV_TURN/1M", "FPR=2022Y", "FPT=A", "FA_ACT_EST_DATA=E, EST_SOURCE=RWB", "ACT_EST_MAPPING=PRECISE", "FS=MRC", "CURRENCY=USD", "XLFILL=b")</f>
        <v/>
      </c>
      <c r="AS32" s="9" t="str">
        <f>_xll.BQL("SEG0000269227 Segment", "SALES_REV_TURN/1M", "FPR=2022Y", "FPT=A", "FA_ACT_EST_DATA=E, EST_SOURCE=ARG", "ACT_EST_MAPPING=PRECISE", "FS=MRC", "CURRENCY=USD", "XLFILL=b")</f>
        <v/>
      </c>
      <c r="AT32" s="9" t="str">
        <f>_xll.BQL("SEG0000269227 Segment", "SALES_REV_TURN/1M", "FPR=2022Y", "FPT=A", "FA_ACT_EST_DATA=E, EST_SOURCE=CTI", "ACT_EST_MAPPING=PRECISE", "FS=MRC", "CURRENCY=USD", "XLFILL=b")</f>
        <v/>
      </c>
      <c r="AU32" s="9" t="str">
        <f>_xll.BQL("SEG0000269227 Segment", "SALES_REV_TURN/1M", "FPR=2022Y", "FPT=A", "FA_ACT_EST_DATA=E, EST_SOURCE=WFT", "ACT_EST_MAPPING=PRECISE", "FS=MRC", "CURRENCY=USD", "XLFILL=b")</f>
        <v/>
      </c>
      <c r="AV32" s="9" t="str">
        <f>_xll.BQL("SEG0000269227 Segment", "SALES_REV_TURN/1M", "FPR=2022Y", "FPT=A", "FA_ACT_EST_DATA=E, EST_SOURCE=PJE", "ACT_EST_MAPPING=PRECISE", "FS=MRC", "CURRENCY=USD", "XLFILL=b")</f>
        <v/>
      </c>
      <c r="AW32" s="9" t="str">
        <f>_xll.BQL("SEG0000269227 Segment", "SALES_REV_TURN/1M", "FPR=2022Y", "FPT=A", "FA_ACT_EST_DATA=E, EST_SOURCE=SGE", "ACT_EST_MAPPING=PRECISE", "FS=MRC", "CURRENCY=USD", "XLFILL=b")</f>
        <v/>
      </c>
      <c r="AX32" s="9" t="str">
        <f>_xll.BQL("SEG0000269227 Segment", "SALES_REV_TURN/1M", "FPR=2022Y", "FPT=A", "FA_ACT_EST_DATA=E, EST_SOURCE=MZS", "ACT_EST_MAPPING=PRECISE", "FS=MRC", "CURRENCY=USD", "XLFILL=b")</f>
        <v/>
      </c>
      <c r="AY32" s="9" t="str">
        <f>_xll.BQL("SEG0000269227 Segment", "SALES_REV_TURN/1M", "FPR=2022Y", "FPT=A", "FA_ACT_EST_DATA=E, EST_SOURCE=RCP", "ACT_EST_MAPPING=PRECISE", "FS=MRC", "CURRENCY=USD", "XLFILL=b")</f>
        <v/>
      </c>
      <c r="AZ32" s="9" t="str">
        <f>_xll.BQL("SEG0000269227 Segment", "SALES_REV_TURN/1M", "FPR=2022Y", "FPT=A", "FA_ACT_EST_DATA=E, EST_SOURCE=WFR", "ACT_EST_MAPPING=PRECISE", "FS=MRC", "CURRENCY=USD", "XLFILL=b")</f>
        <v/>
      </c>
      <c r="BA32" s="9" t="str">
        <f>_xll.BQL("SEG0000269227 Segment", "SALES_REV_TURN/1M", "FPR=2022Y", "FPT=A", "FA_ACT_EST_DATA=E, EST_SOURCE=NIK", "ACT_EST_MAPPING=PRECISE", "FS=MRC", "CURRENCY=USD", "XLFILL=b")</f>
        <v/>
      </c>
      <c r="BB32" s="9" t="str">
        <f>_xll.BQL("SEG0000269227 Segment", "SALES_REV_TURN/1M", "FPR=2022Y", "FPT=A", "FA_ACT_EST_DATA=E, EST_SOURCE=ARE", "ACT_EST_MAPPING=PRECISE", "FS=MRC", "CURRENCY=USD", "XLFILL=b")</f>
        <v/>
      </c>
      <c r="BC32" s="9" t="str">
        <f>_xll.BQL("SEG0000269227 Segment", "SALES_REV_TURN/1M", "FPR=2022Y", "FPT=A", "FA_ACT_EST_DATA=E, EST_SOURCE=RED", "ACT_EST_MAPPING=PRECISE", "FS=MRC", "CURRENCY=USD", "XLFILL=b")</f>
        <v/>
      </c>
      <c r="BD32" s="9" t="str">
        <f>_xll.BQL("SEG0000269227 Segment", "SALES_REV_TURN/1M", "FPR=2022Y", "FPT=A", "FA_ACT_EST_DATA=E, EST_SOURCE=DIR", "ACT_EST_MAPPING=PRECISE", "FS=MRC", "CURRENCY=USD", "XLFILL=b")</f>
        <v/>
      </c>
    </row>
    <row r="33" spans="1:56" x14ac:dyDescent="0.55000000000000004">
      <c r="A33" s="8" t="s">
        <v>78</v>
      </c>
      <c r="B33" s="5" t="s">
        <v>58</v>
      </c>
      <c r="C33" s="5" t="s">
        <v>79</v>
      </c>
      <c r="D33" s="5" t="s">
        <v>77</v>
      </c>
      <c r="E33" s="9">
        <f>_xll.BQL("SEG0000269227 Segment", "IS_PERCENTAGE_OF_REVENUE", "FPR=2022Y", "FPT=A", "FA_ACT_EST_DATA=E", "ACT_EST_MAPPING=PRECISE", "FS=MRC", "CURRENCY=USD", "XLFILL=b")</f>
        <v>6.8251316670188036</v>
      </c>
      <c r="F33" s="9">
        <f>_xll.BQL("SEG0000269227 Segment", "CONTRIBUTOR_STATS(IS_PERCENTAGE_OF_REVENUE, MIN)", "FPR=2022Y", "FPT=A", "FA_ACT_EST_DATA=E", "ACT_EST_MAPPING=PRECISE", "FS=MRC", "CURRENCY=USD", "XLFILL=b")</f>
        <v>6.6635902818905732</v>
      </c>
      <c r="G33" s="9">
        <f>_xll.BQL("SEG0000269227 Segment", "CONTRIBUTOR_STATS(IS_PERCENTAGE_OF_REVENUE, MAX)", "FPR=2022Y", "FPT=A", "FA_ACT_EST_DATA=E", "ACT_EST_MAPPING=PRECISE", "FS=MRC", "CURRENCY=USD", "XLFILL=b")</f>
        <v>7.0103521716369936</v>
      </c>
      <c r="H33" s="9">
        <f>_xll.BQL("SEG0000269227 Segment", "CONTRIBUTOR_STATS(IS_PERCENTAGE_OF_REVENUE, STD)", "FPR=2022Y", "FPT=A", "FA_ACT_EST_DATA=E", "ACT_EST_MAPPING=PRECISE", "FS=MRC", "CURRENCY=USD", "XLFILL=b")</f>
        <v>0.117558379151636</v>
      </c>
      <c r="I33" s="9">
        <f>_xll.BQL("SEG0000269227 Segment", "CONTRIBUTOR_STATS(IS_PERCENTAGE_OF_REVENUE, MEDIAN)", "FPR=2022Y", "FPT=A", "FA_ACT_EST_DATA=E", "ACT_EST_MAPPING=PRECISE", "FS=MRC", "CURRENCY=USD", "XLFILL=b")</f>
        <v>6.8067197653219713</v>
      </c>
      <c r="J33" s="9" t="str">
        <f>_xll.BQL("SEG0000269227 Segment", "IS_PERCENTAGE_OF_REVENUE", "FPR=2022Y", "FPT=A", "FA_ACT_EST_DATA=E, EST_SOURCE=CMPY", "ACT_EST_MAPPING=PRECISE", "FS=MRC", "CURRENCY=USD", "XLFILL=b")</f>
        <v/>
      </c>
      <c r="K33" s="9" t="str">
        <f>_xll.BQL("SEG0000269227 Segment", "IS_PERCENTAGE_OF_REVENUE", "FPR=2022Y", "FPT=A", "FA_ACT_EST_DATA=E, EST_SOURCE=WBL", "ACT_EST_MAPPING=PRECISE", "FS=MRC", "CURRENCY=USD", "XLFILL=b")</f>
        <v/>
      </c>
      <c r="L33" s="9" t="str">
        <f>_xll.BQL("SEG0000269227 Segment", "IS_PERCENTAGE_OF_REVENUE", "FPR=2022Y", "FPT=A", "FA_ACT_EST_DATA=E, EST_SOURCE=BMO", "ACT_EST_MAPPING=PRECISE", "FS=MRC", "CURRENCY=USD", "XLFILL=b")</f>
        <v/>
      </c>
      <c r="M33" s="9">
        <f>_xll.BQL("SEG0000269227 Segment", "IS_PERCENTAGE_OF_REVENUE", "FPR=2022Y", "FPT=A", "FA_ACT_EST_DATA=E, EST_SOURCE=BCA", "ACT_EST_MAPPING=PRECISE", "FS=MRC", "CURRENCY=USD", "XLFILL=b")</f>
        <v>6.6738745264954131</v>
      </c>
      <c r="N33" s="9" t="str">
        <f>_xll.BQL("SEG0000269227 Segment", "IS_PERCENTAGE_OF_REVENUE", "FPR=2022Y", "FPT=A", "FA_ACT_EST_DATA=E, EST_SOURCE=SNR", "ACT_EST_MAPPING=PRECISE", "FS=MRC", "CURRENCY=USD", "XLFILL=b")</f>
        <v/>
      </c>
      <c r="O33" s="9">
        <f>_xll.BQL("SEG0000269227 Segment", "IS_PERCENTAGE_OF_REVENUE", "FPR=2022Y", "FPT=A", "FA_ACT_EST_DATA=E, EST_SOURCE=MSV", "ACT_EST_MAPPING=PRECISE", "FS=MRC", "CURRENCY=USD", "XLFILL=b")</f>
        <v>6.6635902818905732</v>
      </c>
      <c r="P33" s="9">
        <f>_xll.BQL("SEG0000269227 Segment", "IS_PERCENTAGE_OF_REVENUE", "FPR=2022Y", "FPT=A", "FA_ACT_EST_DATA=E, EST_SOURCE=DBG", "ACT_EST_MAPPING=PRECISE", "FS=MRC", "CURRENCY=USD", "XLFILL=b")</f>
        <v>6.9227655032547366</v>
      </c>
      <c r="Q33" s="9">
        <f>_xll.BQL("SEG0000269227 Segment", "IS_PERCENTAGE_OF_REVENUE", "FPR=2022Y", "FPT=A", "FA_ACT_EST_DATA=E, EST_SOURCE=NDH", "ACT_EST_MAPPING=PRECISE", "FS=MRC", "CURRENCY=USD", "XLFILL=b")</f>
        <v>6.9385064471338813</v>
      </c>
      <c r="R33" s="9" t="str">
        <f>_xll.BQL("SEG0000269227 Segment", "IS_PERCENTAGE_OF_REVENUE", "FPR=2022Y", "FPT=A", "FA_ACT_EST_DATA=E, EST_SOURCE=CAN", "ACT_EST_MAPPING=PRECISE", "FS=MRC", "CURRENCY=USD", "XLFILL=b")</f>
        <v/>
      </c>
      <c r="S33" s="9" t="str">
        <f>_xll.BQL("SEG0000269227 Segment", "IS_PERCENTAGE_OF_REVENUE", "FPR=2022Y", "FPT=A", "FA_ACT_EST_DATA=E, EST_SOURCE=SCB", "ACT_EST_MAPPING=PRECISE", "FS=MRC", "CURRENCY=USD", "XLFILL=b")</f>
        <v/>
      </c>
      <c r="T33" s="9">
        <f>_xll.BQL("SEG0000269227 Segment", "IS_PERCENTAGE_OF_REVENUE", "FPR=2022Y", "FPT=A", "FA_ACT_EST_DATA=E, EST_SOURCE=JMP", "ACT_EST_MAPPING=PRECISE", "FS=MRC", "CURRENCY=USD", "XLFILL=b")</f>
        <v>6.7889074102136684</v>
      </c>
      <c r="U33" s="9" t="str">
        <f>_xll.BQL("SEG0000269227 Segment", "IS_PERCENTAGE_OF_REVENUE", "FPR=2022Y", "FPT=A", "FA_ACT_EST_DATA=E, EST_SOURCE=RJA", "ACT_EST_MAPPING=PRECISE", "FS=MRC", "CURRENCY=USD", "XLFILL=b")</f>
        <v/>
      </c>
      <c r="V33" s="9" t="str">
        <f>_xll.BQL("SEG0000269227 Segment", "IS_PERCENTAGE_OF_REVENUE", "FPR=2022Y", "FPT=A", "FA_ACT_EST_DATA=E, EST_SOURCE=OPY", "ACT_EST_MAPPING=PRECISE", "FS=MRC", "CURRENCY=USD", "XLFILL=b")</f>
        <v/>
      </c>
      <c r="W33" s="9">
        <f>_xll.BQL("SEG0000269227 Segment", "IS_PERCENTAGE_OF_REVENUE", "FPR=2022Y", "FPT=A", "FA_ACT_EST_DATA=E, EST_SOURCE=JPM", "ACT_EST_MAPPING=PRECISE", "FS=MRC", "CURRENCY=USD", "XLFILL=b")</f>
        <v>6.938380273019364</v>
      </c>
      <c r="X33" s="9">
        <f>_xll.BQL("SEG0000269227 Segment", "IS_PERCENTAGE_OF_REVENUE", "FPR=2022Y", "FPT=A", "FA_ACT_EST_DATA=E, EST_SOURCE=FBC", "ACT_EST_MAPPING=PRECISE", "FS=MRC", "CURRENCY=USD", "XLFILL=b")</f>
        <v>6.472447931037542</v>
      </c>
      <c r="Y33" s="9">
        <f>_xll.BQL("SEG0000269227 Segment", "IS_PERCENTAGE_OF_REVENUE", "FPR=2022Y", "FPT=A", "FA_ACT_EST_DATA=E, EST_SOURCE=WMS", "ACT_EST_MAPPING=PRECISE", "FS=MRC", "CURRENCY=USD", "XLFILL=b")</f>
        <v>5.244540056789436</v>
      </c>
      <c r="Z33" s="9">
        <f>_xll.BQL("SEG0000269227 Segment", "IS_PERCENTAGE_OF_REVENUE", "FPR=2022Y", "FPT=A", "FA_ACT_EST_DATA=E, EST_SOURCE=KEY", "ACT_EST_MAPPING=PRECISE", "FS=MRC", "CURRENCY=USD", "XLFILL=b")</f>
        <v>6.6742231179574878</v>
      </c>
      <c r="AA33" s="9" t="str">
        <f>_xll.BQL("SEG0000269227 Segment", "IS_PERCENTAGE_OF_REVENUE", "FPR=2022Y", "FPT=A", "FA_ACT_EST_DATA=E, EST_SOURCE=LCM", "ACT_EST_MAPPING=PRECISE", "FS=MRC", "CURRENCY=USD", "XLFILL=b")</f>
        <v/>
      </c>
      <c r="AB33" s="9" t="str">
        <f>_xll.BQL("SEG0000269227 Segment", "IS_PERCENTAGE_OF_REVENUE", "FPR=2022Y", "FPT=A", "FA_ACT_EST_DATA=E, EST_SOURCE=CWN", "ACT_EST_MAPPING=PRECISE", "FS=MRC", "CURRENCY=USD", "XLFILL=b")</f>
        <v/>
      </c>
      <c r="AC33" s="9" t="str">
        <f>_xll.BQL("SEG0000269227 Segment", "IS_PERCENTAGE_OF_REVENUE", "FPR=2022Y", "FPT=A", "FA_ACT_EST_DATA=E, EST_SOURCE=BNS", "ACT_EST_MAPPING=PRECISE", "FS=MRC", "CURRENCY=USD", "XLFILL=b")</f>
        <v/>
      </c>
      <c r="AD33" s="9" t="str">
        <f>_xll.BQL("SEG0000269227 Segment", "IS_PERCENTAGE_OF_REVENUE", "FPR=2022Y", "FPT=A", "FA_ACT_EST_DATA=E, EST_SOURCE=BAM", "ACT_EST_MAPPING=PRECISE", "FS=MRC", "CURRENCY=USD", "XLFILL=b")</f>
        <v/>
      </c>
      <c r="AE33" s="9" t="str">
        <f>_xll.BQL("SEG0000269227 Segment", "IS_PERCENTAGE_OF_REVENUE", "FPR=2022Y", "FPT=A", "FA_ACT_EST_DATA=E, EST_SOURCE=RBC", "ACT_EST_MAPPING=PRECISE", "FS=MRC", "CURRENCY=USD", "XLFILL=b")</f>
        <v/>
      </c>
      <c r="AF33" s="9" t="str">
        <f>_xll.BQL("SEG0000269227 Segment", "IS_PERCENTAGE_OF_REVENUE", "FPR=2022Y", "FPT=A", "FA_ACT_EST_DATA=E, EST_SOURCE=UBS", "ACT_EST_MAPPING=PRECISE", "FS=MRC", "CURRENCY=USD", "XLFILL=b")</f>
        <v/>
      </c>
      <c r="AG33" s="9" t="str">
        <f>_xll.BQL("SEG0000269227 Segment", "IS_PERCENTAGE_OF_REVENUE", "FPR=2022Y", "FPT=A", "FA_ACT_EST_DATA=E, EST_SOURCE=RHR", "ACT_EST_MAPPING=PRECISE", "FS=MRC", "CURRENCY=USD", "XLFILL=b")</f>
        <v/>
      </c>
      <c r="AH33" s="9" t="str">
        <f>_xll.BQL("SEG0000269227 Segment", "IS_PERCENTAGE_OF_REVENUE", "FPR=2022Y", "FPT=A", "FA_ACT_EST_DATA=E, EST_SOURCE=JEF", "ACT_EST_MAPPING=PRECISE", "FS=MRC", "CURRENCY=USD", "XLFILL=b")</f>
        <v/>
      </c>
      <c r="AI33" s="9" t="str">
        <f>_xll.BQL("SEG0000269227 Segment", "IS_PERCENTAGE_OF_REVENUE", "FPR=2022Y", "FPT=A", "FA_ACT_EST_DATA=E, EST_SOURCE=ATL", "ACT_EST_MAPPING=PRECISE", "FS=MRC", "CURRENCY=USD", "XLFILL=b")</f>
        <v/>
      </c>
      <c r="AJ33" s="9" t="str">
        <f>_xll.BQL("SEG0000269227 Segment", "IS_PERCENTAGE_OF_REVENUE", "FPR=2022Y", "FPT=A", "FA_ACT_EST_DATA=E, EST_SOURCE=MAC", "ACT_EST_MAPPING=PRECISE", "FS=MRC", "CURRENCY=USD", "XLFILL=b")</f>
        <v/>
      </c>
      <c r="AK33" s="9" t="str">
        <f>_xll.BQL("SEG0000269227 Segment", "IS_PERCENTAGE_OF_REVENUE", "FPR=2022Y", "FPT=A", "FA_ACT_EST_DATA=E, EST_SOURCE=EVR", "ACT_EST_MAPPING=PRECISE", "FS=MRC", "CURRENCY=USD", "XLFILL=b")</f>
        <v/>
      </c>
      <c r="AL33" s="9" t="str">
        <f>_xll.BQL("SEG0000269227 Segment", "IS_PERCENTAGE_OF_REVENUE", "FPR=2022Y", "FPT=A", "FA_ACT_EST_DATA=E, EST_SOURCE=MSR", "ACT_EST_MAPPING=PRECISE", "FS=MRC", "CURRENCY=USD", "XLFILL=b")</f>
        <v/>
      </c>
      <c r="AM33" s="9" t="str">
        <f>_xll.BQL("SEG0000269227 Segment", "IS_PERCENTAGE_OF_REVENUE", "FPR=2022Y", "FPT=A", "FA_ACT_EST_DATA=E, EST_SOURCE=KGI", "ACT_EST_MAPPING=PRECISE", "FS=MRC", "CURRENCY=USD", "XLFILL=b")</f>
        <v/>
      </c>
      <c r="AN33" s="9" t="str">
        <f>_xll.BQL("SEG0000269227 Segment", "IS_PERCENTAGE_OF_REVENUE", "FPR=2022Y", "FPT=A", "FA_ACT_EST_DATA=E, EST_SOURCE=ACC", "ACT_EST_MAPPING=PRECISE", "FS=MRC", "CURRENCY=USD", "XLFILL=b")</f>
        <v/>
      </c>
      <c r="AO33" s="9" t="str">
        <f>_xll.BQL("SEG0000269227 Segment", "IS_PERCENTAGE_OF_REVENUE", "FPR=2022Y", "FPT=A", "FA_ACT_EST_DATA=E, EST_SOURCE=GSR", "ACT_EST_MAPPING=PRECISE", "FS=MRC", "CURRENCY=USD", "XLFILL=b")</f>
        <v/>
      </c>
      <c r="AP33" s="9" t="str">
        <f>_xll.BQL("SEG0000269227 Segment", "IS_PERCENTAGE_OF_REVENUE", "FPR=2022Y", "FPT=A", "FA_ACT_EST_DATA=E, EST_SOURCE=PSG", "ACT_EST_MAPPING=PRECISE", "FS=MRC", "CURRENCY=USD", "XLFILL=b")</f>
        <v/>
      </c>
      <c r="AQ33" s="9" t="str">
        <f>_xll.BQL("SEG0000269227 Segment", "IS_PERCENTAGE_OF_REVENUE", "FPR=2022Y", "FPT=A", "FA_ACT_EST_DATA=E, EST_SOURCE=DWI", "ACT_EST_MAPPING=PRECISE", "FS=MRC", "CURRENCY=USD", "XLFILL=b")</f>
        <v/>
      </c>
      <c r="AR33" s="9" t="str">
        <f>_xll.BQL("SEG0000269227 Segment", "IS_PERCENTAGE_OF_REVENUE", "FPR=2022Y", "FPT=A", "FA_ACT_EST_DATA=E, EST_SOURCE=RWB", "ACT_EST_MAPPING=PRECISE", "FS=MRC", "CURRENCY=USD", "XLFILL=b")</f>
        <v/>
      </c>
      <c r="AS33" s="9" t="str">
        <f>_xll.BQL("SEG0000269227 Segment", "IS_PERCENTAGE_OF_REVENUE", "FPR=2022Y", "FPT=A", "FA_ACT_EST_DATA=E, EST_SOURCE=ARG", "ACT_EST_MAPPING=PRECISE", "FS=MRC", "CURRENCY=USD", "XLFILL=b")</f>
        <v/>
      </c>
      <c r="AT33" s="9" t="str">
        <f>_xll.BQL("SEG0000269227 Segment", "IS_PERCENTAGE_OF_REVENUE", "FPR=2022Y", "FPT=A", "FA_ACT_EST_DATA=E, EST_SOURCE=CTI", "ACT_EST_MAPPING=PRECISE", "FS=MRC", "CURRENCY=USD", "XLFILL=b")</f>
        <v/>
      </c>
      <c r="AU33" s="9" t="str">
        <f>_xll.BQL("SEG0000269227 Segment", "IS_PERCENTAGE_OF_REVENUE", "FPR=2022Y", "FPT=A", "FA_ACT_EST_DATA=E, EST_SOURCE=WFT", "ACT_EST_MAPPING=PRECISE", "FS=MRC", "CURRENCY=USD", "XLFILL=b")</f>
        <v/>
      </c>
      <c r="AV33" s="9" t="str">
        <f>_xll.BQL("SEG0000269227 Segment", "IS_PERCENTAGE_OF_REVENUE", "FPR=2022Y", "FPT=A", "FA_ACT_EST_DATA=E, EST_SOURCE=PJE", "ACT_EST_MAPPING=PRECISE", "FS=MRC", "CURRENCY=USD", "XLFILL=b")</f>
        <v/>
      </c>
      <c r="AW33" s="9" t="str">
        <f>_xll.BQL("SEG0000269227 Segment", "IS_PERCENTAGE_OF_REVENUE", "FPR=2022Y", "FPT=A", "FA_ACT_EST_DATA=E, EST_SOURCE=SGE", "ACT_EST_MAPPING=PRECISE", "FS=MRC", "CURRENCY=USD", "XLFILL=b")</f>
        <v/>
      </c>
      <c r="AX33" s="9" t="str">
        <f>_xll.BQL("SEG0000269227 Segment", "IS_PERCENTAGE_OF_REVENUE", "FPR=2022Y", "FPT=A", "FA_ACT_EST_DATA=E, EST_SOURCE=MZS", "ACT_EST_MAPPING=PRECISE", "FS=MRC", "CURRENCY=USD", "XLFILL=b")</f>
        <v/>
      </c>
      <c r="AY33" s="9" t="str">
        <f>_xll.BQL("SEG0000269227 Segment", "IS_PERCENTAGE_OF_REVENUE", "FPR=2022Y", "FPT=A", "FA_ACT_EST_DATA=E, EST_SOURCE=RCP", "ACT_EST_MAPPING=PRECISE", "FS=MRC", "CURRENCY=USD", "XLFILL=b")</f>
        <v/>
      </c>
      <c r="AZ33" s="9" t="str">
        <f>_xll.BQL("SEG0000269227 Segment", "IS_PERCENTAGE_OF_REVENUE", "FPR=2022Y", "FPT=A", "FA_ACT_EST_DATA=E, EST_SOURCE=WFR", "ACT_EST_MAPPING=PRECISE", "FS=MRC", "CURRENCY=USD", "XLFILL=b")</f>
        <v/>
      </c>
      <c r="BA33" s="9" t="str">
        <f>_xll.BQL("SEG0000269227 Segment", "IS_PERCENTAGE_OF_REVENUE", "FPR=2022Y", "FPT=A", "FA_ACT_EST_DATA=E, EST_SOURCE=NIK", "ACT_EST_MAPPING=PRECISE", "FS=MRC", "CURRENCY=USD", "XLFILL=b")</f>
        <v/>
      </c>
      <c r="BB33" s="9" t="str">
        <f>_xll.BQL("SEG0000269227 Segment", "IS_PERCENTAGE_OF_REVENUE", "FPR=2022Y", "FPT=A", "FA_ACT_EST_DATA=E, EST_SOURCE=ARE", "ACT_EST_MAPPING=PRECISE", "FS=MRC", "CURRENCY=USD", "XLFILL=b")</f>
        <v/>
      </c>
      <c r="BC33" s="9" t="str">
        <f>_xll.BQL("SEG0000269227 Segment", "IS_PERCENTAGE_OF_REVENUE", "FPR=2022Y", "FPT=A", "FA_ACT_EST_DATA=E, EST_SOURCE=RED", "ACT_EST_MAPPING=PRECISE", "FS=MRC", "CURRENCY=USD", "XLFILL=b")</f>
        <v/>
      </c>
      <c r="BD33" s="9" t="str">
        <f>_xll.BQL("SEG0000269227 Segment", "IS_PERCENTAGE_OF_REVENUE", "FPR=2022Y", "FPT=A", "FA_ACT_EST_DATA=E, EST_SOURCE=DIR", "ACT_EST_MAPPING=PRECISE", "FS=MRC", "CURRENCY=USD", "XLFILL=b")</f>
        <v/>
      </c>
    </row>
    <row r="34" spans="1:56" x14ac:dyDescent="0.55000000000000004">
      <c r="A34" s="8" t="s">
        <v>72</v>
      </c>
      <c r="B34" s="5" t="s">
        <v>73</v>
      </c>
      <c r="C34" s="5" t="s">
        <v>74</v>
      </c>
      <c r="D34" s="5" t="s">
        <v>77</v>
      </c>
      <c r="E34" s="9">
        <f>_xll.BQL("SEG0000269227 Segment", "IS_COGS_TO_FE_AND_PP_AND_G/1M", "FPR=2022Y", "FPT=A", "FA_ACT_EST_DATA=E", "ACT_EST_MAPPING=PRECISE", "FS=MRC", "CURRENCY=USD", "XLFILL=b")</f>
        <v>1909.9590086851949</v>
      </c>
      <c r="F34" s="9">
        <f>_xll.BQL("SEG0000269227 Segment", "CONTRIBUTOR_STATS(IS_COGS_TO_FE_AND_PP_AND_G, MIN)/1M", "FPR=2022Y", "FPT=A", "FA_ACT_EST_DATA=E", "ACT_EST_MAPPING=PRECISE", "FS=MRC", "CURRENCY=USD", "XLFILL=b")</f>
        <v>1820.8086499999999</v>
      </c>
      <c r="G34" s="9">
        <f>_xll.BQL("SEG0000269227 Segment", "CONTRIBUTOR_STATS(IS_COGS_TO_FE_AND_PP_AND_G, MAX)/1M", "FPR=2022Y", "FPT=A", "FA_ACT_EST_DATA=E", "ACT_EST_MAPPING=PRECISE", "FS=MRC", "CURRENCY=USD", "XLFILL=b")</f>
        <v>1987.6831999999999</v>
      </c>
      <c r="H34" s="9">
        <f>_xll.BQL("SEG0000269227 Segment", "CONTRIBUTOR_STATS(IS_COGS_TO_FE_AND_PP_AND_G, STD)/1M", "FPR=2022Y", "FPT=A", "FA_ACT_EST_DATA=E", "ACT_EST_MAPPING=PRECISE", "FS=MRC", "CURRENCY=USD", "XLFILL=b")</f>
        <v>47.12675613726411</v>
      </c>
      <c r="I34" s="9">
        <f>_xll.BQL("SEG0000269227 Segment", "CONTRIBUTOR_STATS(IS_COGS_TO_FE_AND_PP_AND_G, MEDIAN)/1M", "FPR=2022Y", "FPT=A", "FA_ACT_EST_DATA=E", "ACT_EST_MAPPING=PRECISE", "FS=MRC", "CURRENCY=USD", "XLFILL=b")</f>
        <v>1917.25</v>
      </c>
      <c r="J34" s="9" t="str">
        <f>_xll.BQL("SEG0000269227 Segment", "IS_COGS_TO_FE_AND_PP_AND_G/1M", "FPR=2022Y", "FPT=A", "FA_ACT_EST_DATA=E, EST_SOURCE=CMPY", "ACT_EST_MAPPING=PRECISE", "FS=MRC", "CURRENCY=USD", "XLFILL=b")</f>
        <v/>
      </c>
      <c r="K34" s="9" t="str">
        <f>_xll.BQL("SEG0000269227 Segment", "IS_COGS_TO_FE_AND_PP_AND_G/1M", "FPR=2022Y", "FPT=A", "FA_ACT_EST_DATA=E, EST_SOURCE=WBL", "ACT_EST_MAPPING=PRECISE", "FS=MRC", "CURRENCY=USD", "XLFILL=b")</f>
        <v/>
      </c>
      <c r="L34" s="9" t="str">
        <f>_xll.BQL("SEG0000269227 Segment", "IS_COGS_TO_FE_AND_PP_AND_G/1M", "FPR=2022Y", "FPT=A", "FA_ACT_EST_DATA=E, EST_SOURCE=BMO", "ACT_EST_MAPPING=PRECISE", "FS=MRC", "CURRENCY=USD", "XLFILL=b")</f>
        <v/>
      </c>
      <c r="M34" s="9">
        <f>_xll.BQL("SEG0000269227 Segment", "IS_COGS_TO_FE_AND_PP_AND_G/1M", "FPR=2022Y", "FPT=A", "FA_ACT_EST_DATA=E, EST_SOURCE=BCA", "ACT_EST_MAPPING=PRECISE", "FS=MRC", "CURRENCY=USD", "XLFILL=b")</f>
        <v>1820.8086499999999</v>
      </c>
      <c r="N34" s="9" t="str">
        <f>_xll.BQL("SEG0000269227 Segment", "IS_COGS_TO_FE_AND_PP_AND_G/1M", "FPR=2022Y", "FPT=A", "FA_ACT_EST_DATA=E, EST_SOURCE=SNR", "ACT_EST_MAPPING=PRECISE", "FS=MRC", "CURRENCY=USD", "XLFILL=b")</f>
        <v/>
      </c>
      <c r="O34" s="9">
        <f>_xll.BQL("SEG0000269227 Segment", "IS_COGS_TO_FE_AND_PP_AND_G/1M", "FPR=2022Y", "FPT=A", "FA_ACT_EST_DATA=E, EST_SOURCE=MSV", "ACT_EST_MAPPING=PRECISE", "FS=MRC", "CURRENCY=USD", "XLFILL=b")</f>
        <v>1874.124</v>
      </c>
      <c r="P34" s="9">
        <f>_xll.BQL("SEG0000269227 Segment", "IS_COGS_TO_FE_AND_PP_AND_G/1M", "FPR=2022Y", "FPT=A", "FA_ACT_EST_DATA=E, EST_SOURCE=DBG", "ACT_EST_MAPPING=PRECISE", "FS=MRC", "CURRENCY=USD", "XLFILL=b")</f>
        <v>1945.3108000673089</v>
      </c>
      <c r="Q34" s="9">
        <f>_xll.BQL("SEG0000269227 Segment", "IS_COGS_TO_FE_AND_PP_AND_G/1M", "FPR=2022Y", "FPT=A", "FA_ACT_EST_DATA=E, EST_SOURCE=NDH", "ACT_EST_MAPPING=PRECISE", "FS=MRC", "CURRENCY=USD", "XLFILL=b")</f>
        <v>1943.0060000000001</v>
      </c>
      <c r="R34" s="9" t="str">
        <f>_xll.BQL("SEG0000269227 Segment", "IS_COGS_TO_FE_AND_PP_AND_G/1M", "FPR=2022Y", "FPT=A", "FA_ACT_EST_DATA=E, EST_SOURCE=CAN", "ACT_EST_MAPPING=PRECISE", "FS=MRC", "CURRENCY=USD", "XLFILL=b")</f>
        <v/>
      </c>
      <c r="S34" s="9" t="str">
        <f>_xll.BQL("SEG0000269227 Segment", "IS_COGS_TO_FE_AND_PP_AND_G/1M", "FPR=2022Y", "FPT=A", "FA_ACT_EST_DATA=E, EST_SOURCE=SCB", "ACT_EST_MAPPING=PRECISE", "FS=MRC", "CURRENCY=USD", "XLFILL=b")</f>
        <v/>
      </c>
      <c r="T34" s="9">
        <f>_xll.BQL("SEG0000269227 Segment", "IS_COGS_TO_FE_AND_PP_AND_G/1M", "FPR=2022Y", "FPT=A", "FA_ACT_EST_DATA=E, EST_SOURCE=JMP", "ACT_EST_MAPPING=PRECISE", "FS=MRC", "CURRENCY=USD", "XLFILL=b")</f>
        <v>1882.2</v>
      </c>
      <c r="U34" s="9" t="str">
        <f>_xll.BQL("SEG0000269227 Segment", "IS_COGS_TO_FE_AND_PP_AND_G/1M", "FPR=2022Y", "FPT=A", "FA_ACT_EST_DATA=E, EST_SOURCE=RJA", "ACT_EST_MAPPING=PRECISE", "FS=MRC", "CURRENCY=USD", "XLFILL=b")</f>
        <v/>
      </c>
      <c r="V34" s="9" t="str">
        <f>_xll.BQL("SEG0000269227 Segment", "IS_COGS_TO_FE_AND_PP_AND_G/1M", "FPR=2022Y", "FPT=A", "FA_ACT_EST_DATA=E, EST_SOURCE=OPY", "ACT_EST_MAPPING=PRECISE", "FS=MRC", "CURRENCY=USD", "XLFILL=b")</f>
        <v/>
      </c>
      <c r="W34" s="9" t="str">
        <f>_xll.BQL("SEG0000269227 Segment", "IS_COGS_TO_FE_AND_PP_AND_G/1M", "FPR=2022Y", "FPT=A", "FA_ACT_EST_DATA=E, EST_SOURCE=JPM", "ACT_EST_MAPPING=PRECISE", "FS=MRC", "CURRENCY=USD", "XLFILL=b")</f>
        <v/>
      </c>
      <c r="X34" s="9">
        <f>_xll.BQL("SEG0000269227 Segment", "IS_COGS_TO_FE_AND_PP_AND_G/1M", "FPR=2022Y", "FPT=A", "FA_ACT_EST_DATA=E, EST_SOURCE=FBC", "ACT_EST_MAPPING=PRECISE", "FS=MRC", "CURRENCY=USD", "XLFILL=b")</f>
        <v>1979.320778795302</v>
      </c>
      <c r="Y34" s="9">
        <f>_xll.BQL("SEG0000269227 Segment", "IS_COGS_TO_FE_AND_PP_AND_G/1M", "FPR=2022Y", "FPT=A", "FA_ACT_EST_DATA=E, EST_SOURCE=WMS", "ACT_EST_MAPPING=PRECISE", "FS=MRC", "CURRENCY=USD", "XLFILL=b")</f>
        <v>1566.168625</v>
      </c>
      <c r="Z34" s="9">
        <f>_xll.BQL("SEG0000269227 Segment", "IS_COGS_TO_FE_AND_PP_AND_G/1M", "FPR=2022Y", "FPT=A", "FA_ACT_EST_DATA=E, EST_SOURCE=KEY", "ACT_EST_MAPPING=PRECISE", "FS=MRC", "CURRENCY=USD", "XLFILL=b")</f>
        <v>1788.7946999999999</v>
      </c>
      <c r="AA34" s="9" t="str">
        <f>_xll.BQL("SEG0000269227 Segment", "IS_COGS_TO_FE_AND_PP_AND_G/1M", "FPR=2022Y", "FPT=A", "FA_ACT_EST_DATA=E, EST_SOURCE=LCM", "ACT_EST_MAPPING=PRECISE", "FS=MRC", "CURRENCY=USD", "XLFILL=b")</f>
        <v/>
      </c>
      <c r="AB34" s="9" t="str">
        <f>_xll.BQL("SEG0000269227 Segment", "IS_COGS_TO_FE_AND_PP_AND_G/1M", "FPR=2022Y", "FPT=A", "FA_ACT_EST_DATA=E, EST_SOURCE=CWN", "ACT_EST_MAPPING=PRECISE", "FS=MRC", "CURRENCY=USD", "XLFILL=b")</f>
        <v/>
      </c>
      <c r="AC34" s="9" t="str">
        <f>_xll.BQL("SEG0000269227 Segment", "IS_COGS_TO_FE_AND_PP_AND_G/1M", "FPR=2022Y", "FPT=A", "FA_ACT_EST_DATA=E, EST_SOURCE=BNS", "ACT_EST_MAPPING=PRECISE", "FS=MRC", "CURRENCY=USD", "XLFILL=b")</f>
        <v/>
      </c>
      <c r="AD34" s="9" t="str">
        <f>_xll.BQL("SEG0000269227 Segment", "IS_COGS_TO_FE_AND_PP_AND_G/1M", "FPR=2022Y", "FPT=A", "FA_ACT_EST_DATA=E, EST_SOURCE=BAM", "ACT_EST_MAPPING=PRECISE", "FS=MRC", "CURRENCY=USD", "XLFILL=b")</f>
        <v/>
      </c>
      <c r="AE34" s="9" t="str">
        <f>_xll.BQL("SEG0000269227 Segment", "IS_COGS_TO_FE_AND_PP_AND_G/1M", "FPR=2022Y", "FPT=A", "FA_ACT_EST_DATA=E, EST_SOURCE=RBC", "ACT_EST_MAPPING=PRECISE", "FS=MRC", "CURRENCY=USD", "XLFILL=b")</f>
        <v/>
      </c>
      <c r="AF34" s="9" t="str">
        <f>_xll.BQL("SEG0000269227 Segment", "IS_COGS_TO_FE_AND_PP_AND_G/1M", "FPR=2022Y", "FPT=A", "FA_ACT_EST_DATA=E, EST_SOURCE=UBS", "ACT_EST_MAPPING=PRECISE", "FS=MRC", "CURRENCY=USD", "XLFILL=b")</f>
        <v/>
      </c>
      <c r="AG34" s="9" t="str">
        <f>_xll.BQL("SEG0000269227 Segment", "IS_COGS_TO_FE_AND_PP_AND_G/1M", "FPR=2022Y", "FPT=A", "FA_ACT_EST_DATA=E, EST_SOURCE=RHR", "ACT_EST_MAPPING=PRECISE", "FS=MRC", "CURRENCY=USD", "XLFILL=b")</f>
        <v/>
      </c>
      <c r="AH34" s="9" t="str">
        <f>_xll.BQL("SEG0000269227 Segment", "IS_COGS_TO_FE_AND_PP_AND_G/1M", "FPR=2022Y", "FPT=A", "FA_ACT_EST_DATA=E, EST_SOURCE=JEF", "ACT_EST_MAPPING=PRECISE", "FS=MRC", "CURRENCY=USD", "XLFILL=b")</f>
        <v/>
      </c>
      <c r="AI34" s="9" t="str">
        <f>_xll.BQL("SEG0000269227 Segment", "IS_COGS_TO_FE_AND_PP_AND_G/1M", "FPR=2022Y", "FPT=A", "FA_ACT_EST_DATA=E, EST_SOURCE=ATL", "ACT_EST_MAPPING=PRECISE", "FS=MRC", "CURRENCY=USD", "XLFILL=b")</f>
        <v/>
      </c>
      <c r="AJ34" s="9" t="str">
        <f>_xll.BQL("SEG0000269227 Segment", "IS_COGS_TO_FE_AND_PP_AND_G/1M", "FPR=2022Y", "FPT=A", "FA_ACT_EST_DATA=E, EST_SOURCE=MAC", "ACT_EST_MAPPING=PRECISE", "FS=MRC", "CURRENCY=USD", "XLFILL=b")</f>
        <v/>
      </c>
      <c r="AK34" s="9" t="str">
        <f>_xll.BQL("SEG0000269227 Segment", "IS_COGS_TO_FE_AND_PP_AND_G/1M", "FPR=2022Y", "FPT=A", "FA_ACT_EST_DATA=E, EST_SOURCE=EVR", "ACT_EST_MAPPING=PRECISE", "FS=MRC", "CURRENCY=USD", "XLFILL=b")</f>
        <v/>
      </c>
      <c r="AL34" s="9" t="str">
        <f>_xll.BQL("SEG0000269227 Segment", "IS_COGS_TO_FE_AND_PP_AND_G/1M", "FPR=2022Y", "FPT=A", "FA_ACT_EST_DATA=E, EST_SOURCE=MSR", "ACT_EST_MAPPING=PRECISE", "FS=MRC", "CURRENCY=USD", "XLFILL=b")</f>
        <v/>
      </c>
      <c r="AM34" s="9" t="str">
        <f>_xll.BQL("SEG0000269227 Segment", "IS_COGS_TO_FE_AND_PP_AND_G/1M", "FPR=2022Y", "FPT=A", "FA_ACT_EST_DATA=E, EST_SOURCE=KGI", "ACT_EST_MAPPING=PRECISE", "FS=MRC", "CURRENCY=USD", "XLFILL=b")</f>
        <v/>
      </c>
      <c r="AN34" s="9" t="str">
        <f>_xll.BQL("SEG0000269227 Segment", "IS_COGS_TO_FE_AND_PP_AND_G/1M", "FPR=2022Y", "FPT=A", "FA_ACT_EST_DATA=E, EST_SOURCE=ACC", "ACT_EST_MAPPING=PRECISE", "FS=MRC", "CURRENCY=USD", "XLFILL=b")</f>
        <v/>
      </c>
      <c r="AO34" s="9" t="str">
        <f>_xll.BQL("SEG0000269227 Segment", "IS_COGS_TO_FE_AND_PP_AND_G/1M", "FPR=2022Y", "FPT=A", "FA_ACT_EST_DATA=E, EST_SOURCE=GSR", "ACT_EST_MAPPING=PRECISE", "FS=MRC", "CURRENCY=USD", "XLFILL=b")</f>
        <v/>
      </c>
      <c r="AP34" s="9" t="str">
        <f>_xll.BQL("SEG0000269227 Segment", "IS_COGS_TO_FE_AND_PP_AND_G/1M", "FPR=2022Y", "FPT=A", "FA_ACT_EST_DATA=E, EST_SOURCE=PSG", "ACT_EST_MAPPING=PRECISE", "FS=MRC", "CURRENCY=USD", "XLFILL=b")</f>
        <v/>
      </c>
      <c r="AQ34" s="9" t="str">
        <f>_xll.BQL("SEG0000269227 Segment", "IS_COGS_TO_FE_AND_PP_AND_G/1M", "FPR=2022Y", "FPT=A", "FA_ACT_EST_DATA=E, EST_SOURCE=DWI", "ACT_EST_MAPPING=PRECISE", "FS=MRC", "CURRENCY=USD", "XLFILL=b")</f>
        <v/>
      </c>
      <c r="AR34" s="9" t="str">
        <f>_xll.BQL("SEG0000269227 Segment", "IS_COGS_TO_FE_AND_PP_AND_G/1M", "FPR=2022Y", "FPT=A", "FA_ACT_EST_DATA=E, EST_SOURCE=RWB", "ACT_EST_MAPPING=PRECISE", "FS=MRC", "CURRENCY=USD", "XLFILL=b")</f>
        <v/>
      </c>
      <c r="AS34" s="9" t="str">
        <f>_xll.BQL("SEG0000269227 Segment", "IS_COGS_TO_FE_AND_PP_AND_G/1M", "FPR=2022Y", "FPT=A", "FA_ACT_EST_DATA=E, EST_SOURCE=ARG", "ACT_EST_MAPPING=PRECISE", "FS=MRC", "CURRENCY=USD", "XLFILL=b")</f>
        <v/>
      </c>
      <c r="AT34" s="9" t="str">
        <f>_xll.BQL("SEG0000269227 Segment", "IS_COGS_TO_FE_AND_PP_AND_G/1M", "FPR=2022Y", "FPT=A", "FA_ACT_EST_DATA=E, EST_SOURCE=CTI", "ACT_EST_MAPPING=PRECISE", "FS=MRC", "CURRENCY=USD", "XLFILL=b")</f>
        <v/>
      </c>
      <c r="AU34" s="9" t="str">
        <f>_xll.BQL("SEG0000269227 Segment", "IS_COGS_TO_FE_AND_PP_AND_G/1M", "FPR=2022Y", "FPT=A", "FA_ACT_EST_DATA=E, EST_SOURCE=WFT", "ACT_EST_MAPPING=PRECISE", "FS=MRC", "CURRENCY=USD", "XLFILL=b")</f>
        <v/>
      </c>
      <c r="AV34" s="9" t="str">
        <f>_xll.BQL("SEG0000269227 Segment", "IS_COGS_TO_FE_AND_PP_AND_G/1M", "FPR=2022Y", "FPT=A", "FA_ACT_EST_DATA=E, EST_SOURCE=PJE", "ACT_EST_MAPPING=PRECISE", "FS=MRC", "CURRENCY=USD", "XLFILL=b")</f>
        <v/>
      </c>
      <c r="AW34" s="9" t="str">
        <f>_xll.BQL("SEG0000269227 Segment", "IS_COGS_TO_FE_AND_PP_AND_G/1M", "FPR=2022Y", "FPT=A", "FA_ACT_EST_DATA=E, EST_SOURCE=SGE", "ACT_EST_MAPPING=PRECISE", "FS=MRC", "CURRENCY=USD", "XLFILL=b")</f>
        <v/>
      </c>
      <c r="AX34" s="9" t="str">
        <f>_xll.BQL("SEG0000269227 Segment", "IS_COGS_TO_FE_AND_PP_AND_G/1M", "FPR=2022Y", "FPT=A", "FA_ACT_EST_DATA=E, EST_SOURCE=MZS", "ACT_EST_MAPPING=PRECISE", "FS=MRC", "CURRENCY=USD", "XLFILL=b")</f>
        <v/>
      </c>
      <c r="AY34" s="9" t="str">
        <f>_xll.BQL("SEG0000269227 Segment", "IS_COGS_TO_FE_AND_PP_AND_G/1M", "FPR=2022Y", "FPT=A", "FA_ACT_EST_DATA=E, EST_SOURCE=RCP", "ACT_EST_MAPPING=PRECISE", "FS=MRC", "CURRENCY=USD", "XLFILL=b")</f>
        <v/>
      </c>
      <c r="AZ34" s="9" t="str">
        <f>_xll.BQL("SEG0000269227 Segment", "IS_COGS_TO_FE_AND_PP_AND_G/1M", "FPR=2022Y", "FPT=A", "FA_ACT_EST_DATA=E, EST_SOURCE=WFR", "ACT_EST_MAPPING=PRECISE", "FS=MRC", "CURRENCY=USD", "XLFILL=b")</f>
        <v/>
      </c>
      <c r="BA34" s="9" t="str">
        <f>_xll.BQL("SEG0000269227 Segment", "IS_COGS_TO_FE_AND_PP_AND_G/1M", "FPR=2022Y", "FPT=A", "FA_ACT_EST_DATA=E, EST_SOURCE=NIK", "ACT_EST_MAPPING=PRECISE", "FS=MRC", "CURRENCY=USD", "XLFILL=b")</f>
        <v/>
      </c>
      <c r="BB34" s="9" t="str">
        <f>_xll.BQL("SEG0000269227 Segment", "IS_COGS_TO_FE_AND_PP_AND_G/1M", "FPR=2022Y", "FPT=A", "FA_ACT_EST_DATA=E, EST_SOURCE=ARE", "ACT_EST_MAPPING=PRECISE", "FS=MRC", "CURRENCY=USD", "XLFILL=b")</f>
        <v/>
      </c>
      <c r="BC34" s="9" t="str">
        <f>_xll.BQL("SEG0000269227 Segment", "IS_COGS_TO_FE_AND_PP_AND_G/1M", "FPR=2022Y", "FPT=A", "FA_ACT_EST_DATA=E, EST_SOURCE=RED", "ACT_EST_MAPPING=PRECISE", "FS=MRC", "CURRENCY=USD", "XLFILL=b")</f>
        <v/>
      </c>
      <c r="BD34" s="9" t="str">
        <f>_xll.BQL("SEG0000269227 Segment", "IS_COGS_TO_FE_AND_PP_AND_G/1M", "FPR=2022Y", "FPT=A", "FA_ACT_EST_DATA=E, EST_SOURCE=DIR", "ACT_EST_MAPPING=PRECISE", "FS=MRC", "CURRENCY=USD", "XLFILL=b")</f>
        <v/>
      </c>
    </row>
    <row r="35" spans="1:56" x14ac:dyDescent="0.55000000000000004">
      <c r="A35" s="8" t="s">
        <v>26</v>
      </c>
      <c r="B35" s="5"/>
      <c r="C35" s="5"/>
      <c r="D35" s="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</row>
    <row r="36" spans="1:56" x14ac:dyDescent="0.55000000000000004">
      <c r="A36" s="8" t="s">
        <v>80</v>
      </c>
      <c r="B36" s="5"/>
      <c r="C36" s="5" t="s">
        <v>81</v>
      </c>
      <c r="D36" s="5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</row>
    <row r="37" spans="1:56" x14ac:dyDescent="0.55000000000000004">
      <c r="A37" s="8" t="s">
        <v>82</v>
      </c>
      <c r="B37" s="5"/>
      <c r="C37" s="5" t="s">
        <v>83</v>
      </c>
      <c r="D37" s="5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</row>
    <row r="38" spans="1:56" x14ac:dyDescent="0.55000000000000004">
      <c r="A38" s="8" t="s">
        <v>56</v>
      </c>
      <c r="B38" s="5" t="s">
        <v>28</v>
      </c>
      <c r="C38" s="5" t="s">
        <v>0</v>
      </c>
      <c r="D38" s="5" t="s">
        <v>84</v>
      </c>
      <c r="E38" s="9">
        <f>_xll.BQL("SEG0000269228 Segment", "SALES_REV_TURN/1M", "FPR=2022Y", "FPT=A", "FA_ACT_EST_DATA=E", "ACT_EST_MAPPING=PRECISE", "FS=MRC", "CURRENCY=USD", "XLFILL=b")</f>
        <v>14672.317798338921</v>
      </c>
      <c r="F38" s="9">
        <f>_xll.BQL("SEG0000269228 Segment", "CONTRIBUTOR_STATS(SALES_REV_TURN, MIN)/1M", "FPR=2022Y", "FPT=A", "FA_ACT_EST_DATA=E", "ACT_EST_MAPPING=PRECISE", "FS=MRC", "CURRENCY=USD", "XLFILL=b")</f>
        <v>13044</v>
      </c>
      <c r="G38" s="9">
        <f>_xll.BQL("SEG0000269228 Segment", "CONTRIBUTOR_STATS(SALES_REV_TURN, MAX)/1M", "FPR=2022Y", "FPT=A", "FA_ACT_EST_DATA=E", "ACT_EST_MAPPING=PRECISE", "FS=MRC", "CURRENCY=USD", "XLFILL=b")</f>
        <v>17928.953395016761</v>
      </c>
      <c r="H38" s="9">
        <f>_xll.BQL("SEG0000269228 Segment", "CONTRIBUTOR_STATS(SALES_REV_TURN, STD)/1M", "FPR=2022Y", "FPT=A", "FA_ACT_EST_DATA=E", "ACT_EST_MAPPING=PRECISE", "FS=MRC", "CURRENCY=USD", "XLFILL=b")</f>
        <v>2820.3291575917019</v>
      </c>
      <c r="I38" s="9">
        <f>_xll.BQL("SEG0000269228 Segment", "CONTRIBUTOR_STATS(SALES_REV_TURN, MEDIAN)/1M", "FPR=2022Y", "FPT=A", "FA_ACT_EST_DATA=E", "ACT_EST_MAPPING=PRECISE", "FS=MRC", "CURRENCY=USD", "XLFILL=b")</f>
        <v>13044</v>
      </c>
      <c r="J38" s="9" t="str">
        <f>_xll.BQL("SEG0000269228 Segment", "SALES_REV_TURN/1M", "FPR=2022Y", "FPT=A", "FA_ACT_EST_DATA=E, EST_SOURCE=CMPY", "ACT_EST_MAPPING=PRECISE", "FS=MRC", "CURRENCY=USD", "XLFILL=b")</f>
        <v/>
      </c>
      <c r="K38" s="9" t="str">
        <f>_xll.BQL("SEG0000269228 Segment", "SALES_REV_TURN/1M", "FPR=2022Y", "FPT=A", "FA_ACT_EST_DATA=E, EST_SOURCE=WBL", "ACT_EST_MAPPING=PRECISE", "FS=MRC", "CURRENCY=USD", "XLFILL=b")</f>
        <v/>
      </c>
      <c r="L38" s="9" t="str">
        <f>_xll.BQL("SEG0000269228 Segment", "SALES_REV_TURN/1M", "FPR=2022Y", "FPT=A", "FA_ACT_EST_DATA=E, EST_SOURCE=BMO", "ACT_EST_MAPPING=PRECISE", "FS=MRC", "CURRENCY=USD", "XLFILL=b")</f>
        <v/>
      </c>
      <c r="M38" s="9" t="str">
        <f>_xll.BQL("SEG0000269228 Segment", "SALES_REV_TURN/1M", "FPR=2022Y", "FPT=A", "FA_ACT_EST_DATA=E, EST_SOURCE=BCA", "ACT_EST_MAPPING=PRECISE", "FS=MRC", "CURRENCY=USD", "XLFILL=b")</f>
        <v/>
      </c>
      <c r="N38" s="9" t="str">
        <f>_xll.BQL("SEG0000269228 Segment", "SALES_REV_TURN/1M", "FPR=2022Y", "FPT=A", "FA_ACT_EST_DATA=E, EST_SOURCE=SNR", "ACT_EST_MAPPING=PRECISE", "FS=MRC", "CURRENCY=USD", "XLFILL=b")</f>
        <v/>
      </c>
      <c r="O38" s="9">
        <f>_xll.BQL("SEG0000269228 Segment", "SALES_REV_TURN/1M", "FPR=2022Y", "FPT=A", "FA_ACT_EST_DATA=E, EST_SOURCE=MSV", "ACT_EST_MAPPING=PRECISE", "FS=MRC", "CURRENCY=USD", "XLFILL=b")</f>
        <v>13044</v>
      </c>
      <c r="P38" s="9" t="str">
        <f>_xll.BQL("SEG0000269228 Segment", "SALES_REV_TURN/1M", "FPR=2022Y", "FPT=A", "FA_ACT_EST_DATA=E, EST_SOURCE=DBG", "ACT_EST_MAPPING=PRECISE", "FS=MRC", "CURRENCY=USD", "XLFILL=b")</f>
        <v/>
      </c>
      <c r="Q38" s="9" t="str">
        <f>_xll.BQL("SEG0000269228 Segment", "SALES_REV_TURN/1M", "FPR=2022Y", "FPT=A", "FA_ACT_EST_DATA=E, EST_SOURCE=NDH", "ACT_EST_MAPPING=PRECISE", "FS=MRC", "CURRENCY=USD", "XLFILL=b")</f>
        <v/>
      </c>
      <c r="R38" s="9" t="str">
        <f>_xll.BQL("SEG0000269228 Segment", "SALES_REV_TURN/1M", "FPR=2022Y", "FPT=A", "FA_ACT_EST_DATA=E, EST_SOURCE=CAN", "ACT_EST_MAPPING=PRECISE", "FS=MRC", "CURRENCY=USD", "XLFILL=b")</f>
        <v/>
      </c>
      <c r="S38" s="9" t="str">
        <f>_xll.BQL("SEG0000269228 Segment", "SALES_REV_TURN/1M", "FPR=2022Y", "FPT=A", "FA_ACT_EST_DATA=E, EST_SOURCE=SCB", "ACT_EST_MAPPING=PRECISE", "FS=MRC", "CURRENCY=USD", "XLFILL=b")</f>
        <v/>
      </c>
      <c r="T38" s="9" t="str">
        <f>_xll.BQL("SEG0000269228 Segment", "SALES_REV_TURN/1M", "FPR=2022Y", "FPT=A", "FA_ACT_EST_DATA=E, EST_SOURCE=JMP", "ACT_EST_MAPPING=PRECISE", "FS=MRC", "CURRENCY=USD", "XLFILL=b")</f>
        <v/>
      </c>
      <c r="U38" s="9" t="str">
        <f>_xll.BQL("SEG0000269228 Segment", "SALES_REV_TURN/1M", "FPR=2022Y", "FPT=A", "FA_ACT_EST_DATA=E, EST_SOURCE=RJA", "ACT_EST_MAPPING=PRECISE", "FS=MRC", "CURRENCY=USD", "XLFILL=b")</f>
        <v/>
      </c>
      <c r="V38" s="9" t="str">
        <f>_xll.BQL("SEG0000269228 Segment", "SALES_REV_TURN/1M", "FPR=2022Y", "FPT=A", "FA_ACT_EST_DATA=E, EST_SOURCE=OPY", "ACT_EST_MAPPING=PRECISE", "FS=MRC", "CURRENCY=USD", "XLFILL=b")</f>
        <v/>
      </c>
      <c r="W38" s="9" t="str">
        <f>_xll.BQL("SEG0000269228 Segment", "SALES_REV_TURN/1M", "FPR=2022Y", "FPT=A", "FA_ACT_EST_DATA=E, EST_SOURCE=JPM", "ACT_EST_MAPPING=PRECISE", "FS=MRC", "CURRENCY=USD", "XLFILL=b")</f>
        <v/>
      </c>
      <c r="X38" s="9" t="str">
        <f>_xll.BQL("SEG0000269228 Segment", "SALES_REV_TURN/1M", "FPR=2022Y", "FPT=A", "FA_ACT_EST_DATA=E, EST_SOURCE=FBC", "ACT_EST_MAPPING=PRECISE", "FS=MRC", "CURRENCY=USD", "XLFILL=b")</f>
        <v/>
      </c>
      <c r="Y38" s="9" t="str">
        <f>_xll.BQL("SEG0000269228 Segment", "SALES_REV_TURN/1M", "FPR=2022Y", "FPT=A", "FA_ACT_EST_DATA=E, EST_SOURCE=WMS", "ACT_EST_MAPPING=PRECISE", "FS=MRC", "CURRENCY=USD", "XLFILL=b")</f>
        <v/>
      </c>
      <c r="Z38" s="9" t="str">
        <f>_xll.BQL("SEG0000269228 Segment", "SALES_REV_TURN/1M", "FPR=2022Y", "FPT=A", "FA_ACT_EST_DATA=E, EST_SOURCE=KEY", "ACT_EST_MAPPING=PRECISE", "FS=MRC", "CURRENCY=USD", "XLFILL=b")</f>
        <v/>
      </c>
      <c r="AA38" s="9" t="str">
        <f>_xll.BQL("SEG0000269228 Segment", "SALES_REV_TURN/1M", "FPR=2022Y", "FPT=A", "FA_ACT_EST_DATA=E, EST_SOURCE=LCM", "ACT_EST_MAPPING=PRECISE", "FS=MRC", "CURRENCY=USD", "XLFILL=b")</f>
        <v/>
      </c>
      <c r="AB38" s="9" t="str">
        <f>_xll.BQL("SEG0000269228 Segment", "SALES_REV_TURN/1M", "FPR=2022Y", "FPT=A", "FA_ACT_EST_DATA=E, EST_SOURCE=CWN", "ACT_EST_MAPPING=PRECISE", "FS=MRC", "CURRENCY=USD", "XLFILL=b")</f>
        <v/>
      </c>
      <c r="AC38" s="9" t="str">
        <f>_xll.BQL("SEG0000269228 Segment", "SALES_REV_TURN/1M", "FPR=2022Y", "FPT=A", "FA_ACT_EST_DATA=E, EST_SOURCE=BNS", "ACT_EST_MAPPING=PRECISE", "FS=MRC", "CURRENCY=USD", "XLFILL=b")</f>
        <v/>
      </c>
      <c r="AD38" s="9" t="str">
        <f>_xll.BQL("SEG0000269228 Segment", "SALES_REV_TURN/1M", "FPR=2022Y", "FPT=A", "FA_ACT_EST_DATA=E, EST_SOURCE=BAM", "ACT_EST_MAPPING=PRECISE", "FS=MRC", "CURRENCY=USD", "XLFILL=b")</f>
        <v/>
      </c>
      <c r="AE38" s="9" t="str">
        <f>_xll.BQL("SEG0000269228 Segment", "SALES_REV_TURN/1M", "FPR=2022Y", "FPT=A", "FA_ACT_EST_DATA=E, EST_SOURCE=RBC", "ACT_EST_MAPPING=PRECISE", "FS=MRC", "CURRENCY=USD", "XLFILL=b")</f>
        <v/>
      </c>
      <c r="AF38" s="9" t="str">
        <f>_xll.BQL("SEG0000269228 Segment", "SALES_REV_TURN/1M", "FPR=2022Y", "FPT=A", "FA_ACT_EST_DATA=E, EST_SOURCE=UBS", "ACT_EST_MAPPING=PRECISE", "FS=MRC", "CURRENCY=USD", "XLFILL=b")</f>
        <v/>
      </c>
      <c r="AG38" s="9" t="str">
        <f>_xll.BQL("SEG0000269228 Segment", "SALES_REV_TURN/1M", "FPR=2022Y", "FPT=A", "FA_ACT_EST_DATA=E, EST_SOURCE=RHR", "ACT_EST_MAPPING=PRECISE", "FS=MRC", "CURRENCY=USD", "XLFILL=b")</f>
        <v/>
      </c>
      <c r="AH38" s="9" t="str">
        <f>_xll.BQL("SEG0000269228 Segment", "SALES_REV_TURN/1M", "FPR=2022Y", "FPT=A", "FA_ACT_EST_DATA=E, EST_SOURCE=JEF", "ACT_EST_MAPPING=PRECISE", "FS=MRC", "CURRENCY=USD", "XLFILL=b")</f>
        <v/>
      </c>
      <c r="AI38" s="9" t="str">
        <f>_xll.BQL("SEG0000269228 Segment", "SALES_REV_TURN/1M", "FPR=2022Y", "FPT=A", "FA_ACT_EST_DATA=E, EST_SOURCE=ATL", "ACT_EST_MAPPING=PRECISE", "FS=MRC", "CURRENCY=USD", "XLFILL=b")</f>
        <v/>
      </c>
      <c r="AJ38" s="9" t="str">
        <f>_xll.BQL("SEG0000269228 Segment", "SALES_REV_TURN/1M", "FPR=2022Y", "FPT=A", "FA_ACT_EST_DATA=E, EST_SOURCE=MAC", "ACT_EST_MAPPING=PRECISE", "FS=MRC", "CURRENCY=USD", "XLFILL=b")</f>
        <v/>
      </c>
      <c r="AK38" s="9" t="str">
        <f>_xll.BQL("SEG0000269228 Segment", "SALES_REV_TURN/1M", "FPR=2022Y", "FPT=A", "FA_ACT_EST_DATA=E, EST_SOURCE=EVR", "ACT_EST_MAPPING=PRECISE", "FS=MRC", "CURRENCY=USD", "XLFILL=b")</f>
        <v/>
      </c>
      <c r="AL38" s="9" t="str">
        <f>_xll.BQL("SEG0000269228 Segment", "SALES_REV_TURN/1M", "FPR=2022Y", "FPT=A", "FA_ACT_EST_DATA=E, EST_SOURCE=MSR", "ACT_EST_MAPPING=PRECISE", "FS=MRC", "CURRENCY=USD", "XLFILL=b")</f>
        <v/>
      </c>
      <c r="AM38" s="9" t="str">
        <f>_xll.BQL("SEG0000269228 Segment", "SALES_REV_TURN/1M", "FPR=2022Y", "FPT=A", "FA_ACT_EST_DATA=E, EST_SOURCE=KGI", "ACT_EST_MAPPING=PRECISE", "FS=MRC", "CURRENCY=USD", "XLFILL=b")</f>
        <v/>
      </c>
      <c r="AN38" s="9" t="str">
        <f>_xll.BQL("SEG0000269228 Segment", "SALES_REV_TURN/1M", "FPR=2022Y", "FPT=A", "FA_ACT_EST_DATA=E, EST_SOURCE=ACC", "ACT_EST_MAPPING=PRECISE", "FS=MRC", "CURRENCY=USD", "XLFILL=b")</f>
        <v/>
      </c>
      <c r="AO38" s="9" t="str">
        <f>_xll.BQL("SEG0000269228 Segment", "SALES_REV_TURN/1M", "FPR=2022Y", "FPT=A", "FA_ACT_EST_DATA=E, EST_SOURCE=GSR", "ACT_EST_MAPPING=PRECISE", "FS=MRC", "CURRENCY=USD", "XLFILL=b")</f>
        <v/>
      </c>
      <c r="AP38" s="9" t="str">
        <f>_xll.BQL("SEG0000269228 Segment", "SALES_REV_TURN/1M", "FPR=2022Y", "FPT=A", "FA_ACT_EST_DATA=E, EST_SOURCE=PSG", "ACT_EST_MAPPING=PRECISE", "FS=MRC", "CURRENCY=USD", "XLFILL=b")</f>
        <v/>
      </c>
      <c r="AQ38" s="9" t="str">
        <f>_xll.BQL("SEG0000269228 Segment", "SALES_REV_TURN/1M", "FPR=2022Y", "FPT=A", "FA_ACT_EST_DATA=E, EST_SOURCE=DWI", "ACT_EST_MAPPING=PRECISE", "FS=MRC", "CURRENCY=USD", "XLFILL=b")</f>
        <v/>
      </c>
      <c r="AR38" s="9" t="str">
        <f>_xll.BQL("SEG0000269228 Segment", "SALES_REV_TURN/1M", "FPR=2022Y", "FPT=A", "FA_ACT_EST_DATA=E, EST_SOURCE=RWB", "ACT_EST_MAPPING=PRECISE", "FS=MRC", "CURRENCY=USD", "XLFILL=b")</f>
        <v/>
      </c>
      <c r="AS38" s="9" t="str">
        <f>_xll.BQL("SEG0000269228 Segment", "SALES_REV_TURN/1M", "FPR=2022Y", "FPT=A", "FA_ACT_EST_DATA=E, EST_SOURCE=ARG", "ACT_EST_MAPPING=PRECISE", "FS=MRC", "CURRENCY=USD", "XLFILL=b")</f>
        <v/>
      </c>
      <c r="AT38" s="9" t="str">
        <f>_xll.BQL("SEG0000269228 Segment", "SALES_REV_TURN/1M", "FPR=2022Y", "FPT=A", "FA_ACT_EST_DATA=E, EST_SOURCE=CTI", "ACT_EST_MAPPING=PRECISE", "FS=MRC", "CURRENCY=USD", "XLFILL=b")</f>
        <v/>
      </c>
      <c r="AU38" s="9" t="str">
        <f>_xll.BQL("SEG0000269228 Segment", "SALES_REV_TURN/1M", "FPR=2022Y", "FPT=A", "FA_ACT_EST_DATA=E, EST_SOURCE=WFT", "ACT_EST_MAPPING=PRECISE", "FS=MRC", "CURRENCY=USD", "XLFILL=b")</f>
        <v/>
      </c>
      <c r="AV38" s="9" t="str">
        <f>_xll.BQL("SEG0000269228 Segment", "SALES_REV_TURN/1M", "FPR=2022Y", "FPT=A", "FA_ACT_EST_DATA=E, EST_SOURCE=PJE", "ACT_EST_MAPPING=PRECISE", "FS=MRC", "CURRENCY=USD", "XLFILL=b")</f>
        <v/>
      </c>
      <c r="AW38" s="9" t="str">
        <f>_xll.BQL("SEG0000269228 Segment", "SALES_REV_TURN/1M", "FPR=2022Y", "FPT=A", "FA_ACT_EST_DATA=E, EST_SOURCE=SGE", "ACT_EST_MAPPING=PRECISE", "FS=MRC", "CURRENCY=USD", "XLFILL=b")</f>
        <v/>
      </c>
      <c r="AX38" s="9" t="str">
        <f>_xll.BQL("SEG0000269228 Segment", "SALES_REV_TURN/1M", "FPR=2022Y", "FPT=A", "FA_ACT_EST_DATA=E, EST_SOURCE=MZS", "ACT_EST_MAPPING=PRECISE", "FS=MRC", "CURRENCY=USD", "XLFILL=b")</f>
        <v/>
      </c>
      <c r="AY38" s="9" t="str">
        <f>_xll.BQL("SEG0000269228 Segment", "SALES_REV_TURN/1M", "FPR=2022Y", "FPT=A", "FA_ACT_EST_DATA=E, EST_SOURCE=RCP", "ACT_EST_MAPPING=PRECISE", "FS=MRC", "CURRENCY=USD", "XLFILL=b")</f>
        <v/>
      </c>
      <c r="AZ38" s="9" t="str">
        <f>_xll.BQL("SEG0000269228 Segment", "SALES_REV_TURN/1M", "FPR=2022Y", "FPT=A", "FA_ACT_EST_DATA=E, EST_SOURCE=WFR", "ACT_EST_MAPPING=PRECISE", "FS=MRC", "CURRENCY=USD", "XLFILL=b")</f>
        <v/>
      </c>
      <c r="BA38" s="9" t="str">
        <f>_xll.BQL("SEG0000269228 Segment", "SALES_REV_TURN/1M", "FPR=2022Y", "FPT=A", "FA_ACT_EST_DATA=E, EST_SOURCE=NIK", "ACT_EST_MAPPING=PRECISE", "FS=MRC", "CURRENCY=USD", "XLFILL=b")</f>
        <v/>
      </c>
      <c r="BB38" s="9" t="str">
        <f>_xll.BQL("SEG0000269228 Segment", "SALES_REV_TURN/1M", "FPR=2022Y", "FPT=A", "FA_ACT_EST_DATA=E, EST_SOURCE=ARE", "ACT_EST_MAPPING=PRECISE", "FS=MRC", "CURRENCY=USD", "XLFILL=b")</f>
        <v/>
      </c>
      <c r="BC38" s="9" t="str">
        <f>_xll.BQL("SEG0000269228 Segment", "SALES_REV_TURN/1M", "FPR=2022Y", "FPT=A", "FA_ACT_EST_DATA=E, EST_SOURCE=RED", "ACT_EST_MAPPING=PRECISE", "FS=MRC", "CURRENCY=USD", "XLFILL=b")</f>
        <v/>
      </c>
      <c r="BD38" s="9" t="str">
        <f>_xll.BQL("SEG0000269228 Segment", "SALES_REV_TURN/1M", "FPR=2022Y", "FPT=A", "FA_ACT_EST_DATA=E, EST_SOURCE=DIR", "ACT_EST_MAPPING=PRECISE", "FS=MRC", "CURRENCY=USD", "XLFILL=b")</f>
        <v/>
      </c>
    </row>
    <row r="39" spans="1:56" x14ac:dyDescent="0.55000000000000004">
      <c r="A39" s="8" t="s">
        <v>85</v>
      </c>
      <c r="B39" s="5" t="s">
        <v>58</v>
      </c>
      <c r="C39" s="5" t="s">
        <v>79</v>
      </c>
      <c r="D39" s="5" t="s">
        <v>84</v>
      </c>
      <c r="E39" s="9">
        <f>_xll.BQL("SEG0000269228 Segment", "IS_PERCENTAGE_OF_REVENUE", "FPR=2022Y", "FPT=A", "FA_ACT_EST_DATA=E", "ACT_EST_MAPPING=PRECISE", "FS=MRC", "CURRENCY=USD", "XLFILL=b")</f>
        <v>68.142189403151974</v>
      </c>
      <c r="F39" s="9">
        <f>_xll.BQL("SEG0000269228 Segment", "CONTRIBUTOR_STATS(IS_PERCENTAGE_OF_REVENUE, MIN)", "FPR=2022Y", "FPT=A", "FA_ACT_EST_DATA=E", "ACT_EST_MAPPING=PRECISE", "FS=MRC", "CURRENCY=USD", "XLFILL=b")</f>
        <v>67.926975088849133</v>
      </c>
      <c r="G39" s="9">
        <f>_xll.BQL("SEG0000269228 Segment", "CONTRIBUTOR_STATS(IS_PERCENTAGE_OF_REVENUE, MAX)", "FPR=2022Y", "FPT=A", "FA_ACT_EST_DATA=E", "ACT_EST_MAPPING=PRECISE", "FS=MRC", "CURRENCY=USD", "XLFILL=b")</f>
        <v>68.656716417910445</v>
      </c>
      <c r="H39" s="9">
        <f>_xll.BQL("SEG0000269228 Segment", "CONTRIBUTOR_STATS(IS_PERCENTAGE_OF_REVENUE, STD)", "FPR=2022Y", "FPT=A", "FA_ACT_EST_DATA=E", "ACT_EST_MAPPING=PRECISE", "FS=MRC", "CURRENCY=USD", "XLFILL=b")</f>
        <v>0.34853322275186832</v>
      </c>
      <c r="I39" s="9">
        <f>_xll.BQL("SEG0000269228 Segment", "CONTRIBUTOR_STATS(IS_PERCENTAGE_OF_REVENUE, MEDIAN)", "FPR=2022Y", "FPT=A", "FA_ACT_EST_DATA=E", "ACT_EST_MAPPING=PRECISE", "FS=MRC", "CURRENCY=USD", "XLFILL=b")</f>
        <v>67.992533052924188</v>
      </c>
      <c r="J39" s="9" t="str">
        <f>_xll.BQL("SEG0000269228 Segment", "IS_PERCENTAGE_OF_REVENUE", "FPR=2022Y", "FPT=A", "FA_ACT_EST_DATA=E, EST_SOURCE=CMPY", "ACT_EST_MAPPING=PRECISE", "FS=MRC", "CURRENCY=USD", "XLFILL=b")</f>
        <v/>
      </c>
      <c r="K39" s="9" t="str">
        <f>_xll.BQL("SEG0000269228 Segment", "IS_PERCENTAGE_OF_REVENUE", "FPR=2022Y", "FPT=A", "FA_ACT_EST_DATA=E, EST_SOURCE=WBL", "ACT_EST_MAPPING=PRECISE", "FS=MRC", "CURRENCY=USD", "XLFILL=b")</f>
        <v/>
      </c>
      <c r="L39" s="9" t="str">
        <f>_xll.BQL("SEG0000269228 Segment", "IS_PERCENTAGE_OF_REVENUE", "FPR=2022Y", "FPT=A", "FA_ACT_EST_DATA=E, EST_SOURCE=BMO", "ACT_EST_MAPPING=PRECISE", "FS=MRC", "CURRENCY=USD", "XLFILL=b")</f>
        <v/>
      </c>
      <c r="M39" s="9" t="str">
        <f>_xll.BQL("SEG0000269228 Segment", "IS_PERCENTAGE_OF_REVENUE", "FPR=2022Y", "FPT=A", "FA_ACT_EST_DATA=E, EST_SOURCE=BCA", "ACT_EST_MAPPING=PRECISE", "FS=MRC", "CURRENCY=USD", "XLFILL=b")</f>
        <v/>
      </c>
      <c r="N39" s="9" t="str">
        <f>_xll.BQL("SEG0000269228 Segment", "IS_PERCENTAGE_OF_REVENUE", "FPR=2022Y", "FPT=A", "FA_ACT_EST_DATA=E, EST_SOURCE=SNR", "ACT_EST_MAPPING=PRECISE", "FS=MRC", "CURRENCY=USD", "XLFILL=b")</f>
        <v/>
      </c>
      <c r="O39" s="9">
        <f>_xll.BQL("SEG0000269228 Segment", "IS_PERCENTAGE_OF_REVENUE", "FPR=2022Y", "FPT=A", "FA_ACT_EST_DATA=E, EST_SOURCE=MSV", "ACT_EST_MAPPING=PRECISE", "FS=MRC", "CURRENCY=USD", "XLFILL=b")</f>
        <v>68.058019409370758</v>
      </c>
      <c r="P39" s="9" t="str">
        <f>_xll.BQL("SEG0000269228 Segment", "IS_PERCENTAGE_OF_REVENUE", "FPR=2022Y", "FPT=A", "FA_ACT_EST_DATA=E, EST_SOURCE=DBG", "ACT_EST_MAPPING=PRECISE", "FS=MRC", "CURRENCY=USD", "XLFILL=b")</f>
        <v/>
      </c>
      <c r="Q39" s="9" t="str">
        <f>_xll.BQL("SEG0000269228 Segment", "IS_PERCENTAGE_OF_REVENUE", "FPR=2022Y", "FPT=A", "FA_ACT_EST_DATA=E, EST_SOURCE=NDH", "ACT_EST_MAPPING=PRECISE", "FS=MRC", "CURRENCY=USD", "XLFILL=b")</f>
        <v/>
      </c>
      <c r="R39" s="9" t="str">
        <f>_xll.BQL("SEG0000269228 Segment", "IS_PERCENTAGE_OF_REVENUE", "FPR=2022Y", "FPT=A", "FA_ACT_EST_DATA=E, EST_SOURCE=CAN", "ACT_EST_MAPPING=PRECISE", "FS=MRC", "CURRENCY=USD", "XLFILL=b")</f>
        <v/>
      </c>
      <c r="S39" s="9" t="str">
        <f>_xll.BQL("SEG0000269228 Segment", "IS_PERCENTAGE_OF_REVENUE", "FPR=2022Y", "FPT=A", "FA_ACT_EST_DATA=E, EST_SOURCE=SCB", "ACT_EST_MAPPING=PRECISE", "FS=MRC", "CURRENCY=USD", "XLFILL=b")</f>
        <v/>
      </c>
      <c r="T39" s="9" t="str">
        <f>_xll.BQL("SEG0000269228 Segment", "IS_PERCENTAGE_OF_REVENUE", "FPR=2022Y", "FPT=A", "FA_ACT_EST_DATA=E, EST_SOURCE=JMP", "ACT_EST_MAPPING=PRECISE", "FS=MRC", "CURRENCY=USD", "XLFILL=b")</f>
        <v/>
      </c>
      <c r="U39" s="9" t="str">
        <f>_xll.BQL("SEG0000269228 Segment", "IS_PERCENTAGE_OF_REVENUE", "FPR=2022Y", "FPT=A", "FA_ACT_EST_DATA=E, EST_SOURCE=RJA", "ACT_EST_MAPPING=PRECISE", "FS=MRC", "CURRENCY=USD", "XLFILL=b")</f>
        <v/>
      </c>
      <c r="V39" s="9" t="str">
        <f>_xll.BQL("SEG0000269228 Segment", "IS_PERCENTAGE_OF_REVENUE", "FPR=2022Y", "FPT=A", "FA_ACT_EST_DATA=E, EST_SOURCE=OPY", "ACT_EST_MAPPING=PRECISE", "FS=MRC", "CURRENCY=USD", "XLFILL=b")</f>
        <v/>
      </c>
      <c r="W39" s="9" t="str">
        <f>_xll.BQL("SEG0000269228 Segment", "IS_PERCENTAGE_OF_REVENUE", "FPR=2022Y", "FPT=A", "FA_ACT_EST_DATA=E, EST_SOURCE=JPM", "ACT_EST_MAPPING=PRECISE", "FS=MRC", "CURRENCY=USD", "XLFILL=b")</f>
        <v/>
      </c>
      <c r="X39" s="9">
        <f>_xll.BQL("SEG0000269228 Segment", "IS_PERCENTAGE_OF_REVENUE", "FPR=2022Y", "FPT=A", "FA_ACT_EST_DATA=E, EST_SOURCE=FBC", "ACT_EST_MAPPING=PRECISE", "FS=MRC", "CURRENCY=USD", "XLFILL=b")</f>
        <v>67.926975088849133</v>
      </c>
      <c r="Y39" s="9" t="str">
        <f>_xll.BQL("SEG0000269228 Segment", "IS_PERCENTAGE_OF_REVENUE", "FPR=2022Y", "FPT=A", "FA_ACT_EST_DATA=E, EST_SOURCE=WMS", "ACT_EST_MAPPING=PRECISE", "FS=MRC", "CURRENCY=USD", "XLFILL=b")</f>
        <v/>
      </c>
      <c r="Z39" s="9" t="str">
        <f>_xll.BQL("SEG0000269228 Segment", "IS_PERCENTAGE_OF_REVENUE", "FPR=2022Y", "FPT=A", "FA_ACT_EST_DATA=E, EST_SOURCE=KEY", "ACT_EST_MAPPING=PRECISE", "FS=MRC", "CURRENCY=USD", "XLFILL=b")</f>
        <v/>
      </c>
      <c r="AA39" s="9" t="str">
        <f>_xll.BQL("SEG0000269228 Segment", "IS_PERCENTAGE_OF_REVENUE", "FPR=2022Y", "FPT=A", "FA_ACT_EST_DATA=E, EST_SOURCE=LCM", "ACT_EST_MAPPING=PRECISE", "FS=MRC", "CURRENCY=USD", "XLFILL=b")</f>
        <v/>
      </c>
      <c r="AB39" s="9" t="str">
        <f>_xll.BQL("SEG0000269228 Segment", "IS_PERCENTAGE_OF_REVENUE", "FPR=2022Y", "FPT=A", "FA_ACT_EST_DATA=E, EST_SOURCE=CWN", "ACT_EST_MAPPING=PRECISE", "FS=MRC", "CURRENCY=USD", "XLFILL=b")</f>
        <v/>
      </c>
      <c r="AC39" s="9" t="str">
        <f>_xll.BQL("SEG0000269228 Segment", "IS_PERCENTAGE_OF_REVENUE", "FPR=2022Y", "FPT=A", "FA_ACT_EST_DATA=E, EST_SOURCE=BNS", "ACT_EST_MAPPING=PRECISE", "FS=MRC", "CURRENCY=USD", "XLFILL=b")</f>
        <v/>
      </c>
      <c r="AD39" s="9" t="str">
        <f>_xll.BQL("SEG0000269228 Segment", "IS_PERCENTAGE_OF_REVENUE", "FPR=2022Y", "FPT=A", "FA_ACT_EST_DATA=E, EST_SOURCE=BAM", "ACT_EST_MAPPING=PRECISE", "FS=MRC", "CURRENCY=USD", "XLFILL=b")</f>
        <v/>
      </c>
      <c r="AE39" s="9" t="str">
        <f>_xll.BQL("SEG0000269228 Segment", "IS_PERCENTAGE_OF_REVENUE", "FPR=2022Y", "FPT=A", "FA_ACT_EST_DATA=E, EST_SOURCE=RBC", "ACT_EST_MAPPING=PRECISE", "FS=MRC", "CURRENCY=USD", "XLFILL=b")</f>
        <v/>
      </c>
      <c r="AF39" s="9" t="str">
        <f>_xll.BQL("SEG0000269228 Segment", "IS_PERCENTAGE_OF_REVENUE", "FPR=2022Y", "FPT=A", "FA_ACT_EST_DATA=E, EST_SOURCE=UBS", "ACT_EST_MAPPING=PRECISE", "FS=MRC", "CURRENCY=USD", "XLFILL=b")</f>
        <v/>
      </c>
      <c r="AG39" s="9" t="str">
        <f>_xll.BQL("SEG0000269228 Segment", "IS_PERCENTAGE_OF_REVENUE", "FPR=2022Y", "FPT=A", "FA_ACT_EST_DATA=E, EST_SOURCE=RHR", "ACT_EST_MAPPING=PRECISE", "FS=MRC", "CURRENCY=USD", "XLFILL=b")</f>
        <v/>
      </c>
      <c r="AH39" s="9" t="str">
        <f>_xll.BQL("SEG0000269228 Segment", "IS_PERCENTAGE_OF_REVENUE", "FPR=2022Y", "FPT=A", "FA_ACT_EST_DATA=E, EST_SOURCE=JEF", "ACT_EST_MAPPING=PRECISE", "FS=MRC", "CURRENCY=USD", "XLFILL=b")</f>
        <v/>
      </c>
      <c r="AI39" s="9" t="str">
        <f>_xll.BQL("SEG0000269228 Segment", "IS_PERCENTAGE_OF_REVENUE", "FPR=2022Y", "FPT=A", "FA_ACT_EST_DATA=E, EST_SOURCE=ATL", "ACT_EST_MAPPING=PRECISE", "FS=MRC", "CURRENCY=USD", "XLFILL=b")</f>
        <v/>
      </c>
      <c r="AJ39" s="9" t="str">
        <f>_xll.BQL("SEG0000269228 Segment", "IS_PERCENTAGE_OF_REVENUE", "FPR=2022Y", "FPT=A", "FA_ACT_EST_DATA=E, EST_SOURCE=MAC", "ACT_EST_MAPPING=PRECISE", "FS=MRC", "CURRENCY=USD", "XLFILL=b")</f>
        <v/>
      </c>
      <c r="AK39" s="9" t="str">
        <f>_xll.BQL("SEG0000269228 Segment", "IS_PERCENTAGE_OF_REVENUE", "FPR=2022Y", "FPT=A", "FA_ACT_EST_DATA=E, EST_SOURCE=EVR", "ACT_EST_MAPPING=PRECISE", "FS=MRC", "CURRENCY=USD", "XLFILL=b")</f>
        <v/>
      </c>
      <c r="AL39" s="9" t="str">
        <f>_xll.BQL("SEG0000269228 Segment", "IS_PERCENTAGE_OF_REVENUE", "FPR=2022Y", "FPT=A", "FA_ACT_EST_DATA=E, EST_SOURCE=MSR", "ACT_EST_MAPPING=PRECISE", "FS=MRC", "CURRENCY=USD", "XLFILL=b")</f>
        <v/>
      </c>
      <c r="AM39" s="9" t="str">
        <f>_xll.BQL("SEG0000269228 Segment", "IS_PERCENTAGE_OF_REVENUE", "FPR=2022Y", "FPT=A", "FA_ACT_EST_DATA=E, EST_SOURCE=KGI", "ACT_EST_MAPPING=PRECISE", "FS=MRC", "CURRENCY=USD", "XLFILL=b")</f>
        <v/>
      </c>
      <c r="AN39" s="9" t="str">
        <f>_xll.BQL("SEG0000269228 Segment", "IS_PERCENTAGE_OF_REVENUE", "FPR=2022Y", "FPT=A", "FA_ACT_EST_DATA=E, EST_SOURCE=ACC", "ACT_EST_MAPPING=PRECISE", "FS=MRC", "CURRENCY=USD", "XLFILL=b")</f>
        <v/>
      </c>
      <c r="AO39" s="9" t="str">
        <f>_xll.BQL("SEG0000269228 Segment", "IS_PERCENTAGE_OF_REVENUE", "FPR=2022Y", "FPT=A", "FA_ACT_EST_DATA=E, EST_SOURCE=GSR", "ACT_EST_MAPPING=PRECISE", "FS=MRC", "CURRENCY=USD", "XLFILL=b")</f>
        <v/>
      </c>
      <c r="AP39" s="9" t="str">
        <f>_xll.BQL("SEG0000269228 Segment", "IS_PERCENTAGE_OF_REVENUE", "FPR=2022Y", "FPT=A", "FA_ACT_EST_DATA=E, EST_SOURCE=PSG", "ACT_EST_MAPPING=PRECISE", "FS=MRC", "CURRENCY=USD", "XLFILL=b")</f>
        <v/>
      </c>
      <c r="AQ39" s="9" t="str">
        <f>_xll.BQL("SEG0000269228 Segment", "IS_PERCENTAGE_OF_REVENUE", "FPR=2022Y", "FPT=A", "FA_ACT_EST_DATA=E, EST_SOURCE=DWI", "ACT_EST_MAPPING=PRECISE", "FS=MRC", "CURRENCY=USD", "XLFILL=b")</f>
        <v/>
      </c>
      <c r="AR39" s="9" t="str">
        <f>_xll.BQL("SEG0000269228 Segment", "IS_PERCENTAGE_OF_REVENUE", "FPR=2022Y", "FPT=A", "FA_ACT_EST_DATA=E, EST_SOURCE=RWB", "ACT_EST_MAPPING=PRECISE", "FS=MRC", "CURRENCY=USD", "XLFILL=b")</f>
        <v/>
      </c>
      <c r="AS39" s="9" t="str">
        <f>_xll.BQL("SEG0000269228 Segment", "IS_PERCENTAGE_OF_REVENUE", "FPR=2022Y", "FPT=A", "FA_ACT_EST_DATA=E, EST_SOURCE=ARG", "ACT_EST_MAPPING=PRECISE", "FS=MRC", "CURRENCY=USD", "XLFILL=b")</f>
        <v/>
      </c>
      <c r="AT39" s="9" t="str">
        <f>_xll.BQL("SEG0000269228 Segment", "IS_PERCENTAGE_OF_REVENUE", "FPR=2022Y", "FPT=A", "FA_ACT_EST_DATA=E, EST_SOURCE=CTI", "ACT_EST_MAPPING=PRECISE", "FS=MRC", "CURRENCY=USD", "XLFILL=b")</f>
        <v/>
      </c>
      <c r="AU39" s="9" t="str">
        <f>_xll.BQL("SEG0000269228 Segment", "IS_PERCENTAGE_OF_REVENUE", "FPR=2022Y", "FPT=A", "FA_ACT_EST_DATA=E, EST_SOURCE=WFT", "ACT_EST_MAPPING=PRECISE", "FS=MRC", "CURRENCY=USD", "XLFILL=b")</f>
        <v/>
      </c>
      <c r="AV39" s="9" t="str">
        <f>_xll.BQL("SEG0000269228 Segment", "IS_PERCENTAGE_OF_REVENUE", "FPR=2022Y", "FPT=A", "FA_ACT_EST_DATA=E, EST_SOURCE=PJE", "ACT_EST_MAPPING=PRECISE", "FS=MRC", "CURRENCY=USD", "XLFILL=b")</f>
        <v/>
      </c>
      <c r="AW39" s="9" t="str">
        <f>_xll.BQL("SEG0000269228 Segment", "IS_PERCENTAGE_OF_REVENUE", "FPR=2022Y", "FPT=A", "FA_ACT_EST_DATA=E, EST_SOURCE=SGE", "ACT_EST_MAPPING=PRECISE", "FS=MRC", "CURRENCY=USD", "XLFILL=b")</f>
        <v/>
      </c>
      <c r="AX39" s="9" t="str">
        <f>_xll.BQL("SEG0000269228 Segment", "IS_PERCENTAGE_OF_REVENUE", "FPR=2022Y", "FPT=A", "FA_ACT_EST_DATA=E, EST_SOURCE=MZS", "ACT_EST_MAPPING=PRECISE", "FS=MRC", "CURRENCY=USD", "XLFILL=b")</f>
        <v/>
      </c>
      <c r="AY39" s="9" t="str">
        <f>_xll.BQL("SEG0000269228 Segment", "IS_PERCENTAGE_OF_REVENUE", "FPR=2022Y", "FPT=A", "FA_ACT_EST_DATA=E, EST_SOURCE=RCP", "ACT_EST_MAPPING=PRECISE", "FS=MRC", "CURRENCY=USD", "XLFILL=b")</f>
        <v/>
      </c>
      <c r="AZ39" s="9" t="str">
        <f>_xll.BQL("SEG0000269228 Segment", "IS_PERCENTAGE_OF_REVENUE", "FPR=2022Y", "FPT=A", "FA_ACT_EST_DATA=E, EST_SOURCE=WFR", "ACT_EST_MAPPING=PRECISE", "FS=MRC", "CURRENCY=USD", "XLFILL=b")</f>
        <v/>
      </c>
      <c r="BA39" s="9" t="str">
        <f>_xll.BQL("SEG0000269228 Segment", "IS_PERCENTAGE_OF_REVENUE", "FPR=2022Y", "FPT=A", "FA_ACT_EST_DATA=E, EST_SOURCE=NIK", "ACT_EST_MAPPING=PRECISE", "FS=MRC", "CURRENCY=USD", "XLFILL=b")</f>
        <v/>
      </c>
      <c r="BB39" s="9" t="str">
        <f>_xll.BQL("SEG0000269228 Segment", "IS_PERCENTAGE_OF_REVENUE", "FPR=2022Y", "FPT=A", "FA_ACT_EST_DATA=E, EST_SOURCE=ARE", "ACT_EST_MAPPING=PRECISE", "FS=MRC", "CURRENCY=USD", "XLFILL=b")</f>
        <v/>
      </c>
      <c r="BC39" s="9" t="str">
        <f>_xll.BQL("SEG0000269228 Segment", "IS_PERCENTAGE_OF_REVENUE", "FPR=2022Y", "FPT=A", "FA_ACT_EST_DATA=E, EST_SOURCE=RED", "ACT_EST_MAPPING=PRECISE", "FS=MRC", "CURRENCY=USD", "XLFILL=b")</f>
        <v/>
      </c>
      <c r="BD39" s="9" t="str">
        <f>_xll.BQL("SEG0000269228 Segment", "IS_PERCENTAGE_OF_REVENUE", "FPR=2022Y", "FPT=A", "FA_ACT_EST_DATA=E, EST_SOURCE=DIR", "ACT_EST_MAPPING=PRECISE", "FS=MRC", "CURRENCY=USD", "XLFILL=b")</f>
        <v/>
      </c>
    </row>
    <row r="40" spans="1:56" x14ac:dyDescent="0.55000000000000004">
      <c r="A40" s="8" t="s">
        <v>86</v>
      </c>
      <c r="B40" s="5" t="s">
        <v>24</v>
      </c>
      <c r="C40" s="5" t="s">
        <v>87</v>
      </c>
      <c r="D40" s="5" t="s">
        <v>84</v>
      </c>
      <c r="E40" s="9">
        <f>_xll.BQL("SEG0000269228 Segment", "REVENUE_GROWTH_CC_1_YR", "FPR=2022Y", "FPT=A", "FA_ACT_EST_DATA=E", "ACT_EST_MAPPING=PRECISE", "FS=MRC", "CURRENCY=USD", "XLFILL=b")</f>
        <v>21.666666666666671</v>
      </c>
      <c r="F40" s="9">
        <f>_xll.BQL("SEG0000269228 Segment", "CONTRIBUTOR_STATS(REVENUE_GROWTH_CC_1_YR, MIN)", "FPR=2022Y", "FPT=A", "FA_ACT_EST_DATA=E", "ACT_EST_MAPPING=PRECISE", "FS=MRC", "CURRENCY=USD", "XLFILL=b")</f>
        <v>21.666666666666671</v>
      </c>
      <c r="G40" s="9">
        <f>_xll.BQL("SEG0000269228 Segment", "CONTRIBUTOR_STATS(REVENUE_GROWTH_CC_1_YR, MAX)", "FPR=2022Y", "FPT=A", "FA_ACT_EST_DATA=E", "ACT_EST_MAPPING=PRECISE", "FS=MRC", "CURRENCY=USD", "XLFILL=b")</f>
        <v>21.666666666666671</v>
      </c>
      <c r="H40" s="9" t="str">
        <f>_xll.BQL("SEG0000269228 Segment", "CONTRIBUTOR_STATS(REVENUE_GROWTH_CC_1_YR, STD)", "FPR=2022Y", "FPT=A", "FA_ACT_EST_DATA=E", "ACT_EST_MAPPING=PRECISE", "FS=MRC", "CURRENCY=USD", "XLFILL=b")</f>
        <v/>
      </c>
      <c r="I40" s="9">
        <f>_xll.BQL("SEG0000269228 Segment", "CONTRIBUTOR_STATS(REVENUE_GROWTH_CC_1_YR, MEDIAN)", "FPR=2022Y", "FPT=A", "FA_ACT_EST_DATA=E", "ACT_EST_MAPPING=PRECISE", "FS=MRC", "CURRENCY=USD", "XLFILL=b")</f>
        <v>21.666666666666671</v>
      </c>
      <c r="J40" s="9" t="str">
        <f>_xll.BQL("SEG0000269228 Segment", "REVENUE_GROWTH_CC_1_YR", "FPR=2022Y", "FPT=A", "FA_ACT_EST_DATA=E, EST_SOURCE=CMPY", "ACT_EST_MAPPING=PRECISE", "FS=MRC", "CURRENCY=USD", "XLFILL=b")</f>
        <v/>
      </c>
      <c r="K40" s="9" t="str">
        <f>_xll.BQL("SEG0000269228 Segment", "REVENUE_GROWTH_CC_1_YR", "FPR=2022Y", "FPT=A", "FA_ACT_EST_DATA=E, EST_SOURCE=WBL", "ACT_EST_MAPPING=PRECISE", "FS=MRC", "CURRENCY=USD", "XLFILL=b")</f>
        <v/>
      </c>
      <c r="L40" s="9" t="str">
        <f>_xll.BQL("SEG0000269228 Segment", "REVENUE_GROWTH_CC_1_YR", "FPR=2022Y", "FPT=A", "FA_ACT_EST_DATA=E, EST_SOURCE=BMO", "ACT_EST_MAPPING=PRECISE", "FS=MRC", "CURRENCY=USD", "XLFILL=b")</f>
        <v/>
      </c>
      <c r="M40" s="9" t="str">
        <f>_xll.BQL("SEG0000269228 Segment", "REVENUE_GROWTH_CC_1_YR", "FPR=2022Y", "FPT=A", "FA_ACT_EST_DATA=E, EST_SOURCE=BCA", "ACT_EST_MAPPING=PRECISE", "FS=MRC", "CURRENCY=USD", "XLFILL=b")</f>
        <v/>
      </c>
      <c r="N40" s="9" t="str">
        <f>_xll.BQL("SEG0000269228 Segment", "REVENUE_GROWTH_CC_1_YR", "FPR=2022Y", "FPT=A", "FA_ACT_EST_DATA=E, EST_SOURCE=SNR", "ACT_EST_MAPPING=PRECISE", "FS=MRC", "CURRENCY=USD", "XLFILL=b")</f>
        <v/>
      </c>
      <c r="O40" s="9" t="str">
        <f>_xll.BQL("SEG0000269228 Segment", "REVENUE_GROWTH_CC_1_YR", "FPR=2022Y", "FPT=A", "FA_ACT_EST_DATA=E, EST_SOURCE=MSV", "ACT_EST_MAPPING=PRECISE", "FS=MRC", "CURRENCY=USD", "XLFILL=b")</f>
        <v/>
      </c>
      <c r="P40" s="9" t="str">
        <f>_xll.BQL("SEG0000269228 Segment", "REVENUE_GROWTH_CC_1_YR", "FPR=2022Y", "FPT=A", "FA_ACT_EST_DATA=E, EST_SOURCE=DBG", "ACT_EST_MAPPING=PRECISE", "FS=MRC", "CURRENCY=USD", "XLFILL=b")</f>
        <v/>
      </c>
      <c r="Q40" s="9" t="str">
        <f>_xll.BQL("SEG0000269228 Segment", "REVENUE_GROWTH_CC_1_YR", "FPR=2022Y", "FPT=A", "FA_ACT_EST_DATA=E, EST_SOURCE=NDH", "ACT_EST_MAPPING=PRECISE", "FS=MRC", "CURRENCY=USD", "XLFILL=b")</f>
        <v/>
      </c>
      <c r="R40" s="9" t="str">
        <f>_xll.BQL("SEG0000269228 Segment", "REVENUE_GROWTH_CC_1_YR", "FPR=2022Y", "FPT=A", "FA_ACT_EST_DATA=E, EST_SOURCE=CAN", "ACT_EST_MAPPING=PRECISE", "FS=MRC", "CURRENCY=USD", "XLFILL=b")</f>
        <v/>
      </c>
      <c r="S40" s="9" t="str">
        <f>_xll.BQL("SEG0000269228 Segment", "REVENUE_GROWTH_CC_1_YR", "FPR=2022Y", "FPT=A", "FA_ACT_EST_DATA=E, EST_SOURCE=SCB", "ACT_EST_MAPPING=PRECISE", "FS=MRC", "CURRENCY=USD", "XLFILL=b")</f>
        <v/>
      </c>
      <c r="T40" s="9" t="str">
        <f>_xll.BQL("SEG0000269228 Segment", "REVENUE_GROWTH_CC_1_YR", "FPR=2022Y", "FPT=A", "FA_ACT_EST_DATA=E, EST_SOURCE=JMP", "ACT_EST_MAPPING=PRECISE", "FS=MRC", "CURRENCY=USD", "XLFILL=b")</f>
        <v/>
      </c>
      <c r="U40" s="9" t="str">
        <f>_xll.BQL("SEG0000269228 Segment", "REVENUE_GROWTH_CC_1_YR", "FPR=2022Y", "FPT=A", "FA_ACT_EST_DATA=E, EST_SOURCE=RJA", "ACT_EST_MAPPING=PRECISE", "FS=MRC", "CURRENCY=USD", "XLFILL=b")</f>
        <v/>
      </c>
      <c r="V40" s="9" t="str">
        <f>_xll.BQL("SEG0000269228 Segment", "REVENUE_GROWTH_CC_1_YR", "FPR=2022Y", "FPT=A", "FA_ACT_EST_DATA=E, EST_SOURCE=OPY", "ACT_EST_MAPPING=PRECISE", "FS=MRC", "CURRENCY=USD", "XLFILL=b")</f>
        <v/>
      </c>
      <c r="W40" s="9" t="str">
        <f>_xll.BQL("SEG0000269228 Segment", "REVENUE_GROWTH_CC_1_YR", "FPR=2022Y", "FPT=A", "FA_ACT_EST_DATA=E, EST_SOURCE=JPM", "ACT_EST_MAPPING=PRECISE", "FS=MRC", "CURRENCY=USD", "XLFILL=b")</f>
        <v/>
      </c>
      <c r="X40" s="9" t="str">
        <f>_xll.BQL("SEG0000269228 Segment", "REVENUE_GROWTH_CC_1_YR", "FPR=2022Y", "FPT=A", "FA_ACT_EST_DATA=E, EST_SOURCE=FBC", "ACT_EST_MAPPING=PRECISE", "FS=MRC", "CURRENCY=USD", "XLFILL=b")</f>
        <v/>
      </c>
      <c r="Y40" s="9" t="str">
        <f>_xll.BQL("SEG0000269228 Segment", "REVENUE_GROWTH_CC_1_YR", "FPR=2022Y", "FPT=A", "FA_ACT_EST_DATA=E, EST_SOURCE=WMS", "ACT_EST_MAPPING=PRECISE", "FS=MRC", "CURRENCY=USD", "XLFILL=b")</f>
        <v/>
      </c>
      <c r="Z40" s="9" t="str">
        <f>_xll.BQL("SEG0000269228 Segment", "REVENUE_GROWTH_CC_1_YR", "FPR=2022Y", "FPT=A", "FA_ACT_EST_DATA=E, EST_SOURCE=KEY", "ACT_EST_MAPPING=PRECISE", "FS=MRC", "CURRENCY=USD", "XLFILL=b")</f>
        <v/>
      </c>
      <c r="AA40" s="9" t="str">
        <f>_xll.BQL("SEG0000269228 Segment", "REVENUE_GROWTH_CC_1_YR", "FPR=2022Y", "FPT=A", "FA_ACT_EST_DATA=E, EST_SOURCE=LCM", "ACT_EST_MAPPING=PRECISE", "FS=MRC", "CURRENCY=USD", "XLFILL=b")</f>
        <v/>
      </c>
      <c r="AB40" s="9" t="str">
        <f>_xll.BQL("SEG0000269228 Segment", "REVENUE_GROWTH_CC_1_YR", "FPR=2022Y", "FPT=A", "FA_ACT_EST_DATA=E, EST_SOURCE=CWN", "ACT_EST_MAPPING=PRECISE", "FS=MRC", "CURRENCY=USD", "XLFILL=b")</f>
        <v/>
      </c>
      <c r="AC40" s="9" t="str">
        <f>_xll.BQL("SEG0000269228 Segment", "REVENUE_GROWTH_CC_1_YR", "FPR=2022Y", "FPT=A", "FA_ACT_EST_DATA=E, EST_SOURCE=BNS", "ACT_EST_MAPPING=PRECISE", "FS=MRC", "CURRENCY=USD", "XLFILL=b")</f>
        <v/>
      </c>
      <c r="AD40" s="9" t="str">
        <f>_xll.BQL("SEG0000269228 Segment", "REVENUE_GROWTH_CC_1_YR", "FPR=2022Y", "FPT=A", "FA_ACT_EST_DATA=E, EST_SOURCE=BAM", "ACT_EST_MAPPING=PRECISE", "FS=MRC", "CURRENCY=USD", "XLFILL=b")</f>
        <v/>
      </c>
      <c r="AE40" s="9" t="str">
        <f>_xll.BQL("SEG0000269228 Segment", "REVENUE_GROWTH_CC_1_YR", "FPR=2022Y", "FPT=A", "FA_ACT_EST_DATA=E, EST_SOURCE=RBC", "ACT_EST_MAPPING=PRECISE", "FS=MRC", "CURRENCY=USD", "XLFILL=b")</f>
        <v/>
      </c>
      <c r="AF40" s="9" t="str">
        <f>_xll.BQL("SEG0000269228 Segment", "REVENUE_GROWTH_CC_1_YR", "FPR=2022Y", "FPT=A", "FA_ACT_EST_DATA=E, EST_SOURCE=UBS", "ACT_EST_MAPPING=PRECISE", "FS=MRC", "CURRENCY=USD", "XLFILL=b")</f>
        <v/>
      </c>
      <c r="AG40" s="9" t="str">
        <f>_xll.BQL("SEG0000269228 Segment", "REVENUE_GROWTH_CC_1_YR", "FPR=2022Y", "FPT=A", "FA_ACT_EST_DATA=E, EST_SOURCE=RHR", "ACT_EST_MAPPING=PRECISE", "FS=MRC", "CURRENCY=USD", "XLFILL=b")</f>
        <v/>
      </c>
      <c r="AH40" s="9" t="str">
        <f>_xll.BQL("SEG0000269228 Segment", "REVENUE_GROWTH_CC_1_YR", "FPR=2022Y", "FPT=A", "FA_ACT_EST_DATA=E, EST_SOURCE=JEF", "ACT_EST_MAPPING=PRECISE", "FS=MRC", "CURRENCY=USD", "XLFILL=b")</f>
        <v/>
      </c>
      <c r="AI40" s="9" t="str">
        <f>_xll.BQL("SEG0000269228 Segment", "REVENUE_GROWTH_CC_1_YR", "FPR=2022Y", "FPT=A", "FA_ACT_EST_DATA=E, EST_SOURCE=ATL", "ACT_EST_MAPPING=PRECISE", "FS=MRC", "CURRENCY=USD", "XLFILL=b")</f>
        <v/>
      </c>
      <c r="AJ40" s="9" t="str">
        <f>_xll.BQL("SEG0000269228 Segment", "REVENUE_GROWTH_CC_1_YR", "FPR=2022Y", "FPT=A", "FA_ACT_EST_DATA=E, EST_SOURCE=MAC", "ACT_EST_MAPPING=PRECISE", "FS=MRC", "CURRENCY=USD", "XLFILL=b")</f>
        <v/>
      </c>
      <c r="AK40" s="9" t="str">
        <f>_xll.BQL("SEG0000269228 Segment", "REVENUE_GROWTH_CC_1_YR", "FPR=2022Y", "FPT=A", "FA_ACT_EST_DATA=E, EST_SOURCE=EVR", "ACT_EST_MAPPING=PRECISE", "FS=MRC", "CURRENCY=USD", "XLFILL=b")</f>
        <v/>
      </c>
      <c r="AL40" s="9" t="str">
        <f>_xll.BQL("SEG0000269228 Segment", "REVENUE_GROWTH_CC_1_YR", "FPR=2022Y", "FPT=A", "FA_ACT_EST_DATA=E, EST_SOURCE=MSR", "ACT_EST_MAPPING=PRECISE", "FS=MRC", "CURRENCY=USD", "XLFILL=b")</f>
        <v/>
      </c>
      <c r="AM40" s="9" t="str">
        <f>_xll.BQL("SEG0000269228 Segment", "REVENUE_GROWTH_CC_1_YR", "FPR=2022Y", "FPT=A", "FA_ACT_EST_DATA=E, EST_SOURCE=KGI", "ACT_EST_MAPPING=PRECISE", "FS=MRC", "CURRENCY=USD", "XLFILL=b")</f>
        <v/>
      </c>
      <c r="AN40" s="9" t="str">
        <f>_xll.BQL("SEG0000269228 Segment", "REVENUE_GROWTH_CC_1_YR", "FPR=2022Y", "FPT=A", "FA_ACT_EST_DATA=E, EST_SOURCE=ACC", "ACT_EST_MAPPING=PRECISE", "FS=MRC", "CURRENCY=USD", "XLFILL=b")</f>
        <v/>
      </c>
      <c r="AO40" s="9" t="str">
        <f>_xll.BQL("SEG0000269228 Segment", "REVENUE_GROWTH_CC_1_YR", "FPR=2022Y", "FPT=A", "FA_ACT_EST_DATA=E, EST_SOURCE=GSR", "ACT_EST_MAPPING=PRECISE", "FS=MRC", "CURRENCY=USD", "XLFILL=b")</f>
        <v/>
      </c>
      <c r="AP40" s="9" t="str">
        <f>_xll.BQL("SEG0000269228 Segment", "REVENUE_GROWTH_CC_1_YR", "FPR=2022Y", "FPT=A", "FA_ACT_EST_DATA=E, EST_SOURCE=PSG", "ACT_EST_MAPPING=PRECISE", "FS=MRC", "CURRENCY=USD", "XLFILL=b")</f>
        <v/>
      </c>
      <c r="AQ40" s="9" t="str">
        <f>_xll.BQL("SEG0000269228 Segment", "REVENUE_GROWTH_CC_1_YR", "FPR=2022Y", "FPT=A", "FA_ACT_EST_DATA=E, EST_SOURCE=DWI", "ACT_EST_MAPPING=PRECISE", "FS=MRC", "CURRENCY=USD", "XLFILL=b")</f>
        <v/>
      </c>
      <c r="AR40" s="9" t="str">
        <f>_xll.BQL("SEG0000269228 Segment", "REVENUE_GROWTH_CC_1_YR", "FPR=2022Y", "FPT=A", "FA_ACT_EST_DATA=E, EST_SOURCE=RWB", "ACT_EST_MAPPING=PRECISE", "FS=MRC", "CURRENCY=USD", "XLFILL=b")</f>
        <v/>
      </c>
      <c r="AS40" s="9" t="str">
        <f>_xll.BQL("SEG0000269228 Segment", "REVENUE_GROWTH_CC_1_YR", "FPR=2022Y", "FPT=A", "FA_ACT_EST_DATA=E, EST_SOURCE=ARG", "ACT_EST_MAPPING=PRECISE", "FS=MRC", "CURRENCY=USD", "XLFILL=b")</f>
        <v/>
      </c>
      <c r="AT40" s="9" t="str">
        <f>_xll.BQL("SEG0000269228 Segment", "REVENUE_GROWTH_CC_1_YR", "FPR=2022Y", "FPT=A", "FA_ACT_EST_DATA=E, EST_SOURCE=CTI", "ACT_EST_MAPPING=PRECISE", "FS=MRC", "CURRENCY=USD", "XLFILL=b")</f>
        <v/>
      </c>
      <c r="AU40" s="9" t="str">
        <f>_xll.BQL("SEG0000269228 Segment", "REVENUE_GROWTH_CC_1_YR", "FPR=2022Y", "FPT=A", "FA_ACT_EST_DATA=E, EST_SOURCE=WFT", "ACT_EST_MAPPING=PRECISE", "FS=MRC", "CURRENCY=USD", "XLFILL=b")</f>
        <v/>
      </c>
      <c r="AV40" s="9" t="str">
        <f>_xll.BQL("SEG0000269228 Segment", "REVENUE_GROWTH_CC_1_YR", "FPR=2022Y", "FPT=A", "FA_ACT_EST_DATA=E, EST_SOURCE=PJE", "ACT_EST_MAPPING=PRECISE", "FS=MRC", "CURRENCY=USD", "XLFILL=b")</f>
        <v/>
      </c>
      <c r="AW40" s="9" t="str">
        <f>_xll.BQL("SEG0000269228 Segment", "REVENUE_GROWTH_CC_1_YR", "FPR=2022Y", "FPT=A", "FA_ACT_EST_DATA=E, EST_SOURCE=SGE", "ACT_EST_MAPPING=PRECISE", "FS=MRC", "CURRENCY=USD", "XLFILL=b")</f>
        <v/>
      </c>
      <c r="AX40" s="9" t="str">
        <f>_xll.BQL("SEG0000269228 Segment", "REVENUE_GROWTH_CC_1_YR", "FPR=2022Y", "FPT=A", "FA_ACT_EST_DATA=E, EST_SOURCE=MZS", "ACT_EST_MAPPING=PRECISE", "FS=MRC", "CURRENCY=USD", "XLFILL=b")</f>
        <v/>
      </c>
      <c r="AY40" s="9" t="str">
        <f>_xll.BQL("SEG0000269228 Segment", "REVENUE_GROWTH_CC_1_YR", "FPR=2022Y", "FPT=A", "FA_ACT_EST_DATA=E, EST_SOURCE=RCP", "ACT_EST_MAPPING=PRECISE", "FS=MRC", "CURRENCY=USD", "XLFILL=b")</f>
        <v/>
      </c>
      <c r="AZ40" s="9" t="str">
        <f>_xll.BQL("SEG0000269228 Segment", "REVENUE_GROWTH_CC_1_YR", "FPR=2022Y", "FPT=A", "FA_ACT_EST_DATA=E, EST_SOURCE=WFR", "ACT_EST_MAPPING=PRECISE", "FS=MRC", "CURRENCY=USD", "XLFILL=b")</f>
        <v/>
      </c>
      <c r="BA40" s="9" t="str">
        <f>_xll.BQL("SEG0000269228 Segment", "REVENUE_GROWTH_CC_1_YR", "FPR=2022Y", "FPT=A", "FA_ACT_EST_DATA=E, EST_SOURCE=NIK", "ACT_EST_MAPPING=PRECISE", "FS=MRC", "CURRENCY=USD", "XLFILL=b")</f>
        <v/>
      </c>
      <c r="BB40" s="9" t="str">
        <f>_xll.BQL("SEG0000269228 Segment", "REVENUE_GROWTH_CC_1_YR", "FPR=2022Y", "FPT=A", "FA_ACT_EST_DATA=E, EST_SOURCE=ARE", "ACT_EST_MAPPING=PRECISE", "FS=MRC", "CURRENCY=USD", "XLFILL=b")</f>
        <v/>
      </c>
      <c r="BC40" s="9" t="str">
        <f>_xll.BQL("SEG0000269228 Segment", "REVENUE_GROWTH_CC_1_YR", "FPR=2022Y", "FPT=A", "FA_ACT_EST_DATA=E, EST_SOURCE=RED", "ACT_EST_MAPPING=PRECISE", "FS=MRC", "CURRENCY=USD", "XLFILL=b")</f>
        <v/>
      </c>
      <c r="BD40" s="9" t="str">
        <f>_xll.BQL("SEG0000269228 Segment", "REVENUE_GROWTH_CC_1_YR", "FPR=2022Y", "FPT=A", "FA_ACT_EST_DATA=E, EST_SOURCE=DIR", "ACT_EST_MAPPING=PRECISE", "FS=MRC", "CURRENCY=USD", "XLFILL=b")</f>
        <v/>
      </c>
    </row>
    <row r="41" spans="1:56" x14ac:dyDescent="0.55000000000000004">
      <c r="A41" s="8" t="s">
        <v>26</v>
      </c>
      <c r="B41" s="5"/>
      <c r="C41" s="5"/>
      <c r="D41" s="5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</row>
    <row r="42" spans="1:56" x14ac:dyDescent="0.55000000000000004">
      <c r="A42" s="8" t="s">
        <v>88</v>
      </c>
      <c r="B42" s="5"/>
      <c r="C42" s="5" t="s">
        <v>89</v>
      </c>
      <c r="D42" s="5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</row>
    <row r="43" spans="1:56" x14ac:dyDescent="0.55000000000000004">
      <c r="A43" s="8" t="s">
        <v>56</v>
      </c>
      <c r="B43" s="5" t="s">
        <v>28</v>
      </c>
      <c r="C43" s="5" t="s">
        <v>0</v>
      </c>
      <c r="D43" s="5" t="s">
        <v>90</v>
      </c>
      <c r="E43" s="9">
        <f>_xll.BQL("SEG0000269240 Segment", "SALES_REV_TURN/1M", "FPR=2022Y", "FPT=A", "FA_ACT_EST_DATA=E", "ACT_EST_MAPPING=PRECISE", "FS=MRC", "CURRENCY=USD", "XLFILL=b")</f>
        <v>4854.0604655398511</v>
      </c>
      <c r="F43" s="9">
        <f>_xll.BQL("SEG0000269240 Segment", "CONTRIBUTOR_STATS(SALES_REV_TURN, MIN)/1M", "FPR=2022Y", "FPT=A", "FA_ACT_EST_DATA=E", "ACT_EST_MAPPING=PRECISE", "FS=MRC", "CURRENCY=USD", "XLFILL=b")</f>
        <v>4299</v>
      </c>
      <c r="G43" s="9">
        <f>_xll.BQL("SEG0000269240 Segment", "CONTRIBUTOR_STATS(SALES_REV_TURN, MAX)/1M", "FPR=2022Y", "FPT=A", "FA_ACT_EST_DATA=E", "ACT_EST_MAPPING=PRECISE", "FS=MRC", "CURRENCY=USD", "XLFILL=b")</f>
        <v>5964.1813966195559</v>
      </c>
      <c r="H43" s="9">
        <f>_xll.BQL("SEG0000269240 Segment", "CONTRIBUTOR_STATS(SALES_REV_TURN, STD)/1M", "FPR=2022Y", "FPT=A", "FA_ACT_EST_DATA=E", "ACT_EST_MAPPING=PRECISE", "FS=MRC", "CURRENCY=USD", "XLFILL=b")</f>
        <v>961.39292758785678</v>
      </c>
      <c r="I43" s="9">
        <f>_xll.BQL("SEG0000269240 Segment", "CONTRIBUTOR_STATS(SALES_REV_TURN, MEDIAN)/1M", "FPR=2022Y", "FPT=A", "FA_ACT_EST_DATA=E", "ACT_EST_MAPPING=PRECISE", "FS=MRC", "CURRENCY=USD", "XLFILL=b")</f>
        <v>4299</v>
      </c>
      <c r="J43" s="9" t="str">
        <f>_xll.BQL("SEG0000269240 Segment", "SALES_REV_TURN/1M", "FPR=2022Y", "FPT=A", "FA_ACT_EST_DATA=E, EST_SOURCE=CMPY", "ACT_EST_MAPPING=PRECISE", "FS=MRC", "CURRENCY=USD", "XLFILL=b")</f>
        <v/>
      </c>
      <c r="K43" s="9" t="str">
        <f>_xll.BQL("SEG0000269240 Segment", "SALES_REV_TURN/1M", "FPR=2022Y", "FPT=A", "FA_ACT_EST_DATA=E, EST_SOURCE=WBL", "ACT_EST_MAPPING=PRECISE", "FS=MRC", "CURRENCY=USD", "XLFILL=b")</f>
        <v/>
      </c>
      <c r="L43" s="9" t="str">
        <f>_xll.BQL("SEG0000269240 Segment", "SALES_REV_TURN/1M", "FPR=2022Y", "FPT=A", "FA_ACT_EST_DATA=E, EST_SOURCE=BMO", "ACT_EST_MAPPING=PRECISE", "FS=MRC", "CURRENCY=USD", "XLFILL=b")</f>
        <v/>
      </c>
      <c r="M43" s="9" t="str">
        <f>_xll.BQL("SEG0000269240 Segment", "SALES_REV_TURN/1M", "FPR=2022Y", "FPT=A", "FA_ACT_EST_DATA=E, EST_SOURCE=BCA", "ACT_EST_MAPPING=PRECISE", "FS=MRC", "CURRENCY=USD", "XLFILL=b")</f>
        <v/>
      </c>
      <c r="N43" s="9" t="str">
        <f>_xll.BQL("SEG0000269240 Segment", "SALES_REV_TURN/1M", "FPR=2022Y", "FPT=A", "FA_ACT_EST_DATA=E, EST_SOURCE=SNR", "ACT_EST_MAPPING=PRECISE", "FS=MRC", "CURRENCY=USD", "XLFILL=b")</f>
        <v/>
      </c>
      <c r="O43" s="9">
        <f>_xll.BQL("SEG0000269240 Segment", "SALES_REV_TURN/1M", "FPR=2022Y", "FPT=A", "FA_ACT_EST_DATA=E, EST_SOURCE=MSV", "ACT_EST_MAPPING=PRECISE", "FS=MRC", "CURRENCY=USD", "XLFILL=b")</f>
        <v>4299</v>
      </c>
      <c r="P43" s="9" t="str">
        <f>_xll.BQL("SEG0000269240 Segment", "SALES_REV_TURN/1M", "FPR=2022Y", "FPT=A", "FA_ACT_EST_DATA=E, EST_SOURCE=DBG", "ACT_EST_MAPPING=PRECISE", "FS=MRC", "CURRENCY=USD", "XLFILL=b")</f>
        <v/>
      </c>
      <c r="Q43" s="9" t="str">
        <f>_xll.BQL("SEG0000269240 Segment", "SALES_REV_TURN/1M", "FPR=2022Y", "FPT=A", "FA_ACT_EST_DATA=E, EST_SOURCE=NDH", "ACT_EST_MAPPING=PRECISE", "FS=MRC", "CURRENCY=USD", "XLFILL=b")</f>
        <v/>
      </c>
      <c r="R43" s="9" t="str">
        <f>_xll.BQL("SEG0000269240 Segment", "SALES_REV_TURN/1M", "FPR=2022Y", "FPT=A", "FA_ACT_EST_DATA=E, EST_SOURCE=CAN", "ACT_EST_MAPPING=PRECISE", "FS=MRC", "CURRENCY=USD", "XLFILL=b")</f>
        <v/>
      </c>
      <c r="S43" s="9" t="str">
        <f>_xll.BQL("SEG0000269240 Segment", "SALES_REV_TURN/1M", "FPR=2022Y", "FPT=A", "FA_ACT_EST_DATA=E, EST_SOURCE=SCB", "ACT_EST_MAPPING=PRECISE", "FS=MRC", "CURRENCY=USD", "XLFILL=b")</f>
        <v/>
      </c>
      <c r="T43" s="9" t="str">
        <f>_xll.BQL("SEG0000269240 Segment", "SALES_REV_TURN/1M", "FPR=2022Y", "FPT=A", "FA_ACT_EST_DATA=E, EST_SOURCE=JMP", "ACT_EST_MAPPING=PRECISE", "FS=MRC", "CURRENCY=USD", "XLFILL=b")</f>
        <v/>
      </c>
      <c r="U43" s="9" t="str">
        <f>_xll.BQL("SEG0000269240 Segment", "SALES_REV_TURN/1M", "FPR=2022Y", "FPT=A", "FA_ACT_EST_DATA=E, EST_SOURCE=RJA", "ACT_EST_MAPPING=PRECISE", "FS=MRC", "CURRENCY=USD", "XLFILL=b")</f>
        <v/>
      </c>
      <c r="V43" s="9" t="str">
        <f>_xll.BQL("SEG0000269240 Segment", "SALES_REV_TURN/1M", "FPR=2022Y", "FPT=A", "FA_ACT_EST_DATA=E, EST_SOURCE=OPY", "ACT_EST_MAPPING=PRECISE", "FS=MRC", "CURRENCY=USD", "XLFILL=b")</f>
        <v/>
      </c>
      <c r="W43" s="9" t="str">
        <f>_xll.BQL("SEG0000269240 Segment", "SALES_REV_TURN/1M", "FPR=2022Y", "FPT=A", "FA_ACT_EST_DATA=E, EST_SOURCE=JPM", "ACT_EST_MAPPING=PRECISE", "FS=MRC", "CURRENCY=USD", "XLFILL=b")</f>
        <v/>
      </c>
      <c r="X43" s="9" t="str">
        <f>_xll.BQL("SEG0000269240 Segment", "SALES_REV_TURN/1M", "FPR=2022Y", "FPT=A", "FA_ACT_EST_DATA=E, EST_SOURCE=FBC", "ACT_EST_MAPPING=PRECISE", "FS=MRC", "CURRENCY=USD", "XLFILL=b")</f>
        <v/>
      </c>
      <c r="Y43" s="9" t="str">
        <f>_xll.BQL("SEG0000269240 Segment", "SALES_REV_TURN/1M", "FPR=2022Y", "FPT=A", "FA_ACT_EST_DATA=E, EST_SOURCE=WMS", "ACT_EST_MAPPING=PRECISE", "FS=MRC", "CURRENCY=USD", "XLFILL=b")</f>
        <v/>
      </c>
      <c r="Z43" s="9" t="str">
        <f>_xll.BQL("SEG0000269240 Segment", "SALES_REV_TURN/1M", "FPR=2022Y", "FPT=A", "FA_ACT_EST_DATA=E, EST_SOURCE=KEY", "ACT_EST_MAPPING=PRECISE", "FS=MRC", "CURRENCY=USD", "XLFILL=b")</f>
        <v/>
      </c>
      <c r="AA43" s="9" t="str">
        <f>_xll.BQL("SEG0000269240 Segment", "SALES_REV_TURN/1M", "FPR=2022Y", "FPT=A", "FA_ACT_EST_DATA=E, EST_SOURCE=LCM", "ACT_EST_MAPPING=PRECISE", "FS=MRC", "CURRENCY=USD", "XLFILL=b")</f>
        <v/>
      </c>
      <c r="AB43" s="9" t="str">
        <f>_xll.BQL("SEG0000269240 Segment", "SALES_REV_TURN/1M", "FPR=2022Y", "FPT=A", "FA_ACT_EST_DATA=E, EST_SOURCE=CWN", "ACT_EST_MAPPING=PRECISE", "FS=MRC", "CURRENCY=USD", "XLFILL=b")</f>
        <v/>
      </c>
      <c r="AC43" s="9" t="str">
        <f>_xll.BQL("SEG0000269240 Segment", "SALES_REV_TURN/1M", "FPR=2022Y", "FPT=A", "FA_ACT_EST_DATA=E, EST_SOURCE=BNS", "ACT_EST_MAPPING=PRECISE", "FS=MRC", "CURRENCY=USD", "XLFILL=b")</f>
        <v/>
      </c>
      <c r="AD43" s="9" t="str">
        <f>_xll.BQL("SEG0000269240 Segment", "SALES_REV_TURN/1M", "FPR=2022Y", "FPT=A", "FA_ACT_EST_DATA=E, EST_SOURCE=BAM", "ACT_EST_MAPPING=PRECISE", "FS=MRC", "CURRENCY=USD", "XLFILL=b")</f>
        <v/>
      </c>
      <c r="AE43" s="9" t="str">
        <f>_xll.BQL("SEG0000269240 Segment", "SALES_REV_TURN/1M", "FPR=2022Y", "FPT=A", "FA_ACT_EST_DATA=E, EST_SOURCE=RBC", "ACT_EST_MAPPING=PRECISE", "FS=MRC", "CURRENCY=USD", "XLFILL=b")</f>
        <v/>
      </c>
      <c r="AF43" s="9" t="str">
        <f>_xll.BQL("SEG0000269240 Segment", "SALES_REV_TURN/1M", "FPR=2022Y", "FPT=A", "FA_ACT_EST_DATA=E, EST_SOURCE=UBS", "ACT_EST_MAPPING=PRECISE", "FS=MRC", "CURRENCY=USD", "XLFILL=b")</f>
        <v/>
      </c>
      <c r="AG43" s="9" t="str">
        <f>_xll.BQL("SEG0000269240 Segment", "SALES_REV_TURN/1M", "FPR=2022Y", "FPT=A", "FA_ACT_EST_DATA=E, EST_SOURCE=RHR", "ACT_EST_MAPPING=PRECISE", "FS=MRC", "CURRENCY=USD", "XLFILL=b")</f>
        <v/>
      </c>
      <c r="AH43" s="9" t="str">
        <f>_xll.BQL("SEG0000269240 Segment", "SALES_REV_TURN/1M", "FPR=2022Y", "FPT=A", "FA_ACT_EST_DATA=E, EST_SOURCE=JEF", "ACT_EST_MAPPING=PRECISE", "FS=MRC", "CURRENCY=USD", "XLFILL=b")</f>
        <v/>
      </c>
      <c r="AI43" s="9" t="str">
        <f>_xll.BQL("SEG0000269240 Segment", "SALES_REV_TURN/1M", "FPR=2022Y", "FPT=A", "FA_ACT_EST_DATA=E, EST_SOURCE=ATL", "ACT_EST_MAPPING=PRECISE", "FS=MRC", "CURRENCY=USD", "XLFILL=b")</f>
        <v/>
      </c>
      <c r="AJ43" s="9" t="str">
        <f>_xll.BQL("SEG0000269240 Segment", "SALES_REV_TURN/1M", "FPR=2022Y", "FPT=A", "FA_ACT_EST_DATA=E, EST_SOURCE=MAC", "ACT_EST_MAPPING=PRECISE", "FS=MRC", "CURRENCY=USD", "XLFILL=b")</f>
        <v/>
      </c>
      <c r="AK43" s="9" t="str">
        <f>_xll.BQL("SEG0000269240 Segment", "SALES_REV_TURN/1M", "FPR=2022Y", "FPT=A", "FA_ACT_EST_DATA=E, EST_SOURCE=EVR", "ACT_EST_MAPPING=PRECISE", "FS=MRC", "CURRENCY=USD", "XLFILL=b")</f>
        <v/>
      </c>
      <c r="AL43" s="9" t="str">
        <f>_xll.BQL("SEG0000269240 Segment", "SALES_REV_TURN/1M", "FPR=2022Y", "FPT=A", "FA_ACT_EST_DATA=E, EST_SOURCE=MSR", "ACT_EST_MAPPING=PRECISE", "FS=MRC", "CURRENCY=USD", "XLFILL=b")</f>
        <v/>
      </c>
      <c r="AM43" s="9" t="str">
        <f>_xll.BQL("SEG0000269240 Segment", "SALES_REV_TURN/1M", "FPR=2022Y", "FPT=A", "FA_ACT_EST_DATA=E, EST_SOURCE=KGI", "ACT_EST_MAPPING=PRECISE", "FS=MRC", "CURRENCY=USD", "XLFILL=b")</f>
        <v/>
      </c>
      <c r="AN43" s="9" t="str">
        <f>_xll.BQL("SEG0000269240 Segment", "SALES_REV_TURN/1M", "FPR=2022Y", "FPT=A", "FA_ACT_EST_DATA=E, EST_SOURCE=ACC", "ACT_EST_MAPPING=PRECISE", "FS=MRC", "CURRENCY=USD", "XLFILL=b")</f>
        <v/>
      </c>
      <c r="AO43" s="9" t="str">
        <f>_xll.BQL("SEG0000269240 Segment", "SALES_REV_TURN/1M", "FPR=2022Y", "FPT=A", "FA_ACT_EST_DATA=E, EST_SOURCE=GSR", "ACT_EST_MAPPING=PRECISE", "FS=MRC", "CURRENCY=USD", "XLFILL=b")</f>
        <v/>
      </c>
      <c r="AP43" s="9" t="str">
        <f>_xll.BQL("SEG0000269240 Segment", "SALES_REV_TURN/1M", "FPR=2022Y", "FPT=A", "FA_ACT_EST_DATA=E, EST_SOURCE=PSG", "ACT_EST_MAPPING=PRECISE", "FS=MRC", "CURRENCY=USD", "XLFILL=b")</f>
        <v/>
      </c>
      <c r="AQ43" s="9" t="str">
        <f>_xll.BQL("SEG0000269240 Segment", "SALES_REV_TURN/1M", "FPR=2022Y", "FPT=A", "FA_ACT_EST_DATA=E, EST_SOURCE=DWI", "ACT_EST_MAPPING=PRECISE", "FS=MRC", "CURRENCY=USD", "XLFILL=b")</f>
        <v/>
      </c>
      <c r="AR43" s="9" t="str">
        <f>_xll.BQL("SEG0000269240 Segment", "SALES_REV_TURN/1M", "FPR=2022Y", "FPT=A", "FA_ACT_EST_DATA=E, EST_SOURCE=RWB", "ACT_EST_MAPPING=PRECISE", "FS=MRC", "CURRENCY=USD", "XLFILL=b")</f>
        <v/>
      </c>
      <c r="AS43" s="9" t="str">
        <f>_xll.BQL("SEG0000269240 Segment", "SALES_REV_TURN/1M", "FPR=2022Y", "FPT=A", "FA_ACT_EST_DATA=E, EST_SOURCE=ARG", "ACT_EST_MAPPING=PRECISE", "FS=MRC", "CURRENCY=USD", "XLFILL=b")</f>
        <v/>
      </c>
      <c r="AT43" s="9" t="str">
        <f>_xll.BQL("SEG0000269240 Segment", "SALES_REV_TURN/1M", "FPR=2022Y", "FPT=A", "FA_ACT_EST_DATA=E, EST_SOURCE=CTI", "ACT_EST_MAPPING=PRECISE", "FS=MRC", "CURRENCY=USD", "XLFILL=b")</f>
        <v/>
      </c>
      <c r="AU43" s="9" t="str">
        <f>_xll.BQL("SEG0000269240 Segment", "SALES_REV_TURN/1M", "FPR=2022Y", "FPT=A", "FA_ACT_EST_DATA=E, EST_SOURCE=WFT", "ACT_EST_MAPPING=PRECISE", "FS=MRC", "CURRENCY=USD", "XLFILL=b")</f>
        <v/>
      </c>
      <c r="AV43" s="9" t="str">
        <f>_xll.BQL("SEG0000269240 Segment", "SALES_REV_TURN/1M", "FPR=2022Y", "FPT=A", "FA_ACT_EST_DATA=E, EST_SOURCE=PJE", "ACT_EST_MAPPING=PRECISE", "FS=MRC", "CURRENCY=USD", "XLFILL=b")</f>
        <v/>
      </c>
      <c r="AW43" s="9" t="str">
        <f>_xll.BQL("SEG0000269240 Segment", "SALES_REV_TURN/1M", "FPR=2022Y", "FPT=A", "FA_ACT_EST_DATA=E, EST_SOURCE=SGE", "ACT_EST_MAPPING=PRECISE", "FS=MRC", "CURRENCY=USD", "XLFILL=b")</f>
        <v/>
      </c>
      <c r="AX43" s="9" t="str">
        <f>_xll.BQL("SEG0000269240 Segment", "SALES_REV_TURN/1M", "FPR=2022Y", "FPT=A", "FA_ACT_EST_DATA=E, EST_SOURCE=MZS", "ACT_EST_MAPPING=PRECISE", "FS=MRC", "CURRENCY=USD", "XLFILL=b")</f>
        <v/>
      </c>
      <c r="AY43" s="9" t="str">
        <f>_xll.BQL("SEG0000269240 Segment", "SALES_REV_TURN/1M", "FPR=2022Y", "FPT=A", "FA_ACT_EST_DATA=E, EST_SOURCE=RCP", "ACT_EST_MAPPING=PRECISE", "FS=MRC", "CURRENCY=USD", "XLFILL=b")</f>
        <v/>
      </c>
      <c r="AZ43" s="9" t="str">
        <f>_xll.BQL("SEG0000269240 Segment", "SALES_REV_TURN/1M", "FPR=2022Y", "FPT=A", "FA_ACT_EST_DATA=E, EST_SOURCE=WFR", "ACT_EST_MAPPING=PRECISE", "FS=MRC", "CURRENCY=USD", "XLFILL=b")</f>
        <v/>
      </c>
      <c r="BA43" s="9" t="str">
        <f>_xll.BQL("SEG0000269240 Segment", "SALES_REV_TURN/1M", "FPR=2022Y", "FPT=A", "FA_ACT_EST_DATA=E, EST_SOURCE=NIK", "ACT_EST_MAPPING=PRECISE", "FS=MRC", "CURRENCY=USD", "XLFILL=b")</f>
        <v/>
      </c>
      <c r="BB43" s="9" t="str">
        <f>_xll.BQL("SEG0000269240 Segment", "SALES_REV_TURN/1M", "FPR=2022Y", "FPT=A", "FA_ACT_EST_DATA=E, EST_SOURCE=ARE", "ACT_EST_MAPPING=PRECISE", "FS=MRC", "CURRENCY=USD", "XLFILL=b")</f>
        <v/>
      </c>
      <c r="BC43" s="9" t="str">
        <f>_xll.BQL("SEG0000269240 Segment", "SALES_REV_TURN/1M", "FPR=2022Y", "FPT=A", "FA_ACT_EST_DATA=E, EST_SOURCE=RED", "ACT_EST_MAPPING=PRECISE", "FS=MRC", "CURRENCY=USD", "XLFILL=b")</f>
        <v/>
      </c>
      <c r="BD43" s="9" t="str">
        <f>_xll.BQL("SEG0000269240 Segment", "SALES_REV_TURN/1M", "FPR=2022Y", "FPT=A", "FA_ACT_EST_DATA=E, EST_SOURCE=DIR", "ACT_EST_MAPPING=PRECISE", "FS=MRC", "CURRENCY=USD", "XLFILL=b")</f>
        <v/>
      </c>
    </row>
    <row r="44" spans="1:56" x14ac:dyDescent="0.55000000000000004">
      <c r="A44" s="8" t="s">
        <v>85</v>
      </c>
      <c r="B44" s="5" t="s">
        <v>58</v>
      </c>
      <c r="C44" s="5" t="s">
        <v>79</v>
      </c>
      <c r="D44" s="5" t="s">
        <v>90</v>
      </c>
      <c r="E44" s="9">
        <f>_xll.BQL("SEG0000269240 Segment", "IS_PERCENTAGE_OF_REVENUE", "FPR=2022Y", "FPT=A", "FA_ACT_EST_DATA=E", "ACT_EST_MAPPING=PRECISE", "FS=MRC", "CURRENCY=USD", "XLFILL=b")</f>
        <v>22.513379379431409</v>
      </c>
      <c r="F44" s="9">
        <f>_xll.BQL("SEG0000269240 Segment", "CONTRIBUTOR_STATS(IS_PERCENTAGE_OF_REVENUE, MIN)", "FPR=2022Y", "FPT=A", "FA_ACT_EST_DATA=E", "ACT_EST_MAPPING=PRECISE", "FS=MRC", "CURRENCY=USD", "XLFILL=b")</f>
        <v>22.43034540331838</v>
      </c>
      <c r="G44" s="9">
        <f>_xll.BQL("SEG0000269240 Segment", "CONTRIBUTOR_STATS(IS_PERCENTAGE_OF_REVENUE, MAX)", "FPR=2022Y", "FPT=A", "FA_ACT_EST_DATA=E", "ACT_EST_MAPPING=PRECISE", "FS=MRC", "CURRENCY=USD", "XLFILL=b")</f>
        <v>22.596458740884721</v>
      </c>
      <c r="H44" s="9">
        <f>_xll.BQL("SEG0000269240 Segment", "CONTRIBUTOR_STATS(IS_PERCENTAGE_OF_REVENUE, STD)", "FPR=2022Y", "FPT=A", "FA_ACT_EST_DATA=E", "ACT_EST_MAPPING=PRECISE", "FS=MRC", "CURRENCY=USD", "XLFILL=b")</f>
        <v>9.5879384082664554E-2</v>
      </c>
      <c r="I44" s="9">
        <f>_xll.BQL("SEG0000269240 Segment", "CONTRIBUTOR_STATS(IS_PERCENTAGE_OF_REVENUE, MEDIAN)", "FPR=2022Y", "FPT=A", "FA_ACT_EST_DATA=E", "ACT_EST_MAPPING=PRECISE", "FS=MRC", "CURRENCY=USD", "XLFILL=b")</f>
        <v>22.513356686761259</v>
      </c>
      <c r="J44" s="9" t="str">
        <f>_xll.BQL("SEG0000269240 Segment", "IS_PERCENTAGE_OF_REVENUE", "FPR=2022Y", "FPT=A", "FA_ACT_EST_DATA=E, EST_SOURCE=CMPY", "ACT_EST_MAPPING=PRECISE", "FS=MRC", "CURRENCY=USD", "XLFILL=b")</f>
        <v/>
      </c>
      <c r="K44" s="9" t="str">
        <f>_xll.BQL("SEG0000269240 Segment", "IS_PERCENTAGE_OF_REVENUE", "FPR=2022Y", "FPT=A", "FA_ACT_EST_DATA=E, EST_SOURCE=WBL", "ACT_EST_MAPPING=PRECISE", "FS=MRC", "CURRENCY=USD", "XLFILL=b")</f>
        <v/>
      </c>
      <c r="L44" s="9" t="str">
        <f>_xll.BQL("SEG0000269240 Segment", "IS_PERCENTAGE_OF_REVENUE", "FPR=2022Y", "FPT=A", "FA_ACT_EST_DATA=E, EST_SOURCE=BMO", "ACT_EST_MAPPING=PRECISE", "FS=MRC", "CURRENCY=USD", "XLFILL=b")</f>
        <v/>
      </c>
      <c r="M44" s="9" t="str">
        <f>_xll.BQL("SEG0000269240 Segment", "IS_PERCENTAGE_OF_REVENUE", "FPR=2022Y", "FPT=A", "FA_ACT_EST_DATA=E, EST_SOURCE=BCA", "ACT_EST_MAPPING=PRECISE", "FS=MRC", "CURRENCY=USD", "XLFILL=b")</f>
        <v/>
      </c>
      <c r="N44" s="9" t="str">
        <f>_xll.BQL("SEG0000269240 Segment", "IS_PERCENTAGE_OF_REVENUE", "FPR=2022Y", "FPT=A", "FA_ACT_EST_DATA=E, EST_SOURCE=SNR", "ACT_EST_MAPPING=PRECISE", "FS=MRC", "CURRENCY=USD", "XLFILL=b")</f>
        <v/>
      </c>
      <c r="O44" s="9">
        <f>_xll.BQL("SEG0000269240 Segment", "IS_PERCENTAGE_OF_REVENUE", "FPR=2022Y", "FPT=A", "FA_ACT_EST_DATA=E, EST_SOURCE=MSV", "ACT_EST_MAPPING=PRECISE", "FS=MRC", "CURRENCY=USD", "XLFILL=b")</f>
        <v>22.43034540331838</v>
      </c>
      <c r="P44" s="9" t="str">
        <f>_xll.BQL("SEG0000269240 Segment", "IS_PERCENTAGE_OF_REVENUE", "FPR=2022Y", "FPT=A", "FA_ACT_EST_DATA=E, EST_SOURCE=DBG", "ACT_EST_MAPPING=PRECISE", "FS=MRC", "CURRENCY=USD", "XLFILL=b")</f>
        <v/>
      </c>
      <c r="Q44" s="9" t="str">
        <f>_xll.BQL("SEG0000269240 Segment", "IS_PERCENTAGE_OF_REVENUE", "FPR=2022Y", "FPT=A", "FA_ACT_EST_DATA=E, EST_SOURCE=NDH", "ACT_EST_MAPPING=PRECISE", "FS=MRC", "CURRENCY=USD", "XLFILL=b")</f>
        <v/>
      </c>
      <c r="R44" s="9" t="str">
        <f>_xll.BQL("SEG0000269240 Segment", "IS_PERCENTAGE_OF_REVENUE", "FPR=2022Y", "FPT=A", "FA_ACT_EST_DATA=E, EST_SOURCE=CAN", "ACT_EST_MAPPING=PRECISE", "FS=MRC", "CURRENCY=USD", "XLFILL=b")</f>
        <v/>
      </c>
      <c r="S44" s="9" t="str">
        <f>_xll.BQL("SEG0000269240 Segment", "IS_PERCENTAGE_OF_REVENUE", "FPR=2022Y", "FPT=A", "FA_ACT_EST_DATA=E, EST_SOURCE=SCB", "ACT_EST_MAPPING=PRECISE", "FS=MRC", "CURRENCY=USD", "XLFILL=b")</f>
        <v/>
      </c>
      <c r="T44" s="9" t="str">
        <f>_xll.BQL("SEG0000269240 Segment", "IS_PERCENTAGE_OF_REVENUE", "FPR=2022Y", "FPT=A", "FA_ACT_EST_DATA=E, EST_SOURCE=JMP", "ACT_EST_MAPPING=PRECISE", "FS=MRC", "CURRENCY=USD", "XLFILL=b")</f>
        <v/>
      </c>
      <c r="U44" s="9" t="str">
        <f>_xll.BQL("SEG0000269240 Segment", "IS_PERCENTAGE_OF_REVENUE", "FPR=2022Y", "FPT=A", "FA_ACT_EST_DATA=E, EST_SOURCE=RJA", "ACT_EST_MAPPING=PRECISE", "FS=MRC", "CURRENCY=USD", "XLFILL=b")</f>
        <v/>
      </c>
      <c r="V44" s="9" t="str">
        <f>_xll.BQL("SEG0000269240 Segment", "IS_PERCENTAGE_OF_REVENUE", "FPR=2022Y", "FPT=A", "FA_ACT_EST_DATA=E, EST_SOURCE=OPY", "ACT_EST_MAPPING=PRECISE", "FS=MRC", "CURRENCY=USD", "XLFILL=b")</f>
        <v/>
      </c>
      <c r="W44" s="9" t="str">
        <f>_xll.BQL("SEG0000269240 Segment", "IS_PERCENTAGE_OF_REVENUE", "FPR=2022Y", "FPT=A", "FA_ACT_EST_DATA=E, EST_SOURCE=JPM", "ACT_EST_MAPPING=PRECISE", "FS=MRC", "CURRENCY=USD", "XLFILL=b")</f>
        <v/>
      </c>
      <c r="X44" s="9">
        <f>_xll.BQL("SEG0000269240 Segment", "IS_PERCENTAGE_OF_REVENUE", "FPR=2022Y", "FPT=A", "FA_ACT_EST_DATA=E, EST_SOURCE=FBC", "ACT_EST_MAPPING=PRECISE", "FS=MRC", "CURRENCY=USD", "XLFILL=b")</f>
        <v>22.596458740884721</v>
      </c>
      <c r="Y44" s="9" t="str">
        <f>_xll.BQL("SEG0000269240 Segment", "IS_PERCENTAGE_OF_REVENUE", "FPR=2022Y", "FPT=A", "FA_ACT_EST_DATA=E, EST_SOURCE=WMS", "ACT_EST_MAPPING=PRECISE", "FS=MRC", "CURRENCY=USD", "XLFILL=b")</f>
        <v/>
      </c>
      <c r="Z44" s="9" t="str">
        <f>_xll.BQL("SEG0000269240 Segment", "IS_PERCENTAGE_OF_REVENUE", "FPR=2022Y", "FPT=A", "FA_ACT_EST_DATA=E, EST_SOURCE=KEY", "ACT_EST_MAPPING=PRECISE", "FS=MRC", "CURRENCY=USD", "XLFILL=b")</f>
        <v/>
      </c>
      <c r="AA44" s="9" t="str">
        <f>_xll.BQL("SEG0000269240 Segment", "IS_PERCENTAGE_OF_REVENUE", "FPR=2022Y", "FPT=A", "FA_ACT_EST_DATA=E, EST_SOURCE=LCM", "ACT_EST_MAPPING=PRECISE", "FS=MRC", "CURRENCY=USD", "XLFILL=b")</f>
        <v/>
      </c>
      <c r="AB44" s="9" t="str">
        <f>_xll.BQL("SEG0000269240 Segment", "IS_PERCENTAGE_OF_REVENUE", "FPR=2022Y", "FPT=A", "FA_ACT_EST_DATA=E, EST_SOURCE=CWN", "ACT_EST_MAPPING=PRECISE", "FS=MRC", "CURRENCY=USD", "XLFILL=b")</f>
        <v/>
      </c>
      <c r="AC44" s="9" t="str">
        <f>_xll.BQL("SEG0000269240 Segment", "IS_PERCENTAGE_OF_REVENUE", "FPR=2022Y", "FPT=A", "FA_ACT_EST_DATA=E, EST_SOURCE=BNS", "ACT_EST_MAPPING=PRECISE", "FS=MRC", "CURRENCY=USD", "XLFILL=b")</f>
        <v/>
      </c>
      <c r="AD44" s="9" t="str">
        <f>_xll.BQL("SEG0000269240 Segment", "IS_PERCENTAGE_OF_REVENUE", "FPR=2022Y", "FPT=A", "FA_ACT_EST_DATA=E, EST_SOURCE=BAM", "ACT_EST_MAPPING=PRECISE", "FS=MRC", "CURRENCY=USD", "XLFILL=b")</f>
        <v/>
      </c>
      <c r="AE44" s="9" t="str">
        <f>_xll.BQL("SEG0000269240 Segment", "IS_PERCENTAGE_OF_REVENUE", "FPR=2022Y", "FPT=A", "FA_ACT_EST_DATA=E, EST_SOURCE=RBC", "ACT_EST_MAPPING=PRECISE", "FS=MRC", "CURRENCY=USD", "XLFILL=b")</f>
        <v/>
      </c>
      <c r="AF44" s="9" t="str">
        <f>_xll.BQL("SEG0000269240 Segment", "IS_PERCENTAGE_OF_REVENUE", "FPR=2022Y", "FPT=A", "FA_ACT_EST_DATA=E, EST_SOURCE=UBS", "ACT_EST_MAPPING=PRECISE", "FS=MRC", "CURRENCY=USD", "XLFILL=b")</f>
        <v/>
      </c>
      <c r="AG44" s="9" t="str">
        <f>_xll.BQL("SEG0000269240 Segment", "IS_PERCENTAGE_OF_REVENUE", "FPR=2022Y", "FPT=A", "FA_ACT_EST_DATA=E, EST_SOURCE=RHR", "ACT_EST_MAPPING=PRECISE", "FS=MRC", "CURRENCY=USD", "XLFILL=b")</f>
        <v/>
      </c>
      <c r="AH44" s="9" t="str">
        <f>_xll.BQL("SEG0000269240 Segment", "IS_PERCENTAGE_OF_REVENUE", "FPR=2022Y", "FPT=A", "FA_ACT_EST_DATA=E, EST_SOURCE=JEF", "ACT_EST_MAPPING=PRECISE", "FS=MRC", "CURRENCY=USD", "XLFILL=b")</f>
        <v/>
      </c>
      <c r="AI44" s="9" t="str">
        <f>_xll.BQL("SEG0000269240 Segment", "IS_PERCENTAGE_OF_REVENUE", "FPR=2022Y", "FPT=A", "FA_ACT_EST_DATA=E, EST_SOURCE=ATL", "ACT_EST_MAPPING=PRECISE", "FS=MRC", "CURRENCY=USD", "XLFILL=b")</f>
        <v/>
      </c>
      <c r="AJ44" s="9" t="str">
        <f>_xll.BQL("SEG0000269240 Segment", "IS_PERCENTAGE_OF_REVENUE", "FPR=2022Y", "FPT=A", "FA_ACT_EST_DATA=E, EST_SOURCE=MAC", "ACT_EST_MAPPING=PRECISE", "FS=MRC", "CURRENCY=USD", "XLFILL=b")</f>
        <v/>
      </c>
      <c r="AK44" s="9" t="str">
        <f>_xll.BQL("SEG0000269240 Segment", "IS_PERCENTAGE_OF_REVENUE", "FPR=2022Y", "FPT=A", "FA_ACT_EST_DATA=E, EST_SOURCE=EVR", "ACT_EST_MAPPING=PRECISE", "FS=MRC", "CURRENCY=USD", "XLFILL=b")</f>
        <v/>
      </c>
      <c r="AL44" s="9" t="str">
        <f>_xll.BQL("SEG0000269240 Segment", "IS_PERCENTAGE_OF_REVENUE", "FPR=2022Y", "FPT=A", "FA_ACT_EST_DATA=E, EST_SOURCE=MSR", "ACT_EST_MAPPING=PRECISE", "FS=MRC", "CURRENCY=USD", "XLFILL=b")</f>
        <v/>
      </c>
      <c r="AM44" s="9" t="str">
        <f>_xll.BQL("SEG0000269240 Segment", "IS_PERCENTAGE_OF_REVENUE", "FPR=2022Y", "FPT=A", "FA_ACT_EST_DATA=E, EST_SOURCE=KGI", "ACT_EST_MAPPING=PRECISE", "FS=MRC", "CURRENCY=USD", "XLFILL=b")</f>
        <v/>
      </c>
      <c r="AN44" s="9" t="str">
        <f>_xll.BQL("SEG0000269240 Segment", "IS_PERCENTAGE_OF_REVENUE", "FPR=2022Y", "FPT=A", "FA_ACT_EST_DATA=E, EST_SOURCE=ACC", "ACT_EST_MAPPING=PRECISE", "FS=MRC", "CURRENCY=USD", "XLFILL=b")</f>
        <v/>
      </c>
      <c r="AO44" s="9" t="str">
        <f>_xll.BQL("SEG0000269240 Segment", "IS_PERCENTAGE_OF_REVENUE", "FPR=2022Y", "FPT=A", "FA_ACT_EST_DATA=E, EST_SOURCE=GSR", "ACT_EST_MAPPING=PRECISE", "FS=MRC", "CURRENCY=USD", "XLFILL=b")</f>
        <v/>
      </c>
      <c r="AP44" s="9" t="str">
        <f>_xll.BQL("SEG0000269240 Segment", "IS_PERCENTAGE_OF_REVENUE", "FPR=2022Y", "FPT=A", "FA_ACT_EST_DATA=E, EST_SOURCE=PSG", "ACT_EST_MAPPING=PRECISE", "FS=MRC", "CURRENCY=USD", "XLFILL=b")</f>
        <v/>
      </c>
      <c r="AQ44" s="9" t="str">
        <f>_xll.BQL("SEG0000269240 Segment", "IS_PERCENTAGE_OF_REVENUE", "FPR=2022Y", "FPT=A", "FA_ACT_EST_DATA=E, EST_SOURCE=DWI", "ACT_EST_MAPPING=PRECISE", "FS=MRC", "CURRENCY=USD", "XLFILL=b")</f>
        <v/>
      </c>
      <c r="AR44" s="9" t="str">
        <f>_xll.BQL("SEG0000269240 Segment", "IS_PERCENTAGE_OF_REVENUE", "FPR=2022Y", "FPT=A", "FA_ACT_EST_DATA=E, EST_SOURCE=RWB", "ACT_EST_MAPPING=PRECISE", "FS=MRC", "CURRENCY=USD", "XLFILL=b")</f>
        <v/>
      </c>
      <c r="AS44" s="9" t="str">
        <f>_xll.BQL("SEG0000269240 Segment", "IS_PERCENTAGE_OF_REVENUE", "FPR=2022Y", "FPT=A", "FA_ACT_EST_DATA=E, EST_SOURCE=ARG", "ACT_EST_MAPPING=PRECISE", "FS=MRC", "CURRENCY=USD", "XLFILL=b")</f>
        <v/>
      </c>
      <c r="AT44" s="9" t="str">
        <f>_xll.BQL("SEG0000269240 Segment", "IS_PERCENTAGE_OF_REVENUE", "FPR=2022Y", "FPT=A", "FA_ACT_EST_DATA=E, EST_SOURCE=CTI", "ACT_EST_MAPPING=PRECISE", "FS=MRC", "CURRENCY=USD", "XLFILL=b")</f>
        <v/>
      </c>
      <c r="AU44" s="9" t="str">
        <f>_xll.BQL("SEG0000269240 Segment", "IS_PERCENTAGE_OF_REVENUE", "FPR=2022Y", "FPT=A", "FA_ACT_EST_DATA=E, EST_SOURCE=WFT", "ACT_EST_MAPPING=PRECISE", "FS=MRC", "CURRENCY=USD", "XLFILL=b")</f>
        <v/>
      </c>
      <c r="AV44" s="9" t="str">
        <f>_xll.BQL("SEG0000269240 Segment", "IS_PERCENTAGE_OF_REVENUE", "FPR=2022Y", "FPT=A", "FA_ACT_EST_DATA=E, EST_SOURCE=PJE", "ACT_EST_MAPPING=PRECISE", "FS=MRC", "CURRENCY=USD", "XLFILL=b")</f>
        <v/>
      </c>
      <c r="AW44" s="9" t="str">
        <f>_xll.BQL("SEG0000269240 Segment", "IS_PERCENTAGE_OF_REVENUE", "FPR=2022Y", "FPT=A", "FA_ACT_EST_DATA=E, EST_SOURCE=SGE", "ACT_EST_MAPPING=PRECISE", "FS=MRC", "CURRENCY=USD", "XLFILL=b")</f>
        <v/>
      </c>
      <c r="AX44" s="9" t="str">
        <f>_xll.BQL("SEG0000269240 Segment", "IS_PERCENTAGE_OF_REVENUE", "FPR=2022Y", "FPT=A", "FA_ACT_EST_DATA=E, EST_SOURCE=MZS", "ACT_EST_MAPPING=PRECISE", "FS=MRC", "CURRENCY=USD", "XLFILL=b")</f>
        <v/>
      </c>
      <c r="AY44" s="9" t="str">
        <f>_xll.BQL("SEG0000269240 Segment", "IS_PERCENTAGE_OF_REVENUE", "FPR=2022Y", "FPT=A", "FA_ACT_EST_DATA=E, EST_SOURCE=RCP", "ACT_EST_MAPPING=PRECISE", "FS=MRC", "CURRENCY=USD", "XLFILL=b")</f>
        <v/>
      </c>
      <c r="AZ44" s="9" t="str">
        <f>_xll.BQL("SEG0000269240 Segment", "IS_PERCENTAGE_OF_REVENUE", "FPR=2022Y", "FPT=A", "FA_ACT_EST_DATA=E, EST_SOURCE=WFR", "ACT_EST_MAPPING=PRECISE", "FS=MRC", "CURRENCY=USD", "XLFILL=b")</f>
        <v/>
      </c>
      <c r="BA44" s="9" t="str">
        <f>_xll.BQL("SEG0000269240 Segment", "IS_PERCENTAGE_OF_REVENUE", "FPR=2022Y", "FPT=A", "FA_ACT_EST_DATA=E, EST_SOURCE=NIK", "ACT_EST_MAPPING=PRECISE", "FS=MRC", "CURRENCY=USD", "XLFILL=b")</f>
        <v/>
      </c>
      <c r="BB44" s="9" t="str">
        <f>_xll.BQL("SEG0000269240 Segment", "IS_PERCENTAGE_OF_REVENUE", "FPR=2022Y", "FPT=A", "FA_ACT_EST_DATA=E, EST_SOURCE=ARE", "ACT_EST_MAPPING=PRECISE", "FS=MRC", "CURRENCY=USD", "XLFILL=b")</f>
        <v/>
      </c>
      <c r="BC44" s="9" t="str">
        <f>_xll.BQL("SEG0000269240 Segment", "IS_PERCENTAGE_OF_REVENUE", "FPR=2022Y", "FPT=A", "FA_ACT_EST_DATA=E, EST_SOURCE=RED", "ACT_EST_MAPPING=PRECISE", "FS=MRC", "CURRENCY=USD", "XLFILL=b")</f>
        <v/>
      </c>
      <c r="BD44" s="9" t="str">
        <f>_xll.BQL("SEG0000269240 Segment", "IS_PERCENTAGE_OF_REVENUE", "FPR=2022Y", "FPT=A", "FA_ACT_EST_DATA=E, EST_SOURCE=DIR", "ACT_EST_MAPPING=PRECISE", "FS=MRC", "CURRENCY=USD", "XLFILL=b")</f>
        <v/>
      </c>
    </row>
    <row r="45" spans="1:56" x14ac:dyDescent="0.55000000000000004">
      <c r="A45" s="8" t="s">
        <v>86</v>
      </c>
      <c r="B45" s="5" t="s">
        <v>24</v>
      </c>
      <c r="C45" s="5" t="s">
        <v>87</v>
      </c>
      <c r="D45" s="5" t="s">
        <v>90</v>
      </c>
      <c r="E45" s="9">
        <f>_xll.BQL("SEG0000269240 Segment", "REVENUE_GROWTH_CC_1_YR", "FPR=2022Y", "FPT=A", "FA_ACT_EST_DATA=E", "ACT_EST_MAPPING=PRECISE", "FS=MRC", "CURRENCY=USD", "XLFILL=b")</f>
        <v>25.333333333333339</v>
      </c>
      <c r="F45" s="9">
        <f>_xll.BQL("SEG0000269240 Segment", "CONTRIBUTOR_STATS(REVENUE_GROWTH_CC_1_YR, MIN)", "FPR=2022Y", "FPT=A", "FA_ACT_EST_DATA=E", "ACT_EST_MAPPING=PRECISE", "FS=MRC", "CURRENCY=USD", "XLFILL=b")</f>
        <v>25.333333333333339</v>
      </c>
      <c r="G45" s="9">
        <f>_xll.BQL("SEG0000269240 Segment", "CONTRIBUTOR_STATS(REVENUE_GROWTH_CC_1_YR, MAX)", "FPR=2022Y", "FPT=A", "FA_ACT_EST_DATA=E", "ACT_EST_MAPPING=PRECISE", "FS=MRC", "CURRENCY=USD", "XLFILL=b")</f>
        <v>25.333333333333339</v>
      </c>
      <c r="H45" s="9" t="str">
        <f>_xll.BQL("SEG0000269240 Segment", "CONTRIBUTOR_STATS(REVENUE_GROWTH_CC_1_YR, STD)", "FPR=2022Y", "FPT=A", "FA_ACT_EST_DATA=E", "ACT_EST_MAPPING=PRECISE", "FS=MRC", "CURRENCY=USD", "XLFILL=b")</f>
        <v/>
      </c>
      <c r="I45" s="9">
        <f>_xll.BQL("SEG0000269240 Segment", "CONTRIBUTOR_STATS(REVENUE_GROWTH_CC_1_YR, MEDIAN)", "FPR=2022Y", "FPT=A", "FA_ACT_EST_DATA=E", "ACT_EST_MAPPING=PRECISE", "FS=MRC", "CURRENCY=USD", "XLFILL=b")</f>
        <v>25.333333333333339</v>
      </c>
      <c r="J45" s="9" t="str">
        <f>_xll.BQL("SEG0000269240 Segment", "REVENUE_GROWTH_CC_1_YR", "FPR=2022Y", "FPT=A", "FA_ACT_EST_DATA=E, EST_SOURCE=CMPY", "ACT_EST_MAPPING=PRECISE", "FS=MRC", "CURRENCY=USD", "XLFILL=b")</f>
        <v/>
      </c>
      <c r="K45" s="9" t="str">
        <f>_xll.BQL("SEG0000269240 Segment", "REVENUE_GROWTH_CC_1_YR", "FPR=2022Y", "FPT=A", "FA_ACT_EST_DATA=E, EST_SOURCE=WBL", "ACT_EST_MAPPING=PRECISE", "FS=MRC", "CURRENCY=USD", "XLFILL=b")</f>
        <v/>
      </c>
      <c r="L45" s="9" t="str">
        <f>_xll.BQL("SEG0000269240 Segment", "REVENUE_GROWTH_CC_1_YR", "FPR=2022Y", "FPT=A", "FA_ACT_EST_DATA=E, EST_SOURCE=BMO", "ACT_EST_MAPPING=PRECISE", "FS=MRC", "CURRENCY=USD", "XLFILL=b")</f>
        <v/>
      </c>
      <c r="M45" s="9" t="str">
        <f>_xll.BQL("SEG0000269240 Segment", "REVENUE_GROWTH_CC_1_YR", "FPR=2022Y", "FPT=A", "FA_ACT_EST_DATA=E, EST_SOURCE=BCA", "ACT_EST_MAPPING=PRECISE", "FS=MRC", "CURRENCY=USD", "XLFILL=b")</f>
        <v/>
      </c>
      <c r="N45" s="9" t="str">
        <f>_xll.BQL("SEG0000269240 Segment", "REVENUE_GROWTH_CC_1_YR", "FPR=2022Y", "FPT=A", "FA_ACT_EST_DATA=E, EST_SOURCE=SNR", "ACT_EST_MAPPING=PRECISE", "FS=MRC", "CURRENCY=USD", "XLFILL=b")</f>
        <v/>
      </c>
      <c r="O45" s="9" t="str">
        <f>_xll.BQL("SEG0000269240 Segment", "REVENUE_GROWTH_CC_1_YR", "FPR=2022Y", "FPT=A", "FA_ACT_EST_DATA=E, EST_SOURCE=MSV", "ACT_EST_MAPPING=PRECISE", "FS=MRC", "CURRENCY=USD", "XLFILL=b")</f>
        <v/>
      </c>
      <c r="P45" s="9" t="str">
        <f>_xll.BQL("SEG0000269240 Segment", "REVENUE_GROWTH_CC_1_YR", "FPR=2022Y", "FPT=A", "FA_ACT_EST_DATA=E, EST_SOURCE=DBG", "ACT_EST_MAPPING=PRECISE", "FS=MRC", "CURRENCY=USD", "XLFILL=b")</f>
        <v/>
      </c>
      <c r="Q45" s="9" t="str">
        <f>_xll.BQL("SEG0000269240 Segment", "REVENUE_GROWTH_CC_1_YR", "FPR=2022Y", "FPT=A", "FA_ACT_EST_DATA=E, EST_SOURCE=NDH", "ACT_EST_MAPPING=PRECISE", "FS=MRC", "CURRENCY=USD", "XLFILL=b")</f>
        <v/>
      </c>
      <c r="R45" s="9" t="str">
        <f>_xll.BQL("SEG0000269240 Segment", "REVENUE_GROWTH_CC_1_YR", "FPR=2022Y", "FPT=A", "FA_ACT_EST_DATA=E, EST_SOURCE=CAN", "ACT_EST_MAPPING=PRECISE", "FS=MRC", "CURRENCY=USD", "XLFILL=b")</f>
        <v/>
      </c>
      <c r="S45" s="9" t="str">
        <f>_xll.BQL("SEG0000269240 Segment", "REVENUE_GROWTH_CC_1_YR", "FPR=2022Y", "FPT=A", "FA_ACT_EST_DATA=E, EST_SOURCE=SCB", "ACT_EST_MAPPING=PRECISE", "FS=MRC", "CURRENCY=USD", "XLFILL=b")</f>
        <v/>
      </c>
      <c r="T45" s="9" t="str">
        <f>_xll.BQL("SEG0000269240 Segment", "REVENUE_GROWTH_CC_1_YR", "FPR=2022Y", "FPT=A", "FA_ACT_EST_DATA=E, EST_SOURCE=JMP", "ACT_EST_MAPPING=PRECISE", "FS=MRC", "CURRENCY=USD", "XLFILL=b")</f>
        <v/>
      </c>
      <c r="U45" s="9" t="str">
        <f>_xll.BQL("SEG0000269240 Segment", "REVENUE_GROWTH_CC_1_YR", "FPR=2022Y", "FPT=A", "FA_ACT_EST_DATA=E, EST_SOURCE=RJA", "ACT_EST_MAPPING=PRECISE", "FS=MRC", "CURRENCY=USD", "XLFILL=b")</f>
        <v/>
      </c>
      <c r="V45" s="9" t="str">
        <f>_xll.BQL("SEG0000269240 Segment", "REVENUE_GROWTH_CC_1_YR", "FPR=2022Y", "FPT=A", "FA_ACT_EST_DATA=E, EST_SOURCE=OPY", "ACT_EST_MAPPING=PRECISE", "FS=MRC", "CURRENCY=USD", "XLFILL=b")</f>
        <v/>
      </c>
      <c r="W45" s="9" t="str">
        <f>_xll.BQL("SEG0000269240 Segment", "REVENUE_GROWTH_CC_1_YR", "FPR=2022Y", "FPT=A", "FA_ACT_EST_DATA=E, EST_SOURCE=JPM", "ACT_EST_MAPPING=PRECISE", "FS=MRC", "CURRENCY=USD", "XLFILL=b")</f>
        <v/>
      </c>
      <c r="X45" s="9" t="str">
        <f>_xll.BQL("SEG0000269240 Segment", "REVENUE_GROWTH_CC_1_YR", "FPR=2022Y", "FPT=A", "FA_ACT_EST_DATA=E, EST_SOURCE=FBC", "ACT_EST_MAPPING=PRECISE", "FS=MRC", "CURRENCY=USD", "XLFILL=b")</f>
        <v/>
      </c>
      <c r="Y45" s="9" t="str">
        <f>_xll.BQL("SEG0000269240 Segment", "REVENUE_GROWTH_CC_1_YR", "FPR=2022Y", "FPT=A", "FA_ACT_EST_DATA=E, EST_SOURCE=WMS", "ACT_EST_MAPPING=PRECISE", "FS=MRC", "CURRENCY=USD", "XLFILL=b")</f>
        <v/>
      </c>
      <c r="Z45" s="9" t="str">
        <f>_xll.BQL("SEG0000269240 Segment", "REVENUE_GROWTH_CC_1_YR", "FPR=2022Y", "FPT=A", "FA_ACT_EST_DATA=E, EST_SOURCE=KEY", "ACT_EST_MAPPING=PRECISE", "FS=MRC", "CURRENCY=USD", "XLFILL=b")</f>
        <v/>
      </c>
      <c r="AA45" s="9" t="str">
        <f>_xll.BQL("SEG0000269240 Segment", "REVENUE_GROWTH_CC_1_YR", "FPR=2022Y", "FPT=A", "FA_ACT_EST_DATA=E, EST_SOURCE=LCM", "ACT_EST_MAPPING=PRECISE", "FS=MRC", "CURRENCY=USD", "XLFILL=b")</f>
        <v/>
      </c>
      <c r="AB45" s="9" t="str">
        <f>_xll.BQL("SEG0000269240 Segment", "REVENUE_GROWTH_CC_1_YR", "FPR=2022Y", "FPT=A", "FA_ACT_EST_DATA=E, EST_SOURCE=CWN", "ACT_EST_MAPPING=PRECISE", "FS=MRC", "CURRENCY=USD", "XLFILL=b")</f>
        <v/>
      </c>
      <c r="AC45" s="9" t="str">
        <f>_xll.BQL("SEG0000269240 Segment", "REVENUE_GROWTH_CC_1_YR", "FPR=2022Y", "FPT=A", "FA_ACT_EST_DATA=E, EST_SOURCE=BNS", "ACT_EST_MAPPING=PRECISE", "FS=MRC", "CURRENCY=USD", "XLFILL=b")</f>
        <v/>
      </c>
      <c r="AD45" s="9" t="str">
        <f>_xll.BQL("SEG0000269240 Segment", "REVENUE_GROWTH_CC_1_YR", "FPR=2022Y", "FPT=A", "FA_ACT_EST_DATA=E, EST_SOURCE=BAM", "ACT_EST_MAPPING=PRECISE", "FS=MRC", "CURRENCY=USD", "XLFILL=b")</f>
        <v/>
      </c>
      <c r="AE45" s="9" t="str">
        <f>_xll.BQL("SEG0000269240 Segment", "REVENUE_GROWTH_CC_1_YR", "FPR=2022Y", "FPT=A", "FA_ACT_EST_DATA=E, EST_SOURCE=RBC", "ACT_EST_MAPPING=PRECISE", "FS=MRC", "CURRENCY=USD", "XLFILL=b")</f>
        <v/>
      </c>
      <c r="AF45" s="9" t="str">
        <f>_xll.BQL("SEG0000269240 Segment", "REVENUE_GROWTH_CC_1_YR", "FPR=2022Y", "FPT=A", "FA_ACT_EST_DATA=E, EST_SOURCE=UBS", "ACT_EST_MAPPING=PRECISE", "FS=MRC", "CURRENCY=USD", "XLFILL=b")</f>
        <v/>
      </c>
      <c r="AG45" s="9" t="str">
        <f>_xll.BQL("SEG0000269240 Segment", "REVENUE_GROWTH_CC_1_YR", "FPR=2022Y", "FPT=A", "FA_ACT_EST_DATA=E, EST_SOURCE=RHR", "ACT_EST_MAPPING=PRECISE", "FS=MRC", "CURRENCY=USD", "XLFILL=b")</f>
        <v/>
      </c>
      <c r="AH45" s="9" t="str">
        <f>_xll.BQL("SEG0000269240 Segment", "REVENUE_GROWTH_CC_1_YR", "FPR=2022Y", "FPT=A", "FA_ACT_EST_DATA=E, EST_SOURCE=JEF", "ACT_EST_MAPPING=PRECISE", "FS=MRC", "CURRENCY=USD", "XLFILL=b")</f>
        <v/>
      </c>
      <c r="AI45" s="9" t="str">
        <f>_xll.BQL("SEG0000269240 Segment", "REVENUE_GROWTH_CC_1_YR", "FPR=2022Y", "FPT=A", "FA_ACT_EST_DATA=E, EST_SOURCE=ATL", "ACT_EST_MAPPING=PRECISE", "FS=MRC", "CURRENCY=USD", "XLFILL=b")</f>
        <v/>
      </c>
      <c r="AJ45" s="9" t="str">
        <f>_xll.BQL("SEG0000269240 Segment", "REVENUE_GROWTH_CC_1_YR", "FPR=2022Y", "FPT=A", "FA_ACT_EST_DATA=E, EST_SOURCE=MAC", "ACT_EST_MAPPING=PRECISE", "FS=MRC", "CURRENCY=USD", "XLFILL=b")</f>
        <v/>
      </c>
      <c r="AK45" s="9" t="str">
        <f>_xll.BQL("SEG0000269240 Segment", "REVENUE_GROWTH_CC_1_YR", "FPR=2022Y", "FPT=A", "FA_ACT_EST_DATA=E, EST_SOURCE=EVR", "ACT_EST_MAPPING=PRECISE", "FS=MRC", "CURRENCY=USD", "XLFILL=b")</f>
        <v/>
      </c>
      <c r="AL45" s="9" t="str">
        <f>_xll.BQL("SEG0000269240 Segment", "REVENUE_GROWTH_CC_1_YR", "FPR=2022Y", "FPT=A", "FA_ACT_EST_DATA=E, EST_SOURCE=MSR", "ACT_EST_MAPPING=PRECISE", "FS=MRC", "CURRENCY=USD", "XLFILL=b")</f>
        <v/>
      </c>
      <c r="AM45" s="9" t="str">
        <f>_xll.BQL("SEG0000269240 Segment", "REVENUE_GROWTH_CC_1_YR", "FPR=2022Y", "FPT=A", "FA_ACT_EST_DATA=E, EST_SOURCE=KGI", "ACT_EST_MAPPING=PRECISE", "FS=MRC", "CURRENCY=USD", "XLFILL=b")</f>
        <v/>
      </c>
      <c r="AN45" s="9" t="str">
        <f>_xll.BQL("SEG0000269240 Segment", "REVENUE_GROWTH_CC_1_YR", "FPR=2022Y", "FPT=A", "FA_ACT_EST_DATA=E, EST_SOURCE=ACC", "ACT_EST_MAPPING=PRECISE", "FS=MRC", "CURRENCY=USD", "XLFILL=b")</f>
        <v/>
      </c>
      <c r="AO45" s="9" t="str">
        <f>_xll.BQL("SEG0000269240 Segment", "REVENUE_GROWTH_CC_1_YR", "FPR=2022Y", "FPT=A", "FA_ACT_EST_DATA=E, EST_SOURCE=GSR", "ACT_EST_MAPPING=PRECISE", "FS=MRC", "CURRENCY=USD", "XLFILL=b")</f>
        <v/>
      </c>
      <c r="AP45" s="9" t="str">
        <f>_xll.BQL("SEG0000269240 Segment", "REVENUE_GROWTH_CC_1_YR", "FPR=2022Y", "FPT=A", "FA_ACT_EST_DATA=E, EST_SOURCE=PSG", "ACT_EST_MAPPING=PRECISE", "FS=MRC", "CURRENCY=USD", "XLFILL=b")</f>
        <v/>
      </c>
      <c r="AQ45" s="9" t="str">
        <f>_xll.BQL("SEG0000269240 Segment", "REVENUE_GROWTH_CC_1_YR", "FPR=2022Y", "FPT=A", "FA_ACT_EST_DATA=E, EST_SOURCE=DWI", "ACT_EST_MAPPING=PRECISE", "FS=MRC", "CURRENCY=USD", "XLFILL=b")</f>
        <v/>
      </c>
      <c r="AR45" s="9" t="str">
        <f>_xll.BQL("SEG0000269240 Segment", "REVENUE_GROWTH_CC_1_YR", "FPR=2022Y", "FPT=A", "FA_ACT_EST_DATA=E, EST_SOURCE=RWB", "ACT_EST_MAPPING=PRECISE", "FS=MRC", "CURRENCY=USD", "XLFILL=b")</f>
        <v/>
      </c>
      <c r="AS45" s="9" t="str">
        <f>_xll.BQL("SEG0000269240 Segment", "REVENUE_GROWTH_CC_1_YR", "FPR=2022Y", "FPT=A", "FA_ACT_EST_DATA=E, EST_SOURCE=ARG", "ACT_EST_MAPPING=PRECISE", "FS=MRC", "CURRENCY=USD", "XLFILL=b")</f>
        <v/>
      </c>
      <c r="AT45" s="9" t="str">
        <f>_xll.BQL("SEG0000269240 Segment", "REVENUE_GROWTH_CC_1_YR", "FPR=2022Y", "FPT=A", "FA_ACT_EST_DATA=E, EST_SOURCE=CTI", "ACT_EST_MAPPING=PRECISE", "FS=MRC", "CURRENCY=USD", "XLFILL=b")</f>
        <v/>
      </c>
      <c r="AU45" s="9" t="str">
        <f>_xll.BQL("SEG0000269240 Segment", "REVENUE_GROWTH_CC_1_YR", "FPR=2022Y", "FPT=A", "FA_ACT_EST_DATA=E, EST_SOURCE=WFT", "ACT_EST_MAPPING=PRECISE", "FS=MRC", "CURRENCY=USD", "XLFILL=b")</f>
        <v/>
      </c>
      <c r="AV45" s="9" t="str">
        <f>_xll.BQL("SEG0000269240 Segment", "REVENUE_GROWTH_CC_1_YR", "FPR=2022Y", "FPT=A", "FA_ACT_EST_DATA=E, EST_SOURCE=PJE", "ACT_EST_MAPPING=PRECISE", "FS=MRC", "CURRENCY=USD", "XLFILL=b")</f>
        <v/>
      </c>
      <c r="AW45" s="9" t="str">
        <f>_xll.BQL("SEG0000269240 Segment", "REVENUE_GROWTH_CC_1_YR", "FPR=2022Y", "FPT=A", "FA_ACT_EST_DATA=E, EST_SOURCE=SGE", "ACT_EST_MAPPING=PRECISE", "FS=MRC", "CURRENCY=USD", "XLFILL=b")</f>
        <v/>
      </c>
      <c r="AX45" s="9" t="str">
        <f>_xll.BQL("SEG0000269240 Segment", "REVENUE_GROWTH_CC_1_YR", "FPR=2022Y", "FPT=A", "FA_ACT_EST_DATA=E, EST_SOURCE=MZS", "ACT_EST_MAPPING=PRECISE", "FS=MRC", "CURRENCY=USD", "XLFILL=b")</f>
        <v/>
      </c>
      <c r="AY45" s="9" t="str">
        <f>_xll.BQL("SEG0000269240 Segment", "REVENUE_GROWTH_CC_1_YR", "FPR=2022Y", "FPT=A", "FA_ACT_EST_DATA=E, EST_SOURCE=RCP", "ACT_EST_MAPPING=PRECISE", "FS=MRC", "CURRENCY=USD", "XLFILL=b")</f>
        <v/>
      </c>
      <c r="AZ45" s="9" t="str">
        <f>_xll.BQL("SEG0000269240 Segment", "REVENUE_GROWTH_CC_1_YR", "FPR=2022Y", "FPT=A", "FA_ACT_EST_DATA=E, EST_SOURCE=WFR", "ACT_EST_MAPPING=PRECISE", "FS=MRC", "CURRENCY=USD", "XLFILL=b")</f>
        <v/>
      </c>
      <c r="BA45" s="9" t="str">
        <f>_xll.BQL("SEG0000269240 Segment", "REVENUE_GROWTH_CC_1_YR", "FPR=2022Y", "FPT=A", "FA_ACT_EST_DATA=E, EST_SOURCE=NIK", "ACT_EST_MAPPING=PRECISE", "FS=MRC", "CURRENCY=USD", "XLFILL=b")</f>
        <v/>
      </c>
      <c r="BB45" s="9" t="str">
        <f>_xll.BQL("SEG0000269240 Segment", "REVENUE_GROWTH_CC_1_YR", "FPR=2022Y", "FPT=A", "FA_ACT_EST_DATA=E, EST_SOURCE=ARE", "ACT_EST_MAPPING=PRECISE", "FS=MRC", "CURRENCY=USD", "XLFILL=b")</f>
        <v/>
      </c>
      <c r="BC45" s="9" t="str">
        <f>_xll.BQL("SEG0000269240 Segment", "REVENUE_GROWTH_CC_1_YR", "FPR=2022Y", "FPT=A", "FA_ACT_EST_DATA=E, EST_SOURCE=RED", "ACT_EST_MAPPING=PRECISE", "FS=MRC", "CURRENCY=USD", "XLFILL=b")</f>
        <v/>
      </c>
      <c r="BD45" s="9" t="str">
        <f>_xll.BQL("SEG0000269240 Segment", "REVENUE_GROWTH_CC_1_YR", "FPR=2022Y", "FPT=A", "FA_ACT_EST_DATA=E, EST_SOURCE=DIR", "ACT_EST_MAPPING=PRECISE", "FS=MRC", "CURRENCY=USD", "XLFILL=b")</f>
        <v/>
      </c>
    </row>
    <row r="46" spans="1:56" x14ac:dyDescent="0.55000000000000004">
      <c r="A46" s="8" t="s">
        <v>26</v>
      </c>
      <c r="B46" s="5"/>
      <c r="C46" s="5"/>
      <c r="D46" s="5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</row>
    <row r="47" spans="1:56" x14ac:dyDescent="0.55000000000000004">
      <c r="A47" s="8" t="s">
        <v>91</v>
      </c>
      <c r="B47" s="5"/>
      <c r="C47" s="5" t="s">
        <v>92</v>
      </c>
      <c r="D47" s="5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</row>
    <row r="48" spans="1:56" x14ac:dyDescent="0.55000000000000004">
      <c r="A48" s="8" t="s">
        <v>56</v>
      </c>
      <c r="B48" s="5" t="s">
        <v>28</v>
      </c>
      <c r="C48" s="5" t="s">
        <v>0</v>
      </c>
      <c r="D48" s="5" t="s">
        <v>93</v>
      </c>
      <c r="E48" s="9">
        <f>_xll.BQL("SEG0000269229 Segment", "SALES_REV_TURN/1M", "FPR=2022Y", "FPT=A", "FA_ACT_EST_DATA=E", "ACT_EST_MAPPING=PRECISE", "FS=MRC", "CURRENCY=USD", "XLFILL=b")</f>
        <v>2049.0967361212297</v>
      </c>
      <c r="F48" s="9">
        <f>_xll.BQL("SEG0000269229 Segment", "CONTRIBUTOR_STATS(SALES_REV_TURN, MIN)/1M", "FPR=2022Y", "FPT=A", "FA_ACT_EST_DATA=E", "ACT_EST_MAPPING=PRECISE", "FS=MRC", "CURRENCY=USD", "XLFILL=b")</f>
        <v>1823</v>
      </c>
      <c r="G48" s="9">
        <f>_xll.BQL("SEG0000269229 Segment", "CONTRIBUTOR_STATS(SALES_REV_TURN, MAX)/1M", "FPR=2022Y", "FPT=A", "FA_ACT_EST_DATA=E", "ACT_EST_MAPPING=PRECISE", "FS=MRC", "CURRENCY=USD", "XLFILL=b")</f>
        <v>2501.2902083636891</v>
      </c>
      <c r="H48" s="9">
        <f>_xll.BQL("SEG0000269229 Segment", "CONTRIBUTOR_STATS(SALES_REV_TURN, STD)/1M", "FPR=2022Y", "FPT=A", "FA_ACT_EST_DATA=E", "ACT_EST_MAPPING=PRECISE", "FS=MRC", "CURRENCY=USD", "XLFILL=b")</f>
        <v>391.61103438746323</v>
      </c>
      <c r="I48" s="9">
        <f>_xll.BQL("SEG0000269229 Segment", "CONTRIBUTOR_STATS(SALES_REV_TURN, MEDIAN)/1M", "FPR=2022Y", "FPT=A", "FA_ACT_EST_DATA=E", "ACT_EST_MAPPING=PRECISE", "FS=MRC", "CURRENCY=USD", "XLFILL=b")</f>
        <v>1823</v>
      </c>
      <c r="J48" s="9" t="str">
        <f>_xll.BQL("SEG0000269229 Segment", "SALES_REV_TURN/1M", "FPR=2022Y", "FPT=A", "FA_ACT_EST_DATA=E, EST_SOURCE=CMPY", "ACT_EST_MAPPING=PRECISE", "FS=MRC", "CURRENCY=USD", "XLFILL=b")</f>
        <v/>
      </c>
      <c r="K48" s="9" t="str">
        <f>_xll.BQL("SEG0000269229 Segment", "SALES_REV_TURN/1M", "FPR=2022Y", "FPT=A", "FA_ACT_EST_DATA=E, EST_SOURCE=WBL", "ACT_EST_MAPPING=PRECISE", "FS=MRC", "CURRENCY=USD", "XLFILL=b")</f>
        <v/>
      </c>
      <c r="L48" s="9" t="str">
        <f>_xll.BQL("SEG0000269229 Segment", "SALES_REV_TURN/1M", "FPR=2022Y", "FPT=A", "FA_ACT_EST_DATA=E, EST_SOURCE=BMO", "ACT_EST_MAPPING=PRECISE", "FS=MRC", "CURRENCY=USD", "XLFILL=b")</f>
        <v/>
      </c>
      <c r="M48" s="9" t="str">
        <f>_xll.BQL("SEG0000269229 Segment", "SALES_REV_TURN/1M", "FPR=2022Y", "FPT=A", "FA_ACT_EST_DATA=E, EST_SOURCE=BCA", "ACT_EST_MAPPING=PRECISE", "FS=MRC", "CURRENCY=USD", "XLFILL=b")</f>
        <v/>
      </c>
      <c r="N48" s="9" t="str">
        <f>_xll.BQL("SEG0000269229 Segment", "SALES_REV_TURN/1M", "FPR=2022Y", "FPT=A", "FA_ACT_EST_DATA=E, EST_SOURCE=SNR", "ACT_EST_MAPPING=PRECISE", "FS=MRC", "CURRENCY=USD", "XLFILL=b")</f>
        <v/>
      </c>
      <c r="O48" s="9">
        <f>_xll.BQL("SEG0000269229 Segment", "SALES_REV_TURN/1M", "FPR=2022Y", "FPT=A", "FA_ACT_EST_DATA=E, EST_SOURCE=MSV", "ACT_EST_MAPPING=PRECISE", "FS=MRC", "CURRENCY=USD", "XLFILL=b")</f>
        <v>1823</v>
      </c>
      <c r="P48" s="9" t="str">
        <f>_xll.BQL("SEG0000269229 Segment", "SALES_REV_TURN/1M", "FPR=2022Y", "FPT=A", "FA_ACT_EST_DATA=E, EST_SOURCE=DBG", "ACT_EST_MAPPING=PRECISE", "FS=MRC", "CURRENCY=USD", "XLFILL=b")</f>
        <v/>
      </c>
      <c r="Q48" s="9" t="str">
        <f>_xll.BQL("SEG0000269229 Segment", "SALES_REV_TURN/1M", "FPR=2022Y", "FPT=A", "FA_ACT_EST_DATA=E, EST_SOURCE=NDH", "ACT_EST_MAPPING=PRECISE", "FS=MRC", "CURRENCY=USD", "XLFILL=b")</f>
        <v/>
      </c>
      <c r="R48" s="9" t="str">
        <f>_xll.BQL("SEG0000269229 Segment", "SALES_REV_TURN/1M", "FPR=2022Y", "FPT=A", "FA_ACT_EST_DATA=E, EST_SOURCE=CAN", "ACT_EST_MAPPING=PRECISE", "FS=MRC", "CURRENCY=USD", "XLFILL=b")</f>
        <v/>
      </c>
      <c r="S48" s="9" t="str">
        <f>_xll.BQL("SEG0000269229 Segment", "SALES_REV_TURN/1M", "FPR=2022Y", "FPT=A", "FA_ACT_EST_DATA=E, EST_SOURCE=SCB", "ACT_EST_MAPPING=PRECISE", "FS=MRC", "CURRENCY=USD", "XLFILL=b")</f>
        <v/>
      </c>
      <c r="T48" s="9" t="str">
        <f>_xll.BQL("SEG0000269229 Segment", "SALES_REV_TURN/1M", "FPR=2022Y", "FPT=A", "FA_ACT_EST_DATA=E, EST_SOURCE=JMP", "ACT_EST_MAPPING=PRECISE", "FS=MRC", "CURRENCY=USD", "XLFILL=b")</f>
        <v/>
      </c>
      <c r="U48" s="9" t="str">
        <f>_xll.BQL("SEG0000269229 Segment", "SALES_REV_TURN/1M", "FPR=2022Y", "FPT=A", "FA_ACT_EST_DATA=E, EST_SOURCE=RJA", "ACT_EST_MAPPING=PRECISE", "FS=MRC", "CURRENCY=USD", "XLFILL=b")</f>
        <v/>
      </c>
      <c r="V48" s="9" t="str">
        <f>_xll.BQL("SEG0000269229 Segment", "SALES_REV_TURN/1M", "FPR=2022Y", "FPT=A", "FA_ACT_EST_DATA=E, EST_SOURCE=OPY", "ACT_EST_MAPPING=PRECISE", "FS=MRC", "CURRENCY=USD", "XLFILL=b")</f>
        <v/>
      </c>
      <c r="W48" s="9" t="str">
        <f>_xll.BQL("SEG0000269229 Segment", "SALES_REV_TURN/1M", "FPR=2022Y", "FPT=A", "FA_ACT_EST_DATA=E, EST_SOURCE=JPM", "ACT_EST_MAPPING=PRECISE", "FS=MRC", "CURRENCY=USD", "XLFILL=b")</f>
        <v/>
      </c>
      <c r="X48" s="9" t="str">
        <f>_xll.BQL("SEG0000269229 Segment", "SALES_REV_TURN/1M", "FPR=2022Y", "FPT=A", "FA_ACT_EST_DATA=E, EST_SOURCE=FBC", "ACT_EST_MAPPING=PRECISE", "FS=MRC", "CURRENCY=USD", "XLFILL=b")</f>
        <v/>
      </c>
      <c r="Y48" s="9" t="str">
        <f>_xll.BQL("SEG0000269229 Segment", "SALES_REV_TURN/1M", "FPR=2022Y", "FPT=A", "FA_ACT_EST_DATA=E, EST_SOURCE=WMS", "ACT_EST_MAPPING=PRECISE", "FS=MRC", "CURRENCY=USD", "XLFILL=b")</f>
        <v/>
      </c>
      <c r="Z48" s="9" t="str">
        <f>_xll.BQL("SEG0000269229 Segment", "SALES_REV_TURN/1M", "FPR=2022Y", "FPT=A", "FA_ACT_EST_DATA=E, EST_SOURCE=KEY", "ACT_EST_MAPPING=PRECISE", "FS=MRC", "CURRENCY=USD", "XLFILL=b")</f>
        <v/>
      </c>
      <c r="AA48" s="9" t="str">
        <f>_xll.BQL("SEG0000269229 Segment", "SALES_REV_TURN/1M", "FPR=2022Y", "FPT=A", "FA_ACT_EST_DATA=E, EST_SOURCE=LCM", "ACT_EST_MAPPING=PRECISE", "FS=MRC", "CURRENCY=USD", "XLFILL=b")</f>
        <v/>
      </c>
      <c r="AB48" s="9" t="str">
        <f>_xll.BQL("SEG0000269229 Segment", "SALES_REV_TURN/1M", "FPR=2022Y", "FPT=A", "FA_ACT_EST_DATA=E, EST_SOURCE=CWN", "ACT_EST_MAPPING=PRECISE", "FS=MRC", "CURRENCY=USD", "XLFILL=b")</f>
        <v/>
      </c>
      <c r="AC48" s="9" t="str">
        <f>_xll.BQL("SEG0000269229 Segment", "SALES_REV_TURN/1M", "FPR=2022Y", "FPT=A", "FA_ACT_EST_DATA=E, EST_SOURCE=BNS", "ACT_EST_MAPPING=PRECISE", "FS=MRC", "CURRENCY=USD", "XLFILL=b")</f>
        <v/>
      </c>
      <c r="AD48" s="9" t="str">
        <f>_xll.BQL("SEG0000269229 Segment", "SALES_REV_TURN/1M", "FPR=2022Y", "FPT=A", "FA_ACT_EST_DATA=E, EST_SOURCE=BAM", "ACT_EST_MAPPING=PRECISE", "FS=MRC", "CURRENCY=USD", "XLFILL=b")</f>
        <v/>
      </c>
      <c r="AE48" s="9" t="str">
        <f>_xll.BQL("SEG0000269229 Segment", "SALES_REV_TURN/1M", "FPR=2022Y", "FPT=A", "FA_ACT_EST_DATA=E, EST_SOURCE=RBC", "ACT_EST_MAPPING=PRECISE", "FS=MRC", "CURRENCY=USD", "XLFILL=b")</f>
        <v/>
      </c>
      <c r="AF48" s="9" t="str">
        <f>_xll.BQL("SEG0000269229 Segment", "SALES_REV_TURN/1M", "FPR=2022Y", "FPT=A", "FA_ACT_EST_DATA=E, EST_SOURCE=UBS", "ACT_EST_MAPPING=PRECISE", "FS=MRC", "CURRENCY=USD", "XLFILL=b")</f>
        <v/>
      </c>
      <c r="AG48" s="9" t="str">
        <f>_xll.BQL("SEG0000269229 Segment", "SALES_REV_TURN/1M", "FPR=2022Y", "FPT=A", "FA_ACT_EST_DATA=E, EST_SOURCE=RHR", "ACT_EST_MAPPING=PRECISE", "FS=MRC", "CURRENCY=USD", "XLFILL=b")</f>
        <v/>
      </c>
      <c r="AH48" s="9" t="str">
        <f>_xll.BQL("SEG0000269229 Segment", "SALES_REV_TURN/1M", "FPR=2022Y", "FPT=A", "FA_ACT_EST_DATA=E, EST_SOURCE=JEF", "ACT_EST_MAPPING=PRECISE", "FS=MRC", "CURRENCY=USD", "XLFILL=b")</f>
        <v/>
      </c>
      <c r="AI48" s="9" t="str">
        <f>_xll.BQL("SEG0000269229 Segment", "SALES_REV_TURN/1M", "FPR=2022Y", "FPT=A", "FA_ACT_EST_DATA=E, EST_SOURCE=ATL", "ACT_EST_MAPPING=PRECISE", "FS=MRC", "CURRENCY=USD", "XLFILL=b")</f>
        <v/>
      </c>
      <c r="AJ48" s="9" t="str">
        <f>_xll.BQL("SEG0000269229 Segment", "SALES_REV_TURN/1M", "FPR=2022Y", "FPT=A", "FA_ACT_EST_DATA=E, EST_SOURCE=MAC", "ACT_EST_MAPPING=PRECISE", "FS=MRC", "CURRENCY=USD", "XLFILL=b")</f>
        <v/>
      </c>
      <c r="AK48" s="9" t="str">
        <f>_xll.BQL("SEG0000269229 Segment", "SALES_REV_TURN/1M", "FPR=2022Y", "FPT=A", "FA_ACT_EST_DATA=E, EST_SOURCE=EVR", "ACT_EST_MAPPING=PRECISE", "FS=MRC", "CURRENCY=USD", "XLFILL=b")</f>
        <v/>
      </c>
      <c r="AL48" s="9" t="str">
        <f>_xll.BQL("SEG0000269229 Segment", "SALES_REV_TURN/1M", "FPR=2022Y", "FPT=A", "FA_ACT_EST_DATA=E, EST_SOURCE=MSR", "ACT_EST_MAPPING=PRECISE", "FS=MRC", "CURRENCY=USD", "XLFILL=b")</f>
        <v/>
      </c>
      <c r="AM48" s="9" t="str">
        <f>_xll.BQL("SEG0000269229 Segment", "SALES_REV_TURN/1M", "FPR=2022Y", "FPT=A", "FA_ACT_EST_DATA=E, EST_SOURCE=KGI", "ACT_EST_MAPPING=PRECISE", "FS=MRC", "CURRENCY=USD", "XLFILL=b")</f>
        <v/>
      </c>
      <c r="AN48" s="9" t="str">
        <f>_xll.BQL("SEG0000269229 Segment", "SALES_REV_TURN/1M", "FPR=2022Y", "FPT=A", "FA_ACT_EST_DATA=E, EST_SOURCE=ACC", "ACT_EST_MAPPING=PRECISE", "FS=MRC", "CURRENCY=USD", "XLFILL=b")</f>
        <v/>
      </c>
      <c r="AO48" s="9" t="str">
        <f>_xll.BQL("SEG0000269229 Segment", "SALES_REV_TURN/1M", "FPR=2022Y", "FPT=A", "FA_ACT_EST_DATA=E, EST_SOURCE=GSR", "ACT_EST_MAPPING=PRECISE", "FS=MRC", "CURRENCY=USD", "XLFILL=b")</f>
        <v/>
      </c>
      <c r="AP48" s="9" t="str">
        <f>_xll.BQL("SEG0000269229 Segment", "SALES_REV_TURN/1M", "FPR=2022Y", "FPT=A", "FA_ACT_EST_DATA=E, EST_SOURCE=PSG", "ACT_EST_MAPPING=PRECISE", "FS=MRC", "CURRENCY=USD", "XLFILL=b")</f>
        <v/>
      </c>
      <c r="AQ48" s="9" t="str">
        <f>_xll.BQL("SEG0000269229 Segment", "SALES_REV_TURN/1M", "FPR=2022Y", "FPT=A", "FA_ACT_EST_DATA=E, EST_SOURCE=DWI", "ACT_EST_MAPPING=PRECISE", "FS=MRC", "CURRENCY=USD", "XLFILL=b")</f>
        <v/>
      </c>
      <c r="AR48" s="9" t="str">
        <f>_xll.BQL("SEG0000269229 Segment", "SALES_REV_TURN/1M", "FPR=2022Y", "FPT=A", "FA_ACT_EST_DATA=E, EST_SOURCE=RWB", "ACT_EST_MAPPING=PRECISE", "FS=MRC", "CURRENCY=USD", "XLFILL=b")</f>
        <v/>
      </c>
      <c r="AS48" s="9" t="str">
        <f>_xll.BQL("SEG0000269229 Segment", "SALES_REV_TURN/1M", "FPR=2022Y", "FPT=A", "FA_ACT_EST_DATA=E, EST_SOURCE=ARG", "ACT_EST_MAPPING=PRECISE", "FS=MRC", "CURRENCY=USD", "XLFILL=b")</f>
        <v/>
      </c>
      <c r="AT48" s="9" t="str">
        <f>_xll.BQL("SEG0000269229 Segment", "SALES_REV_TURN/1M", "FPR=2022Y", "FPT=A", "FA_ACT_EST_DATA=E, EST_SOURCE=CTI", "ACT_EST_MAPPING=PRECISE", "FS=MRC", "CURRENCY=USD", "XLFILL=b")</f>
        <v/>
      </c>
      <c r="AU48" s="9" t="str">
        <f>_xll.BQL("SEG0000269229 Segment", "SALES_REV_TURN/1M", "FPR=2022Y", "FPT=A", "FA_ACT_EST_DATA=E, EST_SOURCE=WFT", "ACT_EST_MAPPING=PRECISE", "FS=MRC", "CURRENCY=USD", "XLFILL=b")</f>
        <v/>
      </c>
      <c r="AV48" s="9" t="str">
        <f>_xll.BQL("SEG0000269229 Segment", "SALES_REV_TURN/1M", "FPR=2022Y", "FPT=A", "FA_ACT_EST_DATA=E, EST_SOURCE=PJE", "ACT_EST_MAPPING=PRECISE", "FS=MRC", "CURRENCY=USD", "XLFILL=b")</f>
        <v/>
      </c>
      <c r="AW48" s="9" t="str">
        <f>_xll.BQL("SEG0000269229 Segment", "SALES_REV_TURN/1M", "FPR=2022Y", "FPT=A", "FA_ACT_EST_DATA=E, EST_SOURCE=SGE", "ACT_EST_MAPPING=PRECISE", "FS=MRC", "CURRENCY=USD", "XLFILL=b")</f>
        <v/>
      </c>
      <c r="AX48" s="9" t="str">
        <f>_xll.BQL("SEG0000269229 Segment", "SALES_REV_TURN/1M", "FPR=2022Y", "FPT=A", "FA_ACT_EST_DATA=E, EST_SOURCE=MZS", "ACT_EST_MAPPING=PRECISE", "FS=MRC", "CURRENCY=USD", "XLFILL=b")</f>
        <v/>
      </c>
      <c r="AY48" s="9" t="str">
        <f>_xll.BQL("SEG0000269229 Segment", "SALES_REV_TURN/1M", "FPR=2022Y", "FPT=A", "FA_ACT_EST_DATA=E, EST_SOURCE=RCP", "ACT_EST_MAPPING=PRECISE", "FS=MRC", "CURRENCY=USD", "XLFILL=b")</f>
        <v/>
      </c>
      <c r="AZ48" s="9" t="str">
        <f>_xll.BQL("SEG0000269229 Segment", "SALES_REV_TURN/1M", "FPR=2022Y", "FPT=A", "FA_ACT_EST_DATA=E, EST_SOURCE=WFR", "ACT_EST_MAPPING=PRECISE", "FS=MRC", "CURRENCY=USD", "XLFILL=b")</f>
        <v/>
      </c>
      <c r="BA48" s="9" t="str">
        <f>_xll.BQL("SEG0000269229 Segment", "SALES_REV_TURN/1M", "FPR=2022Y", "FPT=A", "FA_ACT_EST_DATA=E, EST_SOURCE=NIK", "ACT_EST_MAPPING=PRECISE", "FS=MRC", "CURRENCY=USD", "XLFILL=b")</f>
        <v/>
      </c>
      <c r="BB48" s="9" t="str">
        <f>_xll.BQL("SEG0000269229 Segment", "SALES_REV_TURN/1M", "FPR=2022Y", "FPT=A", "FA_ACT_EST_DATA=E, EST_SOURCE=ARE", "ACT_EST_MAPPING=PRECISE", "FS=MRC", "CURRENCY=USD", "XLFILL=b")</f>
        <v/>
      </c>
      <c r="BC48" s="9" t="str">
        <f>_xll.BQL("SEG0000269229 Segment", "SALES_REV_TURN/1M", "FPR=2022Y", "FPT=A", "FA_ACT_EST_DATA=E, EST_SOURCE=RED", "ACT_EST_MAPPING=PRECISE", "FS=MRC", "CURRENCY=USD", "XLFILL=b")</f>
        <v/>
      </c>
      <c r="BD48" s="9" t="str">
        <f>_xll.BQL("SEG0000269229 Segment", "SALES_REV_TURN/1M", "FPR=2022Y", "FPT=A", "FA_ACT_EST_DATA=E, EST_SOURCE=DIR", "ACT_EST_MAPPING=PRECISE", "FS=MRC", "CURRENCY=USD", "XLFILL=b")</f>
        <v/>
      </c>
    </row>
    <row r="49" spans="1:56" x14ac:dyDescent="0.55000000000000004">
      <c r="A49" s="8" t="s">
        <v>85</v>
      </c>
      <c r="B49" s="5" t="s">
        <v>58</v>
      </c>
      <c r="C49" s="5" t="s">
        <v>79</v>
      </c>
      <c r="D49" s="5" t="s">
        <v>93</v>
      </c>
      <c r="E49" s="9">
        <f>_xll.BQL("SEG0000269229 Segment", "IS_PERCENTAGE_OF_REVENUE", "FPR=2022Y", "FPT=A", "FA_ACT_EST_DATA=E", "ACT_EST_MAPPING=PRECISE", "FS=MRC", "CURRENCY=USD", "XLFILL=b")</f>
        <v>9.4941054695515348</v>
      </c>
      <c r="F49" s="9">
        <f>_xll.BQL("SEG0000269229 Segment", "CONTRIBUTOR_STATS(IS_PERCENTAGE_OF_REVENUE, MIN)", "FPR=2022Y", "FPT=A", "FA_ACT_EST_DATA=E", "ACT_EST_MAPPING=PRECISE", "FS=MRC", "CURRENCY=USD", "XLFILL=b")</f>
        <v>9.4765661702661497</v>
      </c>
      <c r="G49" s="9">
        <f>_xll.BQL("SEG0000269229 Segment", "CONTRIBUTOR_STATS(IS_PERCENTAGE_OF_REVENUE, MAX)", "FPR=2022Y", "FPT=A", "FA_ACT_EST_DATA=E", "ACT_EST_MAPPING=PRECISE", "FS=MRC", "CURRENCY=USD", "XLFILL=b")</f>
        <v>9.511635187310862</v>
      </c>
      <c r="H49" s="9">
        <f>_xll.BQL("SEG0000269229 Segment", "CONTRIBUTOR_STATS(IS_PERCENTAGE_OF_REVENUE, STD)", "FPR=2022Y", "FPT=A", "FA_ACT_EST_DATA=E", "ACT_EST_MAPPING=PRECISE", "FS=MRC", "CURRENCY=USD", "XLFILL=b")</f>
        <v>2.024157604616492E-2</v>
      </c>
      <c r="I49" s="9">
        <f>_xll.BQL("SEG0000269229 Segment", "CONTRIBUTOR_STATS(IS_PERCENTAGE_OF_REVENUE, MEDIAN)", "FPR=2022Y", "FPT=A", "FA_ACT_EST_DATA=E", "ACT_EST_MAPPING=PRECISE", "FS=MRC", "CURRENCY=USD", "XLFILL=b")</f>
        <v>9.4941102603145637</v>
      </c>
      <c r="J49" s="9" t="str">
        <f>_xll.BQL("SEG0000269229 Segment", "IS_PERCENTAGE_OF_REVENUE", "FPR=2022Y", "FPT=A", "FA_ACT_EST_DATA=E, EST_SOURCE=CMPY", "ACT_EST_MAPPING=PRECISE", "FS=MRC", "CURRENCY=USD", "XLFILL=b")</f>
        <v/>
      </c>
      <c r="K49" s="9" t="str">
        <f>_xll.BQL("SEG0000269229 Segment", "IS_PERCENTAGE_OF_REVENUE", "FPR=2022Y", "FPT=A", "FA_ACT_EST_DATA=E, EST_SOURCE=WBL", "ACT_EST_MAPPING=PRECISE", "FS=MRC", "CURRENCY=USD", "XLFILL=b")</f>
        <v/>
      </c>
      <c r="L49" s="9" t="str">
        <f>_xll.BQL("SEG0000269229 Segment", "IS_PERCENTAGE_OF_REVENUE", "FPR=2022Y", "FPT=A", "FA_ACT_EST_DATA=E, EST_SOURCE=BMO", "ACT_EST_MAPPING=PRECISE", "FS=MRC", "CURRENCY=USD", "XLFILL=b")</f>
        <v/>
      </c>
      <c r="M49" s="9" t="str">
        <f>_xll.BQL("SEG0000269229 Segment", "IS_PERCENTAGE_OF_REVENUE", "FPR=2022Y", "FPT=A", "FA_ACT_EST_DATA=E, EST_SOURCE=BCA", "ACT_EST_MAPPING=PRECISE", "FS=MRC", "CURRENCY=USD", "XLFILL=b")</f>
        <v/>
      </c>
      <c r="N49" s="9" t="str">
        <f>_xll.BQL("SEG0000269229 Segment", "IS_PERCENTAGE_OF_REVENUE", "FPR=2022Y", "FPT=A", "FA_ACT_EST_DATA=E, EST_SOURCE=SNR", "ACT_EST_MAPPING=PRECISE", "FS=MRC", "CURRENCY=USD", "XLFILL=b")</f>
        <v/>
      </c>
      <c r="O49" s="9">
        <f>_xll.BQL("SEG0000269229 Segment", "IS_PERCENTAGE_OF_REVENUE", "FPR=2022Y", "FPT=A", "FA_ACT_EST_DATA=E, EST_SOURCE=MSV", "ACT_EST_MAPPING=PRECISE", "FS=MRC", "CURRENCY=USD", "XLFILL=b")</f>
        <v>9.511635187310862</v>
      </c>
      <c r="P49" s="9" t="str">
        <f>_xll.BQL("SEG0000269229 Segment", "IS_PERCENTAGE_OF_REVENUE", "FPR=2022Y", "FPT=A", "FA_ACT_EST_DATA=E, EST_SOURCE=DBG", "ACT_EST_MAPPING=PRECISE", "FS=MRC", "CURRENCY=USD", "XLFILL=b")</f>
        <v/>
      </c>
      <c r="Q49" s="9" t="str">
        <f>_xll.BQL("SEG0000269229 Segment", "IS_PERCENTAGE_OF_REVENUE", "FPR=2022Y", "FPT=A", "FA_ACT_EST_DATA=E, EST_SOURCE=NDH", "ACT_EST_MAPPING=PRECISE", "FS=MRC", "CURRENCY=USD", "XLFILL=b")</f>
        <v/>
      </c>
      <c r="R49" s="9" t="str">
        <f>_xll.BQL("SEG0000269229 Segment", "IS_PERCENTAGE_OF_REVENUE", "FPR=2022Y", "FPT=A", "FA_ACT_EST_DATA=E, EST_SOURCE=CAN", "ACT_EST_MAPPING=PRECISE", "FS=MRC", "CURRENCY=USD", "XLFILL=b")</f>
        <v/>
      </c>
      <c r="S49" s="9" t="str">
        <f>_xll.BQL("SEG0000269229 Segment", "IS_PERCENTAGE_OF_REVENUE", "FPR=2022Y", "FPT=A", "FA_ACT_EST_DATA=E, EST_SOURCE=SCB", "ACT_EST_MAPPING=PRECISE", "FS=MRC", "CURRENCY=USD", "XLFILL=b")</f>
        <v/>
      </c>
      <c r="T49" s="9" t="str">
        <f>_xll.BQL("SEG0000269229 Segment", "IS_PERCENTAGE_OF_REVENUE", "FPR=2022Y", "FPT=A", "FA_ACT_EST_DATA=E, EST_SOURCE=JMP", "ACT_EST_MAPPING=PRECISE", "FS=MRC", "CURRENCY=USD", "XLFILL=b")</f>
        <v/>
      </c>
      <c r="U49" s="9" t="str">
        <f>_xll.BQL("SEG0000269229 Segment", "IS_PERCENTAGE_OF_REVENUE", "FPR=2022Y", "FPT=A", "FA_ACT_EST_DATA=E, EST_SOURCE=RJA", "ACT_EST_MAPPING=PRECISE", "FS=MRC", "CURRENCY=USD", "XLFILL=b")</f>
        <v/>
      </c>
      <c r="V49" s="9" t="str">
        <f>_xll.BQL("SEG0000269229 Segment", "IS_PERCENTAGE_OF_REVENUE", "FPR=2022Y", "FPT=A", "FA_ACT_EST_DATA=E, EST_SOURCE=OPY", "ACT_EST_MAPPING=PRECISE", "FS=MRC", "CURRENCY=USD", "XLFILL=b")</f>
        <v/>
      </c>
      <c r="W49" s="9" t="str">
        <f>_xll.BQL("SEG0000269229 Segment", "IS_PERCENTAGE_OF_REVENUE", "FPR=2022Y", "FPT=A", "FA_ACT_EST_DATA=E, EST_SOURCE=JPM", "ACT_EST_MAPPING=PRECISE", "FS=MRC", "CURRENCY=USD", "XLFILL=b")</f>
        <v/>
      </c>
      <c r="X49" s="9">
        <f>_xll.BQL("SEG0000269229 Segment", "IS_PERCENTAGE_OF_REVENUE", "FPR=2022Y", "FPT=A", "FA_ACT_EST_DATA=E, EST_SOURCE=FBC", "ACT_EST_MAPPING=PRECISE", "FS=MRC", "CURRENCY=USD", "XLFILL=b")</f>
        <v>9.4765661702661497</v>
      </c>
      <c r="Y49" s="9" t="str">
        <f>_xll.BQL("SEG0000269229 Segment", "IS_PERCENTAGE_OF_REVENUE", "FPR=2022Y", "FPT=A", "FA_ACT_EST_DATA=E, EST_SOURCE=WMS", "ACT_EST_MAPPING=PRECISE", "FS=MRC", "CURRENCY=USD", "XLFILL=b")</f>
        <v/>
      </c>
      <c r="Z49" s="9" t="str">
        <f>_xll.BQL("SEG0000269229 Segment", "IS_PERCENTAGE_OF_REVENUE", "FPR=2022Y", "FPT=A", "FA_ACT_EST_DATA=E, EST_SOURCE=KEY", "ACT_EST_MAPPING=PRECISE", "FS=MRC", "CURRENCY=USD", "XLFILL=b")</f>
        <v/>
      </c>
      <c r="AA49" s="9" t="str">
        <f>_xll.BQL("SEG0000269229 Segment", "IS_PERCENTAGE_OF_REVENUE", "FPR=2022Y", "FPT=A", "FA_ACT_EST_DATA=E, EST_SOURCE=LCM", "ACT_EST_MAPPING=PRECISE", "FS=MRC", "CURRENCY=USD", "XLFILL=b")</f>
        <v/>
      </c>
      <c r="AB49" s="9" t="str">
        <f>_xll.BQL("SEG0000269229 Segment", "IS_PERCENTAGE_OF_REVENUE", "FPR=2022Y", "FPT=A", "FA_ACT_EST_DATA=E, EST_SOURCE=CWN", "ACT_EST_MAPPING=PRECISE", "FS=MRC", "CURRENCY=USD", "XLFILL=b")</f>
        <v/>
      </c>
      <c r="AC49" s="9" t="str">
        <f>_xll.BQL("SEG0000269229 Segment", "IS_PERCENTAGE_OF_REVENUE", "FPR=2022Y", "FPT=A", "FA_ACT_EST_DATA=E, EST_SOURCE=BNS", "ACT_EST_MAPPING=PRECISE", "FS=MRC", "CURRENCY=USD", "XLFILL=b")</f>
        <v/>
      </c>
      <c r="AD49" s="9" t="str">
        <f>_xll.BQL("SEG0000269229 Segment", "IS_PERCENTAGE_OF_REVENUE", "FPR=2022Y", "FPT=A", "FA_ACT_EST_DATA=E, EST_SOURCE=BAM", "ACT_EST_MAPPING=PRECISE", "FS=MRC", "CURRENCY=USD", "XLFILL=b")</f>
        <v/>
      </c>
      <c r="AE49" s="9" t="str">
        <f>_xll.BQL("SEG0000269229 Segment", "IS_PERCENTAGE_OF_REVENUE", "FPR=2022Y", "FPT=A", "FA_ACT_EST_DATA=E, EST_SOURCE=RBC", "ACT_EST_MAPPING=PRECISE", "FS=MRC", "CURRENCY=USD", "XLFILL=b")</f>
        <v/>
      </c>
      <c r="AF49" s="9" t="str">
        <f>_xll.BQL("SEG0000269229 Segment", "IS_PERCENTAGE_OF_REVENUE", "FPR=2022Y", "FPT=A", "FA_ACT_EST_DATA=E, EST_SOURCE=UBS", "ACT_EST_MAPPING=PRECISE", "FS=MRC", "CURRENCY=USD", "XLFILL=b")</f>
        <v/>
      </c>
      <c r="AG49" s="9" t="str">
        <f>_xll.BQL("SEG0000269229 Segment", "IS_PERCENTAGE_OF_REVENUE", "FPR=2022Y", "FPT=A", "FA_ACT_EST_DATA=E, EST_SOURCE=RHR", "ACT_EST_MAPPING=PRECISE", "FS=MRC", "CURRENCY=USD", "XLFILL=b")</f>
        <v/>
      </c>
      <c r="AH49" s="9" t="str">
        <f>_xll.BQL("SEG0000269229 Segment", "IS_PERCENTAGE_OF_REVENUE", "FPR=2022Y", "FPT=A", "FA_ACT_EST_DATA=E, EST_SOURCE=JEF", "ACT_EST_MAPPING=PRECISE", "FS=MRC", "CURRENCY=USD", "XLFILL=b")</f>
        <v/>
      </c>
      <c r="AI49" s="9" t="str">
        <f>_xll.BQL("SEG0000269229 Segment", "IS_PERCENTAGE_OF_REVENUE", "FPR=2022Y", "FPT=A", "FA_ACT_EST_DATA=E, EST_SOURCE=ATL", "ACT_EST_MAPPING=PRECISE", "FS=MRC", "CURRENCY=USD", "XLFILL=b")</f>
        <v/>
      </c>
      <c r="AJ49" s="9" t="str">
        <f>_xll.BQL("SEG0000269229 Segment", "IS_PERCENTAGE_OF_REVENUE", "FPR=2022Y", "FPT=A", "FA_ACT_EST_DATA=E, EST_SOURCE=MAC", "ACT_EST_MAPPING=PRECISE", "FS=MRC", "CURRENCY=USD", "XLFILL=b")</f>
        <v/>
      </c>
      <c r="AK49" s="9" t="str">
        <f>_xll.BQL("SEG0000269229 Segment", "IS_PERCENTAGE_OF_REVENUE", "FPR=2022Y", "FPT=A", "FA_ACT_EST_DATA=E, EST_SOURCE=EVR", "ACT_EST_MAPPING=PRECISE", "FS=MRC", "CURRENCY=USD", "XLFILL=b")</f>
        <v/>
      </c>
      <c r="AL49" s="9" t="str">
        <f>_xll.BQL("SEG0000269229 Segment", "IS_PERCENTAGE_OF_REVENUE", "FPR=2022Y", "FPT=A", "FA_ACT_EST_DATA=E, EST_SOURCE=MSR", "ACT_EST_MAPPING=PRECISE", "FS=MRC", "CURRENCY=USD", "XLFILL=b")</f>
        <v/>
      </c>
      <c r="AM49" s="9" t="str">
        <f>_xll.BQL("SEG0000269229 Segment", "IS_PERCENTAGE_OF_REVENUE", "FPR=2022Y", "FPT=A", "FA_ACT_EST_DATA=E, EST_SOURCE=KGI", "ACT_EST_MAPPING=PRECISE", "FS=MRC", "CURRENCY=USD", "XLFILL=b")</f>
        <v/>
      </c>
      <c r="AN49" s="9" t="str">
        <f>_xll.BQL("SEG0000269229 Segment", "IS_PERCENTAGE_OF_REVENUE", "FPR=2022Y", "FPT=A", "FA_ACT_EST_DATA=E, EST_SOURCE=ACC", "ACT_EST_MAPPING=PRECISE", "FS=MRC", "CURRENCY=USD", "XLFILL=b")</f>
        <v/>
      </c>
      <c r="AO49" s="9" t="str">
        <f>_xll.BQL("SEG0000269229 Segment", "IS_PERCENTAGE_OF_REVENUE", "FPR=2022Y", "FPT=A", "FA_ACT_EST_DATA=E, EST_SOURCE=GSR", "ACT_EST_MAPPING=PRECISE", "FS=MRC", "CURRENCY=USD", "XLFILL=b")</f>
        <v/>
      </c>
      <c r="AP49" s="9" t="str">
        <f>_xll.BQL("SEG0000269229 Segment", "IS_PERCENTAGE_OF_REVENUE", "FPR=2022Y", "FPT=A", "FA_ACT_EST_DATA=E, EST_SOURCE=PSG", "ACT_EST_MAPPING=PRECISE", "FS=MRC", "CURRENCY=USD", "XLFILL=b")</f>
        <v/>
      </c>
      <c r="AQ49" s="9" t="str">
        <f>_xll.BQL("SEG0000269229 Segment", "IS_PERCENTAGE_OF_REVENUE", "FPR=2022Y", "FPT=A", "FA_ACT_EST_DATA=E, EST_SOURCE=DWI", "ACT_EST_MAPPING=PRECISE", "FS=MRC", "CURRENCY=USD", "XLFILL=b")</f>
        <v/>
      </c>
      <c r="AR49" s="9" t="str">
        <f>_xll.BQL("SEG0000269229 Segment", "IS_PERCENTAGE_OF_REVENUE", "FPR=2022Y", "FPT=A", "FA_ACT_EST_DATA=E, EST_SOURCE=RWB", "ACT_EST_MAPPING=PRECISE", "FS=MRC", "CURRENCY=USD", "XLFILL=b")</f>
        <v/>
      </c>
      <c r="AS49" s="9" t="str">
        <f>_xll.BQL("SEG0000269229 Segment", "IS_PERCENTAGE_OF_REVENUE", "FPR=2022Y", "FPT=A", "FA_ACT_EST_DATA=E, EST_SOURCE=ARG", "ACT_EST_MAPPING=PRECISE", "FS=MRC", "CURRENCY=USD", "XLFILL=b")</f>
        <v/>
      </c>
      <c r="AT49" s="9" t="str">
        <f>_xll.BQL("SEG0000269229 Segment", "IS_PERCENTAGE_OF_REVENUE", "FPR=2022Y", "FPT=A", "FA_ACT_EST_DATA=E, EST_SOURCE=CTI", "ACT_EST_MAPPING=PRECISE", "FS=MRC", "CURRENCY=USD", "XLFILL=b")</f>
        <v/>
      </c>
      <c r="AU49" s="9" t="str">
        <f>_xll.BQL("SEG0000269229 Segment", "IS_PERCENTAGE_OF_REVENUE", "FPR=2022Y", "FPT=A", "FA_ACT_EST_DATA=E, EST_SOURCE=WFT", "ACT_EST_MAPPING=PRECISE", "FS=MRC", "CURRENCY=USD", "XLFILL=b")</f>
        <v/>
      </c>
      <c r="AV49" s="9" t="str">
        <f>_xll.BQL("SEG0000269229 Segment", "IS_PERCENTAGE_OF_REVENUE", "FPR=2022Y", "FPT=A", "FA_ACT_EST_DATA=E, EST_SOURCE=PJE", "ACT_EST_MAPPING=PRECISE", "FS=MRC", "CURRENCY=USD", "XLFILL=b")</f>
        <v/>
      </c>
      <c r="AW49" s="9" t="str">
        <f>_xll.BQL("SEG0000269229 Segment", "IS_PERCENTAGE_OF_REVENUE", "FPR=2022Y", "FPT=A", "FA_ACT_EST_DATA=E, EST_SOURCE=SGE", "ACT_EST_MAPPING=PRECISE", "FS=MRC", "CURRENCY=USD", "XLFILL=b")</f>
        <v/>
      </c>
      <c r="AX49" s="9" t="str">
        <f>_xll.BQL("SEG0000269229 Segment", "IS_PERCENTAGE_OF_REVENUE", "FPR=2022Y", "FPT=A", "FA_ACT_EST_DATA=E, EST_SOURCE=MZS", "ACT_EST_MAPPING=PRECISE", "FS=MRC", "CURRENCY=USD", "XLFILL=b")</f>
        <v/>
      </c>
      <c r="AY49" s="9" t="str">
        <f>_xll.BQL("SEG0000269229 Segment", "IS_PERCENTAGE_OF_REVENUE", "FPR=2022Y", "FPT=A", "FA_ACT_EST_DATA=E, EST_SOURCE=RCP", "ACT_EST_MAPPING=PRECISE", "FS=MRC", "CURRENCY=USD", "XLFILL=b")</f>
        <v/>
      </c>
      <c r="AZ49" s="9" t="str">
        <f>_xll.BQL("SEG0000269229 Segment", "IS_PERCENTAGE_OF_REVENUE", "FPR=2022Y", "FPT=A", "FA_ACT_EST_DATA=E, EST_SOURCE=WFR", "ACT_EST_MAPPING=PRECISE", "FS=MRC", "CURRENCY=USD", "XLFILL=b")</f>
        <v/>
      </c>
      <c r="BA49" s="9" t="str">
        <f>_xll.BQL("SEG0000269229 Segment", "IS_PERCENTAGE_OF_REVENUE", "FPR=2022Y", "FPT=A", "FA_ACT_EST_DATA=E, EST_SOURCE=NIK", "ACT_EST_MAPPING=PRECISE", "FS=MRC", "CURRENCY=USD", "XLFILL=b")</f>
        <v/>
      </c>
      <c r="BB49" s="9" t="str">
        <f>_xll.BQL("SEG0000269229 Segment", "IS_PERCENTAGE_OF_REVENUE", "FPR=2022Y", "FPT=A", "FA_ACT_EST_DATA=E, EST_SOURCE=ARE", "ACT_EST_MAPPING=PRECISE", "FS=MRC", "CURRENCY=USD", "XLFILL=b")</f>
        <v/>
      </c>
      <c r="BC49" s="9" t="str">
        <f>_xll.BQL("SEG0000269229 Segment", "IS_PERCENTAGE_OF_REVENUE", "FPR=2022Y", "FPT=A", "FA_ACT_EST_DATA=E, EST_SOURCE=RED", "ACT_EST_MAPPING=PRECISE", "FS=MRC", "CURRENCY=USD", "XLFILL=b")</f>
        <v/>
      </c>
      <c r="BD49" s="9" t="str">
        <f>_xll.BQL("SEG0000269229 Segment", "IS_PERCENTAGE_OF_REVENUE", "FPR=2022Y", "FPT=A", "FA_ACT_EST_DATA=E, EST_SOURCE=DIR", "ACT_EST_MAPPING=PRECISE", "FS=MRC", "CURRENCY=USD", "XLFILL=b")</f>
        <v/>
      </c>
    </row>
    <row r="50" spans="1:56" x14ac:dyDescent="0.55000000000000004">
      <c r="A50" s="8" t="s">
        <v>26</v>
      </c>
      <c r="B50" s="5"/>
      <c r="C50" s="5"/>
      <c r="D50" s="5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</row>
    <row r="51" spans="1:56" x14ac:dyDescent="0.55000000000000004">
      <c r="A51" s="8" t="s">
        <v>94</v>
      </c>
      <c r="B51" s="5"/>
      <c r="C51" s="5" t="s">
        <v>95</v>
      </c>
      <c r="D51" s="5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</row>
    <row r="52" spans="1:56" x14ac:dyDescent="0.55000000000000004">
      <c r="A52" s="8" t="s">
        <v>96</v>
      </c>
      <c r="B52" s="5" t="s">
        <v>22</v>
      </c>
      <c r="C52" s="5" t="s">
        <v>1</v>
      </c>
      <c r="D52" s="5"/>
      <c r="E52" s="9">
        <f>_xll.BQL("CRM US Equity", "IS_COMP_SALES/1M", "FPR=2022Y", "FPT=A", "FA_ACT_EST_DATA=E", "ACT_EST_MAPPING=PRECISE", "FS=MRC", "CURRENCY=USD", "XLFILL=b")</f>
        <v>26396.641025641031</v>
      </c>
      <c r="F52" s="9">
        <f>_xll.BQL("CRM US Equity", "CONTRIBUTOR_STATS(IS_COMP_SALES, MIN)/1M", "FPR=2022Y", "FPT=A", "FA_ACT_EST_DATA=E", "ACT_EST_MAPPING=PRECISE", "FS=MRC", "CURRENCY=USD", "XLFILL=b")</f>
        <v>26236</v>
      </c>
      <c r="G52" s="9">
        <f>_xll.BQL("CRM US Equity", "CONTRIBUTOR_STATS(IS_COMP_SALES, MAX)/1M", "FPR=2022Y", "FPT=A", "FA_ACT_EST_DATA=E", "ACT_EST_MAPPING=PRECISE", "FS=MRC", "CURRENCY=USD", "XLFILL=b")</f>
        <v>26505</v>
      </c>
      <c r="H52" s="9">
        <f>_xll.BQL("CRM US Equity", "CONTRIBUTOR_STATS(IS_COMP_SALES, STD)/1M", "FPR=2022Y", "FPT=A", "FA_ACT_EST_DATA=E", "ACT_EST_MAPPING=PRECISE", "FS=MRC", "CURRENCY=USD", "XLFILL=b")</f>
        <v>40.179522919993367</v>
      </c>
      <c r="I52" s="9">
        <f>_xll.BQL("CRM US Equity", "CONTRIBUTOR_STATS(IS_COMP_SALES, MEDIAN)/1M", "FPR=2022Y", "FPT=A", "FA_ACT_EST_DATA=E", "ACT_EST_MAPPING=PRECISE", "FS=MRC", "CURRENCY=USD", "XLFILL=b")</f>
        <v>26396</v>
      </c>
      <c r="J52" s="9">
        <f>_xll.BQL("CRM US Equity", "IS_COMP_SALES/1M", "FPR=2022Y", "FPT=A", "FA_ACT_EST_DATA=E, EST_SOURCE=CMPY", "ACT_EST_MAPPING=PRECISE", "FS=MRC", "CURRENCY=USD", "XLFILL=b")</f>
        <v>26394.999504089359</v>
      </c>
      <c r="K52" s="9">
        <f>_xll.BQL("CRM US Equity", "IS_COMP_SALES/1M", "FPR=2022Y", "FPT=A", "FA_ACT_EST_DATA=E, EST_SOURCE=WBL", "ACT_EST_MAPPING=PRECISE", "FS=MRC", "CURRENCY=USD", "XLFILL=b")</f>
        <v>26394</v>
      </c>
      <c r="L52" s="9">
        <f>_xll.BQL("CRM US Equity", "IS_COMP_SALES/1M", "FPR=2022Y", "FPT=A", "FA_ACT_EST_DATA=E, EST_SOURCE=BMO", "ACT_EST_MAPPING=PRECISE", "FS=MRC", "CURRENCY=USD", "XLFILL=b")</f>
        <v>26398</v>
      </c>
      <c r="M52" s="9">
        <f>_xll.BQL("CRM US Equity", "IS_COMP_SALES/1M", "FPR=2022Y", "FPT=A", "FA_ACT_EST_DATA=E, EST_SOURCE=BCA", "ACT_EST_MAPPING=PRECISE", "FS=MRC", "CURRENCY=USD", "XLFILL=b")</f>
        <v>26395</v>
      </c>
      <c r="N52" s="9">
        <f>_xll.BQL("CRM US Equity", "IS_COMP_SALES/1M", "FPR=2022Y", "FPT=A", "FA_ACT_EST_DATA=E, EST_SOURCE=SNR", "ACT_EST_MAPPING=PRECISE", "FS=MRC", "CURRENCY=USD", "XLFILL=b")</f>
        <v>26400</v>
      </c>
      <c r="O52" s="9">
        <f>_xll.BQL("CRM US Equity", "IS_COMP_SALES/1M", "FPR=2022Y", "FPT=A", "FA_ACT_EST_DATA=E, EST_SOURCE=MSV", "ACT_EST_MAPPING=PRECISE", "FS=MRC", "CURRENCY=USD", "XLFILL=b")</f>
        <v>26391</v>
      </c>
      <c r="P52" s="9">
        <f>_xll.BQL("CRM US Equity", "IS_COMP_SALES/1M", "FPR=2022Y", "FPT=A", "FA_ACT_EST_DATA=E, EST_SOURCE=DBG", "ACT_EST_MAPPING=PRECISE", "FS=MRC", "CURRENCY=USD", "XLFILL=b")</f>
        <v>26396</v>
      </c>
      <c r="Q52" s="9">
        <f>_xll.BQL("CRM US Equity", "IS_COMP_SALES/1M", "FPR=2022Y", "FPT=A", "FA_ACT_EST_DATA=E, EST_SOURCE=NDH", "ACT_EST_MAPPING=PRECISE", "FS=MRC", "CURRENCY=USD", "XLFILL=b")</f>
        <v>26395</v>
      </c>
      <c r="R52" s="9">
        <f>_xll.BQL("CRM US Equity", "IS_COMP_SALES/1M", "FPR=2022Y", "FPT=A", "FA_ACT_EST_DATA=E, EST_SOURCE=CAN", "ACT_EST_MAPPING=PRECISE", "FS=MRC", "CURRENCY=USD", "XLFILL=b")</f>
        <v>26400</v>
      </c>
      <c r="S52" s="9">
        <f>_xll.BQL("CRM US Equity", "IS_COMP_SALES/1M", "FPR=2022Y", "FPT=A", "FA_ACT_EST_DATA=E, EST_SOURCE=SCB", "ACT_EST_MAPPING=PRECISE", "FS=MRC", "CURRENCY=USD", "XLFILL=b")</f>
        <v>26497</v>
      </c>
      <c r="T52" s="9">
        <f>_xll.BQL("CRM US Equity", "IS_COMP_SALES/1M", "FPR=2022Y", "FPT=A", "FA_ACT_EST_DATA=E, EST_SOURCE=JMP", "ACT_EST_MAPPING=PRECISE", "FS=MRC", "CURRENCY=USD", "XLFILL=b")</f>
        <v>26396</v>
      </c>
      <c r="U52" s="9">
        <f>_xll.BQL("CRM US Equity", "IS_COMP_SALES/1M", "FPR=2022Y", "FPT=A", "FA_ACT_EST_DATA=E, EST_SOURCE=RJA", "ACT_EST_MAPPING=PRECISE", "FS=MRC", "CURRENCY=USD", "XLFILL=b")</f>
        <v>26395</v>
      </c>
      <c r="V52" s="9">
        <f>_xll.BQL("CRM US Equity", "IS_COMP_SALES/1M", "FPR=2022Y", "FPT=A", "FA_ACT_EST_DATA=E, EST_SOURCE=OPY", "ACT_EST_MAPPING=PRECISE", "FS=MRC", "CURRENCY=USD", "XLFILL=b")</f>
        <v>26395</v>
      </c>
      <c r="W52" s="9">
        <f>_xll.BQL("CRM US Equity", "IS_COMP_SALES/1M", "FPR=2022Y", "FPT=A", "FA_ACT_EST_DATA=E, EST_SOURCE=JPM", "ACT_EST_MAPPING=PRECISE", "FS=MRC", "CURRENCY=USD", "XLFILL=b")</f>
        <v>26396</v>
      </c>
      <c r="X52" s="9">
        <f>_xll.BQL("CRM US Equity", "IS_COMP_SALES/1M", "FPR=2022Y", "FPT=A", "FA_ACT_EST_DATA=E, EST_SOURCE=FBC", "ACT_EST_MAPPING=PRECISE", "FS=MRC", "CURRENCY=USD", "XLFILL=b")</f>
        <v>26400</v>
      </c>
      <c r="Y52" s="9">
        <f>_xll.BQL("CRM US Equity", "IS_COMP_SALES/1M", "FPR=2022Y", "FPT=A", "FA_ACT_EST_DATA=E, EST_SOURCE=WMS", "ACT_EST_MAPPING=PRECISE", "FS=MRC", "CURRENCY=USD", "XLFILL=b")</f>
        <v>26397</v>
      </c>
      <c r="Z52" s="9">
        <f>_xll.BQL("CRM US Equity", "IS_COMP_SALES/1M", "FPR=2022Y", "FPT=A", "FA_ACT_EST_DATA=E, EST_SOURCE=KEY", "ACT_EST_MAPPING=PRECISE", "FS=MRC", "CURRENCY=USD", "XLFILL=b")</f>
        <v>26395</v>
      </c>
      <c r="AA52" s="9">
        <f>_xll.BQL("CRM US Equity", "IS_COMP_SALES/1M", "FPR=2022Y", "FPT=A", "FA_ACT_EST_DATA=E, EST_SOURCE=LCM", "ACT_EST_MAPPING=PRECISE", "FS=MRC", "CURRENCY=USD", "XLFILL=b")</f>
        <v>26399</v>
      </c>
      <c r="AB52" s="9">
        <f>_xll.BQL("CRM US Equity", "IS_COMP_SALES/1M", "FPR=2022Y", "FPT=A", "FA_ACT_EST_DATA=E, EST_SOURCE=CWN", "ACT_EST_MAPPING=PRECISE", "FS=MRC", "CURRENCY=USD", "XLFILL=b")</f>
        <v>26414</v>
      </c>
      <c r="AC52" s="9">
        <f>_xll.BQL("CRM US Equity", "IS_COMP_SALES/1M", "FPR=2022Y", "FPT=A", "FA_ACT_EST_DATA=E, EST_SOURCE=BNS", "ACT_EST_MAPPING=PRECISE", "FS=MRC", "CURRENCY=USD", "XLFILL=b")</f>
        <v>26394</v>
      </c>
      <c r="AD52" s="9">
        <f>_xll.BQL("CRM US Equity", "IS_COMP_SALES/1M", "FPR=2022Y", "FPT=A", "FA_ACT_EST_DATA=E, EST_SOURCE=BAM", "ACT_EST_MAPPING=PRECISE", "FS=MRC", "CURRENCY=USD", "XLFILL=b")</f>
        <v>26398</v>
      </c>
      <c r="AE52" s="9">
        <f>_xll.BQL("CRM US Equity", "IS_COMP_SALES/1M", "FPR=2022Y", "FPT=A", "FA_ACT_EST_DATA=E, EST_SOURCE=RBC", "ACT_EST_MAPPING=PRECISE", "FS=MRC", "CURRENCY=USD", "XLFILL=b")</f>
        <v>26396</v>
      </c>
      <c r="AF52" s="9">
        <f>_xll.BQL("CRM US Equity", "IS_COMP_SALES/1M", "FPR=2022Y", "FPT=A", "FA_ACT_EST_DATA=E, EST_SOURCE=UBS", "ACT_EST_MAPPING=PRECISE", "FS=MRC", "CURRENCY=USD", "XLFILL=b")</f>
        <v>26487</v>
      </c>
      <c r="AG52" s="9">
        <f>_xll.BQL("CRM US Equity", "IS_COMP_SALES/1M", "FPR=2022Y", "FPT=A", "FA_ACT_EST_DATA=E, EST_SOURCE=RHR", "ACT_EST_MAPPING=PRECISE", "FS=MRC", "CURRENCY=USD", "XLFILL=b")</f>
        <v>26395</v>
      </c>
      <c r="AH52" s="9">
        <f>_xll.BQL("CRM US Equity", "IS_COMP_SALES/1M", "FPR=2022Y", "FPT=A", "FA_ACT_EST_DATA=E, EST_SOURCE=JEF", "ACT_EST_MAPPING=PRECISE", "FS=MRC", "CURRENCY=USD", "XLFILL=b")</f>
        <v>26395</v>
      </c>
      <c r="AI52" s="9">
        <f>_xll.BQL("CRM US Equity", "IS_COMP_SALES/1M", "FPR=2022Y", "FPT=A", "FA_ACT_EST_DATA=E, EST_SOURCE=ATL", "ACT_EST_MAPPING=PRECISE", "FS=MRC", "CURRENCY=USD", "XLFILL=b")</f>
        <v>26515</v>
      </c>
      <c r="AJ52" s="9">
        <f>_xll.BQL("CRM US Equity", "IS_COMP_SALES/1M", "FPR=2022Y", "FPT=A", "FA_ACT_EST_DATA=E, EST_SOURCE=MAC", "ACT_EST_MAPPING=PRECISE", "FS=MRC", "CURRENCY=USD", "XLFILL=b")</f>
        <v>26396</v>
      </c>
      <c r="AK52" s="9">
        <f>_xll.BQL("CRM US Equity", "IS_COMP_SALES/1M", "FPR=2022Y", "FPT=A", "FA_ACT_EST_DATA=E, EST_SOURCE=EVR", "ACT_EST_MAPPING=PRECISE", "FS=MRC", "CURRENCY=USD", "XLFILL=b")</f>
        <v>26398</v>
      </c>
      <c r="AL52" s="9">
        <f>_xll.BQL("CRM US Equity", "IS_COMP_SALES/1M", "FPR=2022Y", "FPT=A", "FA_ACT_EST_DATA=E, EST_SOURCE=MSR", "ACT_EST_MAPPING=PRECISE", "FS=MRC", "CURRENCY=USD", "XLFILL=b")</f>
        <v>26398</v>
      </c>
      <c r="AM52" s="9">
        <f>_xll.BQL("CRM US Equity", "IS_COMP_SALES/1M", "FPR=2022Y", "FPT=A", "FA_ACT_EST_DATA=E, EST_SOURCE=KGI", "ACT_EST_MAPPING=PRECISE", "FS=MRC", "CURRENCY=USD", "XLFILL=b")</f>
        <v>26358</v>
      </c>
      <c r="AN52" s="9">
        <f>_xll.BQL("CRM US Equity", "IS_COMP_SALES/1M", "FPR=2022Y", "FPT=A", "FA_ACT_EST_DATA=E, EST_SOURCE=ACC", "ACT_EST_MAPPING=PRECISE", "FS=MRC", "CURRENCY=USD", "XLFILL=b")</f>
        <v>26391</v>
      </c>
      <c r="AO52" s="9">
        <f>_xll.BQL("CRM US Equity", "IS_COMP_SALES/1M", "FPR=2022Y", "FPT=A", "FA_ACT_EST_DATA=E, EST_SOURCE=GSR", "ACT_EST_MAPPING=PRECISE", "FS=MRC", "CURRENCY=USD", "XLFILL=b")</f>
        <v>26400</v>
      </c>
      <c r="AP52" s="9">
        <f>_xll.BQL("CRM US Equity", "IS_COMP_SALES/1M", "FPR=2022Y", "FPT=A", "FA_ACT_EST_DATA=E, EST_SOURCE=PSG", "ACT_EST_MAPPING=PRECISE", "FS=MRC", "CURRENCY=USD", "XLFILL=b")</f>
        <v>26470</v>
      </c>
      <c r="AQ52" s="9">
        <f>_xll.BQL("CRM US Equity", "IS_COMP_SALES/1M", "FPR=2022Y", "FPT=A", "FA_ACT_EST_DATA=E, EST_SOURCE=DWI", "ACT_EST_MAPPING=PRECISE", "FS=MRC", "CURRENCY=USD", "XLFILL=b")</f>
        <v>26300</v>
      </c>
      <c r="AR52" s="9">
        <f>_xll.BQL("CRM US Equity", "IS_COMP_SALES/1M", "FPR=2022Y", "FPT=A", "FA_ACT_EST_DATA=E, EST_SOURCE=RWB", "ACT_EST_MAPPING=PRECISE", "FS=MRC", "CURRENCY=USD", "XLFILL=b")</f>
        <v>26300</v>
      </c>
      <c r="AS52" s="9" t="str">
        <f>_xll.BQL("CRM US Equity", "IS_COMP_SALES/1M", "FPR=2022Y", "FPT=A", "FA_ACT_EST_DATA=E, EST_SOURCE=ARG", "ACT_EST_MAPPING=PRECISE", "FS=MRC", "CURRENCY=USD", "XLFILL=b")</f>
        <v/>
      </c>
      <c r="AT52" s="9" t="str">
        <f>_xll.BQL("CRM US Equity", "IS_COMP_SALES/1M", "FPR=2022Y", "FPT=A", "FA_ACT_EST_DATA=E, EST_SOURCE=CTI", "ACT_EST_MAPPING=PRECISE", "FS=MRC", "CURRENCY=USD", "XLFILL=b")</f>
        <v/>
      </c>
      <c r="AU52" s="9" t="str">
        <f>_xll.BQL("CRM US Equity", "IS_COMP_SALES/1M", "FPR=2022Y", "FPT=A", "FA_ACT_EST_DATA=E, EST_SOURCE=WFT", "ACT_EST_MAPPING=PRECISE", "FS=MRC", "CURRENCY=USD", "XLFILL=b")</f>
        <v/>
      </c>
      <c r="AV52" s="9" t="str">
        <f>_xll.BQL("CRM US Equity", "IS_COMP_SALES/1M", "FPR=2022Y", "FPT=A", "FA_ACT_EST_DATA=E, EST_SOURCE=PJE", "ACT_EST_MAPPING=PRECISE", "FS=MRC", "CURRENCY=USD", "XLFILL=b")</f>
        <v/>
      </c>
      <c r="AW52" s="9" t="str">
        <f>_xll.BQL("CRM US Equity", "IS_COMP_SALES/1M", "FPR=2022Y", "FPT=A", "FA_ACT_EST_DATA=E, EST_SOURCE=SGE", "ACT_EST_MAPPING=PRECISE", "FS=MRC", "CURRENCY=USD", "XLFILL=b")</f>
        <v/>
      </c>
      <c r="AX52" s="9" t="str">
        <f>_xll.BQL("CRM US Equity", "IS_COMP_SALES/1M", "FPR=2022Y", "FPT=A", "FA_ACT_EST_DATA=E, EST_SOURCE=MZS", "ACT_EST_MAPPING=PRECISE", "FS=MRC", "CURRENCY=USD", "XLFILL=b")</f>
        <v/>
      </c>
      <c r="AY52" s="9" t="str">
        <f>_xll.BQL("CRM US Equity", "IS_COMP_SALES/1M", "FPR=2022Y", "FPT=A", "FA_ACT_EST_DATA=E, EST_SOURCE=RCP", "ACT_EST_MAPPING=PRECISE", "FS=MRC", "CURRENCY=USD", "XLFILL=b")</f>
        <v/>
      </c>
      <c r="AZ52" s="9" t="str">
        <f>_xll.BQL("CRM US Equity", "IS_COMP_SALES/1M", "FPR=2022Y", "FPT=A", "FA_ACT_EST_DATA=E, EST_SOURCE=WFR", "ACT_EST_MAPPING=PRECISE", "FS=MRC", "CURRENCY=USD", "XLFILL=b")</f>
        <v/>
      </c>
      <c r="BA52" s="9" t="str">
        <f>_xll.BQL("CRM US Equity", "IS_COMP_SALES/1M", "FPR=2022Y", "FPT=A", "FA_ACT_EST_DATA=E, EST_SOURCE=NIK", "ACT_EST_MAPPING=PRECISE", "FS=MRC", "CURRENCY=USD", "XLFILL=b")</f>
        <v/>
      </c>
      <c r="BB52" s="9" t="str">
        <f>_xll.BQL("CRM US Equity", "IS_COMP_SALES/1M", "FPR=2022Y", "FPT=A", "FA_ACT_EST_DATA=E, EST_SOURCE=ARE", "ACT_EST_MAPPING=PRECISE", "FS=MRC", "CURRENCY=USD", "XLFILL=b")</f>
        <v/>
      </c>
      <c r="BC52" s="9" t="str">
        <f>_xll.BQL("CRM US Equity", "IS_COMP_SALES/1M", "FPR=2022Y", "FPT=A", "FA_ACT_EST_DATA=E, EST_SOURCE=RED", "ACT_EST_MAPPING=PRECISE", "FS=MRC", "CURRENCY=USD", "XLFILL=b")</f>
        <v/>
      </c>
      <c r="BD52" s="9" t="str">
        <f>_xll.BQL("CRM US Equity", "IS_COMP_SALES/1M", "FPR=2022Y", "FPT=A", "FA_ACT_EST_DATA=E, EST_SOURCE=DIR", "ACT_EST_MAPPING=PRECISE", "FS=MRC", "CURRENCY=USD", "XLFILL=b")</f>
        <v/>
      </c>
    </row>
    <row r="53" spans="1:56" x14ac:dyDescent="0.55000000000000004">
      <c r="A53" s="8" t="s">
        <v>23</v>
      </c>
      <c r="B53" s="5" t="s">
        <v>24</v>
      </c>
      <c r="C53" s="5" t="s">
        <v>25</v>
      </c>
      <c r="D53" s="5"/>
      <c r="E53" s="9">
        <f>_xll.BQL("CRM US Equity", "REVENUE_GROWTH_CC_1_YR", "FPR=2022Y", "FPT=A", "FA_ACT_EST_DATA=E", "ACT_EST_MAPPING=PRECISE", "FS=MRC", "CURRENCY=USD", "XLFILL=b")</f>
        <v>23.125811187045361</v>
      </c>
      <c r="F53" s="9">
        <f>_xll.BQL("CRM US Equity", "CONTRIBUTOR_STATS(REVENUE_GROWTH_CC_1_YR, MIN)", "FPR=2022Y", "FPT=A", "FA_ACT_EST_DATA=E", "ACT_EST_MAPPING=PRECISE", "FS=MRC", "CURRENCY=USD", "XLFILL=b")</f>
        <v>22.333333333333339</v>
      </c>
      <c r="G53" s="9">
        <f>_xll.BQL("CRM US Equity", "CONTRIBUTOR_STATS(REVENUE_GROWTH_CC_1_YR, MAX)", "FPR=2022Y", "FPT=A", "FA_ACT_EST_DATA=E", "ACT_EST_MAPPING=PRECISE", "FS=MRC", "CURRENCY=USD", "XLFILL=b")</f>
        <v>24.215791454921899</v>
      </c>
      <c r="H53" s="9">
        <f>_xll.BQL("CRM US Equity", "CONTRIBUTOR_STATS(REVENUE_GROWTH_CC_1_YR, STD)", "FPR=2022Y", "FPT=A", "FA_ACT_EST_DATA=E", "ACT_EST_MAPPING=PRECISE", "FS=MRC", "CURRENCY=USD", "XLFILL=b")</f>
        <v>0.77843657422281043</v>
      </c>
      <c r="I53" s="9">
        <f>_xll.BQL("CRM US Equity", "CONTRIBUTOR_STATS(REVENUE_GROWTH_CC_1_YR, MEDIAN)", "FPR=2022Y", "FPT=A", "FA_ACT_EST_DATA=E", "ACT_EST_MAPPING=PRECISE", "FS=MRC", "CURRENCY=USD", "XLFILL=b")</f>
        <v>22.7850716991342</v>
      </c>
      <c r="J53" s="9" t="str">
        <f>_xll.BQL("CRM US Equity", "REVENUE_GROWTH_CC_1_YR", "FPR=2022Y", "FPT=A", "FA_ACT_EST_DATA=E, EST_SOURCE=CMPY", "ACT_EST_MAPPING=PRECISE", "FS=MRC", "CURRENCY=USD", "XLFILL=b")</f>
        <v/>
      </c>
      <c r="K53" s="9" t="str">
        <f>_xll.BQL("CRM US Equity", "REVENUE_GROWTH_CC_1_YR", "FPR=2022Y", "FPT=A", "FA_ACT_EST_DATA=E, EST_SOURCE=WBL", "ACT_EST_MAPPING=PRECISE", "FS=MRC", "CURRENCY=USD", "XLFILL=b")</f>
        <v/>
      </c>
      <c r="L53" s="9" t="str">
        <f>_xll.BQL("CRM US Equity", "REVENUE_GROWTH_CC_1_YR", "FPR=2022Y", "FPT=A", "FA_ACT_EST_DATA=E, EST_SOURCE=BMO", "ACT_EST_MAPPING=PRECISE", "FS=MRC", "CURRENCY=USD", "XLFILL=b")</f>
        <v/>
      </c>
      <c r="M53" s="9" t="str">
        <f>_xll.BQL("CRM US Equity", "REVENUE_GROWTH_CC_1_YR", "FPR=2022Y", "FPT=A", "FA_ACT_EST_DATA=E, EST_SOURCE=BCA", "ACT_EST_MAPPING=PRECISE", "FS=MRC", "CURRENCY=USD", "XLFILL=b")</f>
        <v/>
      </c>
      <c r="N53" s="9" t="str">
        <f>_xll.BQL("CRM US Equity", "REVENUE_GROWTH_CC_1_YR", "FPR=2022Y", "FPT=A", "FA_ACT_EST_DATA=E, EST_SOURCE=SNR", "ACT_EST_MAPPING=PRECISE", "FS=MRC", "CURRENCY=USD", "XLFILL=b")</f>
        <v/>
      </c>
      <c r="O53" s="9" t="str">
        <f>_xll.BQL("CRM US Equity", "REVENUE_GROWTH_CC_1_YR", "FPR=2022Y", "FPT=A", "FA_ACT_EST_DATA=E, EST_SOURCE=MSV", "ACT_EST_MAPPING=PRECISE", "FS=MRC", "CURRENCY=USD", "XLFILL=b")</f>
        <v/>
      </c>
      <c r="P53" s="9" t="str">
        <f>_xll.BQL("CRM US Equity", "REVENUE_GROWTH_CC_1_YR", "FPR=2022Y", "FPT=A", "FA_ACT_EST_DATA=E, EST_SOURCE=DBG", "ACT_EST_MAPPING=PRECISE", "FS=MRC", "CURRENCY=USD", "XLFILL=b")</f>
        <v/>
      </c>
      <c r="Q53" s="9" t="str">
        <f>_xll.BQL("CRM US Equity", "REVENUE_GROWTH_CC_1_YR", "FPR=2022Y", "FPT=A", "FA_ACT_EST_DATA=E, EST_SOURCE=NDH", "ACT_EST_MAPPING=PRECISE", "FS=MRC", "CURRENCY=USD", "XLFILL=b")</f>
        <v/>
      </c>
      <c r="R53" s="9" t="str">
        <f>_xll.BQL("CRM US Equity", "REVENUE_GROWTH_CC_1_YR", "FPR=2022Y", "FPT=A", "FA_ACT_EST_DATA=E, EST_SOURCE=CAN", "ACT_EST_MAPPING=PRECISE", "FS=MRC", "CURRENCY=USD", "XLFILL=b")</f>
        <v/>
      </c>
      <c r="S53" s="9" t="str">
        <f>_xll.BQL("CRM US Equity", "REVENUE_GROWTH_CC_1_YR", "FPR=2022Y", "FPT=A", "FA_ACT_EST_DATA=E, EST_SOURCE=SCB", "ACT_EST_MAPPING=PRECISE", "FS=MRC", "CURRENCY=USD", "XLFILL=b")</f>
        <v/>
      </c>
      <c r="T53" s="9" t="str">
        <f>_xll.BQL("CRM US Equity", "REVENUE_GROWTH_CC_1_YR", "FPR=2022Y", "FPT=A", "FA_ACT_EST_DATA=E, EST_SOURCE=JMP", "ACT_EST_MAPPING=PRECISE", "FS=MRC", "CURRENCY=USD", "XLFILL=b")</f>
        <v/>
      </c>
      <c r="U53" s="9" t="str">
        <f>_xll.BQL("CRM US Equity", "REVENUE_GROWTH_CC_1_YR", "FPR=2022Y", "FPT=A", "FA_ACT_EST_DATA=E, EST_SOURCE=RJA", "ACT_EST_MAPPING=PRECISE", "FS=MRC", "CURRENCY=USD", "XLFILL=b")</f>
        <v/>
      </c>
      <c r="V53" s="9" t="str">
        <f>_xll.BQL("CRM US Equity", "REVENUE_GROWTH_CC_1_YR", "FPR=2022Y", "FPT=A", "FA_ACT_EST_DATA=E, EST_SOURCE=OPY", "ACT_EST_MAPPING=PRECISE", "FS=MRC", "CURRENCY=USD", "XLFILL=b")</f>
        <v/>
      </c>
      <c r="W53" s="9" t="str">
        <f>_xll.BQL("CRM US Equity", "REVENUE_GROWTH_CC_1_YR", "FPR=2022Y", "FPT=A", "FA_ACT_EST_DATA=E, EST_SOURCE=JPM", "ACT_EST_MAPPING=PRECISE", "FS=MRC", "CURRENCY=USD", "XLFILL=b")</f>
        <v/>
      </c>
      <c r="X53" s="9">
        <f>_xll.BQL("CRM US Equity", "REVENUE_GROWTH_CC_1_YR", "FPR=2022Y", "FPT=A", "FA_ACT_EST_DATA=E, EST_SOURCE=FBC", "ACT_EST_MAPPING=PRECISE", "FS=MRC", "CURRENCY=USD", "XLFILL=b")</f>
        <v>23.000352907961609</v>
      </c>
      <c r="Y53" s="9" t="str">
        <f>_xll.BQL("CRM US Equity", "REVENUE_GROWTH_CC_1_YR", "FPR=2022Y", "FPT=A", "FA_ACT_EST_DATA=E, EST_SOURCE=WMS", "ACT_EST_MAPPING=PRECISE", "FS=MRC", "CURRENCY=USD", "XLFILL=b")</f>
        <v/>
      </c>
      <c r="Z53" s="9">
        <f>_xll.BQL("CRM US Equity", "REVENUE_GROWTH_CC_1_YR", "FPR=2022Y", "FPT=A", "FA_ACT_EST_DATA=E, EST_SOURCE=KEY", "ACT_EST_MAPPING=PRECISE", "FS=MRC", "CURRENCY=USD", "XLFILL=b")</f>
        <v>17.63419604452012</v>
      </c>
      <c r="AA53" s="9" t="str">
        <f>_xll.BQL("CRM US Equity", "REVENUE_GROWTH_CC_1_YR", "FPR=2022Y", "FPT=A", "FA_ACT_EST_DATA=E, EST_SOURCE=LCM", "ACT_EST_MAPPING=PRECISE", "FS=MRC", "CURRENCY=USD", "XLFILL=b")</f>
        <v/>
      </c>
      <c r="AB53" s="9" t="str">
        <f>_xll.BQL("CRM US Equity", "REVENUE_GROWTH_CC_1_YR", "FPR=2022Y", "FPT=A", "FA_ACT_EST_DATA=E, EST_SOURCE=CWN", "ACT_EST_MAPPING=PRECISE", "FS=MRC", "CURRENCY=USD", "XLFILL=b")</f>
        <v/>
      </c>
      <c r="AC53" s="9" t="str">
        <f>_xll.BQL("CRM US Equity", "REVENUE_GROWTH_CC_1_YR", "FPR=2022Y", "FPT=A", "FA_ACT_EST_DATA=E, EST_SOURCE=BNS", "ACT_EST_MAPPING=PRECISE", "FS=MRC", "CURRENCY=USD", "XLFILL=b")</f>
        <v/>
      </c>
      <c r="AD53" s="9" t="str">
        <f>_xll.BQL("CRM US Equity", "REVENUE_GROWTH_CC_1_YR", "FPR=2022Y", "FPT=A", "FA_ACT_EST_DATA=E, EST_SOURCE=BAM", "ACT_EST_MAPPING=PRECISE", "FS=MRC", "CURRENCY=USD", "XLFILL=b")</f>
        <v/>
      </c>
      <c r="AE53" s="9" t="str">
        <f>_xll.BQL("CRM US Equity", "REVENUE_GROWTH_CC_1_YR", "FPR=2022Y", "FPT=A", "FA_ACT_EST_DATA=E, EST_SOURCE=RBC", "ACT_EST_MAPPING=PRECISE", "FS=MRC", "CURRENCY=USD", "XLFILL=b")</f>
        <v/>
      </c>
      <c r="AF53" s="9" t="str">
        <f>_xll.BQL("CRM US Equity", "REVENUE_GROWTH_CC_1_YR", "FPR=2022Y", "FPT=A", "FA_ACT_EST_DATA=E, EST_SOURCE=UBS", "ACT_EST_MAPPING=PRECISE", "FS=MRC", "CURRENCY=USD", "XLFILL=b")</f>
        <v/>
      </c>
      <c r="AG53" s="9" t="str">
        <f>_xll.BQL("CRM US Equity", "REVENUE_GROWTH_CC_1_YR", "FPR=2022Y", "FPT=A", "FA_ACT_EST_DATA=E, EST_SOURCE=RHR", "ACT_EST_MAPPING=PRECISE", "FS=MRC", "CURRENCY=USD", "XLFILL=b")</f>
        <v/>
      </c>
      <c r="AH53" s="9" t="str">
        <f>_xll.BQL("CRM US Equity", "REVENUE_GROWTH_CC_1_YR", "FPR=2022Y", "FPT=A", "FA_ACT_EST_DATA=E, EST_SOURCE=JEF", "ACT_EST_MAPPING=PRECISE", "FS=MRC", "CURRENCY=USD", "XLFILL=b")</f>
        <v/>
      </c>
      <c r="AI53" s="9" t="str">
        <f>_xll.BQL("CRM US Equity", "REVENUE_GROWTH_CC_1_YR", "FPR=2022Y", "FPT=A", "FA_ACT_EST_DATA=E, EST_SOURCE=ATL", "ACT_EST_MAPPING=PRECISE", "FS=MRC", "CURRENCY=USD", "XLFILL=b")</f>
        <v/>
      </c>
      <c r="AJ53" s="9" t="str">
        <f>_xll.BQL("CRM US Equity", "REVENUE_GROWTH_CC_1_YR", "FPR=2022Y", "FPT=A", "FA_ACT_EST_DATA=E, EST_SOURCE=MAC", "ACT_EST_MAPPING=PRECISE", "FS=MRC", "CURRENCY=USD", "XLFILL=b")</f>
        <v/>
      </c>
      <c r="AK53" s="9" t="str">
        <f>_xll.BQL("CRM US Equity", "REVENUE_GROWTH_CC_1_YR", "FPR=2022Y", "FPT=A", "FA_ACT_EST_DATA=E, EST_SOURCE=EVR", "ACT_EST_MAPPING=PRECISE", "FS=MRC", "CURRENCY=USD", "XLFILL=b")</f>
        <v/>
      </c>
      <c r="AL53" s="9" t="str">
        <f>_xll.BQL("CRM US Equity", "REVENUE_GROWTH_CC_1_YR", "FPR=2022Y", "FPT=A", "FA_ACT_EST_DATA=E, EST_SOURCE=MSR", "ACT_EST_MAPPING=PRECISE", "FS=MRC", "CURRENCY=USD", "XLFILL=b")</f>
        <v/>
      </c>
      <c r="AM53" s="9" t="str">
        <f>_xll.BQL("CRM US Equity", "REVENUE_GROWTH_CC_1_YR", "FPR=2022Y", "FPT=A", "FA_ACT_EST_DATA=E, EST_SOURCE=KGI", "ACT_EST_MAPPING=PRECISE", "FS=MRC", "CURRENCY=USD", "XLFILL=b")</f>
        <v/>
      </c>
      <c r="AN53" s="9" t="str">
        <f>_xll.BQL("CRM US Equity", "REVENUE_GROWTH_CC_1_YR", "FPR=2022Y", "FPT=A", "FA_ACT_EST_DATA=E, EST_SOURCE=ACC", "ACT_EST_MAPPING=PRECISE", "FS=MRC", "CURRENCY=USD", "XLFILL=b")</f>
        <v/>
      </c>
      <c r="AO53" s="9" t="str">
        <f>_xll.BQL("CRM US Equity", "REVENUE_GROWTH_CC_1_YR", "FPR=2022Y", "FPT=A", "FA_ACT_EST_DATA=E, EST_SOURCE=GSR", "ACT_EST_MAPPING=PRECISE", "FS=MRC", "CURRENCY=USD", "XLFILL=b")</f>
        <v/>
      </c>
      <c r="AP53" s="9" t="str">
        <f>_xll.BQL("CRM US Equity", "REVENUE_GROWTH_CC_1_YR", "FPR=2022Y", "FPT=A", "FA_ACT_EST_DATA=E, EST_SOURCE=PSG", "ACT_EST_MAPPING=PRECISE", "FS=MRC", "CURRENCY=USD", "XLFILL=b")</f>
        <v/>
      </c>
      <c r="AQ53" s="9" t="str">
        <f>_xll.BQL("CRM US Equity", "REVENUE_GROWTH_CC_1_YR", "FPR=2022Y", "FPT=A", "FA_ACT_EST_DATA=E, EST_SOURCE=DWI", "ACT_EST_MAPPING=PRECISE", "FS=MRC", "CURRENCY=USD", "XLFILL=b")</f>
        <v/>
      </c>
      <c r="AR53" s="9" t="str">
        <f>_xll.BQL("CRM US Equity", "REVENUE_GROWTH_CC_1_YR", "FPR=2022Y", "FPT=A", "FA_ACT_EST_DATA=E, EST_SOURCE=RWB", "ACT_EST_MAPPING=PRECISE", "FS=MRC", "CURRENCY=USD", "XLFILL=b")</f>
        <v/>
      </c>
      <c r="AS53" s="9" t="str">
        <f>_xll.BQL("CRM US Equity", "REVENUE_GROWTH_CC_1_YR", "FPR=2022Y", "FPT=A", "FA_ACT_EST_DATA=E, EST_SOURCE=ARG", "ACT_EST_MAPPING=PRECISE", "FS=MRC", "CURRENCY=USD", "XLFILL=b")</f>
        <v/>
      </c>
      <c r="AT53" s="9" t="str">
        <f>_xll.BQL("CRM US Equity", "REVENUE_GROWTH_CC_1_YR", "FPR=2022Y", "FPT=A", "FA_ACT_EST_DATA=E, EST_SOURCE=CTI", "ACT_EST_MAPPING=PRECISE", "FS=MRC", "CURRENCY=USD", "XLFILL=b")</f>
        <v/>
      </c>
      <c r="AU53" s="9" t="str">
        <f>_xll.BQL("CRM US Equity", "REVENUE_GROWTH_CC_1_YR", "FPR=2022Y", "FPT=A", "FA_ACT_EST_DATA=E, EST_SOURCE=WFT", "ACT_EST_MAPPING=PRECISE", "FS=MRC", "CURRENCY=USD", "XLFILL=b")</f>
        <v/>
      </c>
      <c r="AV53" s="9" t="str">
        <f>_xll.BQL("CRM US Equity", "REVENUE_GROWTH_CC_1_YR", "FPR=2022Y", "FPT=A", "FA_ACT_EST_DATA=E, EST_SOURCE=PJE", "ACT_EST_MAPPING=PRECISE", "FS=MRC", "CURRENCY=USD", "XLFILL=b")</f>
        <v/>
      </c>
      <c r="AW53" s="9" t="str">
        <f>_xll.BQL("CRM US Equity", "REVENUE_GROWTH_CC_1_YR", "FPR=2022Y", "FPT=A", "FA_ACT_EST_DATA=E, EST_SOURCE=SGE", "ACT_EST_MAPPING=PRECISE", "FS=MRC", "CURRENCY=USD", "XLFILL=b")</f>
        <v/>
      </c>
      <c r="AX53" s="9" t="str">
        <f>_xll.BQL("CRM US Equity", "REVENUE_GROWTH_CC_1_YR", "FPR=2022Y", "FPT=A", "FA_ACT_EST_DATA=E, EST_SOURCE=MZS", "ACT_EST_MAPPING=PRECISE", "FS=MRC", "CURRENCY=USD", "XLFILL=b")</f>
        <v/>
      </c>
      <c r="AY53" s="9" t="str">
        <f>_xll.BQL("CRM US Equity", "REVENUE_GROWTH_CC_1_YR", "FPR=2022Y", "FPT=A", "FA_ACT_EST_DATA=E, EST_SOURCE=RCP", "ACT_EST_MAPPING=PRECISE", "FS=MRC", "CURRENCY=USD", "XLFILL=b")</f>
        <v/>
      </c>
      <c r="AZ53" s="9" t="str">
        <f>_xll.BQL("CRM US Equity", "REVENUE_GROWTH_CC_1_YR", "FPR=2022Y", "FPT=A", "FA_ACT_EST_DATA=E, EST_SOURCE=WFR", "ACT_EST_MAPPING=PRECISE", "FS=MRC", "CURRENCY=USD", "XLFILL=b")</f>
        <v/>
      </c>
      <c r="BA53" s="9" t="str">
        <f>_xll.BQL("CRM US Equity", "REVENUE_GROWTH_CC_1_YR", "FPR=2022Y", "FPT=A", "FA_ACT_EST_DATA=E, EST_SOURCE=NIK", "ACT_EST_MAPPING=PRECISE", "FS=MRC", "CURRENCY=USD", "XLFILL=b")</f>
        <v/>
      </c>
      <c r="BB53" s="9" t="str">
        <f>_xll.BQL("CRM US Equity", "REVENUE_GROWTH_CC_1_YR", "FPR=2022Y", "FPT=A", "FA_ACT_EST_DATA=E, EST_SOURCE=ARE", "ACT_EST_MAPPING=PRECISE", "FS=MRC", "CURRENCY=USD", "XLFILL=b")</f>
        <v/>
      </c>
      <c r="BC53" s="9" t="str">
        <f>_xll.BQL("CRM US Equity", "REVENUE_GROWTH_CC_1_YR", "FPR=2022Y", "FPT=A", "FA_ACT_EST_DATA=E, EST_SOURCE=RED", "ACT_EST_MAPPING=PRECISE", "FS=MRC", "CURRENCY=USD", "XLFILL=b")</f>
        <v/>
      </c>
      <c r="BD53" s="9" t="str">
        <f>_xll.BQL("CRM US Equity", "REVENUE_GROWTH_CC_1_YR", "FPR=2022Y", "FPT=A", "FA_ACT_EST_DATA=E, EST_SOURCE=DIR", "ACT_EST_MAPPING=PRECISE", "FS=MRC", "CURRENCY=USD", "XLFILL=b")</f>
        <v/>
      </c>
    </row>
    <row r="54" spans="1:56" x14ac:dyDescent="0.55000000000000004">
      <c r="A54" s="8" t="s">
        <v>26</v>
      </c>
      <c r="B54" s="5"/>
      <c r="C54" s="5"/>
      <c r="D54" s="5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</row>
    <row r="55" spans="1:56" x14ac:dyDescent="0.55000000000000004">
      <c r="A55" s="8" t="s">
        <v>97</v>
      </c>
      <c r="B55" s="5" t="s">
        <v>41</v>
      </c>
      <c r="C55" s="5" t="s">
        <v>2</v>
      </c>
      <c r="D55" s="5"/>
      <c r="E55" s="9">
        <f>_xll.BQL("CRM US Equity", "IS_ADJ_GROSS_PROFIT_AS_REPORTED/1M", "FPR=2022Y", "FPT=A", "FA_ACT_EST_DATA=E", "ACT_EST_MAPPING=PRECISE", "FS=MRC", "CURRENCY=USD", "XLFILL=b")</f>
        <v>20739.943312719151</v>
      </c>
      <c r="F55" s="9">
        <f>_xll.BQL("CRM US Equity", "CONTRIBUTOR_STATS(IS_ADJ_GROSS_PROFIT_AS_REPORTED, MIN)/1M", "FPR=2022Y", "FPT=A", "FA_ACT_EST_DATA=E", "ACT_EST_MAPPING=PRECISE", "FS=MRC", "CURRENCY=USD", "XLFILL=b")</f>
        <v>20628.699000000001</v>
      </c>
      <c r="G55" s="9">
        <f>_xll.BQL("CRM US Equity", "CONTRIBUTOR_STATS(IS_ADJ_GROSS_PROFIT_AS_REPORTED, MAX)/1M", "FPR=2022Y", "FPT=A", "FA_ACT_EST_DATA=E", "ACT_EST_MAPPING=PRECISE", "FS=MRC", "CURRENCY=USD", "XLFILL=b")</f>
        <v>20882.010759000001</v>
      </c>
      <c r="H55" s="9">
        <f>_xll.BQL("CRM US Equity", "CONTRIBUTOR_STATS(IS_ADJ_GROSS_PROFIT_AS_REPORTED, STD)/1M", "FPR=2022Y", "FPT=A", "FA_ACT_EST_DATA=E", "ACT_EST_MAPPING=PRECISE", "FS=MRC", "CURRENCY=USD", "XLFILL=b")</f>
        <v>66.595912860913728</v>
      </c>
      <c r="I55" s="9">
        <f>_xll.BQL("CRM US Equity", "CONTRIBUTOR_STATS(IS_ADJ_GROSS_PROFIT_AS_REPORTED, MEDIAN)/1M", "FPR=2022Y", "FPT=A", "FA_ACT_EST_DATA=E", "ACT_EST_MAPPING=PRECISE", "FS=MRC", "CURRENCY=USD", "XLFILL=b")</f>
        <v>20745.753210452451</v>
      </c>
      <c r="J55" s="9" t="str">
        <f>_xll.BQL("CRM US Equity", "IS_ADJ_GROSS_PROFIT_AS_REPORTED/1M", "FPR=2022Y", "FPT=A", "FA_ACT_EST_DATA=E, EST_SOURCE=CMPY", "ACT_EST_MAPPING=PRECISE", "FS=MRC", "CURRENCY=USD", "XLFILL=b")</f>
        <v/>
      </c>
      <c r="K55" s="9" t="str">
        <f>_xll.BQL("CRM US Equity", "IS_ADJ_GROSS_PROFIT_AS_REPORTED/1M", "FPR=2022Y", "FPT=A", "FA_ACT_EST_DATA=E, EST_SOURCE=WBL", "ACT_EST_MAPPING=PRECISE", "FS=MRC", "CURRENCY=USD", "XLFILL=b")</f>
        <v/>
      </c>
      <c r="L55" s="9" t="str">
        <f>_xll.BQL("CRM US Equity", "IS_ADJ_GROSS_PROFIT_AS_REPORTED/1M", "FPR=2022Y", "FPT=A", "FA_ACT_EST_DATA=E, EST_SOURCE=BMO", "ACT_EST_MAPPING=PRECISE", "FS=MRC", "CURRENCY=USD", "XLFILL=b")</f>
        <v/>
      </c>
      <c r="M55" s="9">
        <f>_xll.BQL("CRM US Equity", "IS_ADJ_GROSS_PROFIT_AS_REPORTED/1M", "FPR=2022Y", "FPT=A", "FA_ACT_EST_DATA=E, EST_SOURCE=BCA", "ACT_EST_MAPPING=PRECISE", "FS=MRC", "CURRENCY=USD", "XLFILL=b")</f>
        <v>20786.174195079489</v>
      </c>
      <c r="N55" s="9" t="str">
        <f>_xll.BQL("CRM US Equity", "IS_ADJ_GROSS_PROFIT_AS_REPORTED/1M", "FPR=2022Y", "FPT=A", "FA_ACT_EST_DATA=E, EST_SOURCE=SNR", "ACT_EST_MAPPING=PRECISE", "FS=MRC", "CURRENCY=USD", "XLFILL=b")</f>
        <v/>
      </c>
      <c r="O55" s="9">
        <f>_xll.BQL("CRM US Equity", "IS_ADJ_GROSS_PROFIT_AS_REPORTED/1M", "FPR=2022Y", "FPT=A", "FA_ACT_EST_DATA=E, EST_SOURCE=MSV", "ACT_EST_MAPPING=PRECISE", "FS=MRC", "CURRENCY=USD", "XLFILL=b")</f>
        <v>20882.010759000001</v>
      </c>
      <c r="P55" s="9">
        <f>_xll.BQL("CRM US Equity", "IS_ADJ_GROSS_PROFIT_AS_REPORTED/1M", "FPR=2022Y", "FPT=A", "FA_ACT_EST_DATA=E, EST_SOURCE=DBG", "ACT_EST_MAPPING=PRECISE", "FS=MRC", "CURRENCY=USD", "XLFILL=b")</f>
        <v>20743.551510904901</v>
      </c>
      <c r="Q55" s="9">
        <f>_xll.BQL("CRM US Equity", "IS_ADJ_GROSS_PROFIT_AS_REPORTED/1M", "FPR=2022Y", "FPT=A", "FA_ACT_EST_DATA=E, EST_SOURCE=NDH", "ACT_EST_MAPPING=PRECISE", "FS=MRC", "CURRENCY=USD", "XLFILL=b")</f>
        <v>20628.699000000001</v>
      </c>
      <c r="R55" s="9" t="str">
        <f>_xll.BQL("CRM US Equity", "IS_ADJ_GROSS_PROFIT_AS_REPORTED/1M", "FPR=2022Y", "FPT=A", "FA_ACT_EST_DATA=E, EST_SOURCE=CAN", "ACT_EST_MAPPING=PRECISE", "FS=MRC", "CURRENCY=USD", "XLFILL=b")</f>
        <v/>
      </c>
      <c r="S55" s="9" t="str">
        <f>_xll.BQL("CRM US Equity", "IS_ADJ_GROSS_PROFIT_AS_REPORTED/1M", "FPR=2022Y", "FPT=A", "FA_ACT_EST_DATA=E, EST_SOURCE=SCB", "ACT_EST_MAPPING=PRECISE", "FS=MRC", "CURRENCY=USD", "XLFILL=b")</f>
        <v/>
      </c>
      <c r="T55" s="9" t="str">
        <f>_xll.BQL("CRM US Equity", "IS_ADJ_GROSS_PROFIT_AS_REPORTED/1M", "FPR=2022Y", "FPT=A", "FA_ACT_EST_DATA=E, EST_SOURCE=JMP", "ACT_EST_MAPPING=PRECISE", "FS=MRC", "CURRENCY=USD", "XLFILL=b")</f>
        <v/>
      </c>
      <c r="U55" s="9">
        <f>_xll.BQL("CRM US Equity", "IS_ADJ_GROSS_PROFIT_AS_REPORTED/1M", "FPR=2022Y", "FPT=A", "FA_ACT_EST_DATA=E, EST_SOURCE=RJA", "ACT_EST_MAPPING=PRECISE", "FS=MRC", "CURRENCY=USD", "XLFILL=b")</f>
        <v>20722.459289999999</v>
      </c>
      <c r="V55" s="9" t="str">
        <f>_xll.BQL("CRM US Equity", "IS_ADJ_GROSS_PROFIT_AS_REPORTED/1M", "FPR=2022Y", "FPT=A", "FA_ACT_EST_DATA=E, EST_SOURCE=OPY", "ACT_EST_MAPPING=PRECISE", "FS=MRC", "CURRENCY=USD", "XLFILL=b")</f>
        <v/>
      </c>
      <c r="W55" s="9">
        <f>_xll.BQL("CRM US Equity", "IS_ADJ_GROSS_PROFIT_AS_REPORTED/1M", "FPR=2022Y", "FPT=A", "FA_ACT_EST_DATA=E, EST_SOURCE=JPM", "ACT_EST_MAPPING=PRECISE", "FS=MRC", "CURRENCY=USD", "XLFILL=b")</f>
        <v>20747.95491</v>
      </c>
      <c r="X55" s="9">
        <f>_xll.BQL("CRM US Equity", "IS_ADJ_GROSS_PROFIT_AS_REPORTED/1M", "FPR=2022Y", "FPT=A", "FA_ACT_EST_DATA=E, EST_SOURCE=FBC", "ACT_EST_MAPPING=PRECISE", "FS=MRC", "CURRENCY=USD", "XLFILL=b")</f>
        <v>20753.614542696461</v>
      </c>
      <c r="Y55" s="9">
        <f>_xll.BQL("CRM US Equity", "IS_ADJ_GROSS_PROFIT_AS_REPORTED/1M", "FPR=2022Y", "FPT=A", "FA_ACT_EST_DATA=E, EST_SOURCE=WMS", "ACT_EST_MAPPING=PRECISE", "FS=MRC", "CURRENCY=USD", "XLFILL=b")</f>
        <v>20371.377765000001</v>
      </c>
      <c r="Z55" s="9">
        <f>_xll.BQL("CRM US Equity", "IS_ADJ_GROSS_PROFIT_AS_REPORTED/1M", "FPR=2022Y", "FPT=A", "FA_ACT_EST_DATA=E, EST_SOURCE=KEY", "ACT_EST_MAPPING=PRECISE", "FS=MRC", "CURRENCY=USD", "XLFILL=b")</f>
        <v>20715.436813</v>
      </c>
      <c r="AA55" s="9" t="str">
        <f>_xll.BQL("CRM US Equity", "IS_ADJ_GROSS_PROFIT_AS_REPORTED/1M", "FPR=2022Y", "FPT=A", "FA_ACT_EST_DATA=E, EST_SOURCE=LCM", "ACT_EST_MAPPING=PRECISE", "FS=MRC", "CURRENCY=USD", "XLFILL=b")</f>
        <v/>
      </c>
      <c r="AB55" s="9" t="str">
        <f>_xll.BQL("CRM US Equity", "IS_ADJ_GROSS_PROFIT_AS_REPORTED/1M", "FPR=2022Y", "FPT=A", "FA_ACT_EST_DATA=E, EST_SOURCE=CWN", "ACT_EST_MAPPING=PRECISE", "FS=MRC", "CURRENCY=USD", "XLFILL=b")</f>
        <v/>
      </c>
      <c r="AC55" s="9" t="str">
        <f>_xll.BQL("CRM US Equity", "IS_ADJ_GROSS_PROFIT_AS_REPORTED/1M", "FPR=2022Y", "FPT=A", "FA_ACT_EST_DATA=E, EST_SOURCE=BNS", "ACT_EST_MAPPING=PRECISE", "FS=MRC", "CURRENCY=USD", "XLFILL=b")</f>
        <v/>
      </c>
      <c r="AD55" s="9" t="str">
        <f>_xll.BQL("CRM US Equity", "IS_ADJ_GROSS_PROFIT_AS_REPORTED/1M", "FPR=2022Y", "FPT=A", "FA_ACT_EST_DATA=E, EST_SOURCE=BAM", "ACT_EST_MAPPING=PRECISE", "FS=MRC", "CURRENCY=USD", "XLFILL=b")</f>
        <v/>
      </c>
      <c r="AE55" s="9" t="str">
        <f>_xll.BQL("CRM US Equity", "IS_ADJ_GROSS_PROFIT_AS_REPORTED/1M", "FPR=2022Y", "FPT=A", "FA_ACT_EST_DATA=E, EST_SOURCE=RBC", "ACT_EST_MAPPING=PRECISE", "FS=MRC", "CURRENCY=USD", "XLFILL=b")</f>
        <v/>
      </c>
      <c r="AF55" s="9" t="str">
        <f>_xll.BQL("CRM US Equity", "IS_ADJ_GROSS_PROFIT_AS_REPORTED/1M", "FPR=2022Y", "FPT=A", "FA_ACT_EST_DATA=E, EST_SOURCE=UBS", "ACT_EST_MAPPING=PRECISE", "FS=MRC", "CURRENCY=USD", "XLFILL=b")</f>
        <v/>
      </c>
      <c r="AG55" s="9" t="str">
        <f>_xll.BQL("CRM US Equity", "IS_ADJ_GROSS_PROFIT_AS_REPORTED/1M", "FPR=2022Y", "FPT=A", "FA_ACT_EST_DATA=E, EST_SOURCE=RHR", "ACT_EST_MAPPING=PRECISE", "FS=MRC", "CURRENCY=USD", "XLFILL=b")</f>
        <v/>
      </c>
      <c r="AH55" s="9" t="str">
        <f>_xll.BQL("CRM US Equity", "IS_ADJ_GROSS_PROFIT_AS_REPORTED/1M", "FPR=2022Y", "FPT=A", "FA_ACT_EST_DATA=E, EST_SOURCE=JEF", "ACT_EST_MAPPING=PRECISE", "FS=MRC", "CURRENCY=USD", "XLFILL=b")</f>
        <v/>
      </c>
      <c r="AI55" s="9" t="str">
        <f>_xll.BQL("CRM US Equity", "IS_ADJ_GROSS_PROFIT_AS_REPORTED/1M", "FPR=2022Y", "FPT=A", "FA_ACT_EST_DATA=E, EST_SOURCE=ATL", "ACT_EST_MAPPING=PRECISE", "FS=MRC", "CURRENCY=USD", "XLFILL=b")</f>
        <v/>
      </c>
      <c r="AJ55" s="9" t="str">
        <f>_xll.BQL("CRM US Equity", "IS_ADJ_GROSS_PROFIT_AS_REPORTED/1M", "FPR=2022Y", "FPT=A", "FA_ACT_EST_DATA=E, EST_SOURCE=MAC", "ACT_EST_MAPPING=PRECISE", "FS=MRC", "CURRENCY=USD", "XLFILL=b")</f>
        <v/>
      </c>
      <c r="AK55" s="9" t="str">
        <f>_xll.BQL("CRM US Equity", "IS_ADJ_GROSS_PROFIT_AS_REPORTED/1M", "FPR=2022Y", "FPT=A", "FA_ACT_EST_DATA=E, EST_SOURCE=EVR", "ACT_EST_MAPPING=PRECISE", "FS=MRC", "CURRENCY=USD", "XLFILL=b")</f>
        <v/>
      </c>
      <c r="AL55" s="9" t="str">
        <f>_xll.BQL("CRM US Equity", "IS_ADJ_GROSS_PROFIT_AS_REPORTED/1M", "FPR=2022Y", "FPT=A", "FA_ACT_EST_DATA=E, EST_SOURCE=MSR", "ACT_EST_MAPPING=PRECISE", "FS=MRC", "CURRENCY=USD", "XLFILL=b")</f>
        <v/>
      </c>
      <c r="AM55" s="9" t="str">
        <f>_xll.BQL("CRM US Equity", "IS_ADJ_GROSS_PROFIT_AS_REPORTED/1M", "FPR=2022Y", "FPT=A", "FA_ACT_EST_DATA=E, EST_SOURCE=KGI", "ACT_EST_MAPPING=PRECISE", "FS=MRC", "CURRENCY=USD", "XLFILL=b")</f>
        <v/>
      </c>
      <c r="AN55" s="9" t="str">
        <f>_xll.BQL("CRM US Equity", "IS_ADJ_GROSS_PROFIT_AS_REPORTED/1M", "FPR=2022Y", "FPT=A", "FA_ACT_EST_DATA=E, EST_SOURCE=ACC", "ACT_EST_MAPPING=PRECISE", "FS=MRC", "CURRENCY=USD", "XLFILL=b")</f>
        <v/>
      </c>
      <c r="AO55" s="9" t="str">
        <f>_xll.BQL("CRM US Equity", "IS_ADJ_GROSS_PROFIT_AS_REPORTED/1M", "FPR=2022Y", "FPT=A", "FA_ACT_EST_DATA=E, EST_SOURCE=GSR", "ACT_EST_MAPPING=PRECISE", "FS=MRC", "CURRENCY=USD", "XLFILL=b")</f>
        <v/>
      </c>
      <c r="AP55" s="9" t="str">
        <f>_xll.BQL("CRM US Equity", "IS_ADJ_GROSS_PROFIT_AS_REPORTED/1M", "FPR=2022Y", "FPT=A", "FA_ACT_EST_DATA=E, EST_SOURCE=PSG", "ACT_EST_MAPPING=PRECISE", "FS=MRC", "CURRENCY=USD", "XLFILL=b")</f>
        <v/>
      </c>
      <c r="AQ55" s="9" t="str">
        <f>_xll.BQL("CRM US Equity", "IS_ADJ_GROSS_PROFIT_AS_REPORTED/1M", "FPR=2022Y", "FPT=A", "FA_ACT_EST_DATA=E, EST_SOURCE=DWI", "ACT_EST_MAPPING=PRECISE", "FS=MRC", "CURRENCY=USD", "XLFILL=b")</f>
        <v/>
      </c>
      <c r="AR55" s="9" t="str">
        <f>_xll.BQL("CRM US Equity", "IS_ADJ_GROSS_PROFIT_AS_REPORTED/1M", "FPR=2022Y", "FPT=A", "FA_ACT_EST_DATA=E, EST_SOURCE=RWB", "ACT_EST_MAPPING=PRECISE", "FS=MRC", "CURRENCY=USD", "XLFILL=b")</f>
        <v/>
      </c>
      <c r="AS55" s="9" t="str">
        <f>_xll.BQL("CRM US Equity", "IS_ADJ_GROSS_PROFIT_AS_REPORTED/1M", "FPR=2022Y", "FPT=A", "FA_ACT_EST_DATA=E, EST_SOURCE=ARG", "ACT_EST_MAPPING=PRECISE", "FS=MRC", "CURRENCY=USD", "XLFILL=b")</f>
        <v/>
      </c>
      <c r="AT55" s="9" t="str">
        <f>_xll.BQL("CRM US Equity", "IS_ADJ_GROSS_PROFIT_AS_REPORTED/1M", "FPR=2022Y", "FPT=A", "FA_ACT_EST_DATA=E, EST_SOURCE=CTI", "ACT_EST_MAPPING=PRECISE", "FS=MRC", "CURRENCY=USD", "XLFILL=b")</f>
        <v/>
      </c>
      <c r="AU55" s="9" t="str">
        <f>_xll.BQL("CRM US Equity", "IS_ADJ_GROSS_PROFIT_AS_REPORTED/1M", "FPR=2022Y", "FPT=A", "FA_ACT_EST_DATA=E, EST_SOURCE=WFT", "ACT_EST_MAPPING=PRECISE", "FS=MRC", "CURRENCY=USD", "XLFILL=b")</f>
        <v/>
      </c>
      <c r="AV55" s="9" t="str">
        <f>_xll.BQL("CRM US Equity", "IS_ADJ_GROSS_PROFIT_AS_REPORTED/1M", "FPR=2022Y", "FPT=A", "FA_ACT_EST_DATA=E, EST_SOURCE=PJE", "ACT_EST_MAPPING=PRECISE", "FS=MRC", "CURRENCY=USD", "XLFILL=b")</f>
        <v/>
      </c>
      <c r="AW55" s="9" t="str">
        <f>_xll.BQL("CRM US Equity", "IS_ADJ_GROSS_PROFIT_AS_REPORTED/1M", "FPR=2022Y", "FPT=A", "FA_ACT_EST_DATA=E, EST_SOURCE=SGE", "ACT_EST_MAPPING=PRECISE", "FS=MRC", "CURRENCY=USD", "XLFILL=b")</f>
        <v/>
      </c>
      <c r="AX55" s="9" t="str">
        <f>_xll.BQL("CRM US Equity", "IS_ADJ_GROSS_PROFIT_AS_REPORTED/1M", "FPR=2022Y", "FPT=A", "FA_ACT_EST_DATA=E, EST_SOURCE=MZS", "ACT_EST_MAPPING=PRECISE", "FS=MRC", "CURRENCY=USD", "XLFILL=b")</f>
        <v/>
      </c>
      <c r="AY55" s="9" t="str">
        <f>_xll.BQL("CRM US Equity", "IS_ADJ_GROSS_PROFIT_AS_REPORTED/1M", "FPR=2022Y", "FPT=A", "FA_ACT_EST_DATA=E, EST_SOURCE=RCP", "ACT_EST_MAPPING=PRECISE", "FS=MRC", "CURRENCY=USD", "XLFILL=b")</f>
        <v/>
      </c>
      <c r="AZ55" s="9" t="str">
        <f>_xll.BQL("CRM US Equity", "IS_ADJ_GROSS_PROFIT_AS_REPORTED/1M", "FPR=2022Y", "FPT=A", "FA_ACT_EST_DATA=E, EST_SOURCE=WFR", "ACT_EST_MAPPING=PRECISE", "FS=MRC", "CURRENCY=USD", "XLFILL=b")</f>
        <v/>
      </c>
      <c r="BA55" s="9" t="str">
        <f>_xll.BQL("CRM US Equity", "IS_ADJ_GROSS_PROFIT_AS_REPORTED/1M", "FPR=2022Y", "FPT=A", "FA_ACT_EST_DATA=E, EST_SOURCE=NIK", "ACT_EST_MAPPING=PRECISE", "FS=MRC", "CURRENCY=USD", "XLFILL=b")</f>
        <v/>
      </c>
      <c r="BB55" s="9" t="str">
        <f>_xll.BQL("CRM US Equity", "IS_ADJ_GROSS_PROFIT_AS_REPORTED/1M", "FPR=2022Y", "FPT=A", "FA_ACT_EST_DATA=E, EST_SOURCE=ARE", "ACT_EST_MAPPING=PRECISE", "FS=MRC", "CURRENCY=USD", "XLFILL=b")</f>
        <v/>
      </c>
      <c r="BC55" s="9" t="str">
        <f>_xll.BQL("CRM US Equity", "IS_ADJ_GROSS_PROFIT_AS_REPORTED/1M", "FPR=2022Y", "FPT=A", "FA_ACT_EST_DATA=E, EST_SOURCE=RED", "ACT_EST_MAPPING=PRECISE", "FS=MRC", "CURRENCY=USD", "XLFILL=b")</f>
        <v/>
      </c>
      <c r="BD55" s="9" t="str">
        <f>_xll.BQL("CRM US Equity", "IS_ADJ_GROSS_PROFIT_AS_REPORTED/1M", "FPR=2022Y", "FPT=A", "FA_ACT_EST_DATA=E, EST_SOURCE=DIR", "ACT_EST_MAPPING=PRECISE", "FS=MRC", "CURRENCY=USD", "XLFILL=b")</f>
        <v/>
      </c>
    </row>
    <row r="56" spans="1:56" x14ac:dyDescent="0.55000000000000004">
      <c r="A56" s="8" t="s">
        <v>43</v>
      </c>
      <c r="B56" s="5" t="s">
        <v>44</v>
      </c>
      <c r="C56" s="5" t="s">
        <v>45</v>
      </c>
      <c r="D56" s="5"/>
      <c r="E56" s="9">
        <f>_xll.BQL("CRM US Equity", "IS_COMP_GROSS_MARGIN_PERCENTAGE", "FPR=2022Y", "FPT=A", "FA_ACT_EST_DATA=E", "ACT_EST_MAPPING=PRECISE", "FS=MRC", "CURRENCY=USD", "XLFILL=b")</f>
        <v>78.610101705341833</v>
      </c>
      <c r="F56" s="9">
        <f>_xll.BQL("CRM US Equity", "CONTRIBUTOR_STATS(IS_COMP_GROSS_MARGIN_PERCENTAGE, MIN)", "FPR=2022Y", "FPT=A", "FA_ACT_EST_DATA=E", "ACT_EST_MAPPING=PRECISE", "FS=MRC", "CURRENCY=USD", "XLFILL=b")</f>
        <v>78</v>
      </c>
      <c r="G56" s="9">
        <f>_xll.BQL("CRM US Equity", "CONTRIBUTOR_STATS(IS_COMP_GROSS_MARGIN_PERCENTAGE, MAX)", "FPR=2022Y", "FPT=A", "FA_ACT_EST_DATA=E", "ACT_EST_MAPPING=PRECISE", "FS=MRC", "CURRENCY=USD", "XLFILL=b")</f>
        <v>79.069213087557301</v>
      </c>
      <c r="H56" s="9">
        <f>_xll.BQL("CRM US Equity", "CONTRIBUTOR_STATS(IS_COMP_GROSS_MARGIN_PERCENTAGE, STD)", "FPR=2022Y", "FPT=A", "FA_ACT_EST_DATA=E", "ACT_EST_MAPPING=PRECISE", "FS=MRC", "CURRENCY=USD", "XLFILL=b")</f>
        <v>0.2428383810366363</v>
      </c>
      <c r="I56" s="9">
        <f>_xll.BQL("CRM US Equity", "CONTRIBUTOR_STATS(IS_COMP_GROSS_MARGIN_PERCENTAGE, MEDIAN)", "FPR=2022Y", "FPT=A", "FA_ACT_EST_DATA=E", "ACT_EST_MAPPING=PRECISE", "FS=MRC", "CURRENCY=USD", "XLFILL=b")</f>
        <v>78.634227763136195</v>
      </c>
      <c r="J56" s="9" t="str">
        <f>_xll.BQL("CRM US Equity", "IS_COMP_GROSS_MARGIN_PERCENTAGE", "FPR=2022Y", "FPT=A", "FA_ACT_EST_DATA=E, EST_SOURCE=CMPY", "ACT_EST_MAPPING=PRECISE", "FS=MRC", "CURRENCY=USD", "XLFILL=b")</f>
        <v/>
      </c>
      <c r="K56" s="9">
        <f>_xll.BQL("CRM US Equity", "IS_COMP_GROSS_MARGIN_PERCENTAGE", "FPR=2022Y", "FPT=A", "FA_ACT_EST_DATA=E, EST_SOURCE=WBL", "ACT_EST_MAPPING=PRECISE", "FS=MRC", "CURRENCY=USD", "XLFILL=b")</f>
        <v>78.7</v>
      </c>
      <c r="L56" s="9">
        <f>_xll.BQL("CRM US Equity", "IS_COMP_GROSS_MARGIN_PERCENTAGE", "FPR=2022Y", "FPT=A", "FA_ACT_EST_DATA=E, EST_SOURCE=BMO", "ACT_EST_MAPPING=PRECISE", "FS=MRC", "CURRENCY=USD", "XLFILL=b")</f>
        <v>78.289501915650703</v>
      </c>
      <c r="M56" s="9">
        <f>_xll.BQL("CRM US Equity", "IS_COMP_GROSS_MARGIN_PERCENTAGE", "FPR=2022Y", "FPT=A", "FA_ACT_EST_DATA=E, EST_SOURCE=BCA", "ACT_EST_MAPPING=PRECISE", "FS=MRC", "CURRENCY=USD", "XLFILL=b")</f>
        <v>78.751504198778505</v>
      </c>
      <c r="N56" s="9">
        <f>_xll.BQL("CRM US Equity", "IS_COMP_GROSS_MARGIN_PERCENTAGE", "FPR=2022Y", "FPT=A", "FA_ACT_EST_DATA=E, EST_SOURCE=SNR", "ACT_EST_MAPPING=PRECISE", "FS=MRC", "CURRENCY=USD", "XLFILL=b")</f>
        <v>78.738636363636402</v>
      </c>
      <c r="O56" s="9">
        <f>_xll.BQL("CRM US Equity", "IS_COMP_GROSS_MARGIN_PERCENTAGE", "FPR=2022Y", "FPT=A", "FA_ACT_EST_DATA=E, EST_SOURCE=MSV", "ACT_EST_MAPPING=PRECISE", "FS=MRC", "CURRENCY=USD", "XLFILL=b")</f>
        <v>79.069213087557301</v>
      </c>
      <c r="P56" s="9">
        <f>_xll.BQL("CRM US Equity", "IS_COMP_GROSS_MARGIN_PERCENTAGE", "FPR=2022Y", "FPT=A", "FA_ACT_EST_DATA=E, EST_SOURCE=DBG", "ACT_EST_MAPPING=PRECISE", "FS=MRC", "CURRENCY=USD", "XLFILL=b")</f>
        <v>78.599999999999994</v>
      </c>
      <c r="Q56" s="9">
        <f>_xll.BQL("CRM US Equity", "IS_COMP_GROSS_MARGIN_PERCENTAGE", "FPR=2022Y", "FPT=A", "FA_ACT_EST_DATA=E, EST_SOURCE=NDH", "ACT_EST_MAPPING=PRECISE", "FS=MRC", "CURRENCY=USD", "XLFILL=b")</f>
        <v>78.2</v>
      </c>
      <c r="R56" s="9">
        <f>_xll.BQL("CRM US Equity", "IS_COMP_GROSS_MARGIN_PERCENTAGE", "FPR=2022Y", "FPT=A", "FA_ACT_EST_DATA=E, EST_SOURCE=CAN", "ACT_EST_MAPPING=PRECISE", "FS=MRC", "CURRENCY=USD", "XLFILL=b")</f>
        <v>78.400000000000006</v>
      </c>
      <c r="S56" s="9">
        <f>_xll.BQL("CRM US Equity", "IS_COMP_GROSS_MARGIN_PERCENTAGE", "FPR=2022Y", "FPT=A", "FA_ACT_EST_DATA=E, EST_SOURCE=SCB", "ACT_EST_MAPPING=PRECISE", "FS=MRC", "CURRENCY=USD", "XLFILL=b")</f>
        <v>78.5193965598814</v>
      </c>
      <c r="T56" s="9" t="str">
        <f>_xll.BQL("CRM US Equity", "IS_COMP_GROSS_MARGIN_PERCENTAGE", "FPR=2022Y", "FPT=A", "FA_ACT_EST_DATA=E, EST_SOURCE=JMP", "ACT_EST_MAPPING=PRECISE", "FS=MRC", "CURRENCY=USD", "XLFILL=b")</f>
        <v/>
      </c>
      <c r="U56" s="9">
        <f>_xll.BQL("CRM US Equity", "IS_COMP_GROSS_MARGIN_PERCENTAGE", "FPR=2022Y", "FPT=A", "FA_ACT_EST_DATA=E, EST_SOURCE=RJA", "ACT_EST_MAPPING=PRECISE", "FS=MRC", "CURRENCY=USD", "XLFILL=b")</f>
        <v>78.5</v>
      </c>
      <c r="V56" s="9">
        <f>_xll.BQL("CRM US Equity", "IS_COMP_GROSS_MARGIN_PERCENTAGE", "FPR=2022Y", "FPT=A", "FA_ACT_EST_DATA=E, EST_SOURCE=OPY", "ACT_EST_MAPPING=PRECISE", "FS=MRC", "CURRENCY=USD", "XLFILL=b")</f>
        <v>78.400000000000006</v>
      </c>
      <c r="W56" s="9">
        <f>_xll.BQL("CRM US Equity", "IS_COMP_GROSS_MARGIN_PERCENTAGE", "FPR=2022Y", "FPT=A", "FA_ACT_EST_DATA=E, EST_SOURCE=JPM", "ACT_EST_MAPPING=PRECISE", "FS=MRC", "CURRENCY=USD", "XLFILL=b")</f>
        <v>78.599999999999994</v>
      </c>
      <c r="X56" s="9">
        <f>_xll.BQL("CRM US Equity", "IS_COMP_GROSS_MARGIN_PERCENTAGE", "FPR=2022Y", "FPT=A", "FA_ACT_EST_DATA=E, EST_SOURCE=FBC", "ACT_EST_MAPPING=PRECISE", "FS=MRC", "CURRENCY=USD", "XLFILL=b")</f>
        <v>78.847500173192799</v>
      </c>
      <c r="Y56" s="9">
        <f>_xll.BQL("CRM US Equity", "IS_COMP_GROSS_MARGIN_PERCENTAGE", "FPR=2022Y", "FPT=A", "FA_ACT_EST_DATA=E, EST_SOURCE=WMS", "ACT_EST_MAPPING=PRECISE", "FS=MRC", "CURRENCY=USD", "XLFILL=b")</f>
        <v>78.099999999999994</v>
      </c>
      <c r="Z56" s="9">
        <f>_xll.BQL("CRM US Equity", "IS_COMP_GROSS_MARGIN_PERCENTAGE", "FPR=2022Y", "FPT=A", "FA_ACT_EST_DATA=E, EST_SOURCE=KEY", "ACT_EST_MAPPING=PRECISE", "FS=MRC", "CURRENCY=USD", "XLFILL=b")</f>
        <v>78.7</v>
      </c>
      <c r="AA56" s="9">
        <f>_xll.BQL("CRM US Equity", "IS_COMP_GROSS_MARGIN_PERCENTAGE", "FPR=2022Y", "FPT=A", "FA_ACT_EST_DATA=E, EST_SOURCE=LCM", "ACT_EST_MAPPING=PRECISE", "FS=MRC", "CURRENCY=USD", "XLFILL=b")</f>
        <v>79</v>
      </c>
      <c r="AB56" s="9">
        <f>_xll.BQL("CRM US Equity", "IS_COMP_GROSS_MARGIN_PERCENTAGE", "FPR=2022Y", "FPT=A", "FA_ACT_EST_DATA=E, EST_SOURCE=CWN", "ACT_EST_MAPPING=PRECISE", "FS=MRC", "CURRENCY=USD", "XLFILL=b")</f>
        <v>78.7</v>
      </c>
      <c r="AC56" s="9">
        <f>_xll.BQL("CRM US Equity", "IS_COMP_GROSS_MARGIN_PERCENTAGE", "FPR=2022Y", "FPT=A", "FA_ACT_EST_DATA=E, EST_SOURCE=BNS", "ACT_EST_MAPPING=PRECISE", "FS=MRC", "CURRENCY=USD", "XLFILL=b")</f>
        <v>78.7</v>
      </c>
      <c r="AD56" s="9" t="str">
        <f>_xll.BQL("CRM US Equity", "IS_COMP_GROSS_MARGIN_PERCENTAGE", "FPR=2022Y", "FPT=A", "FA_ACT_EST_DATA=E, EST_SOURCE=BAM", "ACT_EST_MAPPING=PRECISE", "FS=MRC", "CURRENCY=USD", "XLFILL=b")</f>
        <v/>
      </c>
      <c r="AE56" s="9">
        <f>_xll.BQL("CRM US Equity", "IS_COMP_GROSS_MARGIN_PERCENTAGE", "FPR=2022Y", "FPT=A", "FA_ACT_EST_DATA=E, EST_SOURCE=RBC", "ACT_EST_MAPPING=PRECISE", "FS=MRC", "CURRENCY=USD", "XLFILL=b")</f>
        <v>78</v>
      </c>
      <c r="AF56" s="9">
        <f>_xll.BQL("CRM US Equity", "IS_COMP_GROSS_MARGIN_PERCENTAGE", "FPR=2022Y", "FPT=A", "FA_ACT_EST_DATA=E, EST_SOURCE=UBS", "ACT_EST_MAPPING=PRECISE", "FS=MRC", "CURRENCY=USD", "XLFILL=b")</f>
        <v>78.573504999999997</v>
      </c>
      <c r="AG56" s="9">
        <f>_xll.BQL("CRM US Equity", "IS_COMP_GROSS_MARGIN_PERCENTAGE", "FPR=2022Y", "FPT=A", "FA_ACT_EST_DATA=E, EST_SOURCE=RHR", "ACT_EST_MAPPING=PRECISE", "FS=MRC", "CURRENCY=USD", "XLFILL=b")</f>
        <v>78.8</v>
      </c>
      <c r="AH56" s="9">
        <f>_xll.BQL("CRM US Equity", "IS_COMP_GROSS_MARGIN_PERCENTAGE", "FPR=2022Y", "FPT=A", "FA_ACT_EST_DATA=E, EST_SOURCE=JEF", "ACT_EST_MAPPING=PRECISE", "FS=MRC", "CURRENCY=USD", "XLFILL=b")</f>
        <v>78.900000000000006</v>
      </c>
      <c r="AI56" s="9">
        <f>_xll.BQL("CRM US Equity", "IS_COMP_GROSS_MARGIN_PERCENTAGE", "FPR=2022Y", "FPT=A", "FA_ACT_EST_DATA=E, EST_SOURCE=ATL", "ACT_EST_MAPPING=PRECISE", "FS=MRC", "CURRENCY=USD", "XLFILL=b")</f>
        <v>78.889667803762904</v>
      </c>
      <c r="AJ56" s="9" t="str">
        <f>_xll.BQL("CRM US Equity", "IS_COMP_GROSS_MARGIN_PERCENTAGE", "FPR=2022Y", "FPT=A", "FA_ACT_EST_DATA=E, EST_SOURCE=MAC", "ACT_EST_MAPPING=PRECISE", "FS=MRC", "CURRENCY=USD", "XLFILL=b")</f>
        <v/>
      </c>
      <c r="AK56" s="9">
        <f>_xll.BQL("CRM US Equity", "IS_COMP_GROSS_MARGIN_PERCENTAGE", "FPR=2022Y", "FPT=A", "FA_ACT_EST_DATA=E, EST_SOURCE=EVR", "ACT_EST_MAPPING=PRECISE", "FS=MRC", "CURRENCY=USD", "XLFILL=b")</f>
        <v>78.599999999999994</v>
      </c>
      <c r="AL56" s="9" t="str">
        <f>_xll.BQL("CRM US Equity", "IS_COMP_GROSS_MARGIN_PERCENTAGE", "FPR=2022Y", "FPT=A", "FA_ACT_EST_DATA=E, EST_SOURCE=MSR", "ACT_EST_MAPPING=PRECISE", "FS=MRC", "CURRENCY=USD", "XLFILL=b")</f>
        <v/>
      </c>
      <c r="AM56" s="9">
        <f>_xll.BQL("CRM US Equity", "IS_COMP_GROSS_MARGIN_PERCENTAGE", "FPR=2022Y", "FPT=A", "FA_ACT_EST_DATA=E, EST_SOURCE=KGI", "ACT_EST_MAPPING=PRECISE", "FS=MRC", "CURRENCY=USD", "XLFILL=b")</f>
        <v>78.7</v>
      </c>
      <c r="AN56" s="9" t="str">
        <f>_xll.BQL("CRM US Equity", "IS_COMP_GROSS_MARGIN_PERCENTAGE", "FPR=2022Y", "FPT=A", "FA_ACT_EST_DATA=E, EST_SOURCE=ACC", "ACT_EST_MAPPING=PRECISE", "FS=MRC", "CURRENCY=USD", "XLFILL=b")</f>
        <v/>
      </c>
      <c r="AO56" s="9" t="str">
        <f>_xll.BQL("CRM US Equity", "IS_COMP_GROSS_MARGIN_PERCENTAGE", "FPR=2022Y", "FPT=A", "FA_ACT_EST_DATA=E, EST_SOURCE=GSR", "ACT_EST_MAPPING=PRECISE", "FS=MRC", "CURRENCY=USD", "XLFILL=b")</f>
        <v/>
      </c>
      <c r="AP56" s="9">
        <f>_xll.BQL("CRM US Equity", "IS_COMP_GROSS_MARGIN_PERCENTAGE", "FPR=2022Y", "FPT=A", "FA_ACT_EST_DATA=E, EST_SOURCE=PSG", "ACT_EST_MAPPING=PRECISE", "FS=MRC", "CURRENCY=USD", "XLFILL=b")</f>
        <v>78.5</v>
      </c>
      <c r="AQ56" s="9" t="str">
        <f>_xll.BQL("CRM US Equity", "IS_COMP_GROSS_MARGIN_PERCENTAGE", "FPR=2022Y", "FPT=A", "FA_ACT_EST_DATA=E, EST_SOURCE=DWI", "ACT_EST_MAPPING=PRECISE", "FS=MRC", "CURRENCY=USD", "XLFILL=b")</f>
        <v/>
      </c>
      <c r="AR56" s="9">
        <f>_xll.BQL("CRM US Equity", "IS_COMP_GROSS_MARGIN_PERCENTAGE", "FPR=2022Y", "FPT=A", "FA_ACT_EST_DATA=E, EST_SOURCE=RWB", "ACT_EST_MAPPING=PRECISE", "FS=MRC", "CURRENCY=USD", "XLFILL=b")</f>
        <v>78.3</v>
      </c>
      <c r="AS56" s="9" t="str">
        <f>_xll.BQL("CRM US Equity", "IS_COMP_GROSS_MARGIN_PERCENTAGE", "FPR=2022Y", "FPT=A", "FA_ACT_EST_DATA=E, EST_SOURCE=ARG", "ACT_EST_MAPPING=PRECISE", "FS=MRC", "CURRENCY=USD", "XLFILL=b")</f>
        <v/>
      </c>
      <c r="AT56" s="9" t="str">
        <f>_xll.BQL("CRM US Equity", "IS_COMP_GROSS_MARGIN_PERCENTAGE", "FPR=2022Y", "FPT=A", "FA_ACT_EST_DATA=E, EST_SOURCE=CTI", "ACT_EST_MAPPING=PRECISE", "FS=MRC", "CURRENCY=USD", "XLFILL=b")</f>
        <v/>
      </c>
      <c r="AU56" s="9" t="str">
        <f>_xll.BQL("CRM US Equity", "IS_COMP_GROSS_MARGIN_PERCENTAGE", "FPR=2022Y", "FPT=A", "FA_ACT_EST_DATA=E, EST_SOURCE=WFT", "ACT_EST_MAPPING=PRECISE", "FS=MRC", "CURRENCY=USD", "XLFILL=b")</f>
        <v/>
      </c>
      <c r="AV56" s="9" t="str">
        <f>_xll.BQL("CRM US Equity", "IS_COMP_GROSS_MARGIN_PERCENTAGE", "FPR=2022Y", "FPT=A", "FA_ACT_EST_DATA=E, EST_SOURCE=PJE", "ACT_EST_MAPPING=PRECISE", "FS=MRC", "CURRENCY=USD", "XLFILL=b")</f>
        <v/>
      </c>
      <c r="AW56" s="9" t="str">
        <f>_xll.BQL("CRM US Equity", "IS_COMP_GROSS_MARGIN_PERCENTAGE", "FPR=2022Y", "FPT=A", "FA_ACT_EST_DATA=E, EST_SOURCE=SGE", "ACT_EST_MAPPING=PRECISE", "FS=MRC", "CURRENCY=USD", "XLFILL=b")</f>
        <v/>
      </c>
      <c r="AX56" s="9" t="str">
        <f>_xll.BQL("CRM US Equity", "IS_COMP_GROSS_MARGIN_PERCENTAGE", "FPR=2022Y", "FPT=A", "FA_ACT_EST_DATA=E, EST_SOURCE=MZS", "ACT_EST_MAPPING=PRECISE", "FS=MRC", "CURRENCY=USD", "XLFILL=b")</f>
        <v/>
      </c>
      <c r="AY56" s="9" t="str">
        <f>_xll.BQL("CRM US Equity", "IS_COMP_GROSS_MARGIN_PERCENTAGE", "FPR=2022Y", "FPT=A", "FA_ACT_EST_DATA=E, EST_SOURCE=RCP", "ACT_EST_MAPPING=PRECISE", "FS=MRC", "CURRENCY=USD", "XLFILL=b")</f>
        <v/>
      </c>
      <c r="AZ56" s="9" t="str">
        <f>_xll.BQL("CRM US Equity", "IS_COMP_GROSS_MARGIN_PERCENTAGE", "FPR=2022Y", "FPT=A", "FA_ACT_EST_DATA=E, EST_SOURCE=WFR", "ACT_EST_MAPPING=PRECISE", "FS=MRC", "CURRENCY=USD", "XLFILL=b")</f>
        <v/>
      </c>
      <c r="BA56" s="9" t="str">
        <f>_xll.BQL("CRM US Equity", "IS_COMP_GROSS_MARGIN_PERCENTAGE", "FPR=2022Y", "FPT=A", "FA_ACT_EST_DATA=E, EST_SOURCE=NIK", "ACT_EST_MAPPING=PRECISE", "FS=MRC", "CURRENCY=USD", "XLFILL=b")</f>
        <v/>
      </c>
      <c r="BB56" s="9" t="str">
        <f>_xll.BQL("CRM US Equity", "IS_COMP_GROSS_MARGIN_PERCENTAGE", "FPR=2022Y", "FPT=A", "FA_ACT_EST_DATA=E, EST_SOURCE=ARE", "ACT_EST_MAPPING=PRECISE", "FS=MRC", "CURRENCY=USD", "XLFILL=b")</f>
        <v/>
      </c>
      <c r="BC56" s="9" t="str">
        <f>_xll.BQL("CRM US Equity", "IS_COMP_GROSS_MARGIN_PERCENTAGE", "FPR=2022Y", "FPT=A", "FA_ACT_EST_DATA=E, EST_SOURCE=RED", "ACT_EST_MAPPING=PRECISE", "FS=MRC", "CURRENCY=USD", "XLFILL=b")</f>
        <v/>
      </c>
      <c r="BD56" s="9" t="str">
        <f>_xll.BQL("CRM US Equity", "IS_COMP_GROSS_MARGIN_PERCENTAGE", "FPR=2022Y", "FPT=A", "FA_ACT_EST_DATA=E, EST_SOURCE=DIR", "ACT_EST_MAPPING=PRECISE", "FS=MRC", "CURRENCY=USD", "XLFILL=b")</f>
        <v/>
      </c>
    </row>
    <row r="57" spans="1:56" x14ac:dyDescent="0.55000000000000004">
      <c r="A57" s="8" t="s">
        <v>26</v>
      </c>
      <c r="B57" s="5"/>
      <c r="C57" s="5"/>
      <c r="D57" s="5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</row>
    <row r="58" spans="1:56" x14ac:dyDescent="0.55000000000000004">
      <c r="A58" s="8" t="s">
        <v>98</v>
      </c>
      <c r="B58" s="5" t="s">
        <v>99</v>
      </c>
      <c r="C58" s="5" t="s">
        <v>100</v>
      </c>
      <c r="D58" s="5"/>
      <c r="E58" s="9">
        <f>_xll.BQL("CRM US Equity", "CB_IS_ADJUSTED_OPEX/1M", "FPR=2022Y", "FPT=A", "FA_ACT_EST_DATA=E", "ACT_EST_MAPPING=PRECISE", "FS=MRC", "CURRENCY=USD", "XLFILL=b")</f>
        <v>15816.715696587878</v>
      </c>
      <c r="F58" s="9">
        <f>_xll.BQL("CRM US Equity", "CONTRIBUTOR_STATS(CB_IS_ADJUSTED_OPEX, MIN)/1M", "FPR=2022Y", "FPT=A", "FA_ACT_EST_DATA=E", "ACT_EST_MAPPING=PRECISE", "FS=MRC", "CURRENCY=USD", "XLFILL=b")</f>
        <v>15702.26188</v>
      </c>
      <c r="G58" s="9">
        <f>_xll.BQL("CRM US Equity", "CONTRIBUTOR_STATS(CB_IS_ADJUSTED_OPEX, MAX)/1M", "FPR=2022Y", "FPT=A", "FA_ACT_EST_DATA=E", "ACT_EST_MAPPING=PRECISE", "FS=MRC", "CURRENCY=USD", "XLFILL=b")</f>
        <v>15981.616582000001</v>
      </c>
      <c r="H58" s="9">
        <f>_xll.BQL("CRM US Equity", "CONTRIBUTOR_STATS(CB_IS_ADJUSTED_OPEX, STD)/1M", "FPR=2022Y", "FPT=A", "FA_ACT_EST_DATA=E", "ACT_EST_MAPPING=PRECISE", "FS=MRC", "CURRENCY=USD", "XLFILL=b")</f>
        <v>76.206197800182039</v>
      </c>
      <c r="I58" s="9">
        <f>_xll.BQL("CRM US Equity", "CONTRIBUTOR_STATS(CB_IS_ADJUSTED_OPEX, MEDIAN)/1M", "FPR=2022Y", "FPT=A", "FA_ACT_EST_DATA=E", "ACT_EST_MAPPING=PRECISE", "FS=MRC", "CURRENCY=USD", "XLFILL=b")</f>
        <v>15829.473599999999</v>
      </c>
      <c r="J58" s="9" t="str">
        <f>_xll.BQL("CRM US Equity", "CB_IS_ADJUSTED_OPEX/1M", "FPR=2022Y", "FPT=A", "FA_ACT_EST_DATA=E, EST_SOURCE=CMPY", "ACT_EST_MAPPING=PRECISE", "FS=MRC", "CURRENCY=USD", "XLFILL=b")</f>
        <v/>
      </c>
      <c r="K58" s="9" t="str">
        <f>_xll.BQL("CRM US Equity", "CB_IS_ADJUSTED_OPEX/1M", "FPR=2022Y", "FPT=A", "FA_ACT_EST_DATA=E, EST_SOURCE=WBL", "ACT_EST_MAPPING=PRECISE", "FS=MRC", "CURRENCY=USD", "XLFILL=b")</f>
        <v/>
      </c>
      <c r="L58" s="9" t="str">
        <f>_xll.BQL("CRM US Equity", "CB_IS_ADJUSTED_OPEX/1M", "FPR=2022Y", "FPT=A", "FA_ACT_EST_DATA=E, EST_SOURCE=BMO", "ACT_EST_MAPPING=PRECISE", "FS=MRC", "CURRENCY=USD", "XLFILL=b")</f>
        <v/>
      </c>
      <c r="M58" s="9">
        <f>_xll.BQL("CRM US Equity", "CB_IS_ADJUSTED_OPEX/1M", "FPR=2022Y", "FPT=A", "FA_ACT_EST_DATA=E, EST_SOURCE=BCA", "ACT_EST_MAPPING=PRECISE", "FS=MRC", "CURRENCY=USD", "XLFILL=b")</f>
        <v>15865.471298900329</v>
      </c>
      <c r="N58" s="9" t="str">
        <f>_xll.BQL("CRM US Equity", "CB_IS_ADJUSTED_OPEX/1M", "FPR=2022Y", "FPT=A", "FA_ACT_EST_DATA=E, EST_SOURCE=SNR", "ACT_EST_MAPPING=PRECISE", "FS=MRC", "CURRENCY=USD", "XLFILL=b")</f>
        <v/>
      </c>
      <c r="O58" s="9">
        <f>_xll.BQL("CRM US Equity", "CB_IS_ADJUSTED_OPEX/1M", "FPR=2022Y", "FPT=A", "FA_ACT_EST_DATA=E, EST_SOURCE=MSV", "ACT_EST_MAPPING=PRECISE", "FS=MRC", "CURRENCY=USD", "XLFILL=b")</f>
        <v>15981.616582000001</v>
      </c>
      <c r="P58" s="9">
        <f>_xll.BQL("CRM US Equity", "CB_IS_ADJUSTED_OPEX/1M", "FPR=2022Y", "FPT=A", "FA_ACT_EST_DATA=E, EST_SOURCE=DBG", "ACT_EST_MAPPING=PRECISE", "FS=MRC", "CURRENCY=USD", "XLFILL=b")</f>
        <v>15830.37459096231</v>
      </c>
      <c r="Q58" s="9">
        <f>_xll.BQL("CRM US Equity", "CB_IS_ADJUSTED_OPEX/1M", "FPR=2022Y", "FPT=A", "FA_ACT_EST_DATA=E, EST_SOURCE=NDH", "ACT_EST_MAPPING=PRECISE", "FS=MRC", "CURRENCY=USD", "XLFILL=b")</f>
        <v>15706.94735</v>
      </c>
      <c r="R58" s="9" t="str">
        <f>_xll.BQL("CRM US Equity", "CB_IS_ADJUSTED_OPEX/1M", "FPR=2022Y", "FPT=A", "FA_ACT_EST_DATA=E, EST_SOURCE=CAN", "ACT_EST_MAPPING=PRECISE", "FS=MRC", "CURRENCY=USD", "XLFILL=b")</f>
        <v/>
      </c>
      <c r="S58" s="9" t="str">
        <f>_xll.BQL("CRM US Equity", "CB_IS_ADJUSTED_OPEX/1M", "FPR=2022Y", "FPT=A", "FA_ACT_EST_DATA=E, EST_SOURCE=SCB", "ACT_EST_MAPPING=PRECISE", "FS=MRC", "CURRENCY=USD", "XLFILL=b")</f>
        <v/>
      </c>
      <c r="T58" s="9" t="str">
        <f>_xll.BQL("CRM US Equity", "CB_IS_ADJUSTED_OPEX/1M", "FPR=2022Y", "FPT=A", "FA_ACT_EST_DATA=E, EST_SOURCE=JMP", "ACT_EST_MAPPING=PRECISE", "FS=MRC", "CURRENCY=USD", "XLFILL=b")</f>
        <v/>
      </c>
      <c r="U58" s="9">
        <f>_xll.BQL("CRM US Equity", "CB_IS_ADJUSTED_OPEX/1M", "FPR=2022Y", "FPT=A", "FA_ACT_EST_DATA=E, EST_SOURCE=RJA", "ACT_EST_MAPPING=PRECISE", "FS=MRC", "CURRENCY=USD", "XLFILL=b")</f>
        <v>15820.424999999999</v>
      </c>
      <c r="V58" s="9" t="str">
        <f>_xll.BQL("CRM US Equity", "CB_IS_ADJUSTED_OPEX/1M", "FPR=2022Y", "FPT=A", "FA_ACT_EST_DATA=E, EST_SOURCE=OPY", "ACT_EST_MAPPING=PRECISE", "FS=MRC", "CURRENCY=USD", "XLFILL=b")</f>
        <v/>
      </c>
      <c r="W58" s="9" t="str">
        <f>_xll.BQL("CRM US Equity", "CB_IS_ADJUSTED_OPEX/1M", "FPR=2022Y", "FPT=A", "FA_ACT_EST_DATA=E, EST_SOURCE=JPM", "ACT_EST_MAPPING=PRECISE", "FS=MRC", "CURRENCY=USD", "XLFILL=b")</f>
        <v/>
      </c>
      <c r="X58" s="9">
        <f>_xll.BQL("CRM US Equity", "CB_IS_ADJUSTED_OPEX/1M", "FPR=2022Y", "FPT=A", "FA_ACT_EST_DATA=E, EST_SOURCE=FBC", "ACT_EST_MAPPING=PRECISE", "FS=MRC", "CURRENCY=USD", "XLFILL=b")</f>
        <v>15835.83757602267</v>
      </c>
      <c r="Y58" s="9">
        <f>_xll.BQL("CRM US Equity", "CB_IS_ADJUSTED_OPEX/1M", "FPR=2022Y", "FPT=A", "FA_ACT_EST_DATA=E, EST_SOURCE=WMS", "ACT_EST_MAPPING=PRECISE", "FS=MRC", "CURRENCY=USD", "XLFILL=b")</f>
        <v>15474.54832</v>
      </c>
      <c r="Z58" s="9">
        <f>_xll.BQL("CRM US Equity", "CB_IS_ADJUSTED_OPEX/1M", "FPR=2022Y", "FPT=A", "FA_ACT_EST_DATA=E, EST_SOURCE=KEY", "ACT_EST_MAPPING=PRECISE", "FS=MRC", "CURRENCY=USD", "XLFILL=b")</f>
        <v>15833.558738419541</v>
      </c>
      <c r="AA58" s="9" t="str">
        <f>_xll.BQL("CRM US Equity", "CB_IS_ADJUSTED_OPEX/1M", "FPR=2022Y", "FPT=A", "FA_ACT_EST_DATA=E, EST_SOURCE=LCM", "ACT_EST_MAPPING=PRECISE", "FS=MRC", "CURRENCY=USD", "XLFILL=b")</f>
        <v/>
      </c>
      <c r="AB58" s="9" t="str">
        <f>_xll.BQL("CRM US Equity", "CB_IS_ADJUSTED_OPEX/1M", "FPR=2022Y", "FPT=A", "FA_ACT_EST_DATA=E, EST_SOURCE=CWN", "ACT_EST_MAPPING=PRECISE", "FS=MRC", "CURRENCY=USD", "XLFILL=b")</f>
        <v/>
      </c>
      <c r="AC58" s="9" t="str">
        <f>_xll.BQL("CRM US Equity", "CB_IS_ADJUSTED_OPEX/1M", "FPR=2022Y", "FPT=A", "FA_ACT_EST_DATA=E, EST_SOURCE=BNS", "ACT_EST_MAPPING=PRECISE", "FS=MRC", "CURRENCY=USD", "XLFILL=b")</f>
        <v/>
      </c>
      <c r="AD58" s="9" t="str">
        <f>_xll.BQL("CRM US Equity", "CB_IS_ADJUSTED_OPEX/1M", "FPR=2022Y", "FPT=A", "FA_ACT_EST_DATA=E, EST_SOURCE=BAM", "ACT_EST_MAPPING=PRECISE", "FS=MRC", "CURRENCY=USD", "XLFILL=b")</f>
        <v/>
      </c>
      <c r="AE58" s="9" t="str">
        <f>_xll.BQL("CRM US Equity", "CB_IS_ADJUSTED_OPEX/1M", "FPR=2022Y", "FPT=A", "FA_ACT_EST_DATA=E, EST_SOURCE=RBC", "ACT_EST_MAPPING=PRECISE", "FS=MRC", "CURRENCY=USD", "XLFILL=b")</f>
        <v/>
      </c>
      <c r="AF58" s="9" t="str">
        <f>_xll.BQL("CRM US Equity", "CB_IS_ADJUSTED_OPEX/1M", "FPR=2022Y", "FPT=A", "FA_ACT_EST_DATA=E, EST_SOURCE=UBS", "ACT_EST_MAPPING=PRECISE", "FS=MRC", "CURRENCY=USD", "XLFILL=b")</f>
        <v/>
      </c>
      <c r="AG58" s="9" t="str">
        <f>_xll.BQL("CRM US Equity", "CB_IS_ADJUSTED_OPEX/1M", "FPR=2022Y", "FPT=A", "FA_ACT_EST_DATA=E, EST_SOURCE=RHR", "ACT_EST_MAPPING=PRECISE", "FS=MRC", "CURRENCY=USD", "XLFILL=b")</f>
        <v/>
      </c>
      <c r="AH58" s="9" t="str">
        <f>_xll.BQL("CRM US Equity", "CB_IS_ADJUSTED_OPEX/1M", "FPR=2022Y", "FPT=A", "FA_ACT_EST_DATA=E, EST_SOURCE=JEF", "ACT_EST_MAPPING=PRECISE", "FS=MRC", "CURRENCY=USD", "XLFILL=b")</f>
        <v/>
      </c>
      <c r="AI58" s="9" t="str">
        <f>_xll.BQL("CRM US Equity", "CB_IS_ADJUSTED_OPEX/1M", "FPR=2022Y", "FPT=A", "FA_ACT_EST_DATA=E, EST_SOURCE=ATL", "ACT_EST_MAPPING=PRECISE", "FS=MRC", "CURRENCY=USD", "XLFILL=b")</f>
        <v/>
      </c>
      <c r="AJ58" s="9" t="str">
        <f>_xll.BQL("CRM US Equity", "CB_IS_ADJUSTED_OPEX/1M", "FPR=2022Y", "FPT=A", "FA_ACT_EST_DATA=E, EST_SOURCE=MAC", "ACT_EST_MAPPING=PRECISE", "FS=MRC", "CURRENCY=USD", "XLFILL=b")</f>
        <v/>
      </c>
      <c r="AK58" s="9" t="str">
        <f>_xll.BQL("CRM US Equity", "CB_IS_ADJUSTED_OPEX/1M", "FPR=2022Y", "FPT=A", "FA_ACT_EST_DATA=E, EST_SOURCE=EVR", "ACT_EST_MAPPING=PRECISE", "FS=MRC", "CURRENCY=USD", "XLFILL=b")</f>
        <v/>
      </c>
      <c r="AL58" s="9" t="str">
        <f>_xll.BQL("CRM US Equity", "CB_IS_ADJUSTED_OPEX/1M", "FPR=2022Y", "FPT=A", "FA_ACT_EST_DATA=E, EST_SOURCE=MSR", "ACT_EST_MAPPING=PRECISE", "FS=MRC", "CURRENCY=USD", "XLFILL=b")</f>
        <v/>
      </c>
      <c r="AM58" s="9" t="str">
        <f>_xll.BQL("CRM US Equity", "CB_IS_ADJUSTED_OPEX/1M", "FPR=2022Y", "FPT=A", "FA_ACT_EST_DATA=E, EST_SOURCE=KGI", "ACT_EST_MAPPING=PRECISE", "FS=MRC", "CURRENCY=USD", "XLFILL=b")</f>
        <v/>
      </c>
      <c r="AN58" s="9" t="str">
        <f>_xll.BQL("CRM US Equity", "CB_IS_ADJUSTED_OPEX/1M", "FPR=2022Y", "FPT=A", "FA_ACT_EST_DATA=E, EST_SOURCE=ACC", "ACT_EST_MAPPING=PRECISE", "FS=MRC", "CURRENCY=USD", "XLFILL=b")</f>
        <v/>
      </c>
      <c r="AO58" s="9" t="str">
        <f>_xll.BQL("CRM US Equity", "CB_IS_ADJUSTED_OPEX/1M", "FPR=2022Y", "FPT=A", "FA_ACT_EST_DATA=E, EST_SOURCE=GSR", "ACT_EST_MAPPING=PRECISE", "FS=MRC", "CURRENCY=USD", "XLFILL=b")</f>
        <v/>
      </c>
      <c r="AP58" s="9" t="str">
        <f>_xll.BQL("CRM US Equity", "CB_IS_ADJUSTED_OPEX/1M", "FPR=2022Y", "FPT=A", "FA_ACT_EST_DATA=E, EST_SOURCE=PSG", "ACT_EST_MAPPING=PRECISE", "FS=MRC", "CURRENCY=USD", "XLFILL=b")</f>
        <v/>
      </c>
      <c r="AQ58" s="9" t="str">
        <f>_xll.BQL("CRM US Equity", "CB_IS_ADJUSTED_OPEX/1M", "FPR=2022Y", "FPT=A", "FA_ACT_EST_DATA=E, EST_SOURCE=DWI", "ACT_EST_MAPPING=PRECISE", "FS=MRC", "CURRENCY=USD", "XLFILL=b")</f>
        <v/>
      </c>
      <c r="AR58" s="9" t="str">
        <f>_xll.BQL("CRM US Equity", "CB_IS_ADJUSTED_OPEX/1M", "FPR=2022Y", "FPT=A", "FA_ACT_EST_DATA=E, EST_SOURCE=RWB", "ACT_EST_MAPPING=PRECISE", "FS=MRC", "CURRENCY=USD", "XLFILL=b")</f>
        <v/>
      </c>
      <c r="AS58" s="9" t="str">
        <f>_xll.BQL("CRM US Equity", "CB_IS_ADJUSTED_OPEX/1M", "FPR=2022Y", "FPT=A", "FA_ACT_EST_DATA=E, EST_SOURCE=ARG", "ACT_EST_MAPPING=PRECISE", "FS=MRC", "CURRENCY=USD", "XLFILL=b")</f>
        <v/>
      </c>
      <c r="AT58" s="9" t="str">
        <f>_xll.BQL("CRM US Equity", "CB_IS_ADJUSTED_OPEX/1M", "FPR=2022Y", "FPT=A", "FA_ACT_EST_DATA=E, EST_SOURCE=CTI", "ACT_EST_MAPPING=PRECISE", "FS=MRC", "CURRENCY=USD", "XLFILL=b")</f>
        <v/>
      </c>
      <c r="AU58" s="9" t="str">
        <f>_xll.BQL("CRM US Equity", "CB_IS_ADJUSTED_OPEX/1M", "FPR=2022Y", "FPT=A", "FA_ACT_EST_DATA=E, EST_SOURCE=WFT", "ACT_EST_MAPPING=PRECISE", "FS=MRC", "CURRENCY=USD", "XLFILL=b")</f>
        <v/>
      </c>
      <c r="AV58" s="9" t="str">
        <f>_xll.BQL("CRM US Equity", "CB_IS_ADJUSTED_OPEX/1M", "FPR=2022Y", "FPT=A", "FA_ACT_EST_DATA=E, EST_SOURCE=PJE", "ACT_EST_MAPPING=PRECISE", "FS=MRC", "CURRENCY=USD", "XLFILL=b")</f>
        <v/>
      </c>
      <c r="AW58" s="9" t="str">
        <f>_xll.BQL("CRM US Equity", "CB_IS_ADJUSTED_OPEX/1M", "FPR=2022Y", "FPT=A", "FA_ACT_EST_DATA=E, EST_SOURCE=SGE", "ACT_EST_MAPPING=PRECISE", "FS=MRC", "CURRENCY=USD", "XLFILL=b")</f>
        <v/>
      </c>
      <c r="AX58" s="9" t="str">
        <f>_xll.BQL("CRM US Equity", "CB_IS_ADJUSTED_OPEX/1M", "FPR=2022Y", "FPT=A", "FA_ACT_EST_DATA=E, EST_SOURCE=MZS", "ACT_EST_MAPPING=PRECISE", "FS=MRC", "CURRENCY=USD", "XLFILL=b")</f>
        <v/>
      </c>
      <c r="AY58" s="9" t="str">
        <f>_xll.BQL("CRM US Equity", "CB_IS_ADJUSTED_OPEX/1M", "FPR=2022Y", "FPT=A", "FA_ACT_EST_DATA=E, EST_SOURCE=RCP", "ACT_EST_MAPPING=PRECISE", "FS=MRC", "CURRENCY=USD", "XLFILL=b")</f>
        <v/>
      </c>
      <c r="AZ58" s="9" t="str">
        <f>_xll.BQL("CRM US Equity", "CB_IS_ADJUSTED_OPEX/1M", "FPR=2022Y", "FPT=A", "FA_ACT_EST_DATA=E, EST_SOURCE=WFR", "ACT_EST_MAPPING=PRECISE", "FS=MRC", "CURRENCY=USD", "XLFILL=b")</f>
        <v/>
      </c>
      <c r="BA58" s="9" t="str">
        <f>_xll.BQL("CRM US Equity", "CB_IS_ADJUSTED_OPEX/1M", "FPR=2022Y", "FPT=A", "FA_ACT_EST_DATA=E, EST_SOURCE=NIK", "ACT_EST_MAPPING=PRECISE", "FS=MRC", "CURRENCY=USD", "XLFILL=b")</f>
        <v/>
      </c>
      <c r="BB58" s="9" t="str">
        <f>_xll.BQL("CRM US Equity", "CB_IS_ADJUSTED_OPEX/1M", "FPR=2022Y", "FPT=A", "FA_ACT_EST_DATA=E, EST_SOURCE=ARE", "ACT_EST_MAPPING=PRECISE", "FS=MRC", "CURRENCY=USD", "XLFILL=b")</f>
        <v/>
      </c>
      <c r="BC58" s="9" t="str">
        <f>_xll.BQL("CRM US Equity", "CB_IS_ADJUSTED_OPEX/1M", "FPR=2022Y", "FPT=A", "FA_ACT_EST_DATA=E, EST_SOURCE=RED", "ACT_EST_MAPPING=PRECISE", "FS=MRC", "CURRENCY=USD", "XLFILL=b")</f>
        <v/>
      </c>
      <c r="BD58" s="9" t="str">
        <f>_xll.BQL("CRM US Equity", "CB_IS_ADJUSTED_OPEX/1M", "FPR=2022Y", "FPT=A", "FA_ACT_EST_DATA=E, EST_SOURCE=DIR", "ACT_EST_MAPPING=PRECISE", "FS=MRC", "CURRENCY=USD", "XLFILL=b")</f>
        <v/>
      </c>
    </row>
    <row r="59" spans="1:56" x14ac:dyDescent="0.55000000000000004">
      <c r="A59" s="8" t="s">
        <v>26</v>
      </c>
      <c r="B59" s="5"/>
      <c r="C59" s="5"/>
      <c r="D59" s="5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</row>
    <row r="60" spans="1:56" x14ac:dyDescent="0.55000000000000004">
      <c r="A60" s="8" t="s">
        <v>101</v>
      </c>
      <c r="B60" s="5" t="s">
        <v>47</v>
      </c>
      <c r="C60" s="5" t="s">
        <v>102</v>
      </c>
      <c r="D60" s="5"/>
      <c r="E60" s="9">
        <f>_xll.BQL("CRM US Equity", "IS_COMPARABLE_EBIT/1M", "FPR=2022Y", "FPT=A", "FA_ACT_EST_DATA=E", "ACT_EST_MAPPING=PRECISE", "FS=MRC", "CURRENCY=USD", "XLFILL=b")</f>
        <v>4926.105263157895</v>
      </c>
      <c r="F60" s="9">
        <f>_xll.BQL("CRM US Equity", "CONTRIBUTOR_STATS(IS_COMPARABLE_EBIT, MIN)/1M", "FPR=2022Y", "FPT=A", "FA_ACT_EST_DATA=E", "ACT_EST_MAPPING=PRECISE", "FS=MRC", "CURRENCY=USD", "XLFILL=b")</f>
        <v>4859</v>
      </c>
      <c r="G60" s="9">
        <f>_xll.BQL("CRM US Equity", "CONTRIBUTOR_STATS(IS_COMPARABLE_EBIT, MAX)/1M", "FPR=2022Y", "FPT=A", "FA_ACT_EST_DATA=E", "ACT_EST_MAPPING=PRECISE", "FS=MRC", "CURRENCY=USD", "XLFILL=b")</f>
        <v>5210</v>
      </c>
      <c r="H60" s="9">
        <f>_xll.BQL("CRM US Equity", "CONTRIBUTOR_STATS(IS_COMPARABLE_EBIT, STD)/1M", "FPR=2022Y", "FPT=A", "FA_ACT_EST_DATA=E", "ACT_EST_MAPPING=PRECISE", "FS=MRC", "CURRENCY=USD", "XLFILL=b")</f>
        <v>62.671511469956414</v>
      </c>
      <c r="I60" s="9">
        <f>_xll.BQL("CRM US Equity", "CONTRIBUTOR_STATS(IS_COMPARABLE_EBIT, MEDIAN)/1M", "FPR=2022Y", "FPT=A", "FA_ACT_EST_DATA=E", "ACT_EST_MAPPING=PRECISE", "FS=MRC", "CURRENCY=USD", "XLFILL=b")</f>
        <v>4910.5</v>
      </c>
      <c r="J60" s="9" t="str">
        <f>_xll.BQL("CRM US Equity", "IS_COMPARABLE_EBIT/1M", "FPR=2022Y", "FPT=A", "FA_ACT_EST_DATA=E, EST_SOURCE=CMPY", "ACT_EST_MAPPING=PRECISE", "FS=MRC", "CURRENCY=USD", "XLFILL=b")</f>
        <v/>
      </c>
      <c r="K60" s="9">
        <f>_xll.BQL("CRM US Equity", "IS_COMPARABLE_EBIT/1M", "FPR=2022Y", "FPT=A", "FA_ACT_EST_DATA=E, EST_SOURCE=WBL", "ACT_EST_MAPPING=PRECISE", "FS=MRC", "CURRENCY=USD", "XLFILL=b")</f>
        <v>4918</v>
      </c>
      <c r="L60" s="9">
        <f>_xll.BQL("CRM US Equity", "IS_COMPARABLE_EBIT/1M", "FPR=2022Y", "FPT=A", "FA_ACT_EST_DATA=E, EST_SOURCE=BMO", "ACT_EST_MAPPING=PRECISE", "FS=MRC", "CURRENCY=USD", "XLFILL=b")</f>
        <v>4904</v>
      </c>
      <c r="M60" s="9">
        <f>_xll.BQL("CRM US Equity", "IS_COMPARABLE_EBIT/1M", "FPR=2022Y", "FPT=A", "FA_ACT_EST_DATA=E, EST_SOURCE=BCA", "ACT_EST_MAPPING=PRECISE", "FS=MRC", "CURRENCY=USD", "XLFILL=b")</f>
        <v>4921</v>
      </c>
      <c r="N60" s="9">
        <f>_xll.BQL("CRM US Equity", "IS_COMPARABLE_EBIT/1M", "FPR=2022Y", "FPT=A", "FA_ACT_EST_DATA=E, EST_SOURCE=SNR", "ACT_EST_MAPPING=PRECISE", "FS=MRC", "CURRENCY=USD", "XLFILL=b")</f>
        <v>4900</v>
      </c>
      <c r="O60" s="9">
        <f>_xll.BQL("CRM US Equity", "IS_COMPARABLE_EBIT/1M", "FPR=2022Y", "FPT=A", "FA_ACT_EST_DATA=E, EST_SOURCE=MSV", "ACT_EST_MAPPING=PRECISE", "FS=MRC", "CURRENCY=USD", "XLFILL=b")</f>
        <v>424</v>
      </c>
      <c r="P60" s="9">
        <f>_xll.BQL("CRM US Equity", "IS_COMPARABLE_EBIT/1M", "FPR=2022Y", "FPT=A", "FA_ACT_EST_DATA=E, EST_SOURCE=DBG", "ACT_EST_MAPPING=PRECISE", "FS=MRC", "CURRENCY=USD", "XLFILL=b")</f>
        <v>4913</v>
      </c>
      <c r="Q60" s="9">
        <f>_xll.BQL("CRM US Equity", "IS_COMPARABLE_EBIT/1M", "FPR=2022Y", "FPT=A", "FA_ACT_EST_DATA=E, EST_SOURCE=NDH", "ACT_EST_MAPPING=PRECISE", "FS=MRC", "CURRENCY=USD", "XLFILL=b")</f>
        <v>4922</v>
      </c>
      <c r="R60" s="9">
        <f>_xll.BQL("CRM US Equity", "IS_COMPARABLE_EBIT/1M", "FPR=2022Y", "FPT=A", "FA_ACT_EST_DATA=E, EST_SOURCE=CAN", "ACT_EST_MAPPING=PRECISE", "FS=MRC", "CURRENCY=USD", "XLFILL=b")</f>
        <v>4895</v>
      </c>
      <c r="S60" s="9">
        <f>_xll.BQL("CRM US Equity", "IS_COMPARABLE_EBIT/1M", "FPR=2022Y", "FPT=A", "FA_ACT_EST_DATA=E, EST_SOURCE=SCB", "ACT_EST_MAPPING=PRECISE", "FS=MRC", "CURRENCY=USD", "XLFILL=b")</f>
        <v>5086</v>
      </c>
      <c r="T60" s="9">
        <f>_xll.BQL("CRM US Equity", "IS_COMPARABLE_EBIT/1M", "FPR=2022Y", "FPT=A", "FA_ACT_EST_DATA=E, EST_SOURCE=JMP", "ACT_EST_MAPPING=PRECISE", "FS=MRC", "CURRENCY=USD", "XLFILL=b")</f>
        <v>484</v>
      </c>
      <c r="U60" s="9">
        <f>_xll.BQL("CRM US Equity", "IS_COMPARABLE_EBIT/1M", "FPR=2022Y", "FPT=A", "FA_ACT_EST_DATA=E, EST_SOURCE=RJA", "ACT_EST_MAPPING=PRECISE", "FS=MRC", "CURRENCY=USD", "XLFILL=b")</f>
        <v>4902</v>
      </c>
      <c r="V60" s="9">
        <f>_xll.BQL("CRM US Equity", "IS_COMPARABLE_EBIT/1M", "FPR=2022Y", "FPT=A", "FA_ACT_EST_DATA=E, EST_SOURCE=OPY", "ACT_EST_MAPPING=PRECISE", "FS=MRC", "CURRENCY=USD", "XLFILL=b")</f>
        <v>4918</v>
      </c>
      <c r="W60" s="9">
        <f>_xll.BQL("CRM US Equity", "IS_COMPARABLE_EBIT/1M", "FPR=2022Y", "FPT=A", "FA_ACT_EST_DATA=E, EST_SOURCE=JPM", "ACT_EST_MAPPING=PRECISE", "FS=MRC", "CURRENCY=USD", "XLFILL=b")</f>
        <v>4904</v>
      </c>
      <c r="X60" s="9">
        <f>_xll.BQL("CRM US Equity", "IS_COMPARABLE_EBIT/1M", "FPR=2022Y", "FPT=A", "FA_ACT_EST_DATA=E, EST_SOURCE=FBC", "ACT_EST_MAPPING=PRECISE", "FS=MRC", "CURRENCY=USD", "XLFILL=b")</f>
        <v>4859</v>
      </c>
      <c r="Y60" s="9">
        <f>_xll.BQL("CRM US Equity", "IS_COMPARABLE_EBIT/1M", "FPR=2022Y", "FPT=A", "FA_ACT_EST_DATA=E, EST_SOURCE=WMS", "ACT_EST_MAPPING=PRECISE", "FS=MRC", "CURRENCY=USD", "XLFILL=b")</f>
        <v>4876</v>
      </c>
      <c r="Z60" s="9">
        <f>_xll.BQL("CRM US Equity", "IS_COMPARABLE_EBIT/1M", "FPR=2022Y", "FPT=A", "FA_ACT_EST_DATA=E, EST_SOURCE=KEY", "ACT_EST_MAPPING=PRECISE", "FS=MRC", "CURRENCY=USD", "XLFILL=b")</f>
        <v>4882</v>
      </c>
      <c r="AA60" s="9">
        <f>_xll.BQL("CRM US Equity", "IS_COMPARABLE_EBIT/1M", "FPR=2022Y", "FPT=A", "FA_ACT_EST_DATA=E, EST_SOURCE=LCM", "ACT_EST_MAPPING=PRECISE", "FS=MRC", "CURRENCY=USD", "XLFILL=b")</f>
        <v>4921</v>
      </c>
      <c r="AB60" s="9">
        <f>_xll.BQL("CRM US Equity", "IS_COMPARABLE_EBIT/1M", "FPR=2022Y", "FPT=A", "FA_ACT_EST_DATA=E, EST_SOURCE=CWN", "ACT_EST_MAPPING=PRECISE", "FS=MRC", "CURRENCY=USD", "XLFILL=b")</f>
        <v>4935</v>
      </c>
      <c r="AC60" s="9">
        <f>_xll.BQL("CRM US Equity", "IS_COMPARABLE_EBIT/1M", "FPR=2022Y", "FPT=A", "FA_ACT_EST_DATA=E, EST_SOURCE=BNS", "ACT_EST_MAPPING=PRECISE", "FS=MRC", "CURRENCY=USD", "XLFILL=b")</f>
        <v>4896</v>
      </c>
      <c r="AD60" s="9">
        <f>_xll.BQL("CRM US Equity", "IS_COMPARABLE_EBIT/1M", "FPR=2022Y", "FPT=A", "FA_ACT_EST_DATA=E, EST_SOURCE=BAM", "ACT_EST_MAPPING=PRECISE", "FS=MRC", "CURRENCY=USD", "XLFILL=b")</f>
        <v>4911</v>
      </c>
      <c r="AE60" s="9">
        <f>_xll.BQL("CRM US Equity", "IS_COMPARABLE_EBIT/1M", "FPR=2022Y", "FPT=A", "FA_ACT_EST_DATA=E, EST_SOURCE=RBC", "ACT_EST_MAPPING=PRECISE", "FS=MRC", "CURRENCY=USD", "XLFILL=b")</f>
        <v>4904</v>
      </c>
      <c r="AF60" s="9">
        <f>_xll.BQL("CRM US Equity", "IS_COMPARABLE_EBIT/1M", "FPR=2022Y", "FPT=A", "FA_ACT_EST_DATA=E, EST_SOURCE=UBS", "ACT_EST_MAPPING=PRECISE", "FS=MRC", "CURRENCY=USD", "XLFILL=b")</f>
        <v>4956</v>
      </c>
      <c r="AG60" s="9">
        <f>_xll.BQL("CRM US Equity", "IS_COMPARABLE_EBIT/1M", "FPR=2022Y", "FPT=A", "FA_ACT_EST_DATA=E, EST_SOURCE=RHR", "ACT_EST_MAPPING=PRECISE", "FS=MRC", "CURRENCY=USD", "XLFILL=b")</f>
        <v>4913</v>
      </c>
      <c r="AH60" s="9">
        <f>_xll.BQL("CRM US Equity", "IS_COMPARABLE_EBIT/1M", "FPR=2022Y", "FPT=A", "FA_ACT_EST_DATA=E, EST_SOURCE=JEF", "ACT_EST_MAPPING=PRECISE", "FS=MRC", "CURRENCY=USD", "XLFILL=b")</f>
        <v>4898</v>
      </c>
      <c r="AI60" s="9">
        <f>_xll.BQL("CRM US Equity", "IS_COMPARABLE_EBIT/1M", "FPR=2022Y", "FPT=A", "FA_ACT_EST_DATA=E, EST_SOURCE=ATL", "ACT_EST_MAPPING=PRECISE", "FS=MRC", "CURRENCY=USD", "XLFILL=b")</f>
        <v>4994</v>
      </c>
      <c r="AJ60" s="9">
        <f>_xll.BQL("CRM US Equity", "IS_COMPARABLE_EBIT/1M", "FPR=2022Y", "FPT=A", "FA_ACT_EST_DATA=E, EST_SOURCE=MAC", "ACT_EST_MAPPING=PRECISE", "FS=MRC", "CURRENCY=USD", "XLFILL=b")</f>
        <v>4906</v>
      </c>
      <c r="AK60" s="9">
        <f>_xll.BQL("CRM US Equity", "IS_COMPARABLE_EBIT/1M", "FPR=2022Y", "FPT=A", "FA_ACT_EST_DATA=E, EST_SOURCE=EVR", "ACT_EST_MAPPING=PRECISE", "FS=MRC", "CURRENCY=USD", "XLFILL=b")</f>
        <v>4921</v>
      </c>
      <c r="AL60" s="9">
        <f>_xll.BQL("CRM US Equity", "IS_COMPARABLE_EBIT/1M", "FPR=2022Y", "FPT=A", "FA_ACT_EST_DATA=E, EST_SOURCE=MSR", "ACT_EST_MAPPING=PRECISE", "FS=MRC", "CURRENCY=USD", "XLFILL=b")</f>
        <v>4922</v>
      </c>
      <c r="AM60" s="9">
        <f>_xll.BQL("CRM US Equity", "IS_COMPARABLE_EBIT/1M", "FPR=2022Y", "FPT=A", "FA_ACT_EST_DATA=E, EST_SOURCE=KGI", "ACT_EST_MAPPING=PRECISE", "FS=MRC", "CURRENCY=USD", "XLFILL=b")</f>
        <v>5267</v>
      </c>
      <c r="AN60" s="9">
        <f>_xll.BQL("CRM US Equity", "IS_COMPARABLE_EBIT/1M", "FPR=2022Y", "FPT=A", "FA_ACT_EST_DATA=E, EST_SOURCE=ACC", "ACT_EST_MAPPING=PRECISE", "FS=MRC", "CURRENCY=USD", "XLFILL=b")</f>
        <v>483</v>
      </c>
      <c r="AO60" s="9">
        <f>_xll.BQL("CRM US Equity", "IS_COMPARABLE_EBIT/1M", "FPR=2022Y", "FPT=A", "FA_ACT_EST_DATA=E, EST_SOURCE=GSR", "ACT_EST_MAPPING=PRECISE", "FS=MRC", "CURRENCY=USD", "XLFILL=b")</f>
        <v>4916</v>
      </c>
      <c r="AP60" s="9">
        <f>_xll.BQL("CRM US Equity", "IS_COMPARABLE_EBIT/1M", "FPR=2022Y", "FPT=A", "FA_ACT_EST_DATA=E, EST_SOURCE=PSG", "ACT_EST_MAPPING=PRECISE", "FS=MRC", "CURRENCY=USD", "XLFILL=b")</f>
        <v>5210</v>
      </c>
      <c r="AQ60" s="9">
        <f>_xll.BQL("CRM US Equity", "IS_COMPARABLE_EBIT/1M", "FPR=2022Y", "FPT=A", "FA_ACT_EST_DATA=E, EST_SOURCE=DWI", "ACT_EST_MAPPING=PRECISE", "FS=MRC", "CURRENCY=USD", "XLFILL=b")</f>
        <v>4900</v>
      </c>
      <c r="AR60" s="9">
        <f>_xll.BQL("CRM US Equity", "IS_COMPARABLE_EBIT/1M", "FPR=2022Y", "FPT=A", "FA_ACT_EST_DATA=E, EST_SOURCE=RWB", "ACT_EST_MAPPING=PRECISE", "FS=MRC", "CURRENCY=USD", "XLFILL=b")</f>
        <v>4875</v>
      </c>
      <c r="AS60" s="9" t="str">
        <f>_xll.BQL("CRM US Equity", "IS_COMPARABLE_EBIT/1M", "FPR=2022Y", "FPT=A", "FA_ACT_EST_DATA=E, EST_SOURCE=ARG", "ACT_EST_MAPPING=PRECISE", "FS=MRC", "CURRENCY=USD", "XLFILL=b")</f>
        <v/>
      </c>
      <c r="AT60" s="9" t="str">
        <f>_xll.BQL("CRM US Equity", "IS_COMPARABLE_EBIT/1M", "FPR=2022Y", "FPT=A", "FA_ACT_EST_DATA=E, EST_SOURCE=CTI", "ACT_EST_MAPPING=PRECISE", "FS=MRC", "CURRENCY=USD", "XLFILL=b")</f>
        <v/>
      </c>
      <c r="AU60" s="9" t="str">
        <f>_xll.BQL("CRM US Equity", "IS_COMPARABLE_EBIT/1M", "FPR=2022Y", "FPT=A", "FA_ACT_EST_DATA=E, EST_SOURCE=WFT", "ACT_EST_MAPPING=PRECISE", "FS=MRC", "CURRENCY=USD", "XLFILL=b")</f>
        <v/>
      </c>
      <c r="AV60" s="9" t="str">
        <f>_xll.BQL("CRM US Equity", "IS_COMPARABLE_EBIT/1M", "FPR=2022Y", "FPT=A", "FA_ACT_EST_DATA=E, EST_SOURCE=PJE", "ACT_EST_MAPPING=PRECISE", "FS=MRC", "CURRENCY=USD", "XLFILL=b")</f>
        <v/>
      </c>
      <c r="AW60" s="9" t="str">
        <f>_xll.BQL("CRM US Equity", "IS_COMPARABLE_EBIT/1M", "FPR=2022Y", "FPT=A", "FA_ACT_EST_DATA=E, EST_SOURCE=SGE", "ACT_EST_MAPPING=PRECISE", "FS=MRC", "CURRENCY=USD", "XLFILL=b")</f>
        <v/>
      </c>
      <c r="AX60" s="9" t="str">
        <f>_xll.BQL("CRM US Equity", "IS_COMPARABLE_EBIT/1M", "FPR=2022Y", "FPT=A", "FA_ACT_EST_DATA=E, EST_SOURCE=MZS", "ACT_EST_MAPPING=PRECISE", "FS=MRC", "CURRENCY=USD", "XLFILL=b")</f>
        <v/>
      </c>
      <c r="AY60" s="9" t="str">
        <f>_xll.BQL("CRM US Equity", "IS_COMPARABLE_EBIT/1M", "FPR=2022Y", "FPT=A", "FA_ACT_EST_DATA=E, EST_SOURCE=RCP", "ACT_EST_MAPPING=PRECISE", "FS=MRC", "CURRENCY=USD", "XLFILL=b")</f>
        <v/>
      </c>
      <c r="AZ60" s="9" t="str">
        <f>_xll.BQL("CRM US Equity", "IS_COMPARABLE_EBIT/1M", "FPR=2022Y", "FPT=A", "FA_ACT_EST_DATA=E, EST_SOURCE=WFR", "ACT_EST_MAPPING=PRECISE", "FS=MRC", "CURRENCY=USD", "XLFILL=b")</f>
        <v/>
      </c>
      <c r="BA60" s="9" t="str">
        <f>_xll.BQL("CRM US Equity", "IS_COMPARABLE_EBIT/1M", "FPR=2022Y", "FPT=A", "FA_ACT_EST_DATA=E, EST_SOURCE=NIK", "ACT_EST_MAPPING=PRECISE", "FS=MRC", "CURRENCY=USD", "XLFILL=b")</f>
        <v/>
      </c>
      <c r="BB60" s="9" t="str">
        <f>_xll.BQL("CRM US Equity", "IS_COMPARABLE_EBIT/1M", "FPR=2022Y", "FPT=A", "FA_ACT_EST_DATA=E, EST_SOURCE=ARE", "ACT_EST_MAPPING=PRECISE", "FS=MRC", "CURRENCY=USD", "XLFILL=b")</f>
        <v/>
      </c>
      <c r="BC60" s="9" t="str">
        <f>_xll.BQL("CRM US Equity", "IS_COMPARABLE_EBIT/1M", "FPR=2022Y", "FPT=A", "FA_ACT_EST_DATA=E, EST_SOURCE=RED", "ACT_EST_MAPPING=PRECISE", "FS=MRC", "CURRENCY=USD", "XLFILL=b")</f>
        <v/>
      </c>
      <c r="BD60" s="9" t="str">
        <f>_xll.BQL("CRM US Equity", "IS_COMPARABLE_EBIT/1M", "FPR=2022Y", "FPT=A", "FA_ACT_EST_DATA=E, EST_SOURCE=DIR", "ACT_EST_MAPPING=PRECISE", "FS=MRC", "CURRENCY=USD", "XLFILL=b")</f>
        <v/>
      </c>
    </row>
    <row r="61" spans="1:56" x14ac:dyDescent="0.55000000000000004">
      <c r="A61" s="8" t="s">
        <v>49</v>
      </c>
      <c r="B61" s="5" t="s">
        <v>50</v>
      </c>
      <c r="C61" s="5" t="s">
        <v>51</v>
      </c>
      <c r="D61" s="5"/>
      <c r="E61" s="9">
        <f>_xll.BQL("CRM US Equity", "ADJ_OPERATING_MARGIN", "FPR=2022Y", "FPT=A", "FA_ACT_EST_DATA=E", "ACT_EST_MAPPING=PRECISE", "FS=MRC", "CURRENCY=USD", "XLFILL=b")</f>
        <v>18.639690654329922</v>
      </c>
      <c r="F61" s="9">
        <f>_xll.BQL("CRM US Equity", "CONTRIBUTOR_STATS(ADJ_OPERATING_MARGIN, MIN)", "FPR=2022Y", "FPT=A", "FA_ACT_EST_DATA=E", "ACT_EST_MAPPING=PRECISE", "FS=MRC", "CURRENCY=USD", "XLFILL=b")</f>
        <v>18.541102272727279</v>
      </c>
      <c r="G61" s="9">
        <f>_xll.BQL("CRM US Equity", "CONTRIBUTOR_STATS(ADJ_OPERATING_MARGIN, MAX)", "FPR=2022Y", "FPT=A", "FA_ACT_EST_DATA=E", "ACT_EST_MAPPING=PRECISE", "FS=MRC", "CURRENCY=USD", "XLFILL=b")</f>
        <v>19.196068038204121</v>
      </c>
      <c r="H61" s="9">
        <f>_xll.BQL("CRM US Equity", "CONTRIBUTOR_STATS(ADJ_OPERATING_MARGIN, STD)", "FPR=2022Y", "FPT=A", "FA_ACT_EST_DATA=E", "ACT_EST_MAPPING=PRECISE", "FS=MRC", "CURRENCY=USD", "XLFILL=b")</f>
        <v>0.15346615431085389</v>
      </c>
      <c r="I61" s="9">
        <f>_xll.BQL("CRM US Equity", "CONTRIBUTOR_STATS(ADJ_OPERATING_MARGIN, MEDIAN)", "FPR=2022Y", "FPT=A", "FA_ACT_EST_DATA=E", "ACT_EST_MAPPING=PRECISE", "FS=MRC", "CURRENCY=USD", "XLFILL=b")</f>
        <v>18.607424962347121</v>
      </c>
      <c r="J61" s="9" t="str">
        <f>_xll.BQL("CRM US Equity", "ADJ_OPERATING_MARGIN", "FPR=2022Y", "FPT=A", "FA_ACT_EST_DATA=E, EST_SOURCE=CMPY", "ACT_EST_MAPPING=PRECISE", "FS=MRC", "CURRENCY=USD", "XLFILL=b")</f>
        <v/>
      </c>
      <c r="K61" s="9" t="str">
        <f>_xll.BQL("CRM US Equity", "ADJ_OPERATING_MARGIN", "FPR=2022Y", "FPT=A", "FA_ACT_EST_DATA=E, EST_SOURCE=WBL", "ACT_EST_MAPPING=PRECISE", "FS=MRC", "CURRENCY=USD", "XLFILL=b")</f>
        <v/>
      </c>
      <c r="L61" s="9" t="str">
        <f>_xll.BQL("CRM US Equity", "ADJ_OPERATING_MARGIN", "FPR=2022Y", "FPT=A", "FA_ACT_EST_DATA=E, EST_SOURCE=BMO", "ACT_EST_MAPPING=PRECISE", "FS=MRC", "CURRENCY=USD", "XLFILL=b")</f>
        <v/>
      </c>
      <c r="M61" s="9">
        <f>_xll.BQL("CRM US Equity", "ADJ_OPERATING_MARGIN", "FPR=2022Y", "FPT=A", "FA_ACT_EST_DATA=E, EST_SOURCE=BCA", "ACT_EST_MAPPING=PRECISE", "FS=MRC", "CURRENCY=USD", "XLFILL=b")</f>
        <v>18.64281282128038</v>
      </c>
      <c r="N61" s="9" t="str">
        <f>_xll.BQL("CRM US Equity", "ADJ_OPERATING_MARGIN", "FPR=2022Y", "FPT=A", "FA_ACT_EST_DATA=E, EST_SOURCE=SNR", "ACT_EST_MAPPING=PRECISE", "FS=MRC", "CURRENCY=USD", "XLFILL=b")</f>
        <v/>
      </c>
      <c r="O61" s="9">
        <f>_xll.BQL("CRM US Equity", "ADJ_OPERATING_MARGIN", "FPR=2022Y", "FPT=A", "FA_ACT_EST_DATA=E, EST_SOURCE=MSV", "ACT_EST_MAPPING=PRECISE", "FS=MRC", "CURRENCY=USD", "XLFILL=b")</f>
        <v>18.555220369630401</v>
      </c>
      <c r="P61" s="9" t="str">
        <f>_xll.BQL("CRM US Equity", "ADJ_OPERATING_MARGIN", "FPR=2022Y", "FPT=A", "FA_ACT_EST_DATA=E, EST_SOURCE=DBG", "ACT_EST_MAPPING=PRECISE", "FS=MRC", "CURRENCY=USD", "XLFILL=b")</f>
        <v/>
      </c>
      <c r="Q61" s="9">
        <f>_xll.BQL("CRM US Equity", "ADJ_OPERATING_MARGIN", "FPR=2022Y", "FPT=A", "FA_ACT_EST_DATA=E, EST_SOURCE=NDH", "ACT_EST_MAPPING=PRECISE", "FS=MRC", "CURRENCY=USD", "XLFILL=b")</f>
        <v>18.646212320684061</v>
      </c>
      <c r="R61" s="9" t="str">
        <f>_xll.BQL("CRM US Equity", "ADJ_OPERATING_MARGIN", "FPR=2022Y", "FPT=A", "FA_ACT_EST_DATA=E, EST_SOURCE=CAN", "ACT_EST_MAPPING=PRECISE", "FS=MRC", "CURRENCY=USD", "XLFILL=b")</f>
        <v/>
      </c>
      <c r="S61" s="9" t="str">
        <f>_xll.BQL("CRM US Equity", "ADJ_OPERATING_MARGIN", "FPR=2022Y", "FPT=A", "FA_ACT_EST_DATA=E, EST_SOURCE=SCB", "ACT_EST_MAPPING=PRECISE", "FS=MRC", "CURRENCY=USD", "XLFILL=b")</f>
        <v/>
      </c>
      <c r="T61" s="9">
        <f>_xll.BQL("CRM US Equity", "ADJ_OPERATING_MARGIN", "FPR=2022Y", "FPT=A", "FA_ACT_EST_DATA=E, EST_SOURCE=JMP", "ACT_EST_MAPPING=PRECISE", "FS=MRC", "CURRENCY=USD", "XLFILL=b")</f>
        <v>18.61918472495833</v>
      </c>
      <c r="U61" s="9">
        <f>_xll.BQL("CRM US Equity", "ADJ_OPERATING_MARGIN", "FPR=2022Y", "FPT=A", "FA_ACT_EST_DATA=E, EST_SOURCE=RJA", "ACT_EST_MAPPING=PRECISE", "FS=MRC", "CURRENCY=USD", "XLFILL=b")</f>
        <v>18.57181291336628</v>
      </c>
      <c r="V61" s="9" t="str">
        <f>_xll.BQL("CRM US Equity", "ADJ_OPERATING_MARGIN", "FPR=2022Y", "FPT=A", "FA_ACT_EST_DATA=E, EST_SOURCE=OPY", "ACT_EST_MAPPING=PRECISE", "FS=MRC", "CURRENCY=USD", "XLFILL=b")</f>
        <v/>
      </c>
      <c r="W61" s="9">
        <f>_xll.BQL("CRM US Equity", "ADJ_OPERATING_MARGIN", "FPR=2022Y", "FPT=A", "FA_ACT_EST_DATA=E, EST_SOURCE=JPM", "ACT_EST_MAPPING=PRECISE", "FS=MRC", "CURRENCY=USD", "XLFILL=b")</f>
        <v>18.577617496333719</v>
      </c>
      <c r="X61" s="9">
        <f>_xll.BQL("CRM US Equity", "ADJ_OPERATING_MARGIN", "FPR=2022Y", "FPT=A", "FA_ACT_EST_DATA=E, EST_SOURCE=FBC", "ACT_EST_MAPPING=PRECISE", "FS=MRC", "CURRENCY=USD", "XLFILL=b")</f>
        <v>18.47989689404497</v>
      </c>
      <c r="Y61" s="9">
        <f>_xll.BQL("CRM US Equity", "ADJ_OPERATING_MARGIN", "FPR=2022Y", "FPT=A", "FA_ACT_EST_DATA=E, EST_SOURCE=WMS", "ACT_EST_MAPPING=PRECISE", "FS=MRC", "CURRENCY=USD", "XLFILL=b")</f>
        <v>18.86580706299236</v>
      </c>
      <c r="Z61" s="9">
        <f>_xll.BQL("CRM US Equity", "ADJ_OPERATING_MARGIN", "FPR=2022Y", "FPT=A", "FA_ACT_EST_DATA=E, EST_SOURCE=KEY", "ACT_EST_MAPPING=PRECISE", "FS=MRC", "CURRENCY=USD", "XLFILL=b")</f>
        <v>18.56302150942296</v>
      </c>
      <c r="AA61" s="9" t="str">
        <f>_xll.BQL("CRM US Equity", "ADJ_OPERATING_MARGIN", "FPR=2022Y", "FPT=A", "FA_ACT_EST_DATA=E, EST_SOURCE=LCM", "ACT_EST_MAPPING=PRECISE", "FS=MRC", "CURRENCY=USD", "XLFILL=b")</f>
        <v/>
      </c>
      <c r="AB61" s="9" t="str">
        <f>_xll.BQL("CRM US Equity", "ADJ_OPERATING_MARGIN", "FPR=2022Y", "FPT=A", "FA_ACT_EST_DATA=E, EST_SOURCE=CWN", "ACT_EST_MAPPING=PRECISE", "FS=MRC", "CURRENCY=USD", "XLFILL=b")</f>
        <v/>
      </c>
      <c r="AC61" s="9" t="str">
        <f>_xll.BQL("CRM US Equity", "ADJ_OPERATING_MARGIN", "FPR=2022Y", "FPT=A", "FA_ACT_EST_DATA=E, EST_SOURCE=BNS", "ACT_EST_MAPPING=PRECISE", "FS=MRC", "CURRENCY=USD", "XLFILL=b")</f>
        <v/>
      </c>
      <c r="AD61" s="9" t="str">
        <f>_xll.BQL("CRM US Equity", "ADJ_OPERATING_MARGIN", "FPR=2022Y", "FPT=A", "FA_ACT_EST_DATA=E, EST_SOURCE=BAM", "ACT_EST_MAPPING=PRECISE", "FS=MRC", "CURRENCY=USD", "XLFILL=b")</f>
        <v/>
      </c>
      <c r="AE61" s="9" t="str">
        <f>_xll.BQL("CRM US Equity", "ADJ_OPERATING_MARGIN", "FPR=2022Y", "FPT=A", "FA_ACT_EST_DATA=E, EST_SOURCE=RBC", "ACT_EST_MAPPING=PRECISE", "FS=MRC", "CURRENCY=USD", "XLFILL=b")</f>
        <v/>
      </c>
      <c r="AF61" s="9" t="str">
        <f>_xll.BQL("CRM US Equity", "ADJ_OPERATING_MARGIN", "FPR=2022Y", "FPT=A", "FA_ACT_EST_DATA=E, EST_SOURCE=UBS", "ACT_EST_MAPPING=PRECISE", "FS=MRC", "CURRENCY=USD", "XLFILL=b")</f>
        <v/>
      </c>
      <c r="AG61" s="9" t="str">
        <f>_xll.BQL("CRM US Equity", "ADJ_OPERATING_MARGIN", "FPR=2022Y", "FPT=A", "FA_ACT_EST_DATA=E, EST_SOURCE=RHR", "ACT_EST_MAPPING=PRECISE", "FS=MRC", "CURRENCY=USD", "XLFILL=b")</f>
        <v/>
      </c>
      <c r="AH61" s="9" t="str">
        <f>_xll.BQL("CRM US Equity", "ADJ_OPERATING_MARGIN", "FPR=2022Y", "FPT=A", "FA_ACT_EST_DATA=E, EST_SOURCE=JEF", "ACT_EST_MAPPING=PRECISE", "FS=MRC", "CURRENCY=USD", "XLFILL=b")</f>
        <v/>
      </c>
      <c r="AI61" s="9" t="str">
        <f>_xll.BQL("CRM US Equity", "ADJ_OPERATING_MARGIN", "FPR=2022Y", "FPT=A", "FA_ACT_EST_DATA=E, EST_SOURCE=ATL", "ACT_EST_MAPPING=PRECISE", "FS=MRC", "CURRENCY=USD", "XLFILL=b")</f>
        <v/>
      </c>
      <c r="AJ61" s="9" t="str">
        <f>_xll.BQL("CRM US Equity", "ADJ_OPERATING_MARGIN", "FPR=2022Y", "FPT=A", "FA_ACT_EST_DATA=E, EST_SOURCE=MAC", "ACT_EST_MAPPING=PRECISE", "FS=MRC", "CURRENCY=USD", "XLFILL=b")</f>
        <v/>
      </c>
      <c r="AK61" s="9" t="str">
        <f>_xll.BQL("CRM US Equity", "ADJ_OPERATING_MARGIN", "FPR=2022Y", "FPT=A", "FA_ACT_EST_DATA=E, EST_SOURCE=EVR", "ACT_EST_MAPPING=PRECISE", "FS=MRC", "CURRENCY=USD", "XLFILL=b")</f>
        <v/>
      </c>
      <c r="AL61" s="9" t="str">
        <f>_xll.BQL("CRM US Equity", "ADJ_OPERATING_MARGIN", "FPR=2022Y", "FPT=A", "FA_ACT_EST_DATA=E, EST_SOURCE=MSR", "ACT_EST_MAPPING=PRECISE", "FS=MRC", "CURRENCY=USD", "XLFILL=b")</f>
        <v/>
      </c>
      <c r="AM61" s="9" t="str">
        <f>_xll.BQL("CRM US Equity", "ADJ_OPERATING_MARGIN", "FPR=2022Y", "FPT=A", "FA_ACT_EST_DATA=E, EST_SOURCE=KGI", "ACT_EST_MAPPING=PRECISE", "FS=MRC", "CURRENCY=USD", "XLFILL=b")</f>
        <v/>
      </c>
      <c r="AN61" s="9" t="str">
        <f>_xll.BQL("CRM US Equity", "ADJ_OPERATING_MARGIN", "FPR=2022Y", "FPT=A", "FA_ACT_EST_DATA=E, EST_SOURCE=ACC", "ACT_EST_MAPPING=PRECISE", "FS=MRC", "CURRENCY=USD", "XLFILL=b")</f>
        <v/>
      </c>
      <c r="AO61" s="9" t="str">
        <f>_xll.BQL("CRM US Equity", "ADJ_OPERATING_MARGIN", "FPR=2022Y", "FPT=A", "FA_ACT_EST_DATA=E, EST_SOURCE=GSR", "ACT_EST_MAPPING=PRECISE", "FS=MRC", "CURRENCY=USD", "XLFILL=b")</f>
        <v/>
      </c>
      <c r="AP61" s="9" t="str">
        <f>_xll.BQL("CRM US Equity", "ADJ_OPERATING_MARGIN", "FPR=2022Y", "FPT=A", "FA_ACT_EST_DATA=E, EST_SOURCE=PSG", "ACT_EST_MAPPING=PRECISE", "FS=MRC", "CURRENCY=USD", "XLFILL=b")</f>
        <v/>
      </c>
      <c r="AQ61" s="9" t="str">
        <f>_xll.BQL("CRM US Equity", "ADJ_OPERATING_MARGIN", "FPR=2022Y", "FPT=A", "FA_ACT_EST_DATA=E, EST_SOURCE=DWI", "ACT_EST_MAPPING=PRECISE", "FS=MRC", "CURRENCY=USD", "XLFILL=b")</f>
        <v/>
      </c>
      <c r="AR61" s="9" t="str">
        <f>_xll.BQL("CRM US Equity", "ADJ_OPERATING_MARGIN", "FPR=2022Y", "FPT=A", "FA_ACT_EST_DATA=E, EST_SOURCE=RWB", "ACT_EST_MAPPING=PRECISE", "FS=MRC", "CURRENCY=USD", "XLFILL=b")</f>
        <v/>
      </c>
      <c r="AS61" s="9" t="str">
        <f>_xll.BQL("CRM US Equity", "ADJ_OPERATING_MARGIN", "FPR=2022Y", "FPT=A", "FA_ACT_EST_DATA=E, EST_SOURCE=ARG", "ACT_EST_MAPPING=PRECISE", "FS=MRC", "CURRENCY=USD", "XLFILL=b")</f>
        <v/>
      </c>
      <c r="AT61" s="9" t="str">
        <f>_xll.BQL("CRM US Equity", "ADJ_OPERATING_MARGIN", "FPR=2022Y", "FPT=A", "FA_ACT_EST_DATA=E, EST_SOURCE=CTI", "ACT_EST_MAPPING=PRECISE", "FS=MRC", "CURRENCY=USD", "XLFILL=b")</f>
        <v/>
      </c>
      <c r="AU61" s="9" t="str">
        <f>_xll.BQL("CRM US Equity", "ADJ_OPERATING_MARGIN", "FPR=2022Y", "FPT=A", "FA_ACT_EST_DATA=E, EST_SOURCE=WFT", "ACT_EST_MAPPING=PRECISE", "FS=MRC", "CURRENCY=USD", "XLFILL=b")</f>
        <v/>
      </c>
      <c r="AV61" s="9" t="str">
        <f>_xll.BQL("CRM US Equity", "ADJ_OPERATING_MARGIN", "FPR=2022Y", "FPT=A", "FA_ACT_EST_DATA=E, EST_SOURCE=PJE", "ACT_EST_MAPPING=PRECISE", "FS=MRC", "CURRENCY=USD", "XLFILL=b")</f>
        <v/>
      </c>
      <c r="AW61" s="9" t="str">
        <f>_xll.BQL("CRM US Equity", "ADJ_OPERATING_MARGIN", "FPR=2022Y", "FPT=A", "FA_ACT_EST_DATA=E, EST_SOURCE=SGE", "ACT_EST_MAPPING=PRECISE", "FS=MRC", "CURRENCY=USD", "XLFILL=b")</f>
        <v/>
      </c>
      <c r="AX61" s="9" t="str">
        <f>_xll.BQL("CRM US Equity", "ADJ_OPERATING_MARGIN", "FPR=2022Y", "FPT=A", "FA_ACT_EST_DATA=E, EST_SOURCE=MZS", "ACT_EST_MAPPING=PRECISE", "FS=MRC", "CURRENCY=USD", "XLFILL=b")</f>
        <v/>
      </c>
      <c r="AY61" s="9" t="str">
        <f>_xll.BQL("CRM US Equity", "ADJ_OPERATING_MARGIN", "FPR=2022Y", "FPT=A", "FA_ACT_EST_DATA=E, EST_SOURCE=RCP", "ACT_EST_MAPPING=PRECISE", "FS=MRC", "CURRENCY=USD", "XLFILL=b")</f>
        <v/>
      </c>
      <c r="AZ61" s="9" t="str">
        <f>_xll.BQL("CRM US Equity", "ADJ_OPERATING_MARGIN", "FPR=2022Y", "FPT=A", "FA_ACT_EST_DATA=E, EST_SOURCE=WFR", "ACT_EST_MAPPING=PRECISE", "FS=MRC", "CURRENCY=USD", "XLFILL=b")</f>
        <v/>
      </c>
      <c r="BA61" s="9" t="str">
        <f>_xll.BQL("CRM US Equity", "ADJ_OPERATING_MARGIN", "FPR=2022Y", "FPT=A", "FA_ACT_EST_DATA=E, EST_SOURCE=NIK", "ACT_EST_MAPPING=PRECISE", "FS=MRC", "CURRENCY=USD", "XLFILL=b")</f>
        <v/>
      </c>
      <c r="BB61" s="9" t="str">
        <f>_xll.BQL("CRM US Equity", "ADJ_OPERATING_MARGIN", "FPR=2022Y", "FPT=A", "FA_ACT_EST_DATA=E, EST_SOURCE=ARE", "ACT_EST_MAPPING=PRECISE", "FS=MRC", "CURRENCY=USD", "XLFILL=b")</f>
        <v/>
      </c>
      <c r="BC61" s="9" t="str">
        <f>_xll.BQL("CRM US Equity", "ADJ_OPERATING_MARGIN", "FPR=2022Y", "FPT=A", "FA_ACT_EST_DATA=E, EST_SOURCE=RED", "ACT_EST_MAPPING=PRECISE", "FS=MRC", "CURRENCY=USD", "XLFILL=b")</f>
        <v/>
      </c>
      <c r="BD61" s="9" t="str">
        <f>_xll.BQL("CRM US Equity", "ADJ_OPERATING_MARGIN", "FPR=2022Y", "FPT=A", "FA_ACT_EST_DATA=E, EST_SOURCE=DIR", "ACT_EST_MAPPING=PRECISE", "FS=MRC", "CURRENCY=USD", "XLFILL=b")</f>
        <v/>
      </c>
    </row>
    <row r="62" spans="1:56" x14ac:dyDescent="0.55000000000000004">
      <c r="A62" s="8" t="s">
        <v>26</v>
      </c>
      <c r="B62" s="5"/>
      <c r="C62" s="5"/>
      <c r="D62" s="5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</row>
    <row r="63" spans="1:56" x14ac:dyDescent="0.55000000000000004">
      <c r="A63" s="8" t="s">
        <v>103</v>
      </c>
      <c r="B63" s="5" t="s">
        <v>104</v>
      </c>
      <c r="C63" s="5" t="s">
        <v>105</v>
      </c>
      <c r="D63" s="5"/>
      <c r="E63" s="9">
        <f>_xll.BQL("CRM US Equity", "CF_DEPR_AMORT/1M", "FPR=2022Y", "FPT=A", "FA_ACT_EST_DATA=E", "ACT_EST_MAPPING=PRECISE", "FS=MRC", "CURRENCY=USD", "XLFILL=b")</f>
        <v>3160.2068607347987</v>
      </c>
      <c r="F63" s="9">
        <f>_xll.BQL("CRM US Equity", "CONTRIBUTOR_STATS(CF_DEPR_AMORT, MIN)/1M", "FPR=2022Y", "FPT=A", "FA_ACT_EST_DATA=E", "ACT_EST_MAPPING=PRECISE", "FS=MRC", "CURRENCY=USD", "XLFILL=b")</f>
        <v>2367</v>
      </c>
      <c r="G63" s="9">
        <f>_xll.BQL("CRM US Equity", "CONTRIBUTOR_STATS(CF_DEPR_AMORT, MAX)/1M", "FPR=2022Y", "FPT=A", "FA_ACT_EST_DATA=E", "ACT_EST_MAPPING=PRECISE", "FS=MRC", "CURRENCY=USD", "XLFILL=b")</f>
        <v>3451.4856</v>
      </c>
      <c r="H63" s="9">
        <f>_xll.BQL("CRM US Equity", "CONTRIBUTOR_STATS(CF_DEPR_AMORT, STD)/1M", "FPR=2022Y", "FPT=A", "FA_ACT_EST_DATA=E", "ACT_EST_MAPPING=PRECISE", "FS=MRC", "CURRENCY=USD", "XLFILL=b")</f>
        <v>267.61063339278911</v>
      </c>
      <c r="I63" s="9">
        <f>_xll.BQL("CRM US Equity", "CONTRIBUTOR_STATS(CF_DEPR_AMORT, MEDIAN)/1M", "FPR=2022Y", "FPT=A", "FA_ACT_EST_DATA=E", "ACT_EST_MAPPING=PRECISE", "FS=MRC", "CURRENCY=USD", "XLFILL=b")</f>
        <v>3166.12</v>
      </c>
      <c r="J63" s="9" t="str">
        <f>_xll.BQL("CRM US Equity", "CF_DEPR_AMORT/1M", "FPR=2022Y", "FPT=A", "FA_ACT_EST_DATA=E, EST_SOURCE=CMPY", "ACT_EST_MAPPING=PRECISE", "FS=MRC", "CURRENCY=USD", "XLFILL=b")</f>
        <v/>
      </c>
      <c r="K63" s="9" t="str">
        <f>_xll.BQL("CRM US Equity", "CF_DEPR_AMORT/1M", "FPR=2022Y", "FPT=A", "FA_ACT_EST_DATA=E, EST_SOURCE=WBL", "ACT_EST_MAPPING=PRECISE", "FS=MRC", "CURRENCY=USD", "XLFILL=b")</f>
        <v/>
      </c>
      <c r="L63" s="9" t="str">
        <f>_xll.BQL("CRM US Equity", "CF_DEPR_AMORT/1M", "FPR=2022Y", "FPT=A", "FA_ACT_EST_DATA=E, EST_SOURCE=BMO", "ACT_EST_MAPPING=PRECISE", "FS=MRC", "CURRENCY=USD", "XLFILL=b")</f>
        <v/>
      </c>
      <c r="M63" s="9">
        <f>_xll.BQL("CRM US Equity", "CF_DEPR_AMORT/1M", "FPR=2022Y", "FPT=A", "FA_ACT_EST_DATA=E, EST_SOURCE=BCA", "ACT_EST_MAPPING=PRECISE", "FS=MRC", "CURRENCY=USD", "XLFILL=b")</f>
        <v>3021.7759999999998</v>
      </c>
      <c r="N63" s="9" t="str">
        <f>_xll.BQL("CRM US Equity", "CF_DEPR_AMORT/1M", "FPR=2022Y", "FPT=A", "FA_ACT_EST_DATA=E, EST_SOURCE=SNR", "ACT_EST_MAPPING=PRECISE", "FS=MRC", "CURRENCY=USD", "XLFILL=b")</f>
        <v/>
      </c>
      <c r="O63" s="9">
        <f>_xll.BQL("CRM US Equity", "CF_DEPR_AMORT/1M", "FPR=2022Y", "FPT=A", "FA_ACT_EST_DATA=E, EST_SOURCE=MSV", "ACT_EST_MAPPING=PRECISE", "FS=MRC", "CURRENCY=USD", "XLFILL=b")</f>
        <v>2367</v>
      </c>
      <c r="P63" s="9">
        <f>_xll.BQL("CRM US Equity", "CF_DEPR_AMORT/1M", "FPR=2022Y", "FPT=A", "FA_ACT_EST_DATA=E, EST_SOURCE=DBG", "ACT_EST_MAPPING=PRECISE", "FS=MRC", "CURRENCY=USD", "XLFILL=b")</f>
        <v>3152.8</v>
      </c>
      <c r="Q63" s="9">
        <f>_xll.BQL("CRM US Equity", "CF_DEPR_AMORT/1M", "FPR=2022Y", "FPT=A", "FA_ACT_EST_DATA=E, EST_SOURCE=NDH", "ACT_EST_MAPPING=PRECISE", "FS=MRC", "CURRENCY=USD", "XLFILL=b")</f>
        <v>3166.12</v>
      </c>
      <c r="R63" s="9" t="str">
        <f>_xll.BQL("CRM US Equity", "CF_DEPR_AMORT/1M", "FPR=2022Y", "FPT=A", "FA_ACT_EST_DATA=E, EST_SOURCE=CAN", "ACT_EST_MAPPING=PRECISE", "FS=MRC", "CURRENCY=USD", "XLFILL=b")</f>
        <v/>
      </c>
      <c r="S63" s="9" t="str">
        <f>_xll.BQL("CRM US Equity", "CF_DEPR_AMORT/1M", "FPR=2022Y", "FPT=A", "FA_ACT_EST_DATA=E, EST_SOURCE=SCB", "ACT_EST_MAPPING=PRECISE", "FS=MRC", "CURRENCY=USD", "XLFILL=b")</f>
        <v/>
      </c>
      <c r="T63" s="9">
        <f>_xll.BQL("CRM US Equity", "CF_DEPR_AMORT/1M", "FPR=2022Y", "FPT=A", "FA_ACT_EST_DATA=E, EST_SOURCE=JMP", "ACT_EST_MAPPING=PRECISE", "FS=MRC", "CURRENCY=USD", "XLFILL=b")</f>
        <v>2967</v>
      </c>
      <c r="U63" s="9">
        <f>_xll.BQL("CRM US Equity", "CF_DEPR_AMORT/1M", "FPR=2022Y", "FPT=A", "FA_ACT_EST_DATA=E, EST_SOURCE=RJA", "ACT_EST_MAPPING=PRECISE", "FS=MRC", "CURRENCY=USD", "XLFILL=b")</f>
        <v>3338.0665805975659</v>
      </c>
      <c r="V63" s="9" t="str">
        <f>_xll.BQL("CRM US Equity", "CF_DEPR_AMORT/1M", "FPR=2022Y", "FPT=A", "FA_ACT_EST_DATA=E, EST_SOURCE=OPY", "ACT_EST_MAPPING=PRECISE", "FS=MRC", "CURRENCY=USD", "XLFILL=b")</f>
        <v/>
      </c>
      <c r="W63" s="9" t="str">
        <f>_xll.BQL("CRM US Equity", "CF_DEPR_AMORT/1M", "FPR=2022Y", "FPT=A", "FA_ACT_EST_DATA=E, EST_SOURCE=JPM", "ACT_EST_MAPPING=PRECISE", "FS=MRC", "CURRENCY=USD", "XLFILL=b")</f>
        <v/>
      </c>
      <c r="X63" s="9">
        <f>_xll.BQL("CRM US Equity", "CF_DEPR_AMORT/1M", "FPR=2022Y", "FPT=A", "FA_ACT_EST_DATA=E, EST_SOURCE=FBC", "ACT_EST_MAPPING=PRECISE", "FS=MRC", "CURRENCY=USD", "XLFILL=b")</f>
        <v>2873.8583723242023</v>
      </c>
      <c r="Y63" s="9">
        <f>_xll.BQL("CRM US Equity", "CF_DEPR_AMORT/1M", "FPR=2022Y", "FPT=A", "FA_ACT_EST_DATA=E, EST_SOURCE=WMS", "ACT_EST_MAPPING=PRECISE", "FS=MRC", "CURRENCY=USD", "XLFILL=b")</f>
        <v>2596</v>
      </c>
      <c r="Z63" s="9">
        <f>_xll.BQL("CRM US Equity", "CF_DEPR_AMORT/1M", "FPR=2022Y", "FPT=A", "FA_ACT_EST_DATA=E, EST_SOURCE=KEY", "ACT_EST_MAPPING=PRECISE", "FS=MRC", "CURRENCY=USD", "XLFILL=b")</f>
        <v>2835.6001919583332</v>
      </c>
      <c r="AA63" s="9" t="str">
        <f>_xll.BQL("CRM US Equity", "CF_DEPR_AMORT/1M", "FPR=2022Y", "FPT=A", "FA_ACT_EST_DATA=E, EST_SOURCE=LCM", "ACT_EST_MAPPING=PRECISE", "FS=MRC", "CURRENCY=USD", "XLFILL=b")</f>
        <v/>
      </c>
      <c r="AB63" s="9" t="str">
        <f>_xll.BQL("CRM US Equity", "CF_DEPR_AMORT/1M", "FPR=2022Y", "FPT=A", "FA_ACT_EST_DATA=E, EST_SOURCE=CWN", "ACT_EST_MAPPING=PRECISE", "FS=MRC", "CURRENCY=USD", "XLFILL=b")</f>
        <v/>
      </c>
      <c r="AC63" s="9" t="str">
        <f>_xll.BQL("CRM US Equity", "CF_DEPR_AMORT/1M", "FPR=2022Y", "FPT=A", "FA_ACT_EST_DATA=E, EST_SOURCE=BNS", "ACT_EST_MAPPING=PRECISE", "FS=MRC", "CURRENCY=USD", "XLFILL=b")</f>
        <v/>
      </c>
      <c r="AD63" s="9" t="str">
        <f>_xll.BQL("CRM US Equity", "CF_DEPR_AMORT/1M", "FPR=2022Y", "FPT=A", "FA_ACT_EST_DATA=E, EST_SOURCE=BAM", "ACT_EST_MAPPING=PRECISE", "FS=MRC", "CURRENCY=USD", "XLFILL=b")</f>
        <v/>
      </c>
      <c r="AE63" s="9" t="str">
        <f>_xll.BQL("CRM US Equity", "CF_DEPR_AMORT/1M", "FPR=2022Y", "FPT=A", "FA_ACT_EST_DATA=E, EST_SOURCE=RBC", "ACT_EST_MAPPING=PRECISE", "FS=MRC", "CURRENCY=USD", "XLFILL=b")</f>
        <v/>
      </c>
      <c r="AF63" s="9" t="str">
        <f>_xll.BQL("CRM US Equity", "CF_DEPR_AMORT/1M", "FPR=2022Y", "FPT=A", "FA_ACT_EST_DATA=E, EST_SOURCE=UBS", "ACT_EST_MAPPING=PRECISE", "FS=MRC", "CURRENCY=USD", "XLFILL=b")</f>
        <v/>
      </c>
      <c r="AG63" s="9" t="str">
        <f>_xll.BQL("CRM US Equity", "CF_DEPR_AMORT/1M", "FPR=2022Y", "FPT=A", "FA_ACT_EST_DATA=E, EST_SOURCE=RHR", "ACT_EST_MAPPING=PRECISE", "FS=MRC", "CURRENCY=USD", "XLFILL=b")</f>
        <v/>
      </c>
      <c r="AH63" s="9" t="str">
        <f>_xll.BQL("CRM US Equity", "CF_DEPR_AMORT/1M", "FPR=2022Y", "FPT=A", "FA_ACT_EST_DATA=E, EST_SOURCE=JEF", "ACT_EST_MAPPING=PRECISE", "FS=MRC", "CURRENCY=USD", "XLFILL=b")</f>
        <v/>
      </c>
      <c r="AI63" s="9" t="str">
        <f>_xll.BQL("CRM US Equity", "CF_DEPR_AMORT/1M", "FPR=2022Y", "FPT=A", "FA_ACT_EST_DATA=E, EST_SOURCE=ATL", "ACT_EST_MAPPING=PRECISE", "FS=MRC", "CURRENCY=USD", "XLFILL=b")</f>
        <v/>
      </c>
      <c r="AJ63" s="9" t="str">
        <f>_xll.BQL("CRM US Equity", "CF_DEPR_AMORT/1M", "FPR=2022Y", "FPT=A", "FA_ACT_EST_DATA=E, EST_SOURCE=MAC", "ACT_EST_MAPPING=PRECISE", "FS=MRC", "CURRENCY=USD", "XLFILL=b")</f>
        <v/>
      </c>
      <c r="AK63" s="9" t="str">
        <f>_xll.BQL("CRM US Equity", "CF_DEPR_AMORT/1M", "FPR=2022Y", "FPT=A", "FA_ACT_EST_DATA=E, EST_SOURCE=EVR", "ACT_EST_MAPPING=PRECISE", "FS=MRC", "CURRENCY=USD", "XLFILL=b")</f>
        <v/>
      </c>
      <c r="AL63" s="9" t="str">
        <f>_xll.BQL("CRM US Equity", "CF_DEPR_AMORT/1M", "FPR=2022Y", "FPT=A", "FA_ACT_EST_DATA=E, EST_SOURCE=MSR", "ACT_EST_MAPPING=PRECISE", "FS=MRC", "CURRENCY=USD", "XLFILL=b")</f>
        <v/>
      </c>
      <c r="AM63" s="9" t="str">
        <f>_xll.BQL("CRM US Equity", "CF_DEPR_AMORT/1M", "FPR=2022Y", "FPT=A", "FA_ACT_EST_DATA=E, EST_SOURCE=KGI", "ACT_EST_MAPPING=PRECISE", "FS=MRC", "CURRENCY=USD", "XLFILL=b")</f>
        <v/>
      </c>
      <c r="AN63" s="9" t="str">
        <f>_xll.BQL("CRM US Equity", "CF_DEPR_AMORT/1M", "FPR=2022Y", "FPT=A", "FA_ACT_EST_DATA=E, EST_SOURCE=ACC", "ACT_EST_MAPPING=PRECISE", "FS=MRC", "CURRENCY=USD", "XLFILL=b")</f>
        <v/>
      </c>
      <c r="AO63" s="9" t="str">
        <f>_xll.BQL("CRM US Equity", "CF_DEPR_AMORT/1M", "FPR=2022Y", "FPT=A", "FA_ACT_EST_DATA=E, EST_SOURCE=GSR", "ACT_EST_MAPPING=PRECISE", "FS=MRC", "CURRENCY=USD", "XLFILL=b")</f>
        <v/>
      </c>
      <c r="AP63" s="9" t="str">
        <f>_xll.BQL("CRM US Equity", "CF_DEPR_AMORT/1M", "FPR=2022Y", "FPT=A", "FA_ACT_EST_DATA=E, EST_SOURCE=PSG", "ACT_EST_MAPPING=PRECISE", "FS=MRC", "CURRENCY=USD", "XLFILL=b")</f>
        <v/>
      </c>
      <c r="AQ63" s="9" t="str">
        <f>_xll.BQL("CRM US Equity", "CF_DEPR_AMORT/1M", "FPR=2022Y", "FPT=A", "FA_ACT_EST_DATA=E, EST_SOURCE=DWI", "ACT_EST_MAPPING=PRECISE", "FS=MRC", "CURRENCY=USD", "XLFILL=b")</f>
        <v/>
      </c>
      <c r="AR63" s="9" t="str">
        <f>_xll.BQL("CRM US Equity", "CF_DEPR_AMORT/1M", "FPR=2022Y", "FPT=A", "FA_ACT_EST_DATA=E, EST_SOURCE=RWB", "ACT_EST_MAPPING=PRECISE", "FS=MRC", "CURRENCY=USD", "XLFILL=b")</f>
        <v/>
      </c>
      <c r="AS63" s="9" t="str">
        <f>_xll.BQL("CRM US Equity", "CF_DEPR_AMORT/1M", "FPR=2022Y", "FPT=A", "FA_ACT_EST_DATA=E, EST_SOURCE=ARG", "ACT_EST_MAPPING=PRECISE", "FS=MRC", "CURRENCY=USD", "XLFILL=b")</f>
        <v/>
      </c>
      <c r="AT63" s="9" t="str">
        <f>_xll.BQL("CRM US Equity", "CF_DEPR_AMORT/1M", "FPR=2022Y", "FPT=A", "FA_ACT_EST_DATA=E, EST_SOURCE=CTI", "ACT_EST_MAPPING=PRECISE", "FS=MRC", "CURRENCY=USD", "XLFILL=b")</f>
        <v/>
      </c>
      <c r="AU63" s="9" t="str">
        <f>_xll.BQL("CRM US Equity", "CF_DEPR_AMORT/1M", "FPR=2022Y", "FPT=A", "FA_ACT_EST_DATA=E, EST_SOURCE=WFT", "ACT_EST_MAPPING=PRECISE", "FS=MRC", "CURRENCY=USD", "XLFILL=b")</f>
        <v/>
      </c>
      <c r="AV63" s="9" t="str">
        <f>_xll.BQL("CRM US Equity", "CF_DEPR_AMORT/1M", "FPR=2022Y", "FPT=A", "FA_ACT_EST_DATA=E, EST_SOURCE=PJE", "ACT_EST_MAPPING=PRECISE", "FS=MRC", "CURRENCY=USD", "XLFILL=b")</f>
        <v/>
      </c>
      <c r="AW63" s="9" t="str">
        <f>_xll.BQL("CRM US Equity", "CF_DEPR_AMORT/1M", "FPR=2022Y", "FPT=A", "FA_ACT_EST_DATA=E, EST_SOURCE=SGE", "ACT_EST_MAPPING=PRECISE", "FS=MRC", "CURRENCY=USD", "XLFILL=b")</f>
        <v/>
      </c>
      <c r="AX63" s="9" t="str">
        <f>_xll.BQL("CRM US Equity", "CF_DEPR_AMORT/1M", "FPR=2022Y", "FPT=A", "FA_ACT_EST_DATA=E, EST_SOURCE=MZS", "ACT_EST_MAPPING=PRECISE", "FS=MRC", "CURRENCY=USD", "XLFILL=b")</f>
        <v/>
      </c>
      <c r="AY63" s="9" t="str">
        <f>_xll.BQL("CRM US Equity", "CF_DEPR_AMORT/1M", "FPR=2022Y", "FPT=A", "FA_ACT_EST_DATA=E, EST_SOURCE=RCP", "ACT_EST_MAPPING=PRECISE", "FS=MRC", "CURRENCY=USD", "XLFILL=b")</f>
        <v/>
      </c>
      <c r="AZ63" s="9" t="str">
        <f>_xll.BQL("CRM US Equity", "CF_DEPR_AMORT/1M", "FPR=2022Y", "FPT=A", "FA_ACT_EST_DATA=E, EST_SOURCE=WFR", "ACT_EST_MAPPING=PRECISE", "FS=MRC", "CURRENCY=USD", "XLFILL=b")</f>
        <v/>
      </c>
      <c r="BA63" s="9" t="str">
        <f>_xll.BQL("CRM US Equity", "CF_DEPR_AMORT/1M", "FPR=2022Y", "FPT=A", "FA_ACT_EST_DATA=E, EST_SOURCE=NIK", "ACT_EST_MAPPING=PRECISE", "FS=MRC", "CURRENCY=USD", "XLFILL=b")</f>
        <v/>
      </c>
      <c r="BB63" s="9" t="str">
        <f>_xll.BQL("CRM US Equity", "CF_DEPR_AMORT/1M", "FPR=2022Y", "FPT=A", "FA_ACT_EST_DATA=E, EST_SOURCE=ARE", "ACT_EST_MAPPING=PRECISE", "FS=MRC", "CURRENCY=USD", "XLFILL=b")</f>
        <v/>
      </c>
      <c r="BC63" s="9" t="str">
        <f>_xll.BQL("CRM US Equity", "CF_DEPR_AMORT/1M", "FPR=2022Y", "FPT=A", "FA_ACT_EST_DATA=E, EST_SOURCE=RED", "ACT_EST_MAPPING=PRECISE", "FS=MRC", "CURRENCY=USD", "XLFILL=b")</f>
        <v/>
      </c>
      <c r="BD63" s="9" t="str">
        <f>_xll.BQL("CRM US Equity", "CF_DEPR_AMORT/1M", "FPR=2022Y", "FPT=A", "FA_ACT_EST_DATA=E, EST_SOURCE=DIR", "ACT_EST_MAPPING=PRECISE", "FS=MRC", "CURRENCY=USD", "XLFILL=b")</f>
        <v/>
      </c>
    </row>
    <row r="64" spans="1:56" x14ac:dyDescent="0.55000000000000004">
      <c r="A64" s="8" t="s">
        <v>106</v>
      </c>
      <c r="B64" s="5" t="s">
        <v>107</v>
      </c>
      <c r="C64" s="5" t="s">
        <v>108</v>
      </c>
      <c r="D64" s="5"/>
      <c r="E64" s="9">
        <f>_xll.BQL("CRM US Equity", "IS_COMPARABLE_EBITDA/1M", "FPR=2022Y", "FPT=A", "FA_ACT_EST_DATA=E", "ACT_EST_MAPPING=PRECISE", "FS=MRC", "CURRENCY=USD", "XLFILL=b")</f>
        <v>8048.0769230769238</v>
      </c>
      <c r="F64" s="9">
        <f>_xll.BQL("CRM US Equity", "CONTRIBUTOR_STATS(IS_COMPARABLE_EBITDA, MIN)/1M", "FPR=2022Y", "FPT=A", "FA_ACT_EST_DATA=E", "ACT_EST_MAPPING=PRECISE", "FS=MRC", "CURRENCY=USD", "XLFILL=b")</f>
        <v>6680</v>
      </c>
      <c r="G64" s="9">
        <f>_xll.BQL("CRM US Equity", "CONTRIBUTOR_STATS(IS_COMPARABLE_EBITDA, MAX)/1M", "FPR=2022Y", "FPT=A", "FA_ACT_EST_DATA=E", "ACT_EST_MAPPING=PRECISE", "FS=MRC", "CURRENCY=USD", "XLFILL=b")</f>
        <v>8977</v>
      </c>
      <c r="H64" s="9">
        <f>_xll.BQL("CRM US Equity", "CONTRIBUTOR_STATS(IS_COMPARABLE_EBITDA, STD)/1M", "FPR=2022Y", "FPT=A", "FA_ACT_EST_DATA=E", "ACT_EST_MAPPING=PRECISE", "FS=MRC", "CURRENCY=USD", "XLFILL=b")</f>
        <v>589.08367565489118</v>
      </c>
      <c r="I64" s="9">
        <f>_xll.BQL("CRM US Equity", "CONTRIBUTOR_STATS(IS_COMPARABLE_EBITDA, MEDIAN)/1M", "FPR=2022Y", "FPT=A", "FA_ACT_EST_DATA=E", "ACT_EST_MAPPING=PRECISE", "FS=MRC", "CURRENCY=USD", "XLFILL=b")</f>
        <v>8211</v>
      </c>
      <c r="J64" s="9" t="str">
        <f>_xll.BQL("CRM US Equity", "IS_COMPARABLE_EBITDA/1M", "FPR=2022Y", "FPT=A", "FA_ACT_EST_DATA=E, EST_SOURCE=CMPY", "ACT_EST_MAPPING=PRECISE", "FS=MRC", "CURRENCY=USD", "XLFILL=b")</f>
        <v/>
      </c>
      <c r="K64" s="9">
        <f>_xll.BQL("CRM US Equity", "IS_COMPARABLE_EBITDA/1M", "FPR=2022Y", "FPT=A", "FA_ACT_EST_DATA=E, EST_SOURCE=WBL", "ACT_EST_MAPPING=PRECISE", "FS=MRC", "CURRENCY=USD", "XLFILL=b")</f>
        <v>6470</v>
      </c>
      <c r="L64" s="9">
        <f>_xll.BQL("CRM US Equity", "IS_COMPARABLE_EBITDA/1M", "FPR=2022Y", "FPT=A", "FA_ACT_EST_DATA=E, EST_SOURCE=BMO", "ACT_EST_MAPPING=PRECISE", "FS=MRC", "CURRENCY=USD", "XLFILL=b")</f>
        <v>8211</v>
      </c>
      <c r="M64" s="9" t="str">
        <f>_xll.BQL("CRM US Equity", "IS_COMPARABLE_EBITDA/1M", "FPR=2022Y", "FPT=A", "FA_ACT_EST_DATA=E, EST_SOURCE=BCA", "ACT_EST_MAPPING=PRECISE", "FS=MRC", "CURRENCY=USD", "XLFILL=b")</f>
        <v/>
      </c>
      <c r="N64" s="9" t="str">
        <f>_xll.BQL("CRM US Equity", "IS_COMPARABLE_EBITDA/1M", "FPR=2022Y", "FPT=A", "FA_ACT_EST_DATA=E, EST_SOURCE=SNR", "ACT_EST_MAPPING=PRECISE", "FS=MRC", "CURRENCY=USD", "XLFILL=b")</f>
        <v/>
      </c>
      <c r="O64" s="9">
        <f>_xll.BQL("CRM US Equity", "IS_COMPARABLE_EBITDA/1M", "FPR=2022Y", "FPT=A", "FA_ACT_EST_DATA=E, EST_SOURCE=MSV", "ACT_EST_MAPPING=PRECISE", "FS=MRC", "CURRENCY=USD", "XLFILL=b")</f>
        <v>2535</v>
      </c>
      <c r="P64" s="9">
        <f>_xll.BQL("CRM US Equity", "IS_COMPARABLE_EBITDA/1M", "FPR=2022Y", "FPT=A", "FA_ACT_EST_DATA=E, EST_SOURCE=DBG", "ACT_EST_MAPPING=PRECISE", "FS=MRC", "CURRENCY=USD", "XLFILL=b")</f>
        <v>8066</v>
      </c>
      <c r="Q64" s="9">
        <f>_xll.BQL("CRM US Equity", "IS_COMPARABLE_EBITDA/1M", "FPR=2022Y", "FPT=A", "FA_ACT_EST_DATA=E, EST_SOURCE=NDH", "ACT_EST_MAPPING=PRECISE", "FS=MRC", "CURRENCY=USD", "XLFILL=b")</f>
        <v>8977</v>
      </c>
      <c r="R64" s="9" t="str">
        <f>_xll.BQL("CRM US Equity", "IS_COMPARABLE_EBITDA/1M", "FPR=2022Y", "FPT=A", "FA_ACT_EST_DATA=E, EST_SOURCE=CAN", "ACT_EST_MAPPING=PRECISE", "FS=MRC", "CURRENCY=USD", "XLFILL=b")</f>
        <v/>
      </c>
      <c r="S64" s="9" t="str">
        <f>_xll.BQL("CRM US Equity", "IS_COMPARABLE_EBITDA/1M", "FPR=2022Y", "FPT=A", "FA_ACT_EST_DATA=E, EST_SOURCE=SCB", "ACT_EST_MAPPING=PRECISE", "FS=MRC", "CURRENCY=USD", "XLFILL=b")</f>
        <v/>
      </c>
      <c r="T64" s="9" t="str">
        <f>_xll.BQL("CRM US Equity", "IS_COMPARABLE_EBITDA/1M", "FPR=2022Y", "FPT=A", "FA_ACT_EST_DATA=E, EST_SOURCE=JMP", "ACT_EST_MAPPING=PRECISE", "FS=MRC", "CURRENCY=USD", "XLFILL=b")</f>
        <v/>
      </c>
      <c r="U64" s="9">
        <f>_xll.BQL("CRM US Equity", "IS_COMPARABLE_EBITDA/1M", "FPR=2022Y", "FPT=A", "FA_ACT_EST_DATA=E, EST_SOURCE=RJA", "ACT_EST_MAPPING=PRECISE", "FS=MRC", "CURRENCY=USD", "XLFILL=b")</f>
        <v>5654</v>
      </c>
      <c r="V64" s="9" t="str">
        <f>_xll.BQL("CRM US Equity", "IS_COMPARABLE_EBITDA/1M", "FPR=2022Y", "FPT=A", "FA_ACT_EST_DATA=E, EST_SOURCE=OPY", "ACT_EST_MAPPING=PRECISE", "FS=MRC", "CURRENCY=USD", "XLFILL=b")</f>
        <v/>
      </c>
      <c r="W64" s="9">
        <f>_xll.BQL("CRM US Equity", "IS_COMPARABLE_EBITDA/1M", "FPR=2022Y", "FPT=A", "FA_ACT_EST_DATA=E, EST_SOURCE=JPM", "ACT_EST_MAPPING=PRECISE", "FS=MRC", "CURRENCY=USD", "XLFILL=b")</f>
        <v>4904</v>
      </c>
      <c r="X64" s="9">
        <f>_xll.BQL("CRM US Equity", "IS_COMPARABLE_EBITDA/1M", "FPR=2022Y", "FPT=A", "FA_ACT_EST_DATA=E, EST_SOURCE=FBC", "ACT_EST_MAPPING=PRECISE", "FS=MRC", "CURRENCY=USD", "XLFILL=b")</f>
        <v>8220</v>
      </c>
      <c r="Y64" s="9">
        <f>_xll.BQL("CRM US Equity", "IS_COMPARABLE_EBITDA/1M", "FPR=2022Y", "FPT=A", "FA_ACT_EST_DATA=E, EST_SOURCE=WMS", "ACT_EST_MAPPING=PRECISE", "FS=MRC", "CURRENCY=USD", "XLFILL=b")</f>
        <v>2640</v>
      </c>
      <c r="Z64" s="9" t="str">
        <f>_xll.BQL("CRM US Equity", "IS_COMPARABLE_EBITDA/1M", "FPR=2022Y", "FPT=A", "FA_ACT_EST_DATA=E, EST_SOURCE=KEY", "ACT_EST_MAPPING=PRECISE", "FS=MRC", "CURRENCY=USD", "XLFILL=b")</f>
        <v/>
      </c>
      <c r="AA64" s="9" t="str">
        <f>_xll.BQL("CRM US Equity", "IS_COMPARABLE_EBITDA/1M", "FPR=2022Y", "FPT=A", "FA_ACT_EST_DATA=E, EST_SOURCE=LCM", "ACT_EST_MAPPING=PRECISE", "FS=MRC", "CURRENCY=USD", "XLFILL=b")</f>
        <v/>
      </c>
      <c r="AB64" s="9" t="str">
        <f>_xll.BQL("CRM US Equity", "IS_COMPARABLE_EBITDA/1M", "FPR=2022Y", "FPT=A", "FA_ACT_EST_DATA=E, EST_SOURCE=CWN", "ACT_EST_MAPPING=PRECISE", "FS=MRC", "CURRENCY=USD", "XLFILL=b")</f>
        <v/>
      </c>
      <c r="AC64" s="9" t="str">
        <f>_xll.BQL("CRM US Equity", "IS_COMPARABLE_EBITDA/1M", "FPR=2022Y", "FPT=A", "FA_ACT_EST_DATA=E, EST_SOURCE=BNS", "ACT_EST_MAPPING=PRECISE", "FS=MRC", "CURRENCY=USD", "XLFILL=b")</f>
        <v/>
      </c>
      <c r="AD64" s="9">
        <f>_xll.BQL("CRM US Equity", "IS_COMPARABLE_EBITDA/1M", "FPR=2022Y", "FPT=A", "FA_ACT_EST_DATA=E, EST_SOURCE=BAM", "ACT_EST_MAPPING=PRECISE", "FS=MRC", "CURRENCY=USD", "XLFILL=b")</f>
        <v>7990</v>
      </c>
      <c r="AE64" s="9">
        <f>_xll.BQL("CRM US Equity", "IS_COMPARABLE_EBITDA/1M", "FPR=2022Y", "FPT=A", "FA_ACT_EST_DATA=E, EST_SOURCE=RBC", "ACT_EST_MAPPING=PRECISE", "FS=MRC", "CURRENCY=USD", "XLFILL=b")</f>
        <v>7013</v>
      </c>
      <c r="AF64" s="9">
        <f>_xll.BQL("CRM US Equity", "IS_COMPARABLE_EBITDA/1M", "FPR=2022Y", "FPT=A", "FA_ACT_EST_DATA=E, EST_SOURCE=UBS", "ACT_EST_MAPPING=PRECISE", "FS=MRC", "CURRENCY=USD", "XLFILL=b")</f>
        <v>8304</v>
      </c>
      <c r="AG64" s="9">
        <f>_xll.BQL("CRM US Equity", "IS_COMPARABLE_EBITDA/1M", "FPR=2022Y", "FPT=A", "FA_ACT_EST_DATA=E, EST_SOURCE=RHR", "ACT_EST_MAPPING=PRECISE", "FS=MRC", "CURRENCY=USD", "XLFILL=b")</f>
        <v>6244</v>
      </c>
      <c r="AH64" s="9" t="str">
        <f>_xll.BQL("CRM US Equity", "IS_COMPARABLE_EBITDA/1M", "FPR=2022Y", "FPT=A", "FA_ACT_EST_DATA=E, EST_SOURCE=JEF", "ACT_EST_MAPPING=PRECISE", "FS=MRC", "CURRENCY=USD", "XLFILL=b")</f>
        <v/>
      </c>
      <c r="AI64" s="9">
        <f>_xll.BQL("CRM US Equity", "IS_COMPARABLE_EBITDA/1M", "FPR=2022Y", "FPT=A", "FA_ACT_EST_DATA=E, EST_SOURCE=ATL", "ACT_EST_MAPPING=PRECISE", "FS=MRC", "CURRENCY=USD", "XLFILL=b")</f>
        <v>5009</v>
      </c>
      <c r="AJ64" s="9">
        <f>_xll.BQL("CRM US Equity", "IS_COMPARABLE_EBITDA/1M", "FPR=2022Y", "FPT=A", "FA_ACT_EST_DATA=E, EST_SOURCE=MAC", "ACT_EST_MAPPING=PRECISE", "FS=MRC", "CURRENCY=USD", "XLFILL=b")</f>
        <v>8249</v>
      </c>
      <c r="AK64" s="9" t="str">
        <f>_xll.BQL("CRM US Equity", "IS_COMPARABLE_EBITDA/1M", "FPR=2022Y", "FPT=A", "FA_ACT_EST_DATA=E, EST_SOURCE=EVR", "ACT_EST_MAPPING=PRECISE", "FS=MRC", "CURRENCY=USD", "XLFILL=b")</f>
        <v/>
      </c>
      <c r="AL64" s="9">
        <f>_xll.BQL("CRM US Equity", "IS_COMPARABLE_EBITDA/1M", "FPR=2022Y", "FPT=A", "FA_ACT_EST_DATA=E, EST_SOURCE=MSR", "ACT_EST_MAPPING=PRECISE", "FS=MRC", "CURRENCY=USD", "XLFILL=b")</f>
        <v>8343</v>
      </c>
      <c r="AM64" s="9">
        <f>_xll.BQL("CRM US Equity", "IS_COMPARABLE_EBITDA/1M", "FPR=2022Y", "FPT=A", "FA_ACT_EST_DATA=E, EST_SOURCE=KGI", "ACT_EST_MAPPING=PRECISE", "FS=MRC", "CURRENCY=USD", "XLFILL=b")</f>
        <v>8123</v>
      </c>
      <c r="AN64" s="9" t="str">
        <f>_xll.BQL("CRM US Equity", "IS_COMPARABLE_EBITDA/1M", "FPR=2022Y", "FPT=A", "FA_ACT_EST_DATA=E, EST_SOURCE=ACC", "ACT_EST_MAPPING=PRECISE", "FS=MRC", "CURRENCY=USD", "XLFILL=b")</f>
        <v/>
      </c>
      <c r="AO64" s="9">
        <f>_xll.BQL("CRM US Equity", "IS_COMPARABLE_EBITDA/1M", "FPR=2022Y", "FPT=A", "FA_ACT_EST_DATA=E, EST_SOURCE=GSR", "ACT_EST_MAPPING=PRECISE", "FS=MRC", "CURRENCY=USD", "XLFILL=b")</f>
        <v>8087</v>
      </c>
      <c r="AP64" s="9" t="str">
        <f>_xll.BQL("CRM US Equity", "IS_COMPARABLE_EBITDA/1M", "FPR=2022Y", "FPT=A", "FA_ACT_EST_DATA=E, EST_SOURCE=PSG", "ACT_EST_MAPPING=PRECISE", "FS=MRC", "CURRENCY=USD", "XLFILL=b")</f>
        <v/>
      </c>
      <c r="AQ64" s="9" t="str">
        <f>_xll.BQL("CRM US Equity", "IS_COMPARABLE_EBITDA/1M", "FPR=2022Y", "FPT=A", "FA_ACT_EST_DATA=E, EST_SOURCE=DWI", "ACT_EST_MAPPING=PRECISE", "FS=MRC", "CURRENCY=USD", "XLFILL=b")</f>
        <v/>
      </c>
      <c r="AR64" s="9">
        <f>_xll.BQL("CRM US Equity", "IS_COMPARABLE_EBITDA/1M", "FPR=2022Y", "FPT=A", "FA_ACT_EST_DATA=E, EST_SOURCE=RWB", "ACT_EST_MAPPING=PRECISE", "FS=MRC", "CURRENCY=USD", "XLFILL=b")</f>
        <v>3299</v>
      </c>
      <c r="AS64" s="9" t="str">
        <f>_xll.BQL("CRM US Equity", "IS_COMPARABLE_EBITDA/1M", "FPR=2022Y", "FPT=A", "FA_ACT_EST_DATA=E, EST_SOURCE=ARG", "ACT_EST_MAPPING=PRECISE", "FS=MRC", "CURRENCY=USD", "XLFILL=b")</f>
        <v/>
      </c>
      <c r="AT64" s="9" t="str">
        <f>_xll.BQL("CRM US Equity", "IS_COMPARABLE_EBITDA/1M", "FPR=2022Y", "FPT=A", "FA_ACT_EST_DATA=E, EST_SOURCE=CTI", "ACT_EST_MAPPING=PRECISE", "FS=MRC", "CURRENCY=USD", "XLFILL=b")</f>
        <v/>
      </c>
      <c r="AU64" s="9" t="str">
        <f>_xll.BQL("CRM US Equity", "IS_COMPARABLE_EBITDA/1M", "FPR=2022Y", "FPT=A", "FA_ACT_EST_DATA=E, EST_SOURCE=WFT", "ACT_EST_MAPPING=PRECISE", "FS=MRC", "CURRENCY=USD", "XLFILL=b")</f>
        <v/>
      </c>
      <c r="AV64" s="9" t="str">
        <f>_xll.BQL("CRM US Equity", "IS_COMPARABLE_EBITDA/1M", "FPR=2022Y", "FPT=A", "FA_ACT_EST_DATA=E, EST_SOURCE=PJE", "ACT_EST_MAPPING=PRECISE", "FS=MRC", "CURRENCY=USD", "XLFILL=b")</f>
        <v/>
      </c>
      <c r="AW64" s="9" t="str">
        <f>_xll.BQL("CRM US Equity", "IS_COMPARABLE_EBITDA/1M", "FPR=2022Y", "FPT=A", "FA_ACT_EST_DATA=E, EST_SOURCE=SGE", "ACT_EST_MAPPING=PRECISE", "FS=MRC", "CURRENCY=USD", "XLFILL=b")</f>
        <v/>
      </c>
      <c r="AX64" s="9" t="str">
        <f>_xll.BQL("CRM US Equity", "IS_COMPARABLE_EBITDA/1M", "FPR=2022Y", "FPT=A", "FA_ACT_EST_DATA=E, EST_SOURCE=MZS", "ACT_EST_MAPPING=PRECISE", "FS=MRC", "CURRENCY=USD", "XLFILL=b")</f>
        <v/>
      </c>
      <c r="AY64" s="9" t="str">
        <f>_xll.BQL("CRM US Equity", "IS_COMPARABLE_EBITDA/1M", "FPR=2022Y", "FPT=A", "FA_ACT_EST_DATA=E, EST_SOURCE=RCP", "ACT_EST_MAPPING=PRECISE", "FS=MRC", "CURRENCY=USD", "XLFILL=b")</f>
        <v/>
      </c>
      <c r="AZ64" s="9" t="str">
        <f>_xll.BQL("CRM US Equity", "IS_COMPARABLE_EBITDA/1M", "FPR=2022Y", "FPT=A", "FA_ACT_EST_DATA=E, EST_SOURCE=WFR", "ACT_EST_MAPPING=PRECISE", "FS=MRC", "CURRENCY=USD", "XLFILL=b")</f>
        <v/>
      </c>
      <c r="BA64" s="9" t="str">
        <f>_xll.BQL("CRM US Equity", "IS_COMPARABLE_EBITDA/1M", "FPR=2022Y", "FPT=A", "FA_ACT_EST_DATA=E, EST_SOURCE=NIK", "ACT_EST_MAPPING=PRECISE", "FS=MRC", "CURRENCY=USD", "XLFILL=b")</f>
        <v/>
      </c>
      <c r="BB64" s="9" t="str">
        <f>_xll.BQL("CRM US Equity", "IS_COMPARABLE_EBITDA/1M", "FPR=2022Y", "FPT=A", "FA_ACT_EST_DATA=E, EST_SOURCE=ARE", "ACT_EST_MAPPING=PRECISE", "FS=MRC", "CURRENCY=USD", "XLFILL=b")</f>
        <v/>
      </c>
      <c r="BC64" s="9" t="str">
        <f>_xll.BQL("CRM US Equity", "IS_COMPARABLE_EBITDA/1M", "FPR=2022Y", "FPT=A", "FA_ACT_EST_DATA=E, EST_SOURCE=RED", "ACT_EST_MAPPING=PRECISE", "FS=MRC", "CURRENCY=USD", "XLFILL=b")</f>
        <v/>
      </c>
      <c r="BD64" s="9" t="str">
        <f>_xll.BQL("CRM US Equity", "IS_COMPARABLE_EBITDA/1M", "FPR=2022Y", "FPT=A", "FA_ACT_EST_DATA=E, EST_SOURCE=DIR", "ACT_EST_MAPPING=PRECISE", "FS=MRC", "CURRENCY=USD", "XLFILL=b")</f>
        <v/>
      </c>
    </row>
    <row r="65" spans="1:56" x14ac:dyDescent="0.55000000000000004">
      <c r="A65" s="8" t="s">
        <v>109</v>
      </c>
      <c r="B65" s="5" t="s">
        <v>110</v>
      </c>
      <c r="C65" s="5" t="s">
        <v>111</v>
      </c>
      <c r="D65" s="5"/>
      <c r="E65" s="9">
        <f>_xll.BQL("CRM US Equity", "IS_AMORT_OF_TOT_INTANG_PRETX/1M", "FPR=2022Y", "FPT=A", "FA_ACT_EST_DATA=E", "ACT_EST_MAPPING=PRECISE", "FS=MRC", "CURRENCY=USD", "XLFILL=b")</f>
        <v>1599.4896765333331</v>
      </c>
      <c r="F65" s="9">
        <f>_xll.BQL("CRM US Equity", "CONTRIBUTOR_STATS(IS_AMORT_OF_TOT_INTANG_PRETX, MIN)/1M", "FPR=2022Y", "FPT=A", "FA_ACT_EST_DATA=E", "ACT_EST_MAPPING=PRECISE", "FS=MRC", "CURRENCY=USD", "XLFILL=b")</f>
        <v>1242</v>
      </c>
      <c r="G65" s="9">
        <f>_xll.BQL("CRM US Equity", "CONTRIBUTOR_STATS(IS_AMORT_OF_TOT_INTANG_PRETX, MAX)/1M", "FPR=2022Y", "FPT=A", "FA_ACT_EST_DATA=E", "ACT_EST_MAPPING=PRECISE", "FS=MRC", "CURRENCY=USD", "XLFILL=b")</f>
        <v>1665</v>
      </c>
      <c r="H65" s="9">
        <f>_xll.BQL("CRM US Equity", "CONTRIBUTOR_STATS(IS_AMORT_OF_TOT_INTANG_PRETX, STD)/1M", "FPR=2022Y", "FPT=A", "FA_ACT_EST_DATA=E", "ACT_EST_MAPPING=PRECISE", "FS=MRC", "CURRENCY=USD", "XLFILL=b")</f>
        <v>100.9029003837034</v>
      </c>
      <c r="I65" s="9">
        <f>_xll.BQL("CRM US Equity", "CONTRIBUTOR_STATS(IS_AMORT_OF_TOT_INTANG_PRETX, MEDIAN)/1M", "FPR=2022Y", "FPT=A", "FA_ACT_EST_DATA=E", "ACT_EST_MAPPING=PRECISE", "FS=MRC", "CURRENCY=USD", "XLFILL=b")</f>
        <v>1622</v>
      </c>
      <c r="J65" s="9" t="str">
        <f>_xll.BQL("CRM US Equity", "IS_AMORT_OF_TOT_INTANG_PRETX/1M", "FPR=2022Y", "FPT=A", "FA_ACT_EST_DATA=E, EST_SOURCE=CMPY", "ACT_EST_MAPPING=PRECISE", "FS=MRC", "CURRENCY=USD", "XLFILL=b")</f>
        <v/>
      </c>
      <c r="K65" s="9">
        <f>_xll.BQL("CRM US Equity", "IS_AMORT_OF_TOT_INTANG_PRETX/1M", "FPR=2022Y", "FPT=A", "FA_ACT_EST_DATA=E, EST_SOURCE=WBL", "ACT_EST_MAPPING=PRECISE", "FS=MRC", "CURRENCY=USD", "XLFILL=b")</f>
        <v>1630</v>
      </c>
      <c r="L65" s="9">
        <f>_xll.BQL("CRM US Equity", "IS_AMORT_OF_TOT_INTANG_PRETX/1M", "FPR=2022Y", "FPT=A", "FA_ACT_EST_DATA=E, EST_SOURCE=BMO", "ACT_EST_MAPPING=PRECISE", "FS=MRC", "CURRENCY=USD", "XLFILL=b")</f>
        <v>1657.4255000000001</v>
      </c>
      <c r="M65" s="9">
        <f>_xll.BQL("CRM US Equity", "IS_AMORT_OF_TOT_INTANG_PRETX/1M", "FPR=2022Y", "FPT=A", "FA_ACT_EST_DATA=E, EST_SOURCE=BCA", "ACT_EST_MAPPING=PRECISE", "FS=MRC", "CURRENCY=USD", "XLFILL=b")</f>
        <v>1612</v>
      </c>
      <c r="N65" s="9">
        <f>_xll.BQL("CRM US Equity", "IS_AMORT_OF_TOT_INTANG_PRETX/1M", "FPR=2022Y", "FPT=A", "FA_ACT_EST_DATA=E, EST_SOURCE=SNR", "ACT_EST_MAPPING=PRECISE", "FS=MRC", "CURRENCY=USD", "XLFILL=b")</f>
        <v>1612</v>
      </c>
      <c r="O65" s="9">
        <f>_xll.BQL("CRM US Equity", "IS_AMORT_OF_TOT_INTANG_PRETX/1M", "FPR=2022Y", "FPT=A", "FA_ACT_EST_DATA=E, EST_SOURCE=MSV", "ACT_EST_MAPPING=PRECISE", "FS=MRC", "CURRENCY=USD", "XLFILL=b")</f>
        <v>351.38018901140953</v>
      </c>
      <c r="P65" s="9">
        <f>_xll.BQL("CRM US Equity", "IS_AMORT_OF_TOT_INTANG_PRETX/1M", "FPR=2022Y", "FPT=A", "FA_ACT_EST_DATA=E, EST_SOURCE=DBG", "ACT_EST_MAPPING=PRECISE", "FS=MRC", "CURRENCY=USD", "XLFILL=b")</f>
        <v>1624</v>
      </c>
      <c r="Q65" s="9">
        <f>_xll.BQL("CRM US Equity", "IS_AMORT_OF_TOT_INTANG_PRETX/1M", "FPR=2022Y", "FPT=A", "FA_ACT_EST_DATA=E, EST_SOURCE=NDH", "ACT_EST_MAPPING=PRECISE", "FS=MRC", "CURRENCY=USD", "XLFILL=b")</f>
        <v>1665</v>
      </c>
      <c r="R65" s="9" t="str">
        <f>_xll.BQL("CRM US Equity", "IS_AMORT_OF_TOT_INTANG_PRETX/1M", "FPR=2022Y", "FPT=A", "FA_ACT_EST_DATA=E, EST_SOURCE=CAN", "ACT_EST_MAPPING=PRECISE", "FS=MRC", "CURRENCY=USD", "XLFILL=b")</f>
        <v/>
      </c>
      <c r="S65" s="9">
        <f>_xll.BQL("CRM US Equity", "IS_AMORT_OF_TOT_INTANG_PRETX/1M", "FPR=2022Y", "FPT=A", "FA_ACT_EST_DATA=E, EST_SOURCE=SCB", "ACT_EST_MAPPING=PRECISE", "FS=MRC", "CURRENCY=USD", "XLFILL=b")</f>
        <v>1242</v>
      </c>
      <c r="T65" s="9">
        <f>_xll.BQL("CRM US Equity", "IS_AMORT_OF_TOT_INTANG_PRETX/1M", "FPR=2022Y", "FPT=A", "FA_ACT_EST_DATA=E, EST_SOURCE=JMP", "ACT_EST_MAPPING=PRECISE", "FS=MRC", "CURRENCY=USD", "XLFILL=b")</f>
        <v>1625</v>
      </c>
      <c r="U65" s="9">
        <f>_xll.BQL("CRM US Equity", "IS_AMORT_OF_TOT_INTANG_PRETX/1M", "FPR=2022Y", "FPT=A", "FA_ACT_EST_DATA=E, EST_SOURCE=RJA", "ACT_EST_MAPPING=PRECISE", "FS=MRC", "CURRENCY=USD", "XLFILL=b")</f>
        <v>1621.5</v>
      </c>
      <c r="V65" s="9">
        <f>_xll.BQL("CRM US Equity", "IS_AMORT_OF_TOT_INTANG_PRETX/1M", "FPR=2022Y", "FPT=A", "FA_ACT_EST_DATA=E, EST_SOURCE=OPY", "ACT_EST_MAPPING=PRECISE", "FS=MRC", "CURRENCY=USD", "XLFILL=b")</f>
        <v>1635</v>
      </c>
      <c r="W65" s="9">
        <f>_xll.BQL("CRM US Equity", "IS_AMORT_OF_TOT_INTANG_PRETX/1M", "FPR=2022Y", "FPT=A", "FA_ACT_EST_DATA=E, EST_SOURCE=JPM", "ACT_EST_MAPPING=PRECISE", "FS=MRC", "CURRENCY=USD", "XLFILL=b")</f>
        <v>1617.92</v>
      </c>
      <c r="X65" s="9">
        <f>_xll.BQL("CRM US Equity", "IS_AMORT_OF_TOT_INTANG_PRETX/1M", "FPR=2022Y", "FPT=A", "FA_ACT_EST_DATA=E, EST_SOURCE=FBC", "ACT_EST_MAPPING=PRECISE", "FS=MRC", "CURRENCY=USD", "XLFILL=b")</f>
        <v>1628.09</v>
      </c>
      <c r="Y65" s="9">
        <f>_xll.BQL("CRM US Equity", "IS_AMORT_OF_TOT_INTANG_PRETX/1M", "FPR=2022Y", "FPT=A", "FA_ACT_EST_DATA=E, EST_SOURCE=WMS", "ACT_EST_MAPPING=PRECISE", "FS=MRC", "CURRENCY=USD", "XLFILL=b")</f>
        <v>1563</v>
      </c>
      <c r="Z65" s="9">
        <f>_xll.BQL("CRM US Equity", "IS_AMORT_OF_TOT_INTANG_PRETX/1M", "FPR=2022Y", "FPT=A", "FA_ACT_EST_DATA=E, EST_SOURCE=KEY", "ACT_EST_MAPPING=PRECISE", "FS=MRC", "CURRENCY=USD", "XLFILL=b")</f>
        <v>1606.6462815</v>
      </c>
      <c r="AA65" s="9" t="str">
        <f>_xll.BQL("CRM US Equity", "IS_AMORT_OF_TOT_INTANG_PRETX/1M", "FPR=2022Y", "FPT=A", "FA_ACT_EST_DATA=E, EST_SOURCE=LCM", "ACT_EST_MAPPING=PRECISE", "FS=MRC", "CURRENCY=USD", "XLFILL=b")</f>
        <v/>
      </c>
      <c r="AB65" s="9" t="str">
        <f>_xll.BQL("CRM US Equity", "IS_AMORT_OF_TOT_INTANG_PRETX/1M", "FPR=2022Y", "FPT=A", "FA_ACT_EST_DATA=E, EST_SOURCE=CWN", "ACT_EST_MAPPING=PRECISE", "FS=MRC", "CURRENCY=USD", "XLFILL=b")</f>
        <v/>
      </c>
      <c r="AC65" s="9" t="str">
        <f>_xll.BQL("CRM US Equity", "IS_AMORT_OF_TOT_INTANG_PRETX/1M", "FPR=2022Y", "FPT=A", "FA_ACT_EST_DATA=E, EST_SOURCE=BNS", "ACT_EST_MAPPING=PRECISE", "FS=MRC", "CURRENCY=USD", "XLFILL=b")</f>
        <v/>
      </c>
      <c r="AD65" s="9" t="str">
        <f>_xll.BQL("CRM US Equity", "IS_AMORT_OF_TOT_INTANG_PRETX/1M", "FPR=2022Y", "FPT=A", "FA_ACT_EST_DATA=E, EST_SOURCE=BAM", "ACT_EST_MAPPING=PRECISE", "FS=MRC", "CURRENCY=USD", "XLFILL=b")</f>
        <v/>
      </c>
      <c r="AE65" s="9" t="str">
        <f>_xll.BQL("CRM US Equity", "IS_AMORT_OF_TOT_INTANG_PRETX/1M", "FPR=2022Y", "FPT=A", "FA_ACT_EST_DATA=E, EST_SOURCE=RBC", "ACT_EST_MAPPING=PRECISE", "FS=MRC", "CURRENCY=USD", "XLFILL=b")</f>
        <v/>
      </c>
      <c r="AF65" s="9" t="str">
        <f>_xll.BQL("CRM US Equity", "IS_AMORT_OF_TOT_INTANG_PRETX/1M", "FPR=2022Y", "FPT=A", "FA_ACT_EST_DATA=E, EST_SOURCE=UBS", "ACT_EST_MAPPING=PRECISE", "FS=MRC", "CURRENCY=USD", "XLFILL=b")</f>
        <v/>
      </c>
      <c r="AG65" s="9">
        <f>_xll.BQL("CRM US Equity", "IS_AMORT_OF_TOT_INTANG_PRETX/1M", "FPR=2022Y", "FPT=A", "FA_ACT_EST_DATA=E, EST_SOURCE=RHR", "ACT_EST_MAPPING=PRECISE", "FS=MRC", "CURRENCY=USD", "XLFILL=b")</f>
        <v>1485</v>
      </c>
      <c r="AH65" s="9" t="str">
        <f>_xll.BQL("CRM US Equity", "IS_AMORT_OF_TOT_INTANG_PRETX/1M", "FPR=2022Y", "FPT=A", "FA_ACT_EST_DATA=E, EST_SOURCE=JEF", "ACT_EST_MAPPING=PRECISE", "FS=MRC", "CURRENCY=USD", "XLFILL=b")</f>
        <v/>
      </c>
      <c r="AI65" s="9">
        <f>_xll.BQL("CRM US Equity", "IS_AMORT_OF_TOT_INTANG_PRETX/1M", "FPR=2022Y", "FPT=A", "FA_ACT_EST_DATA=E, EST_SOURCE=ATL", "ACT_EST_MAPPING=PRECISE", "FS=MRC", "CURRENCY=USD", "XLFILL=b")</f>
        <v>1323.4355</v>
      </c>
      <c r="AJ65" s="9" t="str">
        <f>_xll.BQL("CRM US Equity", "IS_AMORT_OF_TOT_INTANG_PRETX/1M", "FPR=2022Y", "FPT=A", "FA_ACT_EST_DATA=E, EST_SOURCE=MAC", "ACT_EST_MAPPING=PRECISE", "FS=MRC", "CURRENCY=USD", "XLFILL=b")</f>
        <v/>
      </c>
      <c r="AK65" s="9" t="str">
        <f>_xll.BQL("CRM US Equity", "IS_AMORT_OF_TOT_INTANG_PRETX/1M", "FPR=2022Y", "FPT=A", "FA_ACT_EST_DATA=E, EST_SOURCE=EVR", "ACT_EST_MAPPING=PRECISE", "FS=MRC", "CURRENCY=USD", "XLFILL=b")</f>
        <v/>
      </c>
      <c r="AL65" s="9" t="str">
        <f>_xll.BQL("CRM US Equity", "IS_AMORT_OF_TOT_INTANG_PRETX/1M", "FPR=2022Y", "FPT=A", "FA_ACT_EST_DATA=E, EST_SOURCE=MSR", "ACT_EST_MAPPING=PRECISE", "FS=MRC", "CURRENCY=USD", "XLFILL=b")</f>
        <v/>
      </c>
      <c r="AM65" s="9" t="str">
        <f>_xll.BQL("CRM US Equity", "IS_AMORT_OF_TOT_INTANG_PRETX/1M", "FPR=2022Y", "FPT=A", "FA_ACT_EST_DATA=E, EST_SOURCE=KGI", "ACT_EST_MAPPING=PRECISE", "FS=MRC", "CURRENCY=USD", "XLFILL=b")</f>
        <v/>
      </c>
      <c r="AN65" s="9" t="str">
        <f>_xll.BQL("CRM US Equity", "IS_AMORT_OF_TOT_INTANG_PRETX/1M", "FPR=2022Y", "FPT=A", "FA_ACT_EST_DATA=E, EST_SOURCE=ACC", "ACT_EST_MAPPING=PRECISE", "FS=MRC", "CURRENCY=USD", "XLFILL=b")</f>
        <v/>
      </c>
      <c r="AO65" s="9" t="str">
        <f>_xll.BQL("CRM US Equity", "IS_AMORT_OF_TOT_INTANG_PRETX/1M", "FPR=2022Y", "FPT=A", "FA_ACT_EST_DATA=E, EST_SOURCE=GSR", "ACT_EST_MAPPING=PRECISE", "FS=MRC", "CURRENCY=USD", "XLFILL=b")</f>
        <v/>
      </c>
      <c r="AP65" s="9" t="str">
        <f>_xll.BQL("CRM US Equity", "IS_AMORT_OF_TOT_INTANG_PRETX/1M", "FPR=2022Y", "FPT=A", "FA_ACT_EST_DATA=E, EST_SOURCE=PSG", "ACT_EST_MAPPING=PRECISE", "FS=MRC", "CURRENCY=USD", "XLFILL=b")</f>
        <v/>
      </c>
      <c r="AQ65" s="9" t="str">
        <f>_xll.BQL("CRM US Equity", "IS_AMORT_OF_TOT_INTANG_PRETX/1M", "FPR=2022Y", "FPT=A", "FA_ACT_EST_DATA=E, EST_SOURCE=DWI", "ACT_EST_MAPPING=PRECISE", "FS=MRC", "CURRENCY=USD", "XLFILL=b")</f>
        <v/>
      </c>
      <c r="AR65" s="9" t="str">
        <f>_xll.BQL("CRM US Equity", "IS_AMORT_OF_TOT_INTANG_PRETX/1M", "FPR=2022Y", "FPT=A", "FA_ACT_EST_DATA=E, EST_SOURCE=RWB", "ACT_EST_MAPPING=PRECISE", "FS=MRC", "CURRENCY=USD", "XLFILL=b")</f>
        <v/>
      </c>
      <c r="AS65" s="9" t="str">
        <f>_xll.BQL("CRM US Equity", "IS_AMORT_OF_TOT_INTANG_PRETX/1M", "FPR=2022Y", "FPT=A", "FA_ACT_EST_DATA=E, EST_SOURCE=ARG", "ACT_EST_MAPPING=PRECISE", "FS=MRC", "CURRENCY=USD", "XLFILL=b")</f>
        <v/>
      </c>
      <c r="AT65" s="9" t="str">
        <f>_xll.BQL("CRM US Equity", "IS_AMORT_OF_TOT_INTANG_PRETX/1M", "FPR=2022Y", "FPT=A", "FA_ACT_EST_DATA=E, EST_SOURCE=CTI", "ACT_EST_MAPPING=PRECISE", "FS=MRC", "CURRENCY=USD", "XLFILL=b")</f>
        <v/>
      </c>
      <c r="AU65" s="9" t="str">
        <f>_xll.BQL("CRM US Equity", "IS_AMORT_OF_TOT_INTANG_PRETX/1M", "FPR=2022Y", "FPT=A", "FA_ACT_EST_DATA=E, EST_SOURCE=WFT", "ACT_EST_MAPPING=PRECISE", "FS=MRC", "CURRENCY=USD", "XLFILL=b")</f>
        <v/>
      </c>
      <c r="AV65" s="9" t="str">
        <f>_xll.BQL("CRM US Equity", "IS_AMORT_OF_TOT_INTANG_PRETX/1M", "FPR=2022Y", "FPT=A", "FA_ACT_EST_DATA=E, EST_SOURCE=PJE", "ACT_EST_MAPPING=PRECISE", "FS=MRC", "CURRENCY=USD", "XLFILL=b")</f>
        <v/>
      </c>
      <c r="AW65" s="9" t="str">
        <f>_xll.BQL("CRM US Equity", "IS_AMORT_OF_TOT_INTANG_PRETX/1M", "FPR=2022Y", "FPT=A", "FA_ACT_EST_DATA=E, EST_SOURCE=SGE", "ACT_EST_MAPPING=PRECISE", "FS=MRC", "CURRENCY=USD", "XLFILL=b")</f>
        <v/>
      </c>
      <c r="AX65" s="9" t="str">
        <f>_xll.BQL("CRM US Equity", "IS_AMORT_OF_TOT_INTANG_PRETX/1M", "FPR=2022Y", "FPT=A", "FA_ACT_EST_DATA=E, EST_SOURCE=MZS", "ACT_EST_MAPPING=PRECISE", "FS=MRC", "CURRENCY=USD", "XLFILL=b")</f>
        <v/>
      </c>
      <c r="AY65" s="9" t="str">
        <f>_xll.BQL("CRM US Equity", "IS_AMORT_OF_TOT_INTANG_PRETX/1M", "FPR=2022Y", "FPT=A", "FA_ACT_EST_DATA=E, EST_SOURCE=RCP", "ACT_EST_MAPPING=PRECISE", "FS=MRC", "CURRENCY=USD", "XLFILL=b")</f>
        <v/>
      </c>
      <c r="AZ65" s="9" t="str">
        <f>_xll.BQL("CRM US Equity", "IS_AMORT_OF_TOT_INTANG_PRETX/1M", "FPR=2022Y", "FPT=A", "FA_ACT_EST_DATA=E, EST_SOURCE=WFR", "ACT_EST_MAPPING=PRECISE", "FS=MRC", "CURRENCY=USD", "XLFILL=b")</f>
        <v/>
      </c>
      <c r="BA65" s="9" t="str">
        <f>_xll.BQL("CRM US Equity", "IS_AMORT_OF_TOT_INTANG_PRETX/1M", "FPR=2022Y", "FPT=A", "FA_ACT_EST_DATA=E, EST_SOURCE=NIK", "ACT_EST_MAPPING=PRECISE", "FS=MRC", "CURRENCY=USD", "XLFILL=b")</f>
        <v/>
      </c>
      <c r="BB65" s="9" t="str">
        <f>_xll.BQL("CRM US Equity", "IS_AMORT_OF_TOT_INTANG_PRETX/1M", "FPR=2022Y", "FPT=A", "FA_ACT_EST_DATA=E, EST_SOURCE=ARE", "ACT_EST_MAPPING=PRECISE", "FS=MRC", "CURRENCY=USD", "XLFILL=b")</f>
        <v/>
      </c>
      <c r="BC65" s="9" t="str">
        <f>_xll.BQL("CRM US Equity", "IS_AMORT_OF_TOT_INTANG_PRETX/1M", "FPR=2022Y", "FPT=A", "FA_ACT_EST_DATA=E, EST_SOURCE=RED", "ACT_EST_MAPPING=PRECISE", "FS=MRC", "CURRENCY=USD", "XLFILL=b")</f>
        <v/>
      </c>
      <c r="BD65" s="9" t="str">
        <f>_xll.BQL("CRM US Equity", "IS_AMORT_OF_TOT_INTANG_PRETX/1M", "FPR=2022Y", "FPT=A", "FA_ACT_EST_DATA=E, EST_SOURCE=DIR", "ACT_EST_MAPPING=PRECISE", "FS=MRC", "CURRENCY=USD", "XLFILL=b")</f>
        <v/>
      </c>
    </row>
    <row r="66" spans="1:56" x14ac:dyDescent="0.55000000000000004">
      <c r="A66" s="8" t="s">
        <v>26</v>
      </c>
      <c r="B66" s="5"/>
      <c r="C66" s="5"/>
      <c r="D66" s="5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spans="1:56" x14ac:dyDescent="0.55000000000000004">
      <c r="A67" s="8" t="s">
        <v>112</v>
      </c>
      <c r="B67" s="5" t="s">
        <v>113</v>
      </c>
      <c r="C67" s="5" t="s">
        <v>114</v>
      </c>
      <c r="D67" s="5"/>
      <c r="E67" s="9">
        <f>_xll.BQL("CRM US Equity", "IS_NON_OPERATING_INC_LOSS_GAAP/1M", "FPR=2022Y", "FPT=A", "FA_ACT_EST_DATA=E", "ACT_EST_MAPPING=PRECISE", "FS=MRC", "CURRENCY=USD", "XLFILL=b")</f>
        <v>-925.44759234623587</v>
      </c>
      <c r="F67" s="9">
        <f>_xll.BQL("CRM US Equity", "CONTRIBUTOR_STATS(IS_NON_OPERATING_INC_LOSS_GAAP, MIN)/1M", "FPR=2022Y", "FPT=A", "FA_ACT_EST_DATA=E", "ACT_EST_MAPPING=PRECISE", "FS=MRC", "CURRENCY=USD", "XLFILL=b")</f>
        <v>-1041.1677</v>
      </c>
      <c r="G67" s="9">
        <f>_xll.BQL("CRM US Equity", "CONTRIBUTOR_STATS(IS_NON_OPERATING_INC_LOSS_GAAP, MAX)/1M", "FPR=2022Y", "FPT=A", "FA_ACT_EST_DATA=E", "ACT_EST_MAPPING=PRECISE", "FS=MRC", "CURRENCY=USD", "XLFILL=b")</f>
        <v>-880</v>
      </c>
      <c r="H67" s="9">
        <f>_xll.BQL("CRM US Equity", "CONTRIBUTOR_STATS(IS_NON_OPERATING_INC_LOSS_GAAP, STD)/1M", "FPR=2022Y", "FPT=A", "FA_ACT_EST_DATA=E", "ACT_EST_MAPPING=PRECISE", "FS=MRC", "CURRENCY=USD", "XLFILL=b")</f>
        <v>47.613159153729299</v>
      </c>
      <c r="I67" s="9">
        <f>_xll.BQL("CRM US Equity", "CONTRIBUTOR_STATS(IS_NON_OPERATING_INC_LOSS_GAAP, MEDIAN)/1M", "FPR=2022Y", "FPT=A", "FA_ACT_EST_DATA=E", "ACT_EST_MAPPING=PRECISE", "FS=MRC", "CURRENCY=USD", "XLFILL=b")</f>
        <v>-905</v>
      </c>
      <c r="J67" s="9" t="str">
        <f>_xll.BQL("CRM US Equity", "IS_NON_OPERATING_INC_LOSS_GAAP/1M", "FPR=2022Y", "FPT=A", "FA_ACT_EST_DATA=E, EST_SOURCE=CMPY", "ACT_EST_MAPPING=PRECISE", "FS=MRC", "CURRENCY=USD", "XLFILL=b")</f>
        <v/>
      </c>
      <c r="K67" s="9" t="str">
        <f>_xll.BQL("CRM US Equity", "IS_NON_OPERATING_INC_LOSS_GAAP/1M", "FPR=2022Y", "FPT=A", "FA_ACT_EST_DATA=E, EST_SOURCE=WBL", "ACT_EST_MAPPING=PRECISE", "FS=MRC", "CURRENCY=USD", "XLFILL=b")</f>
        <v/>
      </c>
      <c r="L67" s="9" t="str">
        <f>_xll.BQL("CRM US Equity", "IS_NON_OPERATING_INC_LOSS_GAAP/1M", "FPR=2022Y", "FPT=A", "FA_ACT_EST_DATA=E, EST_SOURCE=BMO", "ACT_EST_MAPPING=PRECISE", "FS=MRC", "CURRENCY=USD", "XLFILL=b")</f>
        <v/>
      </c>
      <c r="M67" s="9" t="str">
        <f>_xll.BQL("CRM US Equity", "IS_NON_OPERATING_INC_LOSS_GAAP/1M", "FPR=2022Y", "FPT=A", "FA_ACT_EST_DATA=E, EST_SOURCE=BCA", "ACT_EST_MAPPING=PRECISE", "FS=MRC", "CURRENCY=USD", "XLFILL=b")</f>
        <v/>
      </c>
      <c r="N67" s="9" t="str">
        <f>_xll.BQL("CRM US Equity", "IS_NON_OPERATING_INC_LOSS_GAAP/1M", "FPR=2022Y", "FPT=A", "FA_ACT_EST_DATA=E, EST_SOURCE=SNR", "ACT_EST_MAPPING=PRECISE", "FS=MRC", "CURRENCY=USD", "XLFILL=b")</f>
        <v/>
      </c>
      <c r="O67" s="9">
        <f>_xll.BQL("CRM US Equity", "IS_NON_OPERATING_INC_LOSS_GAAP/1M", "FPR=2022Y", "FPT=A", "FA_ACT_EST_DATA=E, EST_SOURCE=MSV", "ACT_EST_MAPPING=PRECISE", "FS=MRC", "CURRENCY=USD", "XLFILL=b")</f>
        <v>-1005</v>
      </c>
      <c r="P67" s="9" t="str">
        <f>_xll.BQL("CRM US Equity", "IS_NON_OPERATING_INC_LOSS_GAAP/1M", "FPR=2022Y", "FPT=A", "FA_ACT_EST_DATA=E, EST_SOURCE=DBG", "ACT_EST_MAPPING=PRECISE", "FS=MRC", "CURRENCY=USD", "XLFILL=b")</f>
        <v/>
      </c>
      <c r="Q67" s="9">
        <f>_xll.BQL("CRM US Equity", "IS_NON_OPERATING_INC_LOSS_GAAP/1M", "FPR=2022Y", "FPT=A", "FA_ACT_EST_DATA=E, EST_SOURCE=NDH", "ACT_EST_MAPPING=PRECISE", "FS=MRC", "CURRENCY=USD", "XLFILL=b")</f>
        <v>-895</v>
      </c>
      <c r="R67" s="9" t="str">
        <f>_xll.BQL("CRM US Equity", "IS_NON_OPERATING_INC_LOSS_GAAP/1M", "FPR=2022Y", "FPT=A", "FA_ACT_EST_DATA=E, EST_SOURCE=CAN", "ACT_EST_MAPPING=PRECISE", "FS=MRC", "CURRENCY=USD", "XLFILL=b")</f>
        <v/>
      </c>
      <c r="S67" s="9" t="str">
        <f>_xll.BQL("CRM US Equity", "IS_NON_OPERATING_INC_LOSS_GAAP/1M", "FPR=2022Y", "FPT=A", "FA_ACT_EST_DATA=E, EST_SOURCE=SCB", "ACT_EST_MAPPING=PRECISE", "FS=MRC", "CURRENCY=USD", "XLFILL=b")</f>
        <v/>
      </c>
      <c r="T67" s="9">
        <f>_xll.BQL("CRM US Equity", "IS_NON_OPERATING_INC_LOSS_GAAP/1M", "FPR=2022Y", "FPT=A", "FA_ACT_EST_DATA=E, EST_SOURCE=JMP", "ACT_EST_MAPPING=PRECISE", "FS=MRC", "CURRENCY=USD", "XLFILL=b")</f>
        <v>-965</v>
      </c>
      <c r="U67" s="9">
        <f>_xll.BQL("CRM US Equity", "IS_NON_OPERATING_INC_LOSS_GAAP/1M", "FPR=2022Y", "FPT=A", "FA_ACT_EST_DATA=E, EST_SOURCE=RJA", "ACT_EST_MAPPING=PRECISE", "FS=MRC", "CURRENCY=USD", "XLFILL=b")</f>
        <v>-898.91706019353853</v>
      </c>
      <c r="V67" s="9" t="str">
        <f>_xll.BQL("CRM US Equity", "IS_NON_OPERATING_INC_LOSS_GAAP/1M", "FPR=2022Y", "FPT=A", "FA_ACT_EST_DATA=E, EST_SOURCE=OPY", "ACT_EST_MAPPING=PRECISE", "FS=MRC", "CURRENCY=USD", "XLFILL=b")</f>
        <v/>
      </c>
      <c r="W67" s="9" t="str">
        <f>_xll.BQL("CRM US Equity", "IS_NON_OPERATING_INC_LOSS_GAAP/1M", "FPR=2022Y", "FPT=A", "FA_ACT_EST_DATA=E, EST_SOURCE=JPM", "ACT_EST_MAPPING=PRECISE", "FS=MRC", "CURRENCY=USD", "XLFILL=b")</f>
        <v/>
      </c>
      <c r="X67" s="9" t="str">
        <f>_xll.BQL("CRM US Equity", "IS_NON_OPERATING_INC_LOSS_GAAP/1M", "FPR=2022Y", "FPT=A", "FA_ACT_EST_DATA=E, EST_SOURCE=FBC", "ACT_EST_MAPPING=PRECISE", "FS=MRC", "CURRENCY=USD", "XLFILL=b")</f>
        <v/>
      </c>
      <c r="Y67" s="9">
        <f>_xll.BQL("CRM US Equity", "IS_NON_OPERATING_INC_LOSS_GAAP/1M", "FPR=2022Y", "FPT=A", "FA_ACT_EST_DATA=E, EST_SOURCE=WMS", "ACT_EST_MAPPING=PRECISE", "FS=MRC", "CURRENCY=USD", "XLFILL=b")</f>
        <v>120</v>
      </c>
      <c r="Z67" s="9" t="str">
        <f>_xll.BQL("CRM US Equity", "IS_NON_OPERATING_INC_LOSS_GAAP/1M", "FPR=2022Y", "FPT=A", "FA_ACT_EST_DATA=E, EST_SOURCE=KEY", "ACT_EST_MAPPING=PRECISE", "FS=MRC", "CURRENCY=USD", "XLFILL=b")</f>
        <v/>
      </c>
      <c r="AA67" s="9" t="str">
        <f>_xll.BQL("CRM US Equity", "IS_NON_OPERATING_INC_LOSS_GAAP/1M", "FPR=2022Y", "FPT=A", "FA_ACT_EST_DATA=E, EST_SOURCE=LCM", "ACT_EST_MAPPING=PRECISE", "FS=MRC", "CURRENCY=USD", "XLFILL=b")</f>
        <v/>
      </c>
      <c r="AB67" s="9" t="str">
        <f>_xll.BQL("CRM US Equity", "IS_NON_OPERATING_INC_LOSS_GAAP/1M", "FPR=2022Y", "FPT=A", "FA_ACT_EST_DATA=E, EST_SOURCE=CWN", "ACT_EST_MAPPING=PRECISE", "FS=MRC", "CURRENCY=USD", "XLFILL=b")</f>
        <v/>
      </c>
      <c r="AC67" s="9" t="str">
        <f>_xll.BQL("CRM US Equity", "IS_NON_OPERATING_INC_LOSS_GAAP/1M", "FPR=2022Y", "FPT=A", "FA_ACT_EST_DATA=E, EST_SOURCE=BNS", "ACT_EST_MAPPING=PRECISE", "FS=MRC", "CURRENCY=USD", "XLFILL=b")</f>
        <v/>
      </c>
      <c r="AD67" s="9" t="str">
        <f>_xll.BQL("CRM US Equity", "IS_NON_OPERATING_INC_LOSS_GAAP/1M", "FPR=2022Y", "FPT=A", "FA_ACT_EST_DATA=E, EST_SOURCE=BAM", "ACT_EST_MAPPING=PRECISE", "FS=MRC", "CURRENCY=USD", "XLFILL=b")</f>
        <v/>
      </c>
      <c r="AE67" s="9" t="str">
        <f>_xll.BQL("CRM US Equity", "IS_NON_OPERATING_INC_LOSS_GAAP/1M", "FPR=2022Y", "FPT=A", "FA_ACT_EST_DATA=E, EST_SOURCE=RBC", "ACT_EST_MAPPING=PRECISE", "FS=MRC", "CURRENCY=USD", "XLFILL=b")</f>
        <v/>
      </c>
      <c r="AF67" s="9" t="str">
        <f>_xll.BQL("CRM US Equity", "IS_NON_OPERATING_INC_LOSS_GAAP/1M", "FPR=2022Y", "FPT=A", "FA_ACT_EST_DATA=E, EST_SOURCE=UBS", "ACT_EST_MAPPING=PRECISE", "FS=MRC", "CURRENCY=USD", "XLFILL=b")</f>
        <v/>
      </c>
      <c r="AG67" s="9" t="str">
        <f>_xll.BQL("CRM US Equity", "IS_NON_OPERATING_INC_LOSS_GAAP/1M", "FPR=2022Y", "FPT=A", "FA_ACT_EST_DATA=E, EST_SOURCE=RHR", "ACT_EST_MAPPING=PRECISE", "FS=MRC", "CURRENCY=USD", "XLFILL=b")</f>
        <v/>
      </c>
      <c r="AH67" s="9" t="str">
        <f>_xll.BQL("CRM US Equity", "IS_NON_OPERATING_INC_LOSS_GAAP/1M", "FPR=2022Y", "FPT=A", "FA_ACT_EST_DATA=E, EST_SOURCE=JEF", "ACT_EST_MAPPING=PRECISE", "FS=MRC", "CURRENCY=USD", "XLFILL=b")</f>
        <v/>
      </c>
      <c r="AI67" s="9" t="str">
        <f>_xll.BQL("CRM US Equity", "IS_NON_OPERATING_INC_LOSS_GAAP/1M", "FPR=2022Y", "FPT=A", "FA_ACT_EST_DATA=E, EST_SOURCE=ATL", "ACT_EST_MAPPING=PRECISE", "FS=MRC", "CURRENCY=USD", "XLFILL=b")</f>
        <v/>
      </c>
      <c r="AJ67" s="9" t="str">
        <f>_xll.BQL("CRM US Equity", "IS_NON_OPERATING_INC_LOSS_GAAP/1M", "FPR=2022Y", "FPT=A", "FA_ACT_EST_DATA=E, EST_SOURCE=MAC", "ACT_EST_MAPPING=PRECISE", "FS=MRC", "CURRENCY=USD", "XLFILL=b")</f>
        <v/>
      </c>
      <c r="AK67" s="9" t="str">
        <f>_xll.BQL("CRM US Equity", "IS_NON_OPERATING_INC_LOSS_GAAP/1M", "FPR=2022Y", "FPT=A", "FA_ACT_EST_DATA=E, EST_SOURCE=EVR", "ACT_EST_MAPPING=PRECISE", "FS=MRC", "CURRENCY=USD", "XLFILL=b")</f>
        <v/>
      </c>
      <c r="AL67" s="9" t="str">
        <f>_xll.BQL("CRM US Equity", "IS_NON_OPERATING_INC_LOSS_GAAP/1M", "FPR=2022Y", "FPT=A", "FA_ACT_EST_DATA=E, EST_SOURCE=MSR", "ACT_EST_MAPPING=PRECISE", "FS=MRC", "CURRENCY=USD", "XLFILL=b")</f>
        <v/>
      </c>
      <c r="AM67" s="9" t="str">
        <f>_xll.BQL("CRM US Equity", "IS_NON_OPERATING_INC_LOSS_GAAP/1M", "FPR=2022Y", "FPT=A", "FA_ACT_EST_DATA=E, EST_SOURCE=KGI", "ACT_EST_MAPPING=PRECISE", "FS=MRC", "CURRENCY=USD", "XLFILL=b")</f>
        <v/>
      </c>
      <c r="AN67" s="9" t="str">
        <f>_xll.BQL("CRM US Equity", "IS_NON_OPERATING_INC_LOSS_GAAP/1M", "FPR=2022Y", "FPT=A", "FA_ACT_EST_DATA=E, EST_SOURCE=ACC", "ACT_EST_MAPPING=PRECISE", "FS=MRC", "CURRENCY=USD", "XLFILL=b")</f>
        <v/>
      </c>
      <c r="AO67" s="9" t="str">
        <f>_xll.BQL("CRM US Equity", "IS_NON_OPERATING_INC_LOSS_GAAP/1M", "FPR=2022Y", "FPT=A", "FA_ACT_EST_DATA=E, EST_SOURCE=GSR", "ACT_EST_MAPPING=PRECISE", "FS=MRC", "CURRENCY=USD", "XLFILL=b")</f>
        <v/>
      </c>
      <c r="AP67" s="9" t="str">
        <f>_xll.BQL("CRM US Equity", "IS_NON_OPERATING_INC_LOSS_GAAP/1M", "FPR=2022Y", "FPT=A", "FA_ACT_EST_DATA=E, EST_SOURCE=PSG", "ACT_EST_MAPPING=PRECISE", "FS=MRC", "CURRENCY=USD", "XLFILL=b")</f>
        <v/>
      </c>
      <c r="AQ67" s="9" t="str">
        <f>_xll.BQL("CRM US Equity", "IS_NON_OPERATING_INC_LOSS_GAAP/1M", "FPR=2022Y", "FPT=A", "FA_ACT_EST_DATA=E, EST_SOURCE=DWI", "ACT_EST_MAPPING=PRECISE", "FS=MRC", "CURRENCY=USD", "XLFILL=b")</f>
        <v/>
      </c>
      <c r="AR67" s="9" t="str">
        <f>_xll.BQL("CRM US Equity", "IS_NON_OPERATING_INC_LOSS_GAAP/1M", "FPR=2022Y", "FPT=A", "FA_ACT_EST_DATA=E, EST_SOURCE=RWB", "ACT_EST_MAPPING=PRECISE", "FS=MRC", "CURRENCY=USD", "XLFILL=b")</f>
        <v/>
      </c>
      <c r="AS67" s="9" t="str">
        <f>_xll.BQL("CRM US Equity", "IS_NON_OPERATING_INC_LOSS_GAAP/1M", "FPR=2022Y", "FPT=A", "FA_ACT_EST_DATA=E, EST_SOURCE=ARG", "ACT_EST_MAPPING=PRECISE", "FS=MRC", "CURRENCY=USD", "XLFILL=b")</f>
        <v/>
      </c>
      <c r="AT67" s="9" t="str">
        <f>_xll.BQL("CRM US Equity", "IS_NON_OPERATING_INC_LOSS_GAAP/1M", "FPR=2022Y", "FPT=A", "FA_ACT_EST_DATA=E, EST_SOURCE=CTI", "ACT_EST_MAPPING=PRECISE", "FS=MRC", "CURRENCY=USD", "XLFILL=b")</f>
        <v/>
      </c>
      <c r="AU67" s="9" t="str">
        <f>_xll.BQL("CRM US Equity", "IS_NON_OPERATING_INC_LOSS_GAAP/1M", "FPR=2022Y", "FPT=A", "FA_ACT_EST_DATA=E, EST_SOURCE=WFT", "ACT_EST_MAPPING=PRECISE", "FS=MRC", "CURRENCY=USD", "XLFILL=b")</f>
        <v/>
      </c>
      <c r="AV67" s="9" t="str">
        <f>_xll.BQL("CRM US Equity", "IS_NON_OPERATING_INC_LOSS_GAAP/1M", "FPR=2022Y", "FPT=A", "FA_ACT_EST_DATA=E, EST_SOURCE=PJE", "ACT_EST_MAPPING=PRECISE", "FS=MRC", "CURRENCY=USD", "XLFILL=b")</f>
        <v/>
      </c>
      <c r="AW67" s="9" t="str">
        <f>_xll.BQL("CRM US Equity", "IS_NON_OPERATING_INC_LOSS_GAAP/1M", "FPR=2022Y", "FPT=A", "FA_ACT_EST_DATA=E, EST_SOURCE=SGE", "ACT_EST_MAPPING=PRECISE", "FS=MRC", "CURRENCY=USD", "XLFILL=b")</f>
        <v/>
      </c>
      <c r="AX67" s="9" t="str">
        <f>_xll.BQL("CRM US Equity", "IS_NON_OPERATING_INC_LOSS_GAAP/1M", "FPR=2022Y", "FPT=A", "FA_ACT_EST_DATA=E, EST_SOURCE=MZS", "ACT_EST_MAPPING=PRECISE", "FS=MRC", "CURRENCY=USD", "XLFILL=b")</f>
        <v/>
      </c>
      <c r="AY67" s="9" t="str">
        <f>_xll.BQL("CRM US Equity", "IS_NON_OPERATING_INC_LOSS_GAAP/1M", "FPR=2022Y", "FPT=A", "FA_ACT_EST_DATA=E, EST_SOURCE=RCP", "ACT_EST_MAPPING=PRECISE", "FS=MRC", "CURRENCY=USD", "XLFILL=b")</f>
        <v/>
      </c>
      <c r="AZ67" s="9" t="str">
        <f>_xll.BQL("CRM US Equity", "IS_NON_OPERATING_INC_LOSS_GAAP/1M", "FPR=2022Y", "FPT=A", "FA_ACT_EST_DATA=E, EST_SOURCE=WFR", "ACT_EST_MAPPING=PRECISE", "FS=MRC", "CURRENCY=USD", "XLFILL=b")</f>
        <v/>
      </c>
      <c r="BA67" s="9" t="str">
        <f>_xll.BQL("CRM US Equity", "IS_NON_OPERATING_INC_LOSS_GAAP/1M", "FPR=2022Y", "FPT=A", "FA_ACT_EST_DATA=E, EST_SOURCE=NIK", "ACT_EST_MAPPING=PRECISE", "FS=MRC", "CURRENCY=USD", "XLFILL=b")</f>
        <v/>
      </c>
      <c r="BB67" s="9" t="str">
        <f>_xll.BQL("CRM US Equity", "IS_NON_OPERATING_INC_LOSS_GAAP/1M", "FPR=2022Y", "FPT=A", "FA_ACT_EST_DATA=E, EST_SOURCE=ARE", "ACT_EST_MAPPING=PRECISE", "FS=MRC", "CURRENCY=USD", "XLFILL=b")</f>
        <v/>
      </c>
      <c r="BC67" s="9" t="str">
        <f>_xll.BQL("CRM US Equity", "IS_NON_OPERATING_INC_LOSS_GAAP/1M", "FPR=2022Y", "FPT=A", "FA_ACT_EST_DATA=E, EST_SOURCE=RED", "ACT_EST_MAPPING=PRECISE", "FS=MRC", "CURRENCY=USD", "XLFILL=b")</f>
        <v/>
      </c>
      <c r="BD67" s="9" t="str">
        <f>_xll.BQL("CRM US Equity", "IS_NON_OPERATING_INC_LOSS_GAAP/1M", "FPR=2022Y", "FPT=A", "FA_ACT_EST_DATA=E, EST_SOURCE=DIR", "ACT_EST_MAPPING=PRECISE", "FS=MRC", "CURRENCY=USD", "XLFILL=b")</f>
        <v/>
      </c>
    </row>
    <row r="68" spans="1:56" x14ac:dyDescent="0.55000000000000004">
      <c r="A68" s="8" t="s">
        <v>115</v>
      </c>
      <c r="B68" s="5" t="s">
        <v>116</v>
      </c>
      <c r="C68" s="5" t="s">
        <v>117</v>
      </c>
      <c r="D68" s="5"/>
      <c r="E68" s="9">
        <f>_xll.BQL("CRM US Equity", "IS_COMP_PTP_EX_STK_BASED_COMP/1M", "FPR=2022Y", "FPT=A", "FA_ACT_EST_DATA=E", "ACT_EST_MAPPING=PRECISE", "FS=MRC", "CURRENCY=USD", "XLFILL=b")</f>
        <v>5807.818181818182</v>
      </c>
      <c r="F68" s="9">
        <f>_xll.BQL("CRM US Equity", "CONTRIBUTOR_STATS(IS_COMP_PTP_EX_STK_BASED_COMP, MIN)/1M", "FPR=2022Y", "FPT=A", "FA_ACT_EST_DATA=E", "ACT_EST_MAPPING=PRECISE", "FS=MRC", "CURRENCY=USD", "XLFILL=b")</f>
        <v>5548</v>
      </c>
      <c r="G68" s="9">
        <f>_xll.BQL("CRM US Equity", "CONTRIBUTOR_STATS(IS_COMP_PTP_EX_STK_BASED_COMP, MAX)/1M", "FPR=2022Y", "FPT=A", "FA_ACT_EST_DATA=E", "ACT_EST_MAPPING=PRECISE", "FS=MRC", "CURRENCY=USD", "XLFILL=b")</f>
        <v>6016</v>
      </c>
      <c r="H68" s="9">
        <f>_xll.BQL("CRM US Equity", "CONTRIBUTOR_STATS(IS_COMP_PTP_EX_STK_BASED_COMP, STD)/1M", "FPR=2022Y", "FPT=A", "FA_ACT_EST_DATA=E", "ACT_EST_MAPPING=PRECISE", "FS=MRC", "CURRENCY=USD", "XLFILL=b")</f>
        <v>88.215451645904452</v>
      </c>
      <c r="I68" s="9">
        <f>_xll.BQL("CRM US Equity", "CONTRIBUTOR_STATS(IS_COMP_PTP_EX_STK_BASED_COMP, MEDIAN)/1M", "FPR=2022Y", "FPT=A", "FA_ACT_EST_DATA=E", "ACT_EST_MAPPING=PRECISE", "FS=MRC", "CURRENCY=USD", "XLFILL=b")</f>
        <v>5806</v>
      </c>
      <c r="J68" s="9" t="str">
        <f>_xll.BQL("CRM US Equity", "IS_COMP_PTP_EX_STK_BASED_COMP/1M", "FPR=2022Y", "FPT=A", "FA_ACT_EST_DATA=E, EST_SOURCE=CMPY", "ACT_EST_MAPPING=PRECISE", "FS=MRC", "CURRENCY=USD", "XLFILL=b")</f>
        <v/>
      </c>
      <c r="K68" s="9">
        <f>_xll.BQL("CRM US Equity", "IS_COMP_PTP_EX_STK_BASED_COMP/1M", "FPR=2022Y", "FPT=A", "FA_ACT_EST_DATA=E, EST_SOURCE=WBL", "ACT_EST_MAPPING=PRECISE", "FS=MRC", "CURRENCY=USD", "XLFILL=b")</f>
        <v>5798</v>
      </c>
      <c r="L68" s="9">
        <f>_xll.BQL("CRM US Equity", "IS_COMP_PTP_EX_STK_BASED_COMP/1M", "FPR=2022Y", "FPT=A", "FA_ACT_EST_DATA=E, EST_SOURCE=BMO", "ACT_EST_MAPPING=PRECISE", "FS=MRC", "CURRENCY=USD", "XLFILL=b")</f>
        <v>5829</v>
      </c>
      <c r="M68" s="9">
        <f>_xll.BQL("CRM US Equity", "IS_COMP_PTP_EX_STK_BASED_COMP/1M", "FPR=2022Y", "FPT=A", "FA_ACT_EST_DATA=E, EST_SOURCE=BCA", "ACT_EST_MAPPING=PRECISE", "FS=MRC", "CURRENCY=USD", "XLFILL=b")</f>
        <v>5823</v>
      </c>
      <c r="N68" s="9">
        <f>_xll.BQL("CRM US Equity", "IS_COMP_PTP_EX_STK_BASED_COMP/1M", "FPR=2022Y", "FPT=A", "FA_ACT_EST_DATA=E, EST_SOURCE=SNR", "ACT_EST_MAPPING=PRECISE", "FS=MRC", "CURRENCY=USD", "XLFILL=b")</f>
        <v>5799</v>
      </c>
      <c r="O68" s="9">
        <f>_xll.BQL("CRM US Equity", "IS_COMP_PTP_EX_STK_BASED_COMP/1M", "FPR=2022Y", "FPT=A", "FA_ACT_EST_DATA=E, EST_SOURCE=MSV", "ACT_EST_MAPPING=PRECISE", "FS=MRC", "CURRENCY=USD", "XLFILL=b")</f>
        <v>5905</v>
      </c>
      <c r="P68" s="9">
        <f>_xll.BQL("CRM US Equity", "IS_COMP_PTP_EX_STK_BASED_COMP/1M", "FPR=2022Y", "FPT=A", "FA_ACT_EST_DATA=E, EST_SOURCE=DBG", "ACT_EST_MAPPING=PRECISE", "FS=MRC", "CURRENCY=USD", "XLFILL=b")</f>
        <v>5846</v>
      </c>
      <c r="Q68" s="9">
        <f>_xll.BQL("CRM US Equity", "IS_COMP_PTP_EX_STK_BASED_COMP/1M", "FPR=2022Y", "FPT=A", "FA_ACT_EST_DATA=E, EST_SOURCE=NDH", "ACT_EST_MAPPING=PRECISE", "FS=MRC", "CURRENCY=USD", "XLFILL=b")</f>
        <v>5817</v>
      </c>
      <c r="R68" s="9">
        <f>_xll.BQL("CRM US Equity", "IS_COMP_PTP_EX_STK_BASED_COMP/1M", "FPR=2022Y", "FPT=A", "FA_ACT_EST_DATA=E, EST_SOURCE=CAN", "ACT_EST_MAPPING=PRECISE", "FS=MRC", "CURRENCY=USD", "XLFILL=b")</f>
        <v>5800</v>
      </c>
      <c r="S68" s="9">
        <f>_xll.BQL("CRM US Equity", "IS_COMP_PTP_EX_STK_BASED_COMP/1M", "FPR=2022Y", "FPT=A", "FA_ACT_EST_DATA=E, EST_SOURCE=SCB", "ACT_EST_MAPPING=PRECISE", "FS=MRC", "CURRENCY=USD", "XLFILL=b")</f>
        <v>6016</v>
      </c>
      <c r="T68" s="9">
        <f>_xll.BQL("CRM US Equity", "IS_COMP_PTP_EX_STK_BASED_COMP/1M", "FPR=2022Y", "FPT=A", "FA_ACT_EST_DATA=E, EST_SOURCE=JMP", "ACT_EST_MAPPING=PRECISE", "FS=MRC", "CURRENCY=USD", "XLFILL=b")</f>
        <v>5880</v>
      </c>
      <c r="U68" s="9">
        <f>_xll.BQL("CRM US Equity", "IS_COMP_PTP_EX_STK_BASED_COMP/1M", "FPR=2022Y", "FPT=A", "FA_ACT_EST_DATA=E, EST_SOURCE=RJA", "ACT_EST_MAPPING=PRECISE", "FS=MRC", "CURRENCY=USD", "XLFILL=b")</f>
        <v>5801</v>
      </c>
      <c r="V68" s="9">
        <f>_xll.BQL("CRM US Equity", "IS_COMP_PTP_EX_STK_BASED_COMP/1M", "FPR=2022Y", "FPT=A", "FA_ACT_EST_DATA=E, EST_SOURCE=OPY", "ACT_EST_MAPPING=PRECISE", "FS=MRC", "CURRENCY=USD", "XLFILL=b")</f>
        <v>5803</v>
      </c>
      <c r="W68" s="9">
        <f>_xll.BQL("CRM US Equity", "IS_COMP_PTP_EX_STK_BASED_COMP/1M", "FPR=2022Y", "FPT=A", "FA_ACT_EST_DATA=E, EST_SOURCE=JPM", "ACT_EST_MAPPING=PRECISE", "FS=MRC", "CURRENCY=USD", "XLFILL=b")</f>
        <v>1349</v>
      </c>
      <c r="X68" s="9">
        <f>_xll.BQL("CRM US Equity", "IS_COMP_PTP_EX_STK_BASED_COMP/1M", "FPR=2022Y", "FPT=A", "FA_ACT_EST_DATA=E, EST_SOURCE=FBC", "ACT_EST_MAPPING=PRECISE", "FS=MRC", "CURRENCY=USD", "XLFILL=b")</f>
        <v>5803</v>
      </c>
      <c r="Y68" s="9">
        <f>_xll.BQL("CRM US Equity", "IS_COMP_PTP_EX_STK_BASED_COMP/1M", "FPR=2022Y", "FPT=A", "FA_ACT_EST_DATA=E, EST_SOURCE=WMS", "ACT_EST_MAPPING=PRECISE", "FS=MRC", "CURRENCY=USD", "XLFILL=b")</f>
        <v>5922</v>
      </c>
      <c r="Z68" s="9">
        <f>_xll.BQL("CRM US Equity", "IS_COMP_PTP_EX_STK_BASED_COMP/1M", "FPR=2022Y", "FPT=A", "FA_ACT_EST_DATA=E, EST_SOURCE=KEY", "ACT_EST_MAPPING=PRECISE", "FS=MRC", "CURRENCY=USD", "XLFILL=b")</f>
        <v>5804</v>
      </c>
      <c r="AA68" s="9">
        <f>_xll.BQL("CRM US Equity", "IS_COMP_PTP_EX_STK_BASED_COMP/1M", "FPR=2022Y", "FPT=A", "FA_ACT_EST_DATA=E, EST_SOURCE=LCM", "ACT_EST_MAPPING=PRECISE", "FS=MRC", "CURRENCY=USD", "XLFILL=b")</f>
        <v>5806</v>
      </c>
      <c r="AB68" s="9">
        <f>_xll.BQL("CRM US Equity", "IS_COMP_PTP_EX_STK_BASED_COMP/1M", "FPR=2022Y", "FPT=A", "FA_ACT_EST_DATA=E, EST_SOURCE=CWN", "ACT_EST_MAPPING=PRECISE", "FS=MRC", "CURRENCY=USD", "XLFILL=b")</f>
        <v>5818</v>
      </c>
      <c r="AC68" s="9">
        <f>_xll.BQL("CRM US Equity", "IS_COMP_PTP_EX_STK_BASED_COMP/1M", "FPR=2022Y", "FPT=A", "FA_ACT_EST_DATA=E, EST_SOURCE=BNS", "ACT_EST_MAPPING=PRECISE", "FS=MRC", "CURRENCY=USD", "XLFILL=b")</f>
        <v>5771</v>
      </c>
      <c r="AD68" s="9">
        <f>_xll.BQL("CRM US Equity", "IS_COMP_PTP_EX_STK_BASED_COMP/1M", "FPR=2022Y", "FPT=A", "FA_ACT_EST_DATA=E, EST_SOURCE=BAM", "ACT_EST_MAPPING=PRECISE", "FS=MRC", "CURRENCY=USD", "XLFILL=b")</f>
        <v>1299</v>
      </c>
      <c r="AE68" s="9">
        <f>_xll.BQL("CRM US Equity", "IS_COMP_PTP_EX_STK_BASED_COMP/1M", "FPR=2022Y", "FPT=A", "FA_ACT_EST_DATA=E, EST_SOURCE=RBC", "ACT_EST_MAPPING=PRECISE", "FS=MRC", "CURRENCY=USD", "XLFILL=b")</f>
        <v>5789</v>
      </c>
      <c r="AF68" s="9">
        <f>_xll.BQL("CRM US Equity", "IS_COMP_PTP_EX_STK_BASED_COMP/1M", "FPR=2022Y", "FPT=A", "FA_ACT_EST_DATA=E, EST_SOURCE=UBS", "ACT_EST_MAPPING=PRECISE", "FS=MRC", "CURRENCY=USD", "XLFILL=b")</f>
        <v>5846</v>
      </c>
      <c r="AG68" s="9">
        <f>_xll.BQL("CRM US Equity", "IS_COMP_PTP_EX_STK_BASED_COMP/1M", "FPR=2022Y", "FPT=A", "FA_ACT_EST_DATA=E, EST_SOURCE=RHR", "ACT_EST_MAPPING=PRECISE", "FS=MRC", "CURRENCY=USD", "XLFILL=b")</f>
        <v>5932</v>
      </c>
      <c r="AH68" s="9">
        <f>_xll.BQL("CRM US Equity", "IS_COMP_PTP_EX_STK_BASED_COMP/1M", "FPR=2022Y", "FPT=A", "FA_ACT_EST_DATA=E, EST_SOURCE=JEF", "ACT_EST_MAPPING=PRECISE", "FS=MRC", "CURRENCY=USD", "XLFILL=b")</f>
        <v>5794</v>
      </c>
      <c r="AI68" s="9">
        <f>_xll.BQL("CRM US Equity", "IS_COMP_PTP_EX_STK_BASED_COMP/1M", "FPR=2022Y", "FPT=A", "FA_ACT_EST_DATA=E, EST_SOURCE=ATL", "ACT_EST_MAPPING=PRECISE", "FS=MRC", "CURRENCY=USD", "XLFILL=b")</f>
        <v>5584</v>
      </c>
      <c r="AJ68" s="9">
        <f>_xll.BQL("CRM US Equity", "IS_COMP_PTP_EX_STK_BASED_COMP/1M", "FPR=2022Y", "FPT=A", "FA_ACT_EST_DATA=E, EST_SOURCE=MAC", "ACT_EST_MAPPING=PRECISE", "FS=MRC", "CURRENCY=USD", "XLFILL=b")</f>
        <v>5807</v>
      </c>
      <c r="AK68" s="9" t="str">
        <f>_xll.BQL("CRM US Equity", "IS_COMP_PTP_EX_STK_BASED_COMP/1M", "FPR=2022Y", "FPT=A", "FA_ACT_EST_DATA=E, EST_SOURCE=EVR", "ACT_EST_MAPPING=PRECISE", "FS=MRC", "CURRENCY=USD", "XLFILL=b")</f>
        <v/>
      </c>
      <c r="AL68" s="9">
        <f>_xll.BQL("CRM US Equity", "IS_COMP_PTP_EX_STK_BASED_COMP/1M", "FPR=2022Y", "FPT=A", "FA_ACT_EST_DATA=E, EST_SOURCE=MSR", "ACT_EST_MAPPING=PRECISE", "FS=MRC", "CURRENCY=USD", "XLFILL=b")</f>
        <v>4862</v>
      </c>
      <c r="AM68" s="9" t="str">
        <f>_xll.BQL("CRM US Equity", "IS_COMP_PTP_EX_STK_BASED_COMP/1M", "FPR=2022Y", "FPT=A", "FA_ACT_EST_DATA=E, EST_SOURCE=KGI", "ACT_EST_MAPPING=PRECISE", "FS=MRC", "CURRENCY=USD", "XLFILL=b")</f>
        <v/>
      </c>
      <c r="AN68" s="9">
        <f>_xll.BQL("CRM US Equity", "IS_COMP_PTP_EX_STK_BASED_COMP/1M", "FPR=2022Y", "FPT=A", "FA_ACT_EST_DATA=E, EST_SOURCE=ACC", "ACT_EST_MAPPING=PRECISE", "FS=MRC", "CURRENCY=USD", "XLFILL=b")</f>
        <v>456</v>
      </c>
      <c r="AO68" s="9">
        <f>_xll.BQL("CRM US Equity", "IS_COMP_PTP_EX_STK_BASED_COMP/1M", "FPR=2022Y", "FPT=A", "FA_ACT_EST_DATA=E, EST_SOURCE=GSR", "ACT_EST_MAPPING=PRECISE", "FS=MRC", "CURRENCY=USD", "XLFILL=b")</f>
        <v>5853</v>
      </c>
      <c r="AP68" s="9" t="str">
        <f>_xll.BQL("CRM US Equity", "IS_COMP_PTP_EX_STK_BASED_COMP/1M", "FPR=2022Y", "FPT=A", "FA_ACT_EST_DATA=E, EST_SOURCE=PSG", "ACT_EST_MAPPING=PRECISE", "FS=MRC", "CURRENCY=USD", "XLFILL=b")</f>
        <v/>
      </c>
      <c r="AQ68" s="9" t="str">
        <f>_xll.BQL("CRM US Equity", "IS_COMP_PTP_EX_STK_BASED_COMP/1M", "FPR=2022Y", "FPT=A", "FA_ACT_EST_DATA=E, EST_SOURCE=DWI", "ACT_EST_MAPPING=PRECISE", "FS=MRC", "CURRENCY=USD", "XLFILL=b")</f>
        <v/>
      </c>
      <c r="AR68" s="9">
        <f>_xll.BQL("CRM US Equity", "IS_COMP_PTP_EX_STK_BASED_COMP/1M", "FPR=2022Y", "FPT=A", "FA_ACT_EST_DATA=E, EST_SOURCE=RWB", "ACT_EST_MAPPING=PRECISE", "FS=MRC", "CURRENCY=USD", "XLFILL=b")</f>
        <v>4288</v>
      </c>
      <c r="AS68" s="9" t="str">
        <f>_xll.BQL("CRM US Equity", "IS_COMP_PTP_EX_STK_BASED_COMP/1M", "FPR=2022Y", "FPT=A", "FA_ACT_EST_DATA=E, EST_SOURCE=ARG", "ACT_EST_MAPPING=PRECISE", "FS=MRC", "CURRENCY=USD", "XLFILL=b")</f>
        <v/>
      </c>
      <c r="AT68" s="9" t="str">
        <f>_xll.BQL("CRM US Equity", "IS_COMP_PTP_EX_STK_BASED_COMP/1M", "FPR=2022Y", "FPT=A", "FA_ACT_EST_DATA=E, EST_SOURCE=CTI", "ACT_EST_MAPPING=PRECISE", "FS=MRC", "CURRENCY=USD", "XLFILL=b")</f>
        <v/>
      </c>
      <c r="AU68" s="9" t="str">
        <f>_xll.BQL("CRM US Equity", "IS_COMP_PTP_EX_STK_BASED_COMP/1M", "FPR=2022Y", "FPT=A", "FA_ACT_EST_DATA=E, EST_SOURCE=WFT", "ACT_EST_MAPPING=PRECISE", "FS=MRC", "CURRENCY=USD", "XLFILL=b")</f>
        <v/>
      </c>
      <c r="AV68" s="9" t="str">
        <f>_xll.BQL("CRM US Equity", "IS_COMP_PTP_EX_STK_BASED_COMP/1M", "FPR=2022Y", "FPT=A", "FA_ACT_EST_DATA=E, EST_SOURCE=PJE", "ACT_EST_MAPPING=PRECISE", "FS=MRC", "CURRENCY=USD", "XLFILL=b")</f>
        <v/>
      </c>
      <c r="AW68" s="9" t="str">
        <f>_xll.BQL("CRM US Equity", "IS_COMP_PTP_EX_STK_BASED_COMP/1M", "FPR=2022Y", "FPT=A", "FA_ACT_EST_DATA=E, EST_SOURCE=SGE", "ACT_EST_MAPPING=PRECISE", "FS=MRC", "CURRENCY=USD", "XLFILL=b")</f>
        <v/>
      </c>
      <c r="AX68" s="9" t="str">
        <f>_xll.BQL("CRM US Equity", "IS_COMP_PTP_EX_STK_BASED_COMP/1M", "FPR=2022Y", "FPT=A", "FA_ACT_EST_DATA=E, EST_SOURCE=MZS", "ACT_EST_MAPPING=PRECISE", "FS=MRC", "CURRENCY=USD", "XLFILL=b")</f>
        <v/>
      </c>
      <c r="AY68" s="9" t="str">
        <f>_xll.BQL("CRM US Equity", "IS_COMP_PTP_EX_STK_BASED_COMP/1M", "FPR=2022Y", "FPT=A", "FA_ACT_EST_DATA=E, EST_SOURCE=RCP", "ACT_EST_MAPPING=PRECISE", "FS=MRC", "CURRENCY=USD", "XLFILL=b")</f>
        <v/>
      </c>
      <c r="AZ68" s="9" t="str">
        <f>_xll.BQL("CRM US Equity", "IS_COMP_PTP_EX_STK_BASED_COMP/1M", "FPR=2022Y", "FPT=A", "FA_ACT_EST_DATA=E, EST_SOURCE=WFR", "ACT_EST_MAPPING=PRECISE", "FS=MRC", "CURRENCY=USD", "XLFILL=b")</f>
        <v/>
      </c>
      <c r="BA68" s="9" t="str">
        <f>_xll.BQL("CRM US Equity", "IS_COMP_PTP_EX_STK_BASED_COMP/1M", "FPR=2022Y", "FPT=A", "FA_ACT_EST_DATA=E, EST_SOURCE=NIK", "ACT_EST_MAPPING=PRECISE", "FS=MRC", "CURRENCY=USD", "XLFILL=b")</f>
        <v/>
      </c>
      <c r="BB68" s="9" t="str">
        <f>_xll.BQL("CRM US Equity", "IS_COMP_PTP_EX_STK_BASED_COMP/1M", "FPR=2022Y", "FPT=A", "FA_ACT_EST_DATA=E, EST_SOURCE=ARE", "ACT_EST_MAPPING=PRECISE", "FS=MRC", "CURRENCY=USD", "XLFILL=b")</f>
        <v/>
      </c>
      <c r="BC68" s="9" t="str">
        <f>_xll.BQL("CRM US Equity", "IS_COMP_PTP_EX_STK_BASED_COMP/1M", "FPR=2022Y", "FPT=A", "FA_ACT_EST_DATA=E, EST_SOURCE=RED", "ACT_EST_MAPPING=PRECISE", "FS=MRC", "CURRENCY=USD", "XLFILL=b")</f>
        <v/>
      </c>
      <c r="BD68" s="9" t="str">
        <f>_xll.BQL("CRM US Equity", "IS_COMP_PTP_EX_STK_BASED_COMP/1M", "FPR=2022Y", "FPT=A", "FA_ACT_EST_DATA=E, EST_SOURCE=DIR", "ACT_EST_MAPPING=PRECISE", "FS=MRC", "CURRENCY=USD", "XLFILL=b")</f>
        <v/>
      </c>
    </row>
    <row r="69" spans="1:56" x14ac:dyDescent="0.55000000000000004">
      <c r="A69" s="8" t="s">
        <v>26</v>
      </c>
      <c r="B69" s="5"/>
      <c r="C69" s="5"/>
      <c r="D69" s="5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1:56" x14ac:dyDescent="0.55000000000000004">
      <c r="A70" s="8" t="s">
        <v>118</v>
      </c>
      <c r="B70" s="5" t="s">
        <v>119</v>
      </c>
      <c r="C70" s="5" t="s">
        <v>120</v>
      </c>
      <c r="D70" s="5"/>
      <c r="E70" s="9">
        <f>_xll.BQL("CRM US Equity", "IS_COMP_NET_INC_EXCL_STOCK_COMP/1M", "FPR=2022Y", "FPT=A", "FA_ACT_EST_DATA=E", "ACT_EST_MAPPING=PRECISE", "FS=MRC", "CURRENCY=USD", "XLFILL=b")</f>
        <v>4552.3</v>
      </c>
      <c r="F70" s="9">
        <f>_xll.BQL("CRM US Equity", "CONTRIBUTOR_STATS(IS_COMP_NET_INC_EXCL_STOCK_COMP, MIN)/1M", "FPR=2022Y", "FPT=A", "FA_ACT_EST_DATA=E", "ACT_EST_MAPPING=PRECISE", "FS=MRC", "CURRENCY=USD", "XLFILL=b")</f>
        <v>4354</v>
      </c>
      <c r="G70" s="9">
        <f>_xll.BQL("CRM US Equity", "CONTRIBUTOR_STATS(IS_COMP_NET_INC_EXCL_STOCK_COMP, MAX)/1M", "FPR=2022Y", "FPT=A", "FA_ACT_EST_DATA=E", "ACT_EST_MAPPING=PRECISE", "FS=MRC", "CURRENCY=USD", "XLFILL=b")</f>
        <v>4725</v>
      </c>
      <c r="H70" s="9">
        <f>_xll.BQL("CRM US Equity", "CONTRIBUTOR_STATS(IS_COMP_NET_INC_EXCL_STOCK_COMP, STD)/1M", "FPR=2022Y", "FPT=A", "FA_ACT_EST_DATA=E", "ACT_EST_MAPPING=PRECISE", "FS=MRC", "CURRENCY=USD", "XLFILL=b")</f>
        <v>60.213807088595267</v>
      </c>
      <c r="I70" s="9">
        <f>_xll.BQL("CRM US Equity", "CONTRIBUTOR_STATS(IS_COMP_NET_INC_EXCL_STOCK_COMP, MEDIAN)/1M", "FPR=2022Y", "FPT=A", "FA_ACT_EST_DATA=E", "ACT_EST_MAPPING=PRECISE", "FS=MRC", "CURRENCY=USD", "XLFILL=b")</f>
        <v>4556.5</v>
      </c>
      <c r="J70" s="9" t="str">
        <f>_xll.BQL("CRM US Equity", "IS_COMP_NET_INC_EXCL_STOCK_COMP/1M", "FPR=2022Y", "FPT=A", "FA_ACT_EST_DATA=E, EST_SOURCE=CMPY", "ACT_EST_MAPPING=PRECISE", "FS=MRC", "CURRENCY=USD", "XLFILL=b")</f>
        <v/>
      </c>
      <c r="K70" s="9">
        <f>_xll.BQL("CRM US Equity", "IS_COMP_NET_INC_EXCL_STOCK_COMP/1M", "FPR=2022Y", "FPT=A", "FA_ACT_EST_DATA=E, EST_SOURCE=WBL", "ACT_EST_MAPPING=PRECISE", "FS=MRC", "CURRENCY=USD", "XLFILL=b")</f>
        <v>4552</v>
      </c>
      <c r="L70" s="9">
        <f>_xll.BQL("CRM US Equity", "IS_COMP_NET_INC_EXCL_STOCK_COMP/1M", "FPR=2022Y", "FPT=A", "FA_ACT_EST_DATA=E, EST_SOURCE=BMO", "ACT_EST_MAPPING=PRECISE", "FS=MRC", "CURRENCY=USD", "XLFILL=b")</f>
        <v>4557</v>
      </c>
      <c r="M70" s="9">
        <f>_xll.BQL("CRM US Equity", "IS_COMP_NET_INC_EXCL_STOCK_COMP/1M", "FPR=2022Y", "FPT=A", "FA_ACT_EST_DATA=E, EST_SOURCE=BCA", "ACT_EST_MAPPING=PRECISE", "FS=MRC", "CURRENCY=USD", "XLFILL=b")</f>
        <v>4558</v>
      </c>
      <c r="N70" s="9">
        <f>_xll.BQL("CRM US Equity", "IS_COMP_NET_INC_EXCL_STOCK_COMP/1M", "FPR=2022Y", "FPT=A", "FA_ACT_EST_DATA=E, EST_SOURCE=SNR", "ACT_EST_MAPPING=PRECISE", "FS=MRC", "CURRENCY=USD", "XLFILL=b")</f>
        <v>4553</v>
      </c>
      <c r="O70" s="9">
        <f>_xll.BQL("CRM US Equity", "IS_COMP_NET_INC_EXCL_STOCK_COMP/1M", "FPR=2022Y", "FPT=A", "FA_ACT_EST_DATA=E, EST_SOURCE=MSV", "ACT_EST_MAPPING=PRECISE", "FS=MRC", "CURRENCY=USD", "XLFILL=b")</f>
        <v>4633</v>
      </c>
      <c r="P70" s="9">
        <f>_xll.BQL("CRM US Equity", "IS_COMP_NET_INC_EXCL_STOCK_COMP/1M", "FPR=2022Y", "FPT=A", "FA_ACT_EST_DATA=E, EST_SOURCE=DBG", "ACT_EST_MAPPING=PRECISE", "FS=MRC", "CURRENCY=USD", "XLFILL=b")</f>
        <v>4557</v>
      </c>
      <c r="Q70" s="9">
        <f>_xll.BQL("CRM US Equity", "IS_COMP_NET_INC_EXCL_STOCK_COMP/1M", "FPR=2022Y", "FPT=A", "FA_ACT_EST_DATA=E, EST_SOURCE=NDH", "ACT_EST_MAPPING=PRECISE", "FS=MRC", "CURRENCY=USD", "XLFILL=b")</f>
        <v>4543</v>
      </c>
      <c r="R70" s="9">
        <f>_xll.BQL("CRM US Equity", "IS_COMP_NET_INC_EXCL_STOCK_COMP/1M", "FPR=2022Y", "FPT=A", "FA_ACT_EST_DATA=E, EST_SOURCE=CAN", "ACT_EST_MAPPING=PRECISE", "FS=MRC", "CURRENCY=USD", "XLFILL=b")</f>
        <v>4554</v>
      </c>
      <c r="S70" s="9">
        <f>_xll.BQL("CRM US Equity", "IS_COMP_NET_INC_EXCL_STOCK_COMP/1M", "FPR=2022Y", "FPT=A", "FA_ACT_EST_DATA=E, EST_SOURCE=SCB", "ACT_EST_MAPPING=PRECISE", "FS=MRC", "CURRENCY=USD", "XLFILL=b")</f>
        <v>4725</v>
      </c>
      <c r="T70" s="9">
        <f>_xll.BQL("CRM US Equity", "IS_COMP_NET_INC_EXCL_STOCK_COMP/1M", "FPR=2022Y", "FPT=A", "FA_ACT_EST_DATA=E, EST_SOURCE=JMP", "ACT_EST_MAPPING=PRECISE", "FS=MRC", "CURRENCY=USD", "XLFILL=b")</f>
        <v>4560</v>
      </c>
      <c r="U70" s="9">
        <f>_xll.BQL("CRM US Equity", "IS_COMP_NET_INC_EXCL_STOCK_COMP/1M", "FPR=2022Y", "FPT=A", "FA_ACT_EST_DATA=E, EST_SOURCE=RJA", "ACT_EST_MAPPING=PRECISE", "FS=MRC", "CURRENCY=USD", "XLFILL=b")</f>
        <v>4555</v>
      </c>
      <c r="V70" s="9">
        <f>_xll.BQL("CRM US Equity", "IS_COMP_NET_INC_EXCL_STOCK_COMP/1M", "FPR=2022Y", "FPT=A", "FA_ACT_EST_DATA=E, EST_SOURCE=OPY", "ACT_EST_MAPPING=PRECISE", "FS=MRC", "CURRENCY=USD", "XLFILL=b")</f>
        <v>4552</v>
      </c>
      <c r="W70" s="9">
        <f>_xll.BQL("CRM US Equity", "IS_COMP_NET_INC_EXCL_STOCK_COMP/1M", "FPR=2022Y", "FPT=A", "FA_ACT_EST_DATA=E, EST_SOURCE=JPM", "ACT_EST_MAPPING=PRECISE", "FS=MRC", "CURRENCY=USD", "XLFILL=b")</f>
        <v>4586</v>
      </c>
      <c r="X70" s="9">
        <f>_xll.BQL("CRM US Equity", "IS_COMP_NET_INC_EXCL_STOCK_COMP/1M", "FPR=2022Y", "FPT=A", "FA_ACT_EST_DATA=E, EST_SOURCE=FBC", "ACT_EST_MAPPING=PRECISE", "FS=MRC", "CURRENCY=USD", "XLFILL=b")</f>
        <v>4551</v>
      </c>
      <c r="Y70" s="9">
        <f>_xll.BQL("CRM US Equity", "IS_COMP_NET_INC_EXCL_STOCK_COMP/1M", "FPR=2022Y", "FPT=A", "FA_ACT_EST_DATA=E, EST_SOURCE=WMS", "ACT_EST_MAPPING=PRECISE", "FS=MRC", "CURRENCY=USD", "XLFILL=b")</f>
        <v>4612</v>
      </c>
      <c r="Z70" s="9">
        <f>_xll.BQL("CRM US Equity", "IS_COMP_NET_INC_EXCL_STOCK_COMP/1M", "FPR=2022Y", "FPT=A", "FA_ACT_EST_DATA=E, EST_SOURCE=KEY", "ACT_EST_MAPPING=PRECISE", "FS=MRC", "CURRENCY=USD", "XLFILL=b")</f>
        <v>4557</v>
      </c>
      <c r="AA70" s="9">
        <f>_xll.BQL("CRM US Equity", "IS_COMP_NET_INC_EXCL_STOCK_COMP/1M", "FPR=2022Y", "FPT=A", "FA_ACT_EST_DATA=E, EST_SOURCE=LCM", "ACT_EST_MAPPING=PRECISE", "FS=MRC", "CURRENCY=USD", "XLFILL=b")</f>
        <v>4559</v>
      </c>
      <c r="AB70" s="9">
        <f>_xll.BQL("CRM US Equity", "IS_COMP_NET_INC_EXCL_STOCK_COMP/1M", "FPR=2022Y", "FPT=A", "FA_ACT_EST_DATA=E, EST_SOURCE=CWN", "ACT_EST_MAPPING=PRECISE", "FS=MRC", "CURRENCY=USD", "XLFILL=b")</f>
        <v>4568</v>
      </c>
      <c r="AC70" s="9">
        <f>_xll.BQL("CRM US Equity", "IS_COMP_NET_INC_EXCL_STOCK_COMP/1M", "FPR=2022Y", "FPT=A", "FA_ACT_EST_DATA=E, EST_SOURCE=BNS", "ACT_EST_MAPPING=PRECISE", "FS=MRC", "CURRENCY=USD", "XLFILL=b")</f>
        <v>4531</v>
      </c>
      <c r="AD70" s="9">
        <f>_xll.BQL("CRM US Equity", "IS_COMP_NET_INC_EXCL_STOCK_COMP/1M", "FPR=2022Y", "FPT=A", "FA_ACT_EST_DATA=E, EST_SOURCE=BAM", "ACT_EST_MAPPING=PRECISE", "FS=MRC", "CURRENCY=USD", "XLFILL=b")</f>
        <v>4552</v>
      </c>
      <c r="AE70" s="9">
        <f>_xll.BQL("CRM US Equity", "IS_COMP_NET_INC_EXCL_STOCK_COMP/1M", "FPR=2022Y", "FPT=A", "FA_ACT_EST_DATA=E, EST_SOURCE=RBC", "ACT_EST_MAPPING=PRECISE", "FS=MRC", "CURRENCY=USD", "XLFILL=b")</f>
        <v>4545</v>
      </c>
      <c r="AF70" s="9">
        <f>_xll.BQL("CRM US Equity", "IS_COMP_NET_INC_EXCL_STOCK_COMP/1M", "FPR=2022Y", "FPT=A", "FA_ACT_EST_DATA=E, EST_SOURCE=UBS", "ACT_EST_MAPPING=PRECISE", "FS=MRC", "CURRENCY=USD", "XLFILL=b")</f>
        <v>4590</v>
      </c>
      <c r="AG70" s="9">
        <f>_xll.BQL("CRM US Equity", "IS_COMP_NET_INC_EXCL_STOCK_COMP/1M", "FPR=2022Y", "FPT=A", "FA_ACT_EST_DATA=E, EST_SOURCE=RHR", "ACT_EST_MAPPING=PRECISE", "FS=MRC", "CURRENCY=USD", "XLFILL=b")</f>
        <v>4555</v>
      </c>
      <c r="AH70" s="9">
        <f>_xll.BQL("CRM US Equity", "IS_COMP_NET_INC_EXCL_STOCK_COMP/1M", "FPR=2022Y", "FPT=A", "FA_ACT_EST_DATA=E, EST_SOURCE=JEF", "ACT_EST_MAPPING=PRECISE", "FS=MRC", "CURRENCY=USD", "XLFILL=b")</f>
        <v>4549</v>
      </c>
      <c r="AI70" s="9">
        <f>_xll.BQL("CRM US Equity", "IS_COMP_NET_INC_EXCL_STOCK_COMP/1M", "FPR=2022Y", "FPT=A", "FA_ACT_EST_DATA=E, EST_SOURCE=ATL", "ACT_EST_MAPPING=PRECISE", "FS=MRC", "CURRENCY=USD", "XLFILL=b")</f>
        <v>4382</v>
      </c>
      <c r="AJ70" s="9">
        <f>_xll.BQL("CRM US Equity", "IS_COMP_NET_INC_EXCL_STOCK_COMP/1M", "FPR=2022Y", "FPT=A", "FA_ACT_EST_DATA=E, EST_SOURCE=MAC", "ACT_EST_MAPPING=PRECISE", "FS=MRC", "CURRENCY=USD", "XLFILL=b")</f>
        <v>4560</v>
      </c>
      <c r="AK70" s="9">
        <f>_xll.BQL("CRM US Equity", "IS_COMP_NET_INC_EXCL_STOCK_COMP/1M", "FPR=2022Y", "FPT=A", "FA_ACT_EST_DATA=E, EST_SOURCE=EVR", "ACT_EST_MAPPING=PRECISE", "FS=MRC", "CURRENCY=USD", "XLFILL=b")</f>
        <v>4556</v>
      </c>
      <c r="AL70" s="9">
        <f>_xll.BQL("CRM US Equity", "IS_COMP_NET_INC_EXCL_STOCK_COMP/1M", "FPR=2022Y", "FPT=A", "FA_ACT_EST_DATA=E, EST_SOURCE=MSR", "ACT_EST_MAPPING=PRECISE", "FS=MRC", "CURRENCY=USD", "XLFILL=b")</f>
        <v>4565</v>
      </c>
      <c r="AM70" s="9">
        <f>_xll.BQL("CRM US Equity", "IS_COMP_NET_INC_EXCL_STOCK_COMP/1M", "FPR=2022Y", "FPT=A", "FA_ACT_EST_DATA=E, EST_SOURCE=KGI", "ACT_EST_MAPPING=PRECISE", "FS=MRC", "CURRENCY=USD", "XLFILL=b")</f>
        <v>4617</v>
      </c>
      <c r="AN70" s="9">
        <f>_xll.BQL("CRM US Equity", "IS_COMP_NET_INC_EXCL_STOCK_COMP/1M", "FPR=2022Y", "FPT=A", "FA_ACT_EST_DATA=E, EST_SOURCE=ACC", "ACT_EST_MAPPING=PRECISE", "FS=MRC", "CURRENCY=USD", "XLFILL=b")</f>
        <v>4555</v>
      </c>
      <c r="AO70" s="9">
        <f>_xll.BQL("CRM US Equity", "IS_COMP_NET_INC_EXCL_STOCK_COMP/1M", "FPR=2022Y", "FPT=A", "FA_ACT_EST_DATA=E, EST_SOURCE=GSR", "ACT_EST_MAPPING=PRECISE", "FS=MRC", "CURRENCY=USD", "XLFILL=b")</f>
        <v>4560</v>
      </c>
      <c r="AP70" s="9">
        <f>_xll.BQL("CRM US Equity", "IS_COMP_NET_INC_EXCL_STOCK_COMP/1M", "FPR=2022Y", "FPT=A", "FA_ACT_EST_DATA=E, EST_SOURCE=PSG", "ACT_EST_MAPPING=PRECISE", "FS=MRC", "CURRENCY=USD", "XLFILL=b")</f>
        <v>5100</v>
      </c>
      <c r="AQ70" s="9">
        <f>_xll.BQL("CRM US Equity", "IS_COMP_NET_INC_EXCL_STOCK_COMP/1M", "FPR=2022Y", "FPT=A", "FA_ACT_EST_DATA=E, EST_SOURCE=DWI", "ACT_EST_MAPPING=PRECISE", "FS=MRC", "CURRENCY=USD", "XLFILL=b")</f>
        <v>820</v>
      </c>
      <c r="AR70" s="9">
        <f>_xll.BQL("CRM US Equity", "IS_COMP_NET_INC_EXCL_STOCK_COMP/1M", "FPR=2022Y", "FPT=A", "FA_ACT_EST_DATA=E, EST_SOURCE=RWB", "ACT_EST_MAPPING=PRECISE", "FS=MRC", "CURRENCY=USD", "XLFILL=b")</f>
        <v>3366</v>
      </c>
      <c r="AS70" s="9" t="str">
        <f>_xll.BQL("CRM US Equity", "IS_COMP_NET_INC_EXCL_STOCK_COMP/1M", "FPR=2022Y", "FPT=A", "FA_ACT_EST_DATA=E, EST_SOURCE=ARG", "ACT_EST_MAPPING=PRECISE", "FS=MRC", "CURRENCY=USD", "XLFILL=b")</f>
        <v/>
      </c>
      <c r="AT70" s="9" t="str">
        <f>_xll.BQL("CRM US Equity", "IS_COMP_NET_INC_EXCL_STOCK_COMP/1M", "FPR=2022Y", "FPT=A", "FA_ACT_EST_DATA=E, EST_SOURCE=CTI", "ACT_EST_MAPPING=PRECISE", "FS=MRC", "CURRENCY=USD", "XLFILL=b")</f>
        <v/>
      </c>
      <c r="AU70" s="9" t="str">
        <f>_xll.BQL("CRM US Equity", "IS_COMP_NET_INC_EXCL_STOCK_COMP/1M", "FPR=2022Y", "FPT=A", "FA_ACT_EST_DATA=E, EST_SOURCE=WFT", "ACT_EST_MAPPING=PRECISE", "FS=MRC", "CURRENCY=USD", "XLFILL=b")</f>
        <v/>
      </c>
      <c r="AV70" s="9" t="str">
        <f>_xll.BQL("CRM US Equity", "IS_COMP_NET_INC_EXCL_STOCK_COMP/1M", "FPR=2022Y", "FPT=A", "FA_ACT_EST_DATA=E, EST_SOURCE=PJE", "ACT_EST_MAPPING=PRECISE", "FS=MRC", "CURRENCY=USD", "XLFILL=b")</f>
        <v/>
      </c>
      <c r="AW70" s="9" t="str">
        <f>_xll.BQL("CRM US Equity", "IS_COMP_NET_INC_EXCL_STOCK_COMP/1M", "FPR=2022Y", "FPT=A", "FA_ACT_EST_DATA=E, EST_SOURCE=SGE", "ACT_EST_MAPPING=PRECISE", "FS=MRC", "CURRENCY=USD", "XLFILL=b")</f>
        <v/>
      </c>
      <c r="AX70" s="9" t="str">
        <f>_xll.BQL("CRM US Equity", "IS_COMP_NET_INC_EXCL_STOCK_COMP/1M", "FPR=2022Y", "FPT=A", "FA_ACT_EST_DATA=E, EST_SOURCE=MZS", "ACT_EST_MAPPING=PRECISE", "FS=MRC", "CURRENCY=USD", "XLFILL=b")</f>
        <v/>
      </c>
      <c r="AY70" s="9" t="str">
        <f>_xll.BQL("CRM US Equity", "IS_COMP_NET_INC_EXCL_STOCK_COMP/1M", "FPR=2022Y", "FPT=A", "FA_ACT_EST_DATA=E, EST_SOURCE=RCP", "ACT_EST_MAPPING=PRECISE", "FS=MRC", "CURRENCY=USD", "XLFILL=b")</f>
        <v/>
      </c>
      <c r="AZ70" s="9" t="str">
        <f>_xll.BQL("CRM US Equity", "IS_COMP_NET_INC_EXCL_STOCK_COMP/1M", "FPR=2022Y", "FPT=A", "FA_ACT_EST_DATA=E, EST_SOURCE=WFR", "ACT_EST_MAPPING=PRECISE", "FS=MRC", "CURRENCY=USD", "XLFILL=b")</f>
        <v/>
      </c>
      <c r="BA70" s="9" t="str">
        <f>_xll.BQL("CRM US Equity", "IS_COMP_NET_INC_EXCL_STOCK_COMP/1M", "FPR=2022Y", "FPT=A", "FA_ACT_EST_DATA=E, EST_SOURCE=NIK", "ACT_EST_MAPPING=PRECISE", "FS=MRC", "CURRENCY=USD", "XLFILL=b")</f>
        <v/>
      </c>
      <c r="BB70" s="9" t="str">
        <f>_xll.BQL("CRM US Equity", "IS_COMP_NET_INC_EXCL_STOCK_COMP/1M", "FPR=2022Y", "FPT=A", "FA_ACT_EST_DATA=E, EST_SOURCE=ARE", "ACT_EST_MAPPING=PRECISE", "FS=MRC", "CURRENCY=USD", "XLFILL=b")</f>
        <v/>
      </c>
      <c r="BC70" s="9" t="str">
        <f>_xll.BQL("CRM US Equity", "IS_COMP_NET_INC_EXCL_STOCK_COMP/1M", "FPR=2022Y", "FPT=A", "FA_ACT_EST_DATA=E, EST_SOURCE=RED", "ACT_EST_MAPPING=PRECISE", "FS=MRC", "CURRENCY=USD", "XLFILL=b")</f>
        <v/>
      </c>
      <c r="BD70" s="9" t="str">
        <f>_xll.BQL("CRM US Equity", "IS_COMP_NET_INC_EXCL_STOCK_COMP/1M", "FPR=2022Y", "FPT=A", "FA_ACT_EST_DATA=E, EST_SOURCE=DIR", "ACT_EST_MAPPING=PRECISE", "FS=MRC", "CURRENCY=USD", "XLFILL=b")</f>
        <v/>
      </c>
    </row>
    <row r="71" spans="1:56" x14ac:dyDescent="0.55000000000000004">
      <c r="A71" s="8" t="s">
        <v>121</v>
      </c>
      <c r="B71" s="5" t="s">
        <v>122</v>
      </c>
      <c r="C71" s="5" t="s">
        <v>123</v>
      </c>
      <c r="D71" s="5"/>
      <c r="E71" s="9">
        <f>_xll.BQL("CRM US Equity", "ADJ_PROFIT_MARGIN", "FPR=2022Y", "FPT=A", "FA_ACT_EST_DATA=E", "ACT_EST_MAPPING=PRECISE", "FS=MRC", "CURRENCY=USD", "XLFILL=b")</f>
        <v>17.333463997133251</v>
      </c>
      <c r="F71" s="9">
        <f>_xll.BQL("CRM US Equity", "CONTRIBUTOR_STATS(ADJ_PROFIT_MARGIN, MIN)", "FPR=2022Y", "FPT=A", "FA_ACT_EST_DATA=E", "ACT_EST_MAPPING=PRECISE", "FS=MRC", "CURRENCY=USD", "XLFILL=b")</f>
        <v>17.205234429084751</v>
      </c>
      <c r="G71" s="9">
        <f>_xll.BQL("CRM US Equity", "CONTRIBUTOR_STATS(ADJ_PROFIT_MARGIN, MAX)", "FPR=2022Y", "FPT=A", "FA_ACT_EST_DATA=E", "ACT_EST_MAPPING=PRECISE", "FS=MRC", "CURRENCY=USD", "XLFILL=b")</f>
        <v>17.831751461055109</v>
      </c>
      <c r="H71" s="9">
        <f>_xll.BQL("CRM US Equity", "CONTRIBUTOR_STATS(ADJ_PROFIT_MARGIN, STD)", "FPR=2022Y", "FPT=A", "FA_ACT_EST_DATA=E", "ACT_EST_MAPPING=PRECISE", "FS=MRC", "CURRENCY=USD", "XLFILL=b")</f>
        <v>0.20191419144489239</v>
      </c>
      <c r="I71" s="9">
        <f>_xll.BQL("CRM US Equity", "CONTRIBUTOR_STATS(ADJ_PROFIT_MARGIN, MEDIAN)", "FPR=2022Y", "FPT=A", "FA_ACT_EST_DATA=E", "ACT_EST_MAPPING=PRECISE", "FS=MRC", "CURRENCY=USD", "XLFILL=b")</f>
        <v>17.251736928436991</v>
      </c>
      <c r="J71" s="9" t="str">
        <f>_xll.BQL("CRM US Equity", "ADJ_PROFIT_MARGIN", "FPR=2022Y", "FPT=A", "FA_ACT_EST_DATA=E, EST_SOURCE=CMPY", "ACT_EST_MAPPING=PRECISE", "FS=MRC", "CURRENCY=USD", "XLFILL=b")</f>
        <v/>
      </c>
      <c r="K71" s="9" t="str">
        <f>_xll.BQL("CRM US Equity", "ADJ_PROFIT_MARGIN", "FPR=2022Y", "FPT=A", "FA_ACT_EST_DATA=E, EST_SOURCE=WBL", "ACT_EST_MAPPING=PRECISE", "FS=MRC", "CURRENCY=USD", "XLFILL=b")</f>
        <v/>
      </c>
      <c r="L71" s="9" t="str">
        <f>_xll.BQL("CRM US Equity", "ADJ_PROFIT_MARGIN", "FPR=2022Y", "FPT=A", "FA_ACT_EST_DATA=E, EST_SOURCE=BMO", "ACT_EST_MAPPING=PRECISE", "FS=MRC", "CURRENCY=USD", "XLFILL=b")</f>
        <v/>
      </c>
      <c r="M71" s="9" t="str">
        <f>_xll.BQL("CRM US Equity", "ADJ_PROFIT_MARGIN", "FPR=2022Y", "FPT=A", "FA_ACT_EST_DATA=E, EST_SOURCE=BCA", "ACT_EST_MAPPING=PRECISE", "FS=MRC", "CURRENCY=USD", "XLFILL=b")</f>
        <v/>
      </c>
      <c r="N71" s="9" t="str">
        <f>_xll.BQL("CRM US Equity", "ADJ_PROFIT_MARGIN", "FPR=2022Y", "FPT=A", "FA_ACT_EST_DATA=E, EST_SOURCE=SNR", "ACT_EST_MAPPING=PRECISE", "FS=MRC", "CURRENCY=USD", "XLFILL=b")</f>
        <v/>
      </c>
      <c r="O71" s="9">
        <f>_xll.BQL("CRM US Equity", "ADJ_PROFIT_MARGIN", "FPR=2022Y", "FPT=A", "FA_ACT_EST_DATA=E, EST_SOURCE=MSV", "ACT_EST_MAPPING=PRECISE", "FS=MRC", "CURRENCY=USD", "XLFILL=b")</f>
        <v>17.55665207823137</v>
      </c>
      <c r="P71" s="9" t="str">
        <f>_xll.BQL("CRM US Equity", "ADJ_PROFIT_MARGIN", "FPR=2022Y", "FPT=A", "FA_ACT_EST_DATA=E, EST_SOURCE=DBG", "ACT_EST_MAPPING=PRECISE", "FS=MRC", "CURRENCY=USD", "XLFILL=b")</f>
        <v/>
      </c>
      <c r="Q71" s="9">
        <f>_xll.BQL("CRM US Equity", "ADJ_PROFIT_MARGIN", "FPR=2022Y", "FPT=A", "FA_ACT_EST_DATA=E, EST_SOURCE=NDH", "ACT_EST_MAPPING=PRECISE", "FS=MRC", "CURRENCY=USD", "XLFILL=b")</f>
        <v>17.21179693469897</v>
      </c>
      <c r="R71" s="9" t="str">
        <f>_xll.BQL("CRM US Equity", "ADJ_PROFIT_MARGIN", "FPR=2022Y", "FPT=A", "FA_ACT_EST_DATA=E, EST_SOURCE=CAN", "ACT_EST_MAPPING=PRECISE", "FS=MRC", "CURRENCY=USD", "XLFILL=b")</f>
        <v/>
      </c>
      <c r="S71" s="9" t="str">
        <f>_xll.BQL("CRM US Equity", "ADJ_PROFIT_MARGIN", "FPR=2022Y", "FPT=A", "FA_ACT_EST_DATA=E, EST_SOURCE=SCB", "ACT_EST_MAPPING=PRECISE", "FS=MRC", "CURRENCY=USD", "XLFILL=b")</f>
        <v/>
      </c>
      <c r="T71" s="9" t="str">
        <f>_xll.BQL("CRM US Equity", "ADJ_PROFIT_MARGIN", "FPR=2022Y", "FPT=A", "FA_ACT_EST_DATA=E, EST_SOURCE=JMP", "ACT_EST_MAPPING=PRECISE", "FS=MRC", "CURRENCY=USD", "XLFILL=b")</f>
        <v/>
      </c>
      <c r="U71" s="9">
        <f>_xll.BQL("CRM US Equity", "ADJ_PROFIT_MARGIN", "FPR=2022Y", "FPT=A", "FA_ACT_EST_DATA=E, EST_SOURCE=RJA", "ACT_EST_MAPPING=PRECISE", "FS=MRC", "CURRENCY=USD", "XLFILL=b")</f>
        <v>17.25570312972232</v>
      </c>
      <c r="V71" s="9" t="str">
        <f>_xll.BQL("CRM US Equity", "ADJ_PROFIT_MARGIN", "FPR=2022Y", "FPT=A", "FA_ACT_EST_DATA=E, EST_SOURCE=OPY", "ACT_EST_MAPPING=PRECISE", "FS=MRC", "CURRENCY=USD", "XLFILL=b")</f>
        <v/>
      </c>
      <c r="W71" s="9" t="str">
        <f>_xll.BQL("CRM US Equity", "ADJ_PROFIT_MARGIN", "FPR=2022Y", "FPT=A", "FA_ACT_EST_DATA=E, EST_SOURCE=JPM", "ACT_EST_MAPPING=PRECISE", "FS=MRC", "CURRENCY=USD", "XLFILL=b")</f>
        <v/>
      </c>
      <c r="X71" s="9">
        <f>_xll.BQL("CRM US Equity", "ADJ_PROFIT_MARGIN", "FPR=2022Y", "FPT=A", "FA_ACT_EST_DATA=E, EST_SOURCE=FBC", "ACT_EST_MAPPING=PRECISE", "FS=MRC", "CURRENCY=USD", "XLFILL=b")</f>
        <v>16.321635004554011</v>
      </c>
      <c r="Y71" s="9">
        <f>_xll.BQL("CRM US Equity", "ADJ_PROFIT_MARGIN", "FPR=2022Y", "FPT=A", "FA_ACT_EST_DATA=E, EST_SOURCE=WMS", "ACT_EST_MAPPING=PRECISE", "FS=MRC", "CURRENCY=USD", "XLFILL=b")</f>
        <v>13.991396336600371</v>
      </c>
      <c r="Z71" s="9">
        <f>_xll.BQL("CRM US Equity", "ADJ_PROFIT_MARGIN", "FPR=2022Y", "FPT=A", "FA_ACT_EST_DATA=E, EST_SOURCE=KEY", "ACT_EST_MAPPING=PRECISE", "FS=MRC", "CURRENCY=USD", "XLFILL=b")</f>
        <v>16.360158867482291</v>
      </c>
      <c r="AA71" s="9" t="str">
        <f>_xll.BQL("CRM US Equity", "ADJ_PROFIT_MARGIN", "FPR=2022Y", "FPT=A", "FA_ACT_EST_DATA=E, EST_SOURCE=LCM", "ACT_EST_MAPPING=PRECISE", "FS=MRC", "CURRENCY=USD", "XLFILL=b")</f>
        <v/>
      </c>
      <c r="AB71" s="9" t="str">
        <f>_xll.BQL("CRM US Equity", "ADJ_PROFIT_MARGIN", "FPR=2022Y", "FPT=A", "FA_ACT_EST_DATA=E, EST_SOURCE=CWN", "ACT_EST_MAPPING=PRECISE", "FS=MRC", "CURRENCY=USD", "XLFILL=b")</f>
        <v/>
      </c>
      <c r="AC71" s="9" t="str">
        <f>_xll.BQL("CRM US Equity", "ADJ_PROFIT_MARGIN", "FPR=2022Y", "FPT=A", "FA_ACT_EST_DATA=E, EST_SOURCE=BNS", "ACT_EST_MAPPING=PRECISE", "FS=MRC", "CURRENCY=USD", "XLFILL=b")</f>
        <v/>
      </c>
      <c r="AD71" s="9" t="str">
        <f>_xll.BQL("CRM US Equity", "ADJ_PROFIT_MARGIN", "FPR=2022Y", "FPT=A", "FA_ACT_EST_DATA=E, EST_SOURCE=BAM", "ACT_EST_MAPPING=PRECISE", "FS=MRC", "CURRENCY=USD", "XLFILL=b")</f>
        <v/>
      </c>
      <c r="AE71" s="9" t="str">
        <f>_xll.BQL("CRM US Equity", "ADJ_PROFIT_MARGIN", "FPR=2022Y", "FPT=A", "FA_ACT_EST_DATA=E, EST_SOURCE=RBC", "ACT_EST_MAPPING=PRECISE", "FS=MRC", "CURRENCY=USD", "XLFILL=b")</f>
        <v/>
      </c>
      <c r="AF71" s="9" t="str">
        <f>_xll.BQL("CRM US Equity", "ADJ_PROFIT_MARGIN", "FPR=2022Y", "FPT=A", "FA_ACT_EST_DATA=E, EST_SOURCE=UBS", "ACT_EST_MAPPING=PRECISE", "FS=MRC", "CURRENCY=USD", "XLFILL=b")</f>
        <v/>
      </c>
      <c r="AG71" s="9" t="str">
        <f>_xll.BQL("CRM US Equity", "ADJ_PROFIT_MARGIN", "FPR=2022Y", "FPT=A", "FA_ACT_EST_DATA=E, EST_SOURCE=RHR", "ACT_EST_MAPPING=PRECISE", "FS=MRC", "CURRENCY=USD", "XLFILL=b")</f>
        <v/>
      </c>
      <c r="AH71" s="9" t="str">
        <f>_xll.BQL("CRM US Equity", "ADJ_PROFIT_MARGIN", "FPR=2022Y", "FPT=A", "FA_ACT_EST_DATA=E, EST_SOURCE=JEF", "ACT_EST_MAPPING=PRECISE", "FS=MRC", "CURRENCY=USD", "XLFILL=b")</f>
        <v/>
      </c>
      <c r="AI71" s="9" t="str">
        <f>_xll.BQL("CRM US Equity", "ADJ_PROFIT_MARGIN", "FPR=2022Y", "FPT=A", "FA_ACT_EST_DATA=E, EST_SOURCE=ATL", "ACT_EST_MAPPING=PRECISE", "FS=MRC", "CURRENCY=USD", "XLFILL=b")</f>
        <v/>
      </c>
      <c r="AJ71" s="9" t="str">
        <f>_xll.BQL("CRM US Equity", "ADJ_PROFIT_MARGIN", "FPR=2022Y", "FPT=A", "FA_ACT_EST_DATA=E, EST_SOURCE=MAC", "ACT_EST_MAPPING=PRECISE", "FS=MRC", "CURRENCY=USD", "XLFILL=b")</f>
        <v/>
      </c>
      <c r="AK71" s="9" t="str">
        <f>_xll.BQL("CRM US Equity", "ADJ_PROFIT_MARGIN", "FPR=2022Y", "FPT=A", "FA_ACT_EST_DATA=E, EST_SOURCE=EVR", "ACT_EST_MAPPING=PRECISE", "FS=MRC", "CURRENCY=USD", "XLFILL=b")</f>
        <v/>
      </c>
      <c r="AL71" s="9" t="str">
        <f>_xll.BQL("CRM US Equity", "ADJ_PROFIT_MARGIN", "FPR=2022Y", "FPT=A", "FA_ACT_EST_DATA=E, EST_SOURCE=MSR", "ACT_EST_MAPPING=PRECISE", "FS=MRC", "CURRENCY=USD", "XLFILL=b")</f>
        <v/>
      </c>
      <c r="AM71" s="9" t="str">
        <f>_xll.BQL("CRM US Equity", "ADJ_PROFIT_MARGIN", "FPR=2022Y", "FPT=A", "FA_ACT_EST_DATA=E, EST_SOURCE=KGI", "ACT_EST_MAPPING=PRECISE", "FS=MRC", "CURRENCY=USD", "XLFILL=b")</f>
        <v/>
      </c>
      <c r="AN71" s="9" t="str">
        <f>_xll.BQL("CRM US Equity", "ADJ_PROFIT_MARGIN", "FPR=2022Y", "FPT=A", "FA_ACT_EST_DATA=E, EST_SOURCE=ACC", "ACT_EST_MAPPING=PRECISE", "FS=MRC", "CURRENCY=USD", "XLFILL=b")</f>
        <v/>
      </c>
      <c r="AO71" s="9" t="str">
        <f>_xll.BQL("CRM US Equity", "ADJ_PROFIT_MARGIN", "FPR=2022Y", "FPT=A", "FA_ACT_EST_DATA=E, EST_SOURCE=GSR", "ACT_EST_MAPPING=PRECISE", "FS=MRC", "CURRENCY=USD", "XLFILL=b")</f>
        <v/>
      </c>
      <c r="AP71" s="9" t="str">
        <f>_xll.BQL("CRM US Equity", "ADJ_PROFIT_MARGIN", "FPR=2022Y", "FPT=A", "FA_ACT_EST_DATA=E, EST_SOURCE=PSG", "ACT_EST_MAPPING=PRECISE", "FS=MRC", "CURRENCY=USD", "XLFILL=b")</f>
        <v/>
      </c>
      <c r="AQ71" s="9" t="str">
        <f>_xll.BQL("CRM US Equity", "ADJ_PROFIT_MARGIN", "FPR=2022Y", "FPT=A", "FA_ACT_EST_DATA=E, EST_SOURCE=DWI", "ACT_EST_MAPPING=PRECISE", "FS=MRC", "CURRENCY=USD", "XLFILL=b")</f>
        <v/>
      </c>
      <c r="AR71" s="9" t="str">
        <f>_xll.BQL("CRM US Equity", "ADJ_PROFIT_MARGIN", "FPR=2022Y", "FPT=A", "FA_ACT_EST_DATA=E, EST_SOURCE=RWB", "ACT_EST_MAPPING=PRECISE", "FS=MRC", "CURRENCY=USD", "XLFILL=b")</f>
        <v/>
      </c>
      <c r="AS71" s="9" t="str">
        <f>_xll.BQL("CRM US Equity", "ADJ_PROFIT_MARGIN", "FPR=2022Y", "FPT=A", "FA_ACT_EST_DATA=E, EST_SOURCE=ARG", "ACT_EST_MAPPING=PRECISE", "FS=MRC", "CURRENCY=USD", "XLFILL=b")</f>
        <v/>
      </c>
      <c r="AT71" s="9" t="str">
        <f>_xll.BQL("CRM US Equity", "ADJ_PROFIT_MARGIN", "FPR=2022Y", "FPT=A", "FA_ACT_EST_DATA=E, EST_SOURCE=CTI", "ACT_EST_MAPPING=PRECISE", "FS=MRC", "CURRENCY=USD", "XLFILL=b")</f>
        <v/>
      </c>
      <c r="AU71" s="9" t="str">
        <f>_xll.BQL("CRM US Equity", "ADJ_PROFIT_MARGIN", "FPR=2022Y", "FPT=A", "FA_ACT_EST_DATA=E, EST_SOURCE=WFT", "ACT_EST_MAPPING=PRECISE", "FS=MRC", "CURRENCY=USD", "XLFILL=b")</f>
        <v/>
      </c>
      <c r="AV71" s="9" t="str">
        <f>_xll.BQL("CRM US Equity", "ADJ_PROFIT_MARGIN", "FPR=2022Y", "FPT=A", "FA_ACT_EST_DATA=E, EST_SOURCE=PJE", "ACT_EST_MAPPING=PRECISE", "FS=MRC", "CURRENCY=USD", "XLFILL=b")</f>
        <v/>
      </c>
      <c r="AW71" s="9" t="str">
        <f>_xll.BQL("CRM US Equity", "ADJ_PROFIT_MARGIN", "FPR=2022Y", "FPT=A", "FA_ACT_EST_DATA=E, EST_SOURCE=SGE", "ACT_EST_MAPPING=PRECISE", "FS=MRC", "CURRENCY=USD", "XLFILL=b")</f>
        <v/>
      </c>
      <c r="AX71" s="9" t="str">
        <f>_xll.BQL("CRM US Equity", "ADJ_PROFIT_MARGIN", "FPR=2022Y", "FPT=A", "FA_ACT_EST_DATA=E, EST_SOURCE=MZS", "ACT_EST_MAPPING=PRECISE", "FS=MRC", "CURRENCY=USD", "XLFILL=b")</f>
        <v/>
      </c>
      <c r="AY71" s="9" t="str">
        <f>_xll.BQL("CRM US Equity", "ADJ_PROFIT_MARGIN", "FPR=2022Y", "FPT=A", "FA_ACT_EST_DATA=E, EST_SOURCE=RCP", "ACT_EST_MAPPING=PRECISE", "FS=MRC", "CURRENCY=USD", "XLFILL=b")</f>
        <v/>
      </c>
      <c r="AZ71" s="9" t="str">
        <f>_xll.BQL("CRM US Equity", "ADJ_PROFIT_MARGIN", "FPR=2022Y", "FPT=A", "FA_ACT_EST_DATA=E, EST_SOURCE=WFR", "ACT_EST_MAPPING=PRECISE", "FS=MRC", "CURRENCY=USD", "XLFILL=b")</f>
        <v/>
      </c>
      <c r="BA71" s="9" t="str">
        <f>_xll.BQL("CRM US Equity", "ADJ_PROFIT_MARGIN", "FPR=2022Y", "FPT=A", "FA_ACT_EST_DATA=E, EST_SOURCE=NIK", "ACT_EST_MAPPING=PRECISE", "FS=MRC", "CURRENCY=USD", "XLFILL=b")</f>
        <v/>
      </c>
      <c r="BB71" s="9" t="str">
        <f>_xll.BQL("CRM US Equity", "ADJ_PROFIT_MARGIN", "FPR=2022Y", "FPT=A", "FA_ACT_EST_DATA=E, EST_SOURCE=ARE", "ACT_EST_MAPPING=PRECISE", "FS=MRC", "CURRENCY=USD", "XLFILL=b")</f>
        <v/>
      </c>
      <c r="BC71" s="9" t="str">
        <f>_xll.BQL("CRM US Equity", "ADJ_PROFIT_MARGIN", "FPR=2022Y", "FPT=A", "FA_ACT_EST_DATA=E, EST_SOURCE=RED", "ACT_EST_MAPPING=PRECISE", "FS=MRC", "CURRENCY=USD", "XLFILL=b")</f>
        <v/>
      </c>
      <c r="BD71" s="9" t="str">
        <f>_xll.BQL("CRM US Equity", "ADJ_PROFIT_MARGIN", "FPR=2022Y", "FPT=A", "FA_ACT_EST_DATA=E, EST_SOURCE=DIR", "ACT_EST_MAPPING=PRECISE", "FS=MRC", "CURRENCY=USD", "XLFILL=b")</f>
        <v/>
      </c>
    </row>
    <row r="72" spans="1:56" x14ac:dyDescent="0.55000000000000004">
      <c r="A72" s="8" t="s">
        <v>26</v>
      </c>
      <c r="B72" s="5"/>
      <c r="C72" s="5"/>
      <c r="D72" s="5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spans="1:56" x14ac:dyDescent="0.55000000000000004">
      <c r="A73" s="8" t="s">
        <v>124</v>
      </c>
      <c r="B73" s="5" t="s">
        <v>125</v>
      </c>
      <c r="C73" s="5" t="s">
        <v>126</v>
      </c>
      <c r="D73" s="5"/>
      <c r="E73" s="9">
        <f>_xll.BQL("CRM US Equity", "IS_SH_FOR_DILUTED_EPS/1M", "FPR=2022Y", "FPT=A", "FA_ACT_EST_DATA=E", "ACT_EST_MAPPING=PRECISE", "FS=MRC", "CURRENCY=USD", "XLFILL=b")</f>
        <v>975.77584926470593</v>
      </c>
      <c r="F73" s="9">
        <f>_xll.BQL("CRM US Equity", "CONTRIBUTOR_STATS(IS_SH_FOR_DILUTED_EPS, MIN)/1M", "FPR=2022Y", "FPT=A", "FA_ACT_EST_DATA=E", "ACT_EST_MAPPING=PRECISE", "FS=MRC", "CURRENCY=USD", "XLFILL=b")</f>
        <v>973</v>
      </c>
      <c r="G73" s="9">
        <f>_xll.BQL("CRM US Equity", "CONTRIBUTOR_STATS(IS_SH_FOR_DILUTED_EPS, MAX)/1M", "FPR=2022Y", "FPT=A", "FA_ACT_EST_DATA=E", "ACT_EST_MAPPING=PRECISE", "FS=MRC", "CURRENCY=USD", "XLFILL=b")</f>
        <v>978.29531249999991</v>
      </c>
      <c r="H73" s="9">
        <f>_xll.BQL("CRM US Equity", "CONTRIBUTOR_STATS(IS_SH_FOR_DILUTED_EPS, STD)/1M", "FPR=2022Y", "FPT=A", "FA_ACT_EST_DATA=E", "ACT_EST_MAPPING=PRECISE", "FS=MRC", "CURRENCY=USD", "XLFILL=b")</f>
        <v>1.268635456086121</v>
      </c>
      <c r="I73" s="9">
        <f>_xll.BQL("CRM US Equity", "CONTRIBUTOR_STATS(IS_SH_FOR_DILUTED_EPS, MEDIAN)/1M", "FPR=2022Y", "FPT=A", "FA_ACT_EST_DATA=E", "ACT_EST_MAPPING=PRECISE", "FS=MRC", "CURRENCY=USD", "XLFILL=b")</f>
        <v>976</v>
      </c>
      <c r="J73" s="9" t="str">
        <f>_xll.BQL("CRM US Equity", "IS_SH_FOR_DILUTED_EPS/1M", "FPR=2022Y", "FPT=A", "FA_ACT_EST_DATA=E, EST_SOURCE=CMPY", "ACT_EST_MAPPING=PRECISE", "FS=MRC", "CURRENCY=USD", "XLFILL=b")</f>
        <v/>
      </c>
      <c r="K73" s="9" t="str">
        <f>_xll.BQL("CRM US Equity", "IS_SH_FOR_DILUTED_EPS/1M", "FPR=2022Y", "FPT=A", "FA_ACT_EST_DATA=E, EST_SOURCE=WBL", "ACT_EST_MAPPING=PRECISE", "FS=MRC", "CURRENCY=USD", "XLFILL=b")</f>
        <v/>
      </c>
      <c r="L73" s="9" t="str">
        <f>_xll.BQL("CRM US Equity", "IS_SH_FOR_DILUTED_EPS/1M", "FPR=2022Y", "FPT=A", "FA_ACT_EST_DATA=E, EST_SOURCE=BMO", "ACT_EST_MAPPING=PRECISE", "FS=MRC", "CURRENCY=USD", "XLFILL=b")</f>
        <v/>
      </c>
      <c r="M73" s="9">
        <f>_xll.BQL("CRM US Equity", "IS_SH_FOR_DILUTED_EPS/1M", "FPR=2022Y", "FPT=A", "FA_ACT_EST_DATA=E, EST_SOURCE=BCA", "ACT_EST_MAPPING=PRECISE", "FS=MRC", "CURRENCY=USD", "XLFILL=b")</f>
        <v>976</v>
      </c>
      <c r="N73" s="9" t="str">
        <f>_xll.BQL("CRM US Equity", "IS_SH_FOR_DILUTED_EPS/1M", "FPR=2022Y", "FPT=A", "FA_ACT_EST_DATA=E, EST_SOURCE=SNR", "ACT_EST_MAPPING=PRECISE", "FS=MRC", "CURRENCY=USD", "XLFILL=b")</f>
        <v/>
      </c>
      <c r="O73" s="9">
        <f>_xll.BQL("CRM US Equity", "IS_SH_FOR_DILUTED_EPS/1M", "FPR=2022Y", "FPT=A", "FA_ACT_EST_DATA=E, EST_SOURCE=MSV", "ACT_EST_MAPPING=PRECISE", "FS=MRC", "CURRENCY=USD", "XLFILL=b")</f>
        <v>976</v>
      </c>
      <c r="P73" s="9" t="str">
        <f>_xll.BQL("CRM US Equity", "IS_SH_FOR_DILUTED_EPS/1M", "FPR=2022Y", "FPT=A", "FA_ACT_EST_DATA=E, EST_SOURCE=DBG", "ACT_EST_MAPPING=PRECISE", "FS=MRC", "CURRENCY=USD", "XLFILL=b")</f>
        <v/>
      </c>
      <c r="Q73" s="9">
        <f>_xll.BQL("CRM US Equity", "IS_SH_FOR_DILUTED_EPS/1M", "FPR=2022Y", "FPT=A", "FA_ACT_EST_DATA=E, EST_SOURCE=NDH", "ACT_EST_MAPPING=PRECISE", "FS=MRC", "CURRENCY=USD", "XLFILL=b")</f>
        <v>976</v>
      </c>
      <c r="R73" s="9" t="str">
        <f>_xll.BQL("CRM US Equity", "IS_SH_FOR_DILUTED_EPS/1M", "FPR=2022Y", "FPT=A", "FA_ACT_EST_DATA=E, EST_SOURCE=CAN", "ACT_EST_MAPPING=PRECISE", "FS=MRC", "CURRENCY=USD", "XLFILL=b")</f>
        <v/>
      </c>
      <c r="S73" s="9" t="str">
        <f>_xll.BQL("CRM US Equity", "IS_SH_FOR_DILUTED_EPS/1M", "FPR=2022Y", "FPT=A", "FA_ACT_EST_DATA=E, EST_SOURCE=SCB", "ACT_EST_MAPPING=PRECISE", "FS=MRC", "CURRENCY=USD", "XLFILL=b")</f>
        <v/>
      </c>
      <c r="T73" s="9">
        <f>_xll.BQL("CRM US Equity", "IS_SH_FOR_DILUTED_EPS/1M", "FPR=2022Y", "FPT=A", "FA_ACT_EST_DATA=E, EST_SOURCE=JMP", "ACT_EST_MAPPING=PRECISE", "FS=MRC", "CURRENCY=USD", "XLFILL=b")</f>
        <v>975</v>
      </c>
      <c r="U73" s="9">
        <f>_xll.BQL("CRM US Equity", "IS_SH_FOR_DILUTED_EPS/1M", "FPR=2022Y", "FPT=A", "FA_ACT_EST_DATA=E, EST_SOURCE=RJA", "ACT_EST_MAPPING=PRECISE", "FS=MRC", "CURRENCY=USD", "XLFILL=b")</f>
        <v>976</v>
      </c>
      <c r="V73" s="9" t="str">
        <f>_xll.BQL("CRM US Equity", "IS_SH_FOR_DILUTED_EPS/1M", "FPR=2022Y", "FPT=A", "FA_ACT_EST_DATA=E, EST_SOURCE=OPY", "ACT_EST_MAPPING=PRECISE", "FS=MRC", "CURRENCY=USD", "XLFILL=b")</f>
        <v/>
      </c>
      <c r="W73" s="9">
        <f>_xll.BQL("CRM US Equity", "IS_SH_FOR_DILUTED_EPS/1M", "FPR=2022Y", "FPT=A", "FA_ACT_EST_DATA=E, EST_SOURCE=JPM", "ACT_EST_MAPPING=PRECISE", "FS=MRC", "CURRENCY=USD", "XLFILL=b")</f>
        <v>976.25324999999998</v>
      </c>
      <c r="X73" s="9">
        <f>_xll.BQL("CRM US Equity", "IS_SH_FOR_DILUTED_EPS/1M", "FPR=2022Y", "FPT=A", "FA_ACT_EST_DATA=E, EST_SOURCE=FBC", "ACT_EST_MAPPING=PRECISE", "FS=MRC", "CURRENCY=USD", "XLFILL=b")</f>
        <v>977.75</v>
      </c>
      <c r="Y73" s="9">
        <f>_xll.BQL("CRM US Equity", "IS_SH_FOR_DILUTED_EPS/1M", "FPR=2022Y", "FPT=A", "FA_ACT_EST_DATA=E, EST_SOURCE=WMS", "ACT_EST_MAPPING=PRECISE", "FS=MRC", "CURRENCY=USD", "XLFILL=b")</f>
        <v>955</v>
      </c>
      <c r="Z73" s="9">
        <f>_xll.BQL("CRM US Equity", "IS_SH_FOR_DILUTED_EPS/1M", "FPR=2022Y", "FPT=A", "FA_ACT_EST_DATA=E, EST_SOURCE=KEY", "ACT_EST_MAPPING=PRECISE", "FS=MRC", "CURRENCY=USD", "XLFILL=b")</f>
        <v>997.75631249999992</v>
      </c>
      <c r="AA73" s="9" t="str">
        <f>_xll.BQL("CRM US Equity", "IS_SH_FOR_DILUTED_EPS/1M", "FPR=2022Y", "FPT=A", "FA_ACT_EST_DATA=E, EST_SOURCE=LCM", "ACT_EST_MAPPING=PRECISE", "FS=MRC", "CURRENCY=USD", "XLFILL=b")</f>
        <v/>
      </c>
      <c r="AB73" s="9" t="str">
        <f>_xll.BQL("CRM US Equity", "IS_SH_FOR_DILUTED_EPS/1M", "FPR=2022Y", "FPT=A", "FA_ACT_EST_DATA=E, EST_SOURCE=CWN", "ACT_EST_MAPPING=PRECISE", "FS=MRC", "CURRENCY=USD", "XLFILL=b")</f>
        <v/>
      </c>
      <c r="AC73" s="9" t="str">
        <f>_xll.BQL("CRM US Equity", "IS_SH_FOR_DILUTED_EPS/1M", "FPR=2022Y", "FPT=A", "FA_ACT_EST_DATA=E, EST_SOURCE=BNS", "ACT_EST_MAPPING=PRECISE", "FS=MRC", "CURRENCY=USD", "XLFILL=b")</f>
        <v/>
      </c>
      <c r="AD73" s="9" t="str">
        <f>_xll.BQL("CRM US Equity", "IS_SH_FOR_DILUTED_EPS/1M", "FPR=2022Y", "FPT=A", "FA_ACT_EST_DATA=E, EST_SOURCE=BAM", "ACT_EST_MAPPING=PRECISE", "FS=MRC", "CURRENCY=USD", "XLFILL=b")</f>
        <v/>
      </c>
      <c r="AE73" s="9" t="str">
        <f>_xll.BQL("CRM US Equity", "IS_SH_FOR_DILUTED_EPS/1M", "FPR=2022Y", "FPT=A", "FA_ACT_EST_DATA=E, EST_SOURCE=RBC", "ACT_EST_MAPPING=PRECISE", "FS=MRC", "CURRENCY=USD", "XLFILL=b")</f>
        <v/>
      </c>
      <c r="AF73" s="9" t="str">
        <f>_xll.BQL("CRM US Equity", "IS_SH_FOR_DILUTED_EPS/1M", "FPR=2022Y", "FPT=A", "FA_ACT_EST_DATA=E, EST_SOURCE=UBS", "ACT_EST_MAPPING=PRECISE", "FS=MRC", "CURRENCY=USD", "XLFILL=b")</f>
        <v/>
      </c>
      <c r="AG73" s="9" t="str">
        <f>_xll.BQL("CRM US Equity", "IS_SH_FOR_DILUTED_EPS/1M", "FPR=2022Y", "FPT=A", "FA_ACT_EST_DATA=E, EST_SOURCE=RHR", "ACT_EST_MAPPING=PRECISE", "FS=MRC", "CURRENCY=USD", "XLFILL=b")</f>
        <v/>
      </c>
      <c r="AH73" s="9" t="str">
        <f>_xll.BQL("CRM US Equity", "IS_SH_FOR_DILUTED_EPS/1M", "FPR=2022Y", "FPT=A", "FA_ACT_EST_DATA=E, EST_SOURCE=JEF", "ACT_EST_MAPPING=PRECISE", "FS=MRC", "CURRENCY=USD", "XLFILL=b")</f>
        <v/>
      </c>
      <c r="AI73" s="9" t="str">
        <f>_xll.BQL("CRM US Equity", "IS_SH_FOR_DILUTED_EPS/1M", "FPR=2022Y", "FPT=A", "FA_ACT_EST_DATA=E, EST_SOURCE=ATL", "ACT_EST_MAPPING=PRECISE", "FS=MRC", "CURRENCY=USD", "XLFILL=b")</f>
        <v/>
      </c>
      <c r="AJ73" s="9" t="str">
        <f>_xll.BQL("CRM US Equity", "IS_SH_FOR_DILUTED_EPS/1M", "FPR=2022Y", "FPT=A", "FA_ACT_EST_DATA=E, EST_SOURCE=MAC", "ACT_EST_MAPPING=PRECISE", "FS=MRC", "CURRENCY=USD", "XLFILL=b")</f>
        <v/>
      </c>
      <c r="AK73" s="9" t="str">
        <f>_xll.BQL("CRM US Equity", "IS_SH_FOR_DILUTED_EPS/1M", "FPR=2022Y", "FPT=A", "FA_ACT_EST_DATA=E, EST_SOURCE=EVR", "ACT_EST_MAPPING=PRECISE", "FS=MRC", "CURRENCY=USD", "XLFILL=b")</f>
        <v/>
      </c>
      <c r="AL73" s="9" t="str">
        <f>_xll.BQL("CRM US Equity", "IS_SH_FOR_DILUTED_EPS/1M", "FPR=2022Y", "FPT=A", "FA_ACT_EST_DATA=E, EST_SOURCE=MSR", "ACT_EST_MAPPING=PRECISE", "FS=MRC", "CURRENCY=USD", "XLFILL=b")</f>
        <v/>
      </c>
      <c r="AM73" s="9" t="str">
        <f>_xll.BQL("CRM US Equity", "IS_SH_FOR_DILUTED_EPS/1M", "FPR=2022Y", "FPT=A", "FA_ACT_EST_DATA=E, EST_SOURCE=KGI", "ACT_EST_MAPPING=PRECISE", "FS=MRC", "CURRENCY=USD", "XLFILL=b")</f>
        <v/>
      </c>
      <c r="AN73" s="9" t="str">
        <f>_xll.BQL("CRM US Equity", "IS_SH_FOR_DILUTED_EPS/1M", "FPR=2022Y", "FPT=A", "FA_ACT_EST_DATA=E, EST_SOURCE=ACC", "ACT_EST_MAPPING=PRECISE", "FS=MRC", "CURRENCY=USD", "XLFILL=b")</f>
        <v/>
      </c>
      <c r="AO73" s="9" t="str">
        <f>_xll.BQL("CRM US Equity", "IS_SH_FOR_DILUTED_EPS/1M", "FPR=2022Y", "FPT=A", "FA_ACT_EST_DATA=E, EST_SOURCE=GSR", "ACT_EST_MAPPING=PRECISE", "FS=MRC", "CURRENCY=USD", "XLFILL=b")</f>
        <v/>
      </c>
      <c r="AP73" s="9" t="str">
        <f>_xll.BQL("CRM US Equity", "IS_SH_FOR_DILUTED_EPS/1M", "FPR=2022Y", "FPT=A", "FA_ACT_EST_DATA=E, EST_SOURCE=PSG", "ACT_EST_MAPPING=PRECISE", "FS=MRC", "CURRENCY=USD", "XLFILL=b")</f>
        <v/>
      </c>
      <c r="AQ73" s="9" t="str">
        <f>_xll.BQL("CRM US Equity", "IS_SH_FOR_DILUTED_EPS/1M", "FPR=2022Y", "FPT=A", "FA_ACT_EST_DATA=E, EST_SOURCE=DWI", "ACT_EST_MAPPING=PRECISE", "FS=MRC", "CURRENCY=USD", "XLFILL=b")</f>
        <v/>
      </c>
      <c r="AR73" s="9" t="str">
        <f>_xll.BQL("CRM US Equity", "IS_SH_FOR_DILUTED_EPS/1M", "FPR=2022Y", "FPT=A", "FA_ACT_EST_DATA=E, EST_SOURCE=RWB", "ACT_EST_MAPPING=PRECISE", "FS=MRC", "CURRENCY=USD", "XLFILL=b")</f>
        <v/>
      </c>
      <c r="AS73" s="9" t="str">
        <f>_xll.BQL("CRM US Equity", "IS_SH_FOR_DILUTED_EPS/1M", "FPR=2022Y", "FPT=A", "FA_ACT_EST_DATA=E, EST_SOURCE=ARG", "ACT_EST_MAPPING=PRECISE", "FS=MRC", "CURRENCY=USD", "XLFILL=b")</f>
        <v/>
      </c>
      <c r="AT73" s="9" t="str">
        <f>_xll.BQL("CRM US Equity", "IS_SH_FOR_DILUTED_EPS/1M", "FPR=2022Y", "FPT=A", "FA_ACT_EST_DATA=E, EST_SOURCE=CTI", "ACT_EST_MAPPING=PRECISE", "FS=MRC", "CURRENCY=USD", "XLFILL=b")</f>
        <v/>
      </c>
      <c r="AU73" s="9" t="str">
        <f>_xll.BQL("CRM US Equity", "IS_SH_FOR_DILUTED_EPS/1M", "FPR=2022Y", "FPT=A", "FA_ACT_EST_DATA=E, EST_SOURCE=WFT", "ACT_EST_MAPPING=PRECISE", "FS=MRC", "CURRENCY=USD", "XLFILL=b")</f>
        <v/>
      </c>
      <c r="AV73" s="9" t="str">
        <f>_xll.BQL("CRM US Equity", "IS_SH_FOR_DILUTED_EPS/1M", "FPR=2022Y", "FPT=A", "FA_ACT_EST_DATA=E, EST_SOURCE=PJE", "ACT_EST_MAPPING=PRECISE", "FS=MRC", "CURRENCY=USD", "XLFILL=b")</f>
        <v/>
      </c>
      <c r="AW73" s="9" t="str">
        <f>_xll.BQL("CRM US Equity", "IS_SH_FOR_DILUTED_EPS/1M", "FPR=2022Y", "FPT=A", "FA_ACT_EST_DATA=E, EST_SOURCE=SGE", "ACT_EST_MAPPING=PRECISE", "FS=MRC", "CURRENCY=USD", "XLFILL=b")</f>
        <v/>
      </c>
      <c r="AX73" s="9" t="str">
        <f>_xll.BQL("CRM US Equity", "IS_SH_FOR_DILUTED_EPS/1M", "FPR=2022Y", "FPT=A", "FA_ACT_EST_DATA=E, EST_SOURCE=MZS", "ACT_EST_MAPPING=PRECISE", "FS=MRC", "CURRENCY=USD", "XLFILL=b")</f>
        <v/>
      </c>
      <c r="AY73" s="9" t="str">
        <f>_xll.BQL("CRM US Equity", "IS_SH_FOR_DILUTED_EPS/1M", "FPR=2022Y", "FPT=A", "FA_ACT_EST_DATA=E, EST_SOURCE=RCP", "ACT_EST_MAPPING=PRECISE", "FS=MRC", "CURRENCY=USD", "XLFILL=b")</f>
        <v/>
      </c>
      <c r="AZ73" s="9" t="str">
        <f>_xll.BQL("CRM US Equity", "IS_SH_FOR_DILUTED_EPS/1M", "FPR=2022Y", "FPT=A", "FA_ACT_EST_DATA=E, EST_SOURCE=WFR", "ACT_EST_MAPPING=PRECISE", "FS=MRC", "CURRENCY=USD", "XLFILL=b")</f>
        <v/>
      </c>
      <c r="BA73" s="9" t="str">
        <f>_xll.BQL("CRM US Equity", "IS_SH_FOR_DILUTED_EPS/1M", "FPR=2022Y", "FPT=A", "FA_ACT_EST_DATA=E, EST_SOURCE=NIK", "ACT_EST_MAPPING=PRECISE", "FS=MRC", "CURRENCY=USD", "XLFILL=b")</f>
        <v/>
      </c>
      <c r="BB73" s="9" t="str">
        <f>_xll.BQL("CRM US Equity", "IS_SH_FOR_DILUTED_EPS/1M", "FPR=2022Y", "FPT=A", "FA_ACT_EST_DATA=E, EST_SOURCE=ARE", "ACT_EST_MAPPING=PRECISE", "FS=MRC", "CURRENCY=USD", "XLFILL=b")</f>
        <v/>
      </c>
      <c r="BC73" s="9" t="str">
        <f>_xll.BQL("CRM US Equity", "IS_SH_FOR_DILUTED_EPS/1M", "FPR=2022Y", "FPT=A", "FA_ACT_EST_DATA=E, EST_SOURCE=RED", "ACT_EST_MAPPING=PRECISE", "FS=MRC", "CURRENCY=USD", "XLFILL=b")</f>
        <v/>
      </c>
      <c r="BD73" s="9" t="str">
        <f>_xll.BQL("CRM US Equity", "IS_SH_FOR_DILUTED_EPS/1M", "FPR=2022Y", "FPT=A", "FA_ACT_EST_DATA=E, EST_SOURCE=DIR", "ACT_EST_MAPPING=PRECISE", "FS=MRC", "CURRENCY=USD", "XLFILL=b")</f>
        <v/>
      </c>
    </row>
    <row r="74" spans="1:56" x14ac:dyDescent="0.55000000000000004">
      <c r="A74" s="8" t="s">
        <v>127</v>
      </c>
      <c r="B74" s="5" t="s">
        <v>19</v>
      </c>
      <c r="C74" s="5" t="s">
        <v>128</v>
      </c>
      <c r="D74" s="5"/>
      <c r="E74" s="9">
        <f>_xll.BQL("CRM US Equity", "IS_COMP_EPS_EXCL_STOCK_COMP", "FPR=2022Y", "FPT=A", "FA_ACT_EST_DATA=E", "ACT_EST_MAPPING=PRECISE", "FS=MRC", "CURRENCY=USD", "XLFILL=b")</f>
        <v>4.6819999999999986</v>
      </c>
      <c r="F74" s="9">
        <f>_xll.BQL("CRM US Equity", "CONTRIBUTOR_STATS(IS_COMP_EPS_EXCL_STOCK_COMP, MIN)", "FPR=2022Y", "FPT=A", "FA_ACT_EST_DATA=E", "ACT_EST_MAPPING=PRECISE", "FS=MRC", "CURRENCY=USD", "XLFILL=b")</f>
        <v>4.47</v>
      </c>
      <c r="G74" s="9">
        <f>_xll.BQL("CRM US Equity", "CONTRIBUTOR_STATS(IS_COMP_EPS_EXCL_STOCK_COMP, MAX)", "FPR=2022Y", "FPT=A", "FA_ACT_EST_DATA=E", "ACT_EST_MAPPING=PRECISE", "FS=MRC", "CURRENCY=USD", "XLFILL=b")</f>
        <v>4.8899999999999997</v>
      </c>
      <c r="H74" s="9">
        <f>_xll.BQL("CRM US Equity", "CONTRIBUTOR_STATS(IS_COMP_EPS_EXCL_STOCK_COMP, STD)", "FPR=2022Y", "FPT=A", "FA_ACT_EST_DATA=E", "ACT_EST_MAPPING=PRECISE", "FS=MRC", "CURRENCY=USD", "XLFILL=b")</f>
        <v>6.6147218728035306E-2</v>
      </c>
      <c r="I74" s="9">
        <f>_xll.BQL("CRM US Equity", "CONTRIBUTOR_STATS(IS_COMP_EPS_EXCL_STOCK_COMP, MEDIAN)", "FPR=2022Y", "FPT=A", "FA_ACT_EST_DATA=E", "ACT_EST_MAPPING=PRECISE", "FS=MRC", "CURRENCY=USD", "XLFILL=b")</f>
        <v>4.68</v>
      </c>
      <c r="J74" s="9">
        <f>_xll.BQL("CRM US Equity", "IS_COMP_EPS_EXCL_STOCK_COMP", "FPR=2022Y", "FPT=A", "FA_ACT_EST_DATA=E, EST_SOURCE=CMPY", "ACT_EST_MAPPING=PRECISE", "FS=MRC", "CURRENCY=USD", "XLFILL=b")</f>
        <v>4.684999942779541</v>
      </c>
      <c r="K74" s="9">
        <f>_xll.BQL("CRM US Equity", "IS_COMP_EPS_EXCL_STOCK_COMP", "FPR=2022Y", "FPT=A", "FA_ACT_EST_DATA=E, EST_SOURCE=WBL", "ACT_EST_MAPPING=PRECISE", "FS=MRC", "CURRENCY=USD", "XLFILL=b")</f>
        <v>4.66</v>
      </c>
      <c r="L74" s="9">
        <f>_xll.BQL("CRM US Equity", "IS_COMP_EPS_EXCL_STOCK_COMP", "FPR=2022Y", "FPT=A", "FA_ACT_EST_DATA=E, EST_SOURCE=BMO", "ACT_EST_MAPPING=PRECISE", "FS=MRC", "CURRENCY=USD", "XLFILL=b")</f>
        <v>4.67</v>
      </c>
      <c r="M74" s="9">
        <f>_xll.BQL("CRM US Equity", "IS_COMP_EPS_EXCL_STOCK_COMP", "FPR=2022Y", "FPT=A", "FA_ACT_EST_DATA=E, EST_SOURCE=BCA", "ACT_EST_MAPPING=PRECISE", "FS=MRC", "CURRENCY=USD", "XLFILL=b")</f>
        <v>4.6900000000000004</v>
      </c>
      <c r="N74" s="9">
        <f>_xll.BQL("CRM US Equity", "IS_COMP_EPS_EXCL_STOCK_COMP", "FPR=2022Y", "FPT=A", "FA_ACT_EST_DATA=E, EST_SOURCE=SNR", "ACT_EST_MAPPING=PRECISE", "FS=MRC", "CURRENCY=USD", "XLFILL=b")</f>
        <v>4.6900000000000004</v>
      </c>
      <c r="O74" s="9">
        <f>_xll.BQL("CRM US Equity", "IS_COMP_EPS_EXCL_STOCK_COMP", "FPR=2022Y", "FPT=A", "FA_ACT_EST_DATA=E, EST_SOURCE=MSV", "ACT_EST_MAPPING=PRECISE", "FS=MRC", "CURRENCY=USD", "XLFILL=b")</f>
        <v>4.75</v>
      </c>
      <c r="P74" s="9">
        <f>_xll.BQL("CRM US Equity", "IS_COMP_EPS_EXCL_STOCK_COMP", "FPR=2022Y", "FPT=A", "FA_ACT_EST_DATA=E, EST_SOURCE=DBG", "ACT_EST_MAPPING=PRECISE", "FS=MRC", "CURRENCY=USD", "XLFILL=b")</f>
        <v>4.6900000000000004</v>
      </c>
      <c r="Q74" s="9">
        <f>_xll.BQL("CRM US Equity", "IS_COMP_EPS_EXCL_STOCK_COMP", "FPR=2022Y", "FPT=A", "FA_ACT_EST_DATA=E, EST_SOURCE=NDH", "ACT_EST_MAPPING=PRECISE", "FS=MRC", "CURRENCY=USD", "XLFILL=b")</f>
        <v>4.6500000000000004</v>
      </c>
      <c r="R74" s="9">
        <f>_xll.BQL("CRM US Equity", "IS_COMP_EPS_EXCL_STOCK_COMP", "FPR=2022Y", "FPT=A", "FA_ACT_EST_DATA=E, EST_SOURCE=CAN", "ACT_EST_MAPPING=PRECISE", "FS=MRC", "CURRENCY=USD", "XLFILL=b")</f>
        <v>4.68</v>
      </c>
      <c r="S74" s="9">
        <f>_xll.BQL("CRM US Equity", "IS_COMP_EPS_EXCL_STOCK_COMP", "FPR=2022Y", "FPT=A", "FA_ACT_EST_DATA=E, EST_SOURCE=SCB", "ACT_EST_MAPPING=PRECISE", "FS=MRC", "CURRENCY=USD", "XLFILL=b")</f>
        <v>4.83</v>
      </c>
      <c r="T74" s="9">
        <f>_xll.BQL("CRM US Equity", "IS_COMP_EPS_EXCL_STOCK_COMP", "FPR=2022Y", "FPT=A", "FA_ACT_EST_DATA=E, EST_SOURCE=JMP", "ACT_EST_MAPPING=PRECISE", "FS=MRC", "CURRENCY=USD", "XLFILL=b")</f>
        <v>4.68</v>
      </c>
      <c r="U74" s="9">
        <f>_xll.BQL("CRM US Equity", "IS_COMP_EPS_EXCL_STOCK_COMP", "FPR=2022Y", "FPT=A", "FA_ACT_EST_DATA=E, EST_SOURCE=RJA", "ACT_EST_MAPPING=PRECISE", "FS=MRC", "CURRENCY=USD", "XLFILL=b")</f>
        <v>4.6900000000000004</v>
      </c>
      <c r="V74" s="9">
        <f>_xll.BQL("CRM US Equity", "IS_COMP_EPS_EXCL_STOCK_COMP", "FPR=2022Y", "FPT=A", "FA_ACT_EST_DATA=E, EST_SOURCE=OPY", "ACT_EST_MAPPING=PRECISE", "FS=MRC", "CURRENCY=USD", "XLFILL=b")</f>
        <v>4.6900000000000004</v>
      </c>
      <c r="W74" s="9">
        <f>_xll.BQL("CRM US Equity", "IS_COMP_EPS_EXCL_STOCK_COMP", "FPR=2022Y", "FPT=A", "FA_ACT_EST_DATA=E, EST_SOURCE=JPM", "ACT_EST_MAPPING=PRECISE", "FS=MRC", "CURRENCY=USD", "XLFILL=b")</f>
        <v>4.7</v>
      </c>
      <c r="X74" s="9">
        <f>_xll.BQL("CRM US Equity", "IS_COMP_EPS_EXCL_STOCK_COMP", "FPR=2022Y", "FPT=A", "FA_ACT_EST_DATA=E, EST_SOURCE=FBC", "ACT_EST_MAPPING=PRECISE", "FS=MRC", "CURRENCY=USD", "XLFILL=b")</f>
        <v>4.66</v>
      </c>
      <c r="Y74" s="9">
        <f>_xll.BQL("CRM US Equity", "IS_COMP_EPS_EXCL_STOCK_COMP", "FPR=2022Y", "FPT=A", "FA_ACT_EST_DATA=E, EST_SOURCE=WMS", "ACT_EST_MAPPING=PRECISE", "FS=MRC", "CURRENCY=USD", "XLFILL=b")</f>
        <v>4.6399999999999997</v>
      </c>
      <c r="Z74" s="9">
        <f>_xll.BQL("CRM US Equity", "IS_COMP_EPS_EXCL_STOCK_COMP", "FPR=2022Y", "FPT=A", "FA_ACT_EST_DATA=E, EST_SOURCE=KEY", "ACT_EST_MAPPING=PRECISE", "FS=MRC", "CURRENCY=USD", "XLFILL=b")</f>
        <v>4.67</v>
      </c>
      <c r="AA74" s="9">
        <f>_xll.BQL("CRM US Equity", "IS_COMP_EPS_EXCL_STOCK_COMP", "FPR=2022Y", "FPT=A", "FA_ACT_EST_DATA=E, EST_SOURCE=LCM", "ACT_EST_MAPPING=PRECISE", "FS=MRC", "CURRENCY=USD", "XLFILL=b")</f>
        <v>4.67</v>
      </c>
      <c r="AB74" s="9">
        <f>_xll.BQL("CRM US Equity", "IS_COMP_EPS_EXCL_STOCK_COMP", "FPR=2022Y", "FPT=A", "FA_ACT_EST_DATA=E, EST_SOURCE=CWN", "ACT_EST_MAPPING=PRECISE", "FS=MRC", "CURRENCY=USD", "XLFILL=b")</f>
        <v>4.68</v>
      </c>
      <c r="AC74" s="9">
        <f>_xll.BQL("CRM US Equity", "IS_COMP_EPS_EXCL_STOCK_COMP", "FPR=2022Y", "FPT=A", "FA_ACT_EST_DATA=E, EST_SOURCE=BNS", "ACT_EST_MAPPING=PRECISE", "FS=MRC", "CURRENCY=USD", "XLFILL=b")</f>
        <v>4.67</v>
      </c>
      <c r="AD74" s="9">
        <f>_xll.BQL("CRM US Equity", "IS_COMP_EPS_EXCL_STOCK_COMP", "FPR=2022Y", "FPT=A", "FA_ACT_EST_DATA=E, EST_SOURCE=BAM", "ACT_EST_MAPPING=PRECISE", "FS=MRC", "CURRENCY=USD", "XLFILL=b")</f>
        <v>4.66</v>
      </c>
      <c r="AE74" s="9">
        <f>_xll.BQL("CRM US Equity", "IS_COMP_EPS_EXCL_STOCK_COMP", "FPR=2022Y", "FPT=A", "FA_ACT_EST_DATA=E, EST_SOURCE=RBC", "ACT_EST_MAPPING=PRECISE", "FS=MRC", "CURRENCY=USD", "XLFILL=b")</f>
        <v>4.66</v>
      </c>
      <c r="AF74" s="9">
        <f>_xll.BQL("CRM US Equity", "IS_COMP_EPS_EXCL_STOCK_COMP", "FPR=2022Y", "FPT=A", "FA_ACT_EST_DATA=E, EST_SOURCE=UBS", "ACT_EST_MAPPING=PRECISE", "FS=MRC", "CURRENCY=USD", "XLFILL=b")</f>
        <v>4.7</v>
      </c>
      <c r="AG74" s="9">
        <f>_xll.BQL("CRM US Equity", "IS_COMP_EPS_EXCL_STOCK_COMP", "FPR=2022Y", "FPT=A", "FA_ACT_EST_DATA=E, EST_SOURCE=RHR", "ACT_EST_MAPPING=PRECISE", "FS=MRC", "CURRENCY=USD", "XLFILL=b")</f>
        <v>4.68</v>
      </c>
      <c r="AH74" s="9">
        <f>_xll.BQL("CRM US Equity", "IS_COMP_EPS_EXCL_STOCK_COMP", "FPR=2022Y", "FPT=A", "FA_ACT_EST_DATA=E, EST_SOURCE=JEF", "ACT_EST_MAPPING=PRECISE", "FS=MRC", "CURRENCY=USD", "XLFILL=b")</f>
        <v>4.66</v>
      </c>
      <c r="AI74" s="9">
        <f>_xll.BQL("CRM US Equity", "IS_COMP_EPS_EXCL_STOCK_COMP", "FPR=2022Y", "FPT=A", "FA_ACT_EST_DATA=E, EST_SOURCE=ATL", "ACT_EST_MAPPING=PRECISE", "FS=MRC", "CURRENCY=USD", "XLFILL=b")</f>
        <v>4.78</v>
      </c>
      <c r="AJ74" s="9">
        <f>_xll.BQL("CRM US Equity", "IS_COMP_EPS_EXCL_STOCK_COMP", "FPR=2022Y", "FPT=A", "FA_ACT_EST_DATA=E, EST_SOURCE=MAC", "ACT_EST_MAPPING=PRECISE", "FS=MRC", "CURRENCY=USD", "XLFILL=b")</f>
        <v>4.7</v>
      </c>
      <c r="AK74" s="9">
        <f>_xll.BQL("CRM US Equity", "IS_COMP_EPS_EXCL_STOCK_COMP", "FPR=2022Y", "FPT=A", "FA_ACT_EST_DATA=E, EST_SOURCE=EVR", "ACT_EST_MAPPING=PRECISE", "FS=MRC", "CURRENCY=USD", "XLFILL=b")</f>
        <v>4.67</v>
      </c>
      <c r="AL74" s="9">
        <f>_xll.BQL("CRM US Equity", "IS_COMP_EPS_EXCL_STOCK_COMP", "FPR=2022Y", "FPT=A", "FA_ACT_EST_DATA=E, EST_SOURCE=MSR", "ACT_EST_MAPPING=PRECISE", "FS=MRC", "CURRENCY=USD", "XLFILL=b")</f>
        <v>4.68</v>
      </c>
      <c r="AM74" s="9">
        <f>_xll.BQL("CRM US Equity", "IS_COMP_EPS_EXCL_STOCK_COMP", "FPR=2022Y", "FPT=A", "FA_ACT_EST_DATA=E, EST_SOURCE=KGI", "ACT_EST_MAPPING=PRECISE", "FS=MRC", "CURRENCY=USD", "XLFILL=b")</f>
        <v>4.75</v>
      </c>
      <c r="AN74" s="9">
        <f>_xll.BQL("CRM US Equity", "IS_COMP_EPS_EXCL_STOCK_COMP", "FPR=2022Y", "FPT=A", "FA_ACT_EST_DATA=E, EST_SOURCE=ACC", "ACT_EST_MAPPING=PRECISE", "FS=MRC", "CURRENCY=USD", "XLFILL=b")</f>
        <v>4.67</v>
      </c>
      <c r="AO74" s="9">
        <f>_xll.BQL("CRM US Equity", "IS_COMP_EPS_EXCL_STOCK_COMP", "FPR=2022Y", "FPT=A", "FA_ACT_EST_DATA=E, EST_SOURCE=GSR", "ACT_EST_MAPPING=PRECISE", "FS=MRC", "CURRENCY=USD", "XLFILL=b")</f>
        <v>4.67</v>
      </c>
      <c r="AP74" s="9">
        <f>_xll.BQL("CRM US Equity", "IS_COMP_EPS_EXCL_STOCK_COMP", "FPR=2022Y", "FPT=A", "FA_ACT_EST_DATA=E, EST_SOURCE=PSG", "ACT_EST_MAPPING=PRECISE", "FS=MRC", "CURRENCY=USD", "XLFILL=b")</f>
        <v>4.8899999999999997</v>
      </c>
      <c r="AQ74" s="9">
        <f>_xll.BQL("CRM US Equity", "IS_COMP_EPS_EXCL_STOCK_COMP", "FPR=2022Y", "FPT=A", "FA_ACT_EST_DATA=E, EST_SOURCE=DWI", "ACT_EST_MAPPING=PRECISE", "FS=MRC", "CURRENCY=USD", "XLFILL=b")</f>
        <v>0.85</v>
      </c>
      <c r="AR74" s="9">
        <f>_xll.BQL("CRM US Equity", "IS_COMP_EPS_EXCL_STOCK_COMP", "FPR=2022Y", "FPT=A", "FA_ACT_EST_DATA=E, EST_SOURCE=RWB", "ACT_EST_MAPPING=PRECISE", "FS=MRC", "CURRENCY=USD", "XLFILL=b")</f>
        <v>4.67</v>
      </c>
      <c r="AS74" s="9">
        <f>_xll.BQL("CRM US Equity", "IS_COMP_EPS_EXCL_STOCK_COMP", "FPR=2022Y", "FPT=A", "FA_ACT_EST_DATA=E, EST_SOURCE=ARG", "ACT_EST_MAPPING=PRECISE", "FS=MRC", "CURRENCY=USD", "XLFILL=b")</f>
        <v>4.75</v>
      </c>
      <c r="AT74" s="9">
        <f>_xll.BQL("CRM US Equity", "IS_COMP_EPS_EXCL_STOCK_COMP", "FPR=2022Y", "FPT=A", "FA_ACT_EST_DATA=E, EST_SOURCE=CTI", "ACT_EST_MAPPING=PRECISE", "FS=MRC", "CURRENCY=USD", "XLFILL=b")</f>
        <v>4.67</v>
      </c>
      <c r="AU74" s="9" t="str">
        <f>_xll.BQL("CRM US Equity", "IS_COMP_EPS_EXCL_STOCK_COMP", "FPR=2022Y", "FPT=A", "FA_ACT_EST_DATA=E, EST_SOURCE=WFT", "ACT_EST_MAPPING=PRECISE", "FS=MRC", "CURRENCY=USD", "XLFILL=b")</f>
        <v/>
      </c>
      <c r="AV74" s="9" t="str">
        <f>_xll.BQL("CRM US Equity", "IS_COMP_EPS_EXCL_STOCK_COMP", "FPR=2022Y", "FPT=A", "FA_ACT_EST_DATA=E, EST_SOURCE=PJE", "ACT_EST_MAPPING=PRECISE", "FS=MRC", "CURRENCY=USD", "XLFILL=b")</f>
        <v/>
      </c>
      <c r="AW74" s="9" t="str">
        <f>_xll.BQL("CRM US Equity", "IS_COMP_EPS_EXCL_STOCK_COMP", "FPR=2022Y", "FPT=A", "FA_ACT_EST_DATA=E, EST_SOURCE=SGE", "ACT_EST_MAPPING=PRECISE", "FS=MRC", "CURRENCY=USD", "XLFILL=b")</f>
        <v/>
      </c>
      <c r="AX74" s="9" t="str">
        <f>_xll.BQL("CRM US Equity", "IS_COMP_EPS_EXCL_STOCK_COMP", "FPR=2022Y", "FPT=A", "FA_ACT_EST_DATA=E, EST_SOURCE=MZS", "ACT_EST_MAPPING=PRECISE", "FS=MRC", "CURRENCY=USD", "XLFILL=b")</f>
        <v/>
      </c>
      <c r="AY74" s="9" t="str">
        <f>_xll.BQL("CRM US Equity", "IS_COMP_EPS_EXCL_STOCK_COMP", "FPR=2022Y", "FPT=A", "FA_ACT_EST_DATA=E, EST_SOURCE=RCP", "ACT_EST_MAPPING=PRECISE", "FS=MRC", "CURRENCY=USD", "XLFILL=b")</f>
        <v/>
      </c>
      <c r="AZ74" s="9" t="str">
        <f>_xll.BQL("CRM US Equity", "IS_COMP_EPS_EXCL_STOCK_COMP", "FPR=2022Y", "FPT=A", "FA_ACT_EST_DATA=E, EST_SOURCE=WFR", "ACT_EST_MAPPING=PRECISE", "FS=MRC", "CURRENCY=USD", "XLFILL=b")</f>
        <v/>
      </c>
      <c r="BA74" s="9" t="str">
        <f>_xll.BQL("CRM US Equity", "IS_COMP_EPS_EXCL_STOCK_COMP", "FPR=2022Y", "FPT=A", "FA_ACT_EST_DATA=E, EST_SOURCE=NIK", "ACT_EST_MAPPING=PRECISE", "FS=MRC", "CURRENCY=USD", "XLFILL=b")</f>
        <v/>
      </c>
      <c r="BB74" s="9" t="str">
        <f>_xll.BQL("CRM US Equity", "IS_COMP_EPS_EXCL_STOCK_COMP", "FPR=2022Y", "FPT=A", "FA_ACT_EST_DATA=E, EST_SOURCE=ARE", "ACT_EST_MAPPING=PRECISE", "FS=MRC", "CURRENCY=USD", "XLFILL=b")</f>
        <v/>
      </c>
      <c r="BC74" s="9" t="str">
        <f>_xll.BQL("CRM US Equity", "IS_COMP_EPS_EXCL_STOCK_COMP", "FPR=2022Y", "FPT=A", "FA_ACT_EST_DATA=E, EST_SOURCE=RED", "ACT_EST_MAPPING=PRECISE", "FS=MRC", "CURRENCY=USD", "XLFILL=b")</f>
        <v/>
      </c>
      <c r="BD74" s="9" t="str">
        <f>_xll.BQL("CRM US Equity", "IS_COMP_EPS_EXCL_STOCK_COMP", "FPR=2022Y", "FPT=A", "FA_ACT_EST_DATA=E, EST_SOURCE=DIR", "ACT_EST_MAPPING=PRECISE", "FS=MRC", "CURRENCY=USD", "XLFILL=b")</f>
        <v/>
      </c>
    </row>
    <row r="75" spans="1:56" x14ac:dyDescent="0.55000000000000004">
      <c r="A75" s="8" t="s">
        <v>26</v>
      </c>
      <c r="B75" s="5"/>
      <c r="C75" s="5"/>
      <c r="D75" s="5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1:56" x14ac:dyDescent="0.55000000000000004">
      <c r="A76" s="8" t="s">
        <v>129</v>
      </c>
      <c r="B76" s="5"/>
      <c r="C76" s="5" t="s">
        <v>130</v>
      </c>
      <c r="D76" s="5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</row>
    <row r="77" spans="1:56" x14ac:dyDescent="0.55000000000000004">
      <c r="A77" s="8" t="s">
        <v>72</v>
      </c>
      <c r="B77" s="5" t="s">
        <v>73</v>
      </c>
      <c r="C77" s="5" t="s">
        <v>74</v>
      </c>
      <c r="D77" s="5"/>
      <c r="E77" s="9">
        <f>_xll.BQL("CRM US Equity", "IS_COGS_TO_FE_AND_PP_AND_G/1M", "FPR=2022Y", "FPT=A", "FA_ACT_EST_DATA=E", "ACT_EST_MAPPING=PRECISE", "FS=MRC", "CURRENCY=USD", "XLFILL=b")</f>
        <v>6919.6859819313777</v>
      </c>
      <c r="F77" s="9">
        <f>_xll.BQL("CRM US Equity", "CONTRIBUTOR_STATS(IS_COGS_TO_FE_AND_PP_AND_G, MIN)/1M", "FPR=2022Y", "FPT=A", "FA_ACT_EST_DATA=E", "ACT_EST_MAPPING=PRECISE", "FS=MRC", "CURRENCY=USD", "XLFILL=b")</f>
        <v>6754.5687179654888</v>
      </c>
      <c r="G77" s="9">
        <f>_xll.BQL("CRM US Equity", "CONTRIBUTOR_STATS(IS_COGS_TO_FE_AND_PP_AND_G, MAX)/1M", "FPR=2022Y", "FPT=A", "FA_ACT_EST_DATA=E", "ACT_EST_MAPPING=PRECISE", "FS=MRC", "CURRENCY=USD", "XLFILL=b")</f>
        <v>7048.3947670446742</v>
      </c>
      <c r="H77" s="9">
        <f>_xll.BQL("CRM US Equity", "CONTRIBUTOR_STATS(IS_COGS_TO_FE_AND_PP_AND_G, STD)/1M", "FPR=2022Y", "FPT=A", "FA_ACT_EST_DATA=E", "ACT_EST_MAPPING=PRECISE", "FS=MRC", "CURRENCY=USD", "XLFILL=b")</f>
        <v>85.639455104696282</v>
      </c>
      <c r="I77" s="9">
        <f>_xll.BQL("CRM US Equity", "CONTRIBUTOR_STATS(IS_COGS_TO_FE_AND_PP_AND_G, MEDIAN)/1M", "FPR=2022Y", "FPT=A", "FA_ACT_EST_DATA=E", "ACT_EST_MAPPING=PRECISE", "FS=MRC", "CURRENCY=USD", "XLFILL=b")</f>
        <v>6910.4803870687228</v>
      </c>
      <c r="J77" s="9" t="str">
        <f>_xll.BQL("CRM US Equity", "IS_COGS_TO_FE_AND_PP_AND_G/1M", "FPR=2022Y", "FPT=A", "FA_ACT_EST_DATA=E, EST_SOURCE=CMPY", "ACT_EST_MAPPING=PRECISE", "FS=MRC", "CURRENCY=USD", "XLFILL=b")</f>
        <v/>
      </c>
      <c r="K77" s="9" t="str">
        <f>_xll.BQL("CRM US Equity", "IS_COGS_TO_FE_AND_PP_AND_G/1M", "FPR=2022Y", "FPT=A", "FA_ACT_EST_DATA=E, EST_SOURCE=WBL", "ACT_EST_MAPPING=PRECISE", "FS=MRC", "CURRENCY=USD", "XLFILL=b")</f>
        <v/>
      </c>
      <c r="L77" s="9" t="str">
        <f>_xll.BQL("CRM US Equity", "IS_COGS_TO_FE_AND_PP_AND_G/1M", "FPR=2022Y", "FPT=A", "FA_ACT_EST_DATA=E, EST_SOURCE=BMO", "ACT_EST_MAPPING=PRECISE", "FS=MRC", "CURRENCY=USD", "XLFILL=b")</f>
        <v/>
      </c>
      <c r="M77" s="9">
        <f>_xll.BQL("CRM US Equity", "IS_COGS_TO_FE_AND_PP_AND_G/1M", "FPR=2022Y", "FPT=A", "FA_ACT_EST_DATA=E, EST_SOURCE=BCA", "ACT_EST_MAPPING=PRECISE", "FS=MRC", "CURRENCY=USD", "XLFILL=b")</f>
        <v>6884.4634776341891</v>
      </c>
      <c r="N77" s="9" t="str">
        <f>_xll.BQL("CRM US Equity", "IS_COGS_TO_FE_AND_PP_AND_G/1M", "FPR=2022Y", "FPT=A", "FA_ACT_EST_DATA=E, EST_SOURCE=SNR", "ACT_EST_MAPPING=PRECISE", "FS=MRC", "CURRENCY=USD", "XLFILL=b")</f>
        <v/>
      </c>
      <c r="O77" s="9">
        <f>_xll.BQL("CRM US Equity", "IS_COGS_TO_FE_AND_PP_AND_G/1M", "FPR=2022Y", "FPT=A", "FA_ACT_EST_DATA=E, EST_SOURCE=MSV", "ACT_EST_MAPPING=PRECISE", "FS=MRC", "CURRENCY=USD", "XLFILL=b")</f>
        <v>6861.7762409999996</v>
      </c>
      <c r="P77" s="9">
        <f>_xll.BQL("CRM US Equity", "IS_COGS_TO_FE_AND_PP_AND_G/1M", "FPR=2022Y", "FPT=A", "FA_ACT_EST_DATA=E, EST_SOURCE=DBG", "ACT_EST_MAPPING=PRECISE", "FS=MRC", "CURRENCY=USD", "XLFILL=b")</f>
        <v>6954.9412874737091</v>
      </c>
      <c r="Q77" s="9" t="str">
        <f>_xll.BQL("CRM US Equity", "IS_COGS_TO_FE_AND_PP_AND_G/1M", "FPR=2022Y", "FPT=A", "FA_ACT_EST_DATA=E, EST_SOURCE=NDH", "ACT_EST_MAPPING=PRECISE", "FS=MRC", "CURRENCY=USD", "XLFILL=b")</f>
        <v/>
      </c>
      <c r="R77" s="9" t="str">
        <f>_xll.BQL("CRM US Equity", "IS_COGS_TO_FE_AND_PP_AND_G/1M", "FPR=2022Y", "FPT=A", "FA_ACT_EST_DATA=E, EST_SOURCE=CAN", "ACT_EST_MAPPING=PRECISE", "FS=MRC", "CURRENCY=USD", "XLFILL=b")</f>
        <v/>
      </c>
      <c r="S77" s="9" t="str">
        <f>_xll.BQL("CRM US Equity", "IS_COGS_TO_FE_AND_PP_AND_G/1M", "FPR=2022Y", "FPT=A", "FA_ACT_EST_DATA=E, EST_SOURCE=SCB", "ACT_EST_MAPPING=PRECISE", "FS=MRC", "CURRENCY=USD", "XLFILL=b")</f>
        <v/>
      </c>
      <c r="T77" s="9" t="str">
        <f>_xll.BQL("CRM US Equity", "IS_COGS_TO_FE_AND_PP_AND_G/1M", "FPR=2022Y", "FPT=A", "FA_ACT_EST_DATA=E, EST_SOURCE=JMP", "ACT_EST_MAPPING=PRECISE", "FS=MRC", "CURRENCY=USD", "XLFILL=b")</f>
        <v/>
      </c>
      <c r="U77" s="9" t="str">
        <f>_xll.BQL("CRM US Equity", "IS_COGS_TO_FE_AND_PP_AND_G/1M", "FPR=2022Y", "FPT=A", "FA_ACT_EST_DATA=E, EST_SOURCE=RJA", "ACT_EST_MAPPING=PRECISE", "FS=MRC", "CURRENCY=USD", "XLFILL=b")</f>
        <v/>
      </c>
      <c r="V77" s="9" t="str">
        <f>_xll.BQL("CRM US Equity", "IS_COGS_TO_FE_AND_PP_AND_G/1M", "FPR=2022Y", "FPT=A", "FA_ACT_EST_DATA=E, EST_SOURCE=OPY", "ACT_EST_MAPPING=PRECISE", "FS=MRC", "CURRENCY=USD", "XLFILL=b")</f>
        <v/>
      </c>
      <c r="W77" s="9" t="str">
        <f>_xll.BQL("CRM US Equity", "IS_COGS_TO_FE_AND_PP_AND_G/1M", "FPR=2022Y", "FPT=A", "FA_ACT_EST_DATA=E, EST_SOURCE=JPM", "ACT_EST_MAPPING=PRECISE", "FS=MRC", "CURRENCY=USD", "XLFILL=b")</f>
        <v/>
      </c>
      <c r="X77" s="9">
        <f>_xll.BQL("CRM US Equity", "IS_COGS_TO_FE_AND_PP_AND_G/1M", "FPR=2022Y", "FPT=A", "FA_ACT_EST_DATA=E, EST_SOURCE=FBC", "ACT_EST_MAPPING=PRECISE", "FS=MRC", "CURRENCY=USD", "XLFILL=b")</f>
        <v>6895.932368729812</v>
      </c>
      <c r="Y77" s="9">
        <f>_xll.BQL("CRM US Equity", "IS_COGS_TO_FE_AND_PP_AND_G/1M", "FPR=2022Y", "FPT=A", "FA_ACT_EST_DATA=E, EST_SOURCE=WMS", "ACT_EST_MAPPING=PRECISE", "FS=MRC", "CURRENCY=USD", "XLFILL=b")</f>
        <v>1555</v>
      </c>
      <c r="Z77" s="9">
        <f>_xll.BQL("CRM US Equity", "IS_COGS_TO_FE_AND_PP_AND_G/1M", "FPR=2022Y", "FPT=A", "FA_ACT_EST_DATA=E, EST_SOURCE=KEY", "ACT_EST_MAPPING=PRECISE", "FS=MRC", "CURRENCY=USD", "XLFILL=b")</f>
        <v>6926.5145366751167</v>
      </c>
      <c r="AA77" s="9" t="str">
        <f>_xll.BQL("CRM US Equity", "IS_COGS_TO_FE_AND_PP_AND_G/1M", "FPR=2022Y", "FPT=A", "FA_ACT_EST_DATA=E, EST_SOURCE=LCM", "ACT_EST_MAPPING=PRECISE", "FS=MRC", "CURRENCY=USD", "XLFILL=b")</f>
        <v/>
      </c>
      <c r="AB77" s="9" t="str">
        <f>_xll.BQL("CRM US Equity", "IS_COGS_TO_FE_AND_PP_AND_G/1M", "FPR=2022Y", "FPT=A", "FA_ACT_EST_DATA=E, EST_SOURCE=CWN", "ACT_EST_MAPPING=PRECISE", "FS=MRC", "CURRENCY=USD", "XLFILL=b")</f>
        <v/>
      </c>
      <c r="AC77" s="9" t="str">
        <f>_xll.BQL("CRM US Equity", "IS_COGS_TO_FE_AND_PP_AND_G/1M", "FPR=2022Y", "FPT=A", "FA_ACT_EST_DATA=E, EST_SOURCE=BNS", "ACT_EST_MAPPING=PRECISE", "FS=MRC", "CURRENCY=USD", "XLFILL=b")</f>
        <v/>
      </c>
      <c r="AD77" s="9" t="str">
        <f>_xll.BQL("CRM US Equity", "IS_COGS_TO_FE_AND_PP_AND_G/1M", "FPR=2022Y", "FPT=A", "FA_ACT_EST_DATA=E, EST_SOURCE=BAM", "ACT_EST_MAPPING=PRECISE", "FS=MRC", "CURRENCY=USD", "XLFILL=b")</f>
        <v/>
      </c>
      <c r="AE77" s="9" t="str">
        <f>_xll.BQL("CRM US Equity", "IS_COGS_TO_FE_AND_PP_AND_G/1M", "FPR=2022Y", "FPT=A", "FA_ACT_EST_DATA=E, EST_SOURCE=RBC", "ACT_EST_MAPPING=PRECISE", "FS=MRC", "CURRENCY=USD", "XLFILL=b")</f>
        <v/>
      </c>
      <c r="AF77" s="9" t="str">
        <f>_xll.BQL("CRM US Equity", "IS_COGS_TO_FE_AND_PP_AND_G/1M", "FPR=2022Y", "FPT=A", "FA_ACT_EST_DATA=E, EST_SOURCE=UBS", "ACT_EST_MAPPING=PRECISE", "FS=MRC", "CURRENCY=USD", "XLFILL=b")</f>
        <v/>
      </c>
      <c r="AG77" s="9" t="str">
        <f>_xll.BQL("CRM US Equity", "IS_COGS_TO_FE_AND_PP_AND_G/1M", "FPR=2022Y", "FPT=A", "FA_ACT_EST_DATA=E, EST_SOURCE=RHR", "ACT_EST_MAPPING=PRECISE", "FS=MRC", "CURRENCY=USD", "XLFILL=b")</f>
        <v/>
      </c>
      <c r="AH77" s="9" t="str">
        <f>_xll.BQL("CRM US Equity", "IS_COGS_TO_FE_AND_PP_AND_G/1M", "FPR=2022Y", "FPT=A", "FA_ACT_EST_DATA=E, EST_SOURCE=JEF", "ACT_EST_MAPPING=PRECISE", "FS=MRC", "CURRENCY=USD", "XLFILL=b")</f>
        <v/>
      </c>
      <c r="AI77" s="9" t="str">
        <f>_xll.BQL("CRM US Equity", "IS_COGS_TO_FE_AND_PP_AND_G/1M", "FPR=2022Y", "FPT=A", "FA_ACT_EST_DATA=E, EST_SOURCE=ATL", "ACT_EST_MAPPING=PRECISE", "FS=MRC", "CURRENCY=USD", "XLFILL=b")</f>
        <v/>
      </c>
      <c r="AJ77" s="9" t="str">
        <f>_xll.BQL("CRM US Equity", "IS_COGS_TO_FE_AND_PP_AND_G/1M", "FPR=2022Y", "FPT=A", "FA_ACT_EST_DATA=E, EST_SOURCE=MAC", "ACT_EST_MAPPING=PRECISE", "FS=MRC", "CURRENCY=USD", "XLFILL=b")</f>
        <v/>
      </c>
      <c r="AK77" s="9" t="str">
        <f>_xll.BQL("CRM US Equity", "IS_COGS_TO_FE_AND_PP_AND_G/1M", "FPR=2022Y", "FPT=A", "FA_ACT_EST_DATA=E, EST_SOURCE=EVR", "ACT_EST_MAPPING=PRECISE", "FS=MRC", "CURRENCY=USD", "XLFILL=b")</f>
        <v/>
      </c>
      <c r="AL77" s="9" t="str">
        <f>_xll.BQL("CRM US Equity", "IS_COGS_TO_FE_AND_PP_AND_G/1M", "FPR=2022Y", "FPT=A", "FA_ACT_EST_DATA=E, EST_SOURCE=MSR", "ACT_EST_MAPPING=PRECISE", "FS=MRC", "CURRENCY=USD", "XLFILL=b")</f>
        <v/>
      </c>
      <c r="AM77" s="9" t="str">
        <f>_xll.BQL("CRM US Equity", "IS_COGS_TO_FE_AND_PP_AND_G/1M", "FPR=2022Y", "FPT=A", "FA_ACT_EST_DATA=E, EST_SOURCE=KGI", "ACT_EST_MAPPING=PRECISE", "FS=MRC", "CURRENCY=USD", "XLFILL=b")</f>
        <v/>
      </c>
      <c r="AN77" s="9" t="str">
        <f>_xll.BQL("CRM US Equity", "IS_COGS_TO_FE_AND_PP_AND_G/1M", "FPR=2022Y", "FPT=A", "FA_ACT_EST_DATA=E, EST_SOURCE=ACC", "ACT_EST_MAPPING=PRECISE", "FS=MRC", "CURRENCY=USD", "XLFILL=b")</f>
        <v/>
      </c>
      <c r="AO77" s="9" t="str">
        <f>_xll.BQL("CRM US Equity", "IS_COGS_TO_FE_AND_PP_AND_G/1M", "FPR=2022Y", "FPT=A", "FA_ACT_EST_DATA=E, EST_SOURCE=GSR", "ACT_EST_MAPPING=PRECISE", "FS=MRC", "CURRENCY=USD", "XLFILL=b")</f>
        <v/>
      </c>
      <c r="AP77" s="9" t="str">
        <f>_xll.BQL("CRM US Equity", "IS_COGS_TO_FE_AND_PP_AND_G/1M", "FPR=2022Y", "FPT=A", "FA_ACT_EST_DATA=E, EST_SOURCE=PSG", "ACT_EST_MAPPING=PRECISE", "FS=MRC", "CURRENCY=USD", "XLFILL=b")</f>
        <v/>
      </c>
      <c r="AQ77" s="9" t="str">
        <f>_xll.BQL("CRM US Equity", "IS_COGS_TO_FE_AND_PP_AND_G/1M", "FPR=2022Y", "FPT=A", "FA_ACT_EST_DATA=E, EST_SOURCE=DWI", "ACT_EST_MAPPING=PRECISE", "FS=MRC", "CURRENCY=USD", "XLFILL=b")</f>
        <v/>
      </c>
      <c r="AR77" s="9" t="str">
        <f>_xll.BQL("CRM US Equity", "IS_COGS_TO_FE_AND_PP_AND_G/1M", "FPR=2022Y", "FPT=A", "FA_ACT_EST_DATA=E, EST_SOURCE=RWB", "ACT_EST_MAPPING=PRECISE", "FS=MRC", "CURRENCY=USD", "XLFILL=b")</f>
        <v/>
      </c>
      <c r="AS77" s="9" t="str">
        <f>_xll.BQL("CRM US Equity", "IS_COGS_TO_FE_AND_PP_AND_G/1M", "FPR=2022Y", "FPT=A", "FA_ACT_EST_DATA=E, EST_SOURCE=ARG", "ACT_EST_MAPPING=PRECISE", "FS=MRC", "CURRENCY=USD", "XLFILL=b")</f>
        <v/>
      </c>
      <c r="AT77" s="9" t="str">
        <f>_xll.BQL("CRM US Equity", "IS_COGS_TO_FE_AND_PP_AND_G/1M", "FPR=2022Y", "FPT=A", "FA_ACT_EST_DATA=E, EST_SOURCE=CTI", "ACT_EST_MAPPING=PRECISE", "FS=MRC", "CURRENCY=USD", "XLFILL=b")</f>
        <v/>
      </c>
      <c r="AU77" s="9" t="str">
        <f>_xll.BQL("CRM US Equity", "IS_COGS_TO_FE_AND_PP_AND_G/1M", "FPR=2022Y", "FPT=A", "FA_ACT_EST_DATA=E, EST_SOURCE=WFT", "ACT_EST_MAPPING=PRECISE", "FS=MRC", "CURRENCY=USD", "XLFILL=b")</f>
        <v/>
      </c>
      <c r="AV77" s="9" t="str">
        <f>_xll.BQL("CRM US Equity", "IS_COGS_TO_FE_AND_PP_AND_G/1M", "FPR=2022Y", "FPT=A", "FA_ACT_EST_DATA=E, EST_SOURCE=PJE", "ACT_EST_MAPPING=PRECISE", "FS=MRC", "CURRENCY=USD", "XLFILL=b")</f>
        <v/>
      </c>
      <c r="AW77" s="9" t="str">
        <f>_xll.BQL("CRM US Equity", "IS_COGS_TO_FE_AND_PP_AND_G/1M", "FPR=2022Y", "FPT=A", "FA_ACT_EST_DATA=E, EST_SOURCE=SGE", "ACT_EST_MAPPING=PRECISE", "FS=MRC", "CURRENCY=USD", "XLFILL=b")</f>
        <v/>
      </c>
      <c r="AX77" s="9" t="str">
        <f>_xll.BQL("CRM US Equity", "IS_COGS_TO_FE_AND_PP_AND_G/1M", "FPR=2022Y", "FPT=A", "FA_ACT_EST_DATA=E, EST_SOURCE=MZS", "ACT_EST_MAPPING=PRECISE", "FS=MRC", "CURRENCY=USD", "XLFILL=b")</f>
        <v/>
      </c>
      <c r="AY77" s="9" t="str">
        <f>_xll.BQL("CRM US Equity", "IS_COGS_TO_FE_AND_PP_AND_G/1M", "FPR=2022Y", "FPT=A", "FA_ACT_EST_DATA=E, EST_SOURCE=RCP", "ACT_EST_MAPPING=PRECISE", "FS=MRC", "CURRENCY=USD", "XLFILL=b")</f>
        <v/>
      </c>
      <c r="AZ77" s="9" t="str">
        <f>_xll.BQL("CRM US Equity", "IS_COGS_TO_FE_AND_PP_AND_G/1M", "FPR=2022Y", "FPT=A", "FA_ACT_EST_DATA=E, EST_SOURCE=WFR", "ACT_EST_MAPPING=PRECISE", "FS=MRC", "CURRENCY=USD", "XLFILL=b")</f>
        <v/>
      </c>
      <c r="BA77" s="9" t="str">
        <f>_xll.BQL("CRM US Equity", "IS_COGS_TO_FE_AND_PP_AND_G/1M", "FPR=2022Y", "FPT=A", "FA_ACT_EST_DATA=E, EST_SOURCE=NIK", "ACT_EST_MAPPING=PRECISE", "FS=MRC", "CURRENCY=USD", "XLFILL=b")</f>
        <v/>
      </c>
      <c r="BB77" s="9" t="str">
        <f>_xll.BQL("CRM US Equity", "IS_COGS_TO_FE_AND_PP_AND_G/1M", "FPR=2022Y", "FPT=A", "FA_ACT_EST_DATA=E, EST_SOURCE=ARE", "ACT_EST_MAPPING=PRECISE", "FS=MRC", "CURRENCY=USD", "XLFILL=b")</f>
        <v/>
      </c>
      <c r="BC77" s="9" t="str">
        <f>_xll.BQL("CRM US Equity", "IS_COGS_TO_FE_AND_PP_AND_G/1M", "FPR=2022Y", "FPT=A", "FA_ACT_EST_DATA=E, EST_SOURCE=RED", "ACT_EST_MAPPING=PRECISE", "FS=MRC", "CURRENCY=USD", "XLFILL=b")</f>
        <v/>
      </c>
      <c r="BD77" s="9" t="str">
        <f>_xll.BQL("CRM US Equity", "IS_COGS_TO_FE_AND_PP_AND_G/1M", "FPR=2022Y", "FPT=A", "FA_ACT_EST_DATA=E, EST_SOURCE=DIR", "ACT_EST_MAPPING=PRECISE", "FS=MRC", "CURRENCY=USD", "XLFILL=b")</f>
        <v/>
      </c>
    </row>
    <row r="78" spans="1:56" x14ac:dyDescent="0.55000000000000004">
      <c r="A78" s="8" t="s">
        <v>78</v>
      </c>
      <c r="B78" s="5" t="s">
        <v>131</v>
      </c>
      <c r="C78" s="5" t="s">
        <v>79</v>
      </c>
      <c r="D78" s="5"/>
      <c r="E78" s="9">
        <f>_xll.BQL("CRM US Equity", "COGS_TO_NET_SALES", "FPR=2022Y", "FPT=A", "FA_ACT_EST_DATA=E", "ACT_EST_MAPPING=PRECISE", "FS=MRC", "CURRENCY=USD", "XLFILL=b")</f>
        <v>26.18586785164943</v>
      </c>
      <c r="F78" s="9">
        <f>_xll.BQL("CRM US Equity", "CONTRIBUTOR_STATS(COGS_TO_NET_SALES, MIN)", "FPR=2022Y", "FPT=A", "FA_ACT_EST_DATA=E", "ACT_EST_MAPPING=PRECISE", "FS=MRC", "CURRENCY=USD", "XLFILL=b")</f>
        <v>25.98194465180654</v>
      </c>
      <c r="G78" s="9">
        <f>_xll.BQL("CRM US Equity", "CONTRIBUTOR_STATS(COGS_TO_NET_SALES, MAX)", "FPR=2022Y", "FPT=A", "FA_ACT_EST_DATA=E", "ACT_EST_MAPPING=PRECISE", "FS=MRC", "CURRENCY=USD", "XLFILL=b")</f>
        <v>26.492847829924312</v>
      </c>
      <c r="H78" s="9">
        <f>_xll.BQL("CRM US Equity", "CONTRIBUTOR_STATS(COGS_TO_NET_SALES, STD)", "FPR=2022Y", "FPT=A", "FA_ACT_EST_DATA=E", "ACT_EST_MAPPING=PRECISE", "FS=MRC", "CURRENCY=USD", "XLFILL=b")</f>
        <v>0.27059386363754162</v>
      </c>
      <c r="I78" s="9">
        <f>_xll.BQL("CRM US Equity", "CONTRIBUTOR_STATS(COGS_TO_NET_SALES, MEDIAN)", "FPR=2022Y", "FPT=A", "FA_ACT_EST_DATA=E", "ACT_EST_MAPPING=PRECISE", "FS=MRC", "CURRENCY=USD", "XLFILL=b")</f>
        <v>26.082811073217449</v>
      </c>
      <c r="J78" s="9" t="str">
        <f>_xll.BQL("CRM US Equity", "COGS_TO_NET_SALES", "FPR=2022Y", "FPT=A", "FA_ACT_EST_DATA=E, EST_SOURCE=CMPY", "ACT_EST_MAPPING=PRECISE", "FS=MRC", "CURRENCY=USD", "XLFILL=b")</f>
        <v/>
      </c>
      <c r="K78" s="9" t="str">
        <f>_xll.BQL("CRM US Equity", "COGS_TO_NET_SALES", "FPR=2022Y", "FPT=A", "FA_ACT_EST_DATA=E, EST_SOURCE=WBL", "ACT_EST_MAPPING=PRECISE", "FS=MRC", "CURRENCY=USD", "XLFILL=b")</f>
        <v/>
      </c>
      <c r="L78" s="9" t="str">
        <f>_xll.BQL("CRM US Equity", "COGS_TO_NET_SALES", "FPR=2022Y", "FPT=A", "FA_ACT_EST_DATA=E, EST_SOURCE=BMO", "ACT_EST_MAPPING=PRECISE", "FS=MRC", "CURRENCY=USD", "XLFILL=b")</f>
        <v/>
      </c>
      <c r="M78" s="9">
        <f>_xll.BQL("CRM US Equity", "COGS_TO_NET_SALES", "FPR=2022Y", "FPT=A", "FA_ACT_EST_DATA=E, EST_SOURCE=BCA", "ACT_EST_MAPPING=PRECISE", "FS=MRC", "CURRENCY=USD", "XLFILL=b")</f>
        <v>26.082811073217449</v>
      </c>
      <c r="N78" s="9" t="str">
        <f>_xll.BQL("CRM US Equity", "COGS_TO_NET_SALES", "FPR=2022Y", "FPT=A", "FA_ACT_EST_DATA=E, EST_SOURCE=SNR", "ACT_EST_MAPPING=PRECISE", "FS=MRC", "CURRENCY=USD", "XLFILL=b")</f>
        <v/>
      </c>
      <c r="O78" s="9">
        <f>_xll.BQL("CRM US Equity", "COGS_TO_NET_SALES", "FPR=2022Y", "FPT=A", "FA_ACT_EST_DATA=E, EST_SOURCE=MSV", "ACT_EST_MAPPING=PRECISE", "FS=MRC", "CURRENCY=USD", "XLFILL=b")</f>
        <v>25.98194465180654</v>
      </c>
      <c r="P78" s="9" t="str">
        <f>_xll.BQL("CRM US Equity", "COGS_TO_NET_SALES", "FPR=2022Y", "FPT=A", "FA_ACT_EST_DATA=E, EST_SOURCE=DBG", "ACT_EST_MAPPING=PRECISE", "FS=MRC", "CURRENCY=USD", "XLFILL=b")</f>
        <v/>
      </c>
      <c r="Q78" s="9" t="str">
        <f>_xll.BQL("CRM US Equity", "COGS_TO_NET_SALES", "FPR=2022Y", "FPT=A", "FA_ACT_EST_DATA=E, EST_SOURCE=NDH", "ACT_EST_MAPPING=PRECISE", "FS=MRC", "CURRENCY=USD", "XLFILL=b")</f>
        <v/>
      </c>
      <c r="R78" s="9" t="str">
        <f>_xll.BQL("CRM US Equity", "COGS_TO_NET_SALES", "FPR=2022Y", "FPT=A", "FA_ACT_EST_DATA=E, EST_SOURCE=CAN", "ACT_EST_MAPPING=PRECISE", "FS=MRC", "CURRENCY=USD", "XLFILL=b")</f>
        <v/>
      </c>
      <c r="S78" s="9" t="str">
        <f>_xll.BQL("CRM US Equity", "COGS_TO_NET_SALES", "FPR=2022Y", "FPT=A", "FA_ACT_EST_DATA=E, EST_SOURCE=SCB", "ACT_EST_MAPPING=PRECISE", "FS=MRC", "CURRENCY=USD", "XLFILL=b")</f>
        <v/>
      </c>
      <c r="T78" s="9" t="str">
        <f>_xll.BQL("CRM US Equity", "COGS_TO_NET_SALES", "FPR=2022Y", "FPT=A", "FA_ACT_EST_DATA=E, EST_SOURCE=JMP", "ACT_EST_MAPPING=PRECISE", "FS=MRC", "CURRENCY=USD", "XLFILL=b")</f>
        <v/>
      </c>
      <c r="U78" s="9" t="str">
        <f>_xll.BQL("CRM US Equity", "COGS_TO_NET_SALES", "FPR=2022Y", "FPT=A", "FA_ACT_EST_DATA=E, EST_SOURCE=RJA", "ACT_EST_MAPPING=PRECISE", "FS=MRC", "CURRENCY=USD", "XLFILL=b")</f>
        <v/>
      </c>
      <c r="V78" s="9" t="str">
        <f>_xll.BQL("CRM US Equity", "COGS_TO_NET_SALES", "FPR=2022Y", "FPT=A", "FA_ACT_EST_DATA=E, EST_SOURCE=OPY", "ACT_EST_MAPPING=PRECISE", "FS=MRC", "CURRENCY=USD", "XLFILL=b")</f>
        <v/>
      </c>
      <c r="W78" s="9" t="str">
        <f>_xll.BQL("CRM US Equity", "COGS_TO_NET_SALES", "FPR=2022Y", "FPT=A", "FA_ACT_EST_DATA=E, EST_SOURCE=JPM", "ACT_EST_MAPPING=PRECISE", "FS=MRC", "CURRENCY=USD", "XLFILL=b")</f>
        <v/>
      </c>
      <c r="X78" s="9" t="str">
        <f>_xll.BQL("CRM US Equity", "COGS_TO_NET_SALES", "FPR=2022Y", "FPT=A", "FA_ACT_EST_DATA=E, EST_SOURCE=FBC", "ACT_EST_MAPPING=PRECISE", "FS=MRC", "CURRENCY=USD", "XLFILL=b")</f>
        <v/>
      </c>
      <c r="Y78" s="9" t="str">
        <f>_xll.BQL("CRM US Equity", "COGS_TO_NET_SALES", "FPR=2022Y", "FPT=A", "FA_ACT_EST_DATA=E, EST_SOURCE=WMS", "ACT_EST_MAPPING=PRECISE", "FS=MRC", "CURRENCY=USD", "XLFILL=b")</f>
        <v/>
      </c>
      <c r="Z78" s="9" t="str">
        <f>_xll.BQL("CRM US Equity", "COGS_TO_NET_SALES", "FPR=2022Y", "FPT=A", "FA_ACT_EST_DATA=E, EST_SOURCE=KEY", "ACT_EST_MAPPING=PRECISE", "FS=MRC", "CURRENCY=USD", "XLFILL=b")</f>
        <v/>
      </c>
      <c r="AA78" s="9" t="str">
        <f>_xll.BQL("CRM US Equity", "COGS_TO_NET_SALES", "FPR=2022Y", "FPT=A", "FA_ACT_EST_DATA=E, EST_SOURCE=LCM", "ACT_EST_MAPPING=PRECISE", "FS=MRC", "CURRENCY=USD", "XLFILL=b")</f>
        <v/>
      </c>
      <c r="AB78" s="9" t="str">
        <f>_xll.BQL("CRM US Equity", "COGS_TO_NET_SALES", "FPR=2022Y", "FPT=A", "FA_ACT_EST_DATA=E, EST_SOURCE=CWN", "ACT_EST_MAPPING=PRECISE", "FS=MRC", "CURRENCY=USD", "XLFILL=b")</f>
        <v/>
      </c>
      <c r="AC78" s="9" t="str">
        <f>_xll.BQL("CRM US Equity", "COGS_TO_NET_SALES", "FPR=2022Y", "FPT=A", "FA_ACT_EST_DATA=E, EST_SOURCE=BNS", "ACT_EST_MAPPING=PRECISE", "FS=MRC", "CURRENCY=USD", "XLFILL=b")</f>
        <v/>
      </c>
      <c r="AD78" s="9" t="str">
        <f>_xll.BQL("CRM US Equity", "COGS_TO_NET_SALES", "FPR=2022Y", "FPT=A", "FA_ACT_EST_DATA=E, EST_SOURCE=BAM", "ACT_EST_MAPPING=PRECISE", "FS=MRC", "CURRENCY=USD", "XLFILL=b")</f>
        <v/>
      </c>
      <c r="AE78" s="9" t="str">
        <f>_xll.BQL("CRM US Equity", "COGS_TO_NET_SALES", "FPR=2022Y", "FPT=A", "FA_ACT_EST_DATA=E, EST_SOURCE=RBC", "ACT_EST_MAPPING=PRECISE", "FS=MRC", "CURRENCY=USD", "XLFILL=b")</f>
        <v/>
      </c>
      <c r="AF78" s="9" t="str">
        <f>_xll.BQL("CRM US Equity", "COGS_TO_NET_SALES", "FPR=2022Y", "FPT=A", "FA_ACT_EST_DATA=E, EST_SOURCE=UBS", "ACT_EST_MAPPING=PRECISE", "FS=MRC", "CURRENCY=USD", "XLFILL=b")</f>
        <v/>
      </c>
      <c r="AG78" s="9" t="str">
        <f>_xll.BQL("CRM US Equity", "COGS_TO_NET_SALES", "FPR=2022Y", "FPT=A", "FA_ACT_EST_DATA=E, EST_SOURCE=RHR", "ACT_EST_MAPPING=PRECISE", "FS=MRC", "CURRENCY=USD", "XLFILL=b")</f>
        <v/>
      </c>
      <c r="AH78" s="9" t="str">
        <f>_xll.BQL("CRM US Equity", "COGS_TO_NET_SALES", "FPR=2022Y", "FPT=A", "FA_ACT_EST_DATA=E, EST_SOURCE=JEF", "ACT_EST_MAPPING=PRECISE", "FS=MRC", "CURRENCY=USD", "XLFILL=b")</f>
        <v/>
      </c>
      <c r="AI78" s="9" t="str">
        <f>_xll.BQL("CRM US Equity", "COGS_TO_NET_SALES", "FPR=2022Y", "FPT=A", "FA_ACT_EST_DATA=E, EST_SOURCE=ATL", "ACT_EST_MAPPING=PRECISE", "FS=MRC", "CURRENCY=USD", "XLFILL=b")</f>
        <v/>
      </c>
      <c r="AJ78" s="9" t="str">
        <f>_xll.BQL("CRM US Equity", "COGS_TO_NET_SALES", "FPR=2022Y", "FPT=A", "FA_ACT_EST_DATA=E, EST_SOURCE=MAC", "ACT_EST_MAPPING=PRECISE", "FS=MRC", "CURRENCY=USD", "XLFILL=b")</f>
        <v/>
      </c>
      <c r="AK78" s="9" t="str">
        <f>_xll.BQL("CRM US Equity", "COGS_TO_NET_SALES", "FPR=2022Y", "FPT=A", "FA_ACT_EST_DATA=E, EST_SOURCE=EVR", "ACT_EST_MAPPING=PRECISE", "FS=MRC", "CURRENCY=USD", "XLFILL=b")</f>
        <v/>
      </c>
      <c r="AL78" s="9" t="str">
        <f>_xll.BQL("CRM US Equity", "COGS_TO_NET_SALES", "FPR=2022Y", "FPT=A", "FA_ACT_EST_DATA=E, EST_SOURCE=MSR", "ACT_EST_MAPPING=PRECISE", "FS=MRC", "CURRENCY=USD", "XLFILL=b")</f>
        <v/>
      </c>
      <c r="AM78" s="9" t="str">
        <f>_xll.BQL("CRM US Equity", "COGS_TO_NET_SALES", "FPR=2022Y", "FPT=A", "FA_ACT_EST_DATA=E, EST_SOURCE=KGI", "ACT_EST_MAPPING=PRECISE", "FS=MRC", "CURRENCY=USD", "XLFILL=b")</f>
        <v/>
      </c>
      <c r="AN78" s="9" t="str">
        <f>_xll.BQL("CRM US Equity", "COGS_TO_NET_SALES", "FPR=2022Y", "FPT=A", "FA_ACT_EST_DATA=E, EST_SOURCE=ACC", "ACT_EST_MAPPING=PRECISE", "FS=MRC", "CURRENCY=USD", "XLFILL=b")</f>
        <v/>
      </c>
      <c r="AO78" s="9" t="str">
        <f>_xll.BQL("CRM US Equity", "COGS_TO_NET_SALES", "FPR=2022Y", "FPT=A", "FA_ACT_EST_DATA=E, EST_SOURCE=GSR", "ACT_EST_MAPPING=PRECISE", "FS=MRC", "CURRENCY=USD", "XLFILL=b")</f>
        <v/>
      </c>
      <c r="AP78" s="9" t="str">
        <f>_xll.BQL("CRM US Equity", "COGS_TO_NET_SALES", "FPR=2022Y", "FPT=A", "FA_ACT_EST_DATA=E, EST_SOURCE=PSG", "ACT_EST_MAPPING=PRECISE", "FS=MRC", "CURRENCY=USD", "XLFILL=b")</f>
        <v/>
      </c>
      <c r="AQ78" s="9" t="str">
        <f>_xll.BQL("CRM US Equity", "COGS_TO_NET_SALES", "FPR=2022Y", "FPT=A", "FA_ACT_EST_DATA=E, EST_SOURCE=DWI", "ACT_EST_MAPPING=PRECISE", "FS=MRC", "CURRENCY=USD", "XLFILL=b")</f>
        <v/>
      </c>
      <c r="AR78" s="9" t="str">
        <f>_xll.BQL("CRM US Equity", "COGS_TO_NET_SALES", "FPR=2022Y", "FPT=A", "FA_ACT_EST_DATA=E, EST_SOURCE=RWB", "ACT_EST_MAPPING=PRECISE", "FS=MRC", "CURRENCY=USD", "XLFILL=b")</f>
        <v/>
      </c>
      <c r="AS78" s="9" t="str">
        <f>_xll.BQL("CRM US Equity", "COGS_TO_NET_SALES", "FPR=2022Y", "FPT=A", "FA_ACT_EST_DATA=E, EST_SOURCE=ARG", "ACT_EST_MAPPING=PRECISE", "FS=MRC", "CURRENCY=USD", "XLFILL=b")</f>
        <v/>
      </c>
      <c r="AT78" s="9" t="str">
        <f>_xll.BQL("CRM US Equity", "COGS_TO_NET_SALES", "FPR=2022Y", "FPT=A", "FA_ACT_EST_DATA=E, EST_SOURCE=CTI", "ACT_EST_MAPPING=PRECISE", "FS=MRC", "CURRENCY=USD", "XLFILL=b")</f>
        <v/>
      </c>
      <c r="AU78" s="9" t="str">
        <f>_xll.BQL("CRM US Equity", "COGS_TO_NET_SALES", "FPR=2022Y", "FPT=A", "FA_ACT_EST_DATA=E, EST_SOURCE=WFT", "ACT_EST_MAPPING=PRECISE", "FS=MRC", "CURRENCY=USD", "XLFILL=b")</f>
        <v/>
      </c>
      <c r="AV78" s="9" t="str">
        <f>_xll.BQL("CRM US Equity", "COGS_TO_NET_SALES", "FPR=2022Y", "FPT=A", "FA_ACT_EST_DATA=E, EST_SOURCE=PJE", "ACT_EST_MAPPING=PRECISE", "FS=MRC", "CURRENCY=USD", "XLFILL=b")</f>
        <v/>
      </c>
      <c r="AW78" s="9" t="str">
        <f>_xll.BQL("CRM US Equity", "COGS_TO_NET_SALES", "FPR=2022Y", "FPT=A", "FA_ACT_EST_DATA=E, EST_SOURCE=SGE", "ACT_EST_MAPPING=PRECISE", "FS=MRC", "CURRENCY=USD", "XLFILL=b")</f>
        <v/>
      </c>
      <c r="AX78" s="9" t="str">
        <f>_xll.BQL("CRM US Equity", "COGS_TO_NET_SALES", "FPR=2022Y", "FPT=A", "FA_ACT_EST_DATA=E, EST_SOURCE=MZS", "ACT_EST_MAPPING=PRECISE", "FS=MRC", "CURRENCY=USD", "XLFILL=b")</f>
        <v/>
      </c>
      <c r="AY78" s="9" t="str">
        <f>_xll.BQL("CRM US Equity", "COGS_TO_NET_SALES", "FPR=2022Y", "FPT=A", "FA_ACT_EST_DATA=E, EST_SOURCE=RCP", "ACT_EST_MAPPING=PRECISE", "FS=MRC", "CURRENCY=USD", "XLFILL=b")</f>
        <v/>
      </c>
      <c r="AZ78" s="9" t="str">
        <f>_xll.BQL("CRM US Equity", "COGS_TO_NET_SALES", "FPR=2022Y", "FPT=A", "FA_ACT_EST_DATA=E, EST_SOURCE=WFR", "ACT_EST_MAPPING=PRECISE", "FS=MRC", "CURRENCY=USD", "XLFILL=b")</f>
        <v/>
      </c>
      <c r="BA78" s="9" t="str">
        <f>_xll.BQL("CRM US Equity", "COGS_TO_NET_SALES", "FPR=2022Y", "FPT=A", "FA_ACT_EST_DATA=E, EST_SOURCE=NIK", "ACT_EST_MAPPING=PRECISE", "FS=MRC", "CURRENCY=USD", "XLFILL=b")</f>
        <v/>
      </c>
      <c r="BB78" s="9" t="str">
        <f>_xll.BQL("CRM US Equity", "COGS_TO_NET_SALES", "FPR=2022Y", "FPT=A", "FA_ACT_EST_DATA=E, EST_SOURCE=ARE", "ACT_EST_MAPPING=PRECISE", "FS=MRC", "CURRENCY=USD", "XLFILL=b")</f>
        <v/>
      </c>
      <c r="BC78" s="9" t="str">
        <f>_xll.BQL("CRM US Equity", "COGS_TO_NET_SALES", "FPR=2022Y", "FPT=A", "FA_ACT_EST_DATA=E, EST_SOURCE=RED", "ACT_EST_MAPPING=PRECISE", "FS=MRC", "CURRENCY=USD", "XLFILL=b")</f>
        <v/>
      </c>
      <c r="BD78" s="9" t="str">
        <f>_xll.BQL("CRM US Equity", "COGS_TO_NET_SALES", "FPR=2022Y", "FPT=A", "FA_ACT_EST_DATA=E, EST_SOURCE=DIR", "ACT_EST_MAPPING=PRECISE", "FS=MRC", "CURRENCY=USD", "XLFILL=b")</f>
        <v/>
      </c>
    </row>
    <row r="79" spans="1:56" x14ac:dyDescent="0.55000000000000004">
      <c r="A79" s="8" t="s">
        <v>132</v>
      </c>
      <c r="B79" s="5" t="s">
        <v>133</v>
      </c>
      <c r="C79" s="5" t="s">
        <v>2</v>
      </c>
      <c r="D79" s="5"/>
      <c r="E79" s="9">
        <f>_xll.BQL("CRM US Equity", "CB_IS_GROSS_PROFIT/1M", "FPR=2022Y", "FPT=A", "FA_ACT_EST_DATA=E", "ACT_EST_MAPPING=PRECISE", "FS=MRC", "CURRENCY=USD", "XLFILL=b")</f>
        <v>19506.401625466318</v>
      </c>
      <c r="F79" s="9">
        <f>_xll.BQL("CRM US Equity", "CONTRIBUTOR_STATS(CB_IS_GROSS_PROFIT, MIN)/1M", "FPR=2022Y", "FPT=A", "FA_ACT_EST_DATA=E", "ACT_EST_MAPPING=PRECISE", "FS=MRC", "CURRENCY=USD", "XLFILL=b")</f>
        <v>19405.550039999998</v>
      </c>
      <c r="G79" s="9">
        <f>_xll.BQL("CRM US Equity", "CONTRIBUTOR_STATS(CB_IS_GROSS_PROFIT, MAX)/1M", "FPR=2022Y", "FPT=A", "FA_ACT_EST_DATA=E", "ACT_EST_MAPPING=PRECISE", "FS=MRC", "CURRENCY=USD", "XLFILL=b")</f>
        <v>19742.710566459209</v>
      </c>
      <c r="H79" s="9">
        <f>_xll.BQL("CRM US Equity", "CONTRIBUTOR_STATS(CB_IS_GROSS_PROFIT, STD)/1M", "FPR=2022Y", "FPT=A", "FA_ACT_EST_DATA=E", "ACT_EST_MAPPING=PRECISE", "FS=MRC", "CURRENCY=USD", "XLFILL=b")</f>
        <v>94.886219383244679</v>
      </c>
      <c r="I79" s="9">
        <f>_xll.BQL("CRM US Equity", "CONTRIBUTOR_STATS(CB_IS_GROSS_PROFIT, MEDIAN)/1M", "FPR=2022Y", "FPT=A", "FA_ACT_EST_DATA=E", "ACT_EST_MAPPING=PRECISE", "FS=MRC", "CURRENCY=USD", "XLFILL=b")</f>
        <v>19494.119375402192</v>
      </c>
      <c r="J79" s="9" t="str">
        <f>_xll.BQL("CRM US Equity", "CB_IS_GROSS_PROFIT/1M", "FPR=2022Y", "FPT=A", "FA_ACT_EST_DATA=E, EST_SOURCE=CMPY", "ACT_EST_MAPPING=PRECISE", "FS=MRC", "CURRENCY=USD", "XLFILL=b")</f>
        <v/>
      </c>
      <c r="K79" s="9" t="str">
        <f>_xll.BQL("CRM US Equity", "CB_IS_GROSS_PROFIT/1M", "FPR=2022Y", "FPT=A", "FA_ACT_EST_DATA=E, EST_SOURCE=WBL", "ACT_EST_MAPPING=PRECISE", "FS=MRC", "CURRENCY=USD", "XLFILL=b")</f>
        <v/>
      </c>
      <c r="L79" s="9" t="str">
        <f>_xll.BQL("CRM US Equity", "CB_IS_GROSS_PROFIT/1M", "FPR=2022Y", "FPT=A", "FA_ACT_EST_DATA=E, EST_SOURCE=BMO", "ACT_EST_MAPPING=PRECISE", "FS=MRC", "CURRENCY=USD", "XLFILL=b")</f>
        <v/>
      </c>
      <c r="M79" s="9">
        <f>_xll.BQL("CRM US Equity", "CB_IS_GROSS_PROFIT/1M", "FPR=2022Y", "FPT=A", "FA_ACT_EST_DATA=E, EST_SOURCE=BCA", "ACT_EST_MAPPING=PRECISE", "FS=MRC", "CURRENCY=USD", "XLFILL=b")</f>
        <v>19510.174195079489</v>
      </c>
      <c r="N79" s="9" t="str">
        <f>_xll.BQL("CRM US Equity", "CB_IS_GROSS_PROFIT/1M", "FPR=2022Y", "FPT=A", "FA_ACT_EST_DATA=E, EST_SOURCE=SNR", "ACT_EST_MAPPING=PRECISE", "FS=MRC", "CURRENCY=USD", "XLFILL=b")</f>
        <v/>
      </c>
      <c r="O79" s="9">
        <f>_xll.BQL("CRM US Equity", "CB_IS_GROSS_PROFIT/1M", "FPR=2022Y", "FPT=A", "FA_ACT_EST_DATA=E, EST_SOURCE=MSV", "ACT_EST_MAPPING=PRECISE", "FS=MRC", "CURRENCY=USD", "XLFILL=b")</f>
        <v>19533.947328483842</v>
      </c>
      <c r="P79" s="9">
        <f>_xll.BQL("CRM US Equity", "CB_IS_GROSS_PROFIT/1M", "FPR=2022Y", "FPT=A", "FA_ACT_EST_DATA=E, EST_SOURCE=DBG", "ACT_EST_MAPPING=PRECISE", "FS=MRC", "CURRENCY=USD", "XLFILL=b")</f>
        <v>19441.3315109049</v>
      </c>
      <c r="Q79" s="9" t="str">
        <f>_xll.BQL("CRM US Equity", "CB_IS_GROSS_PROFIT/1M", "FPR=2022Y", "FPT=A", "FA_ACT_EST_DATA=E, EST_SOURCE=NDH", "ACT_EST_MAPPING=PRECISE", "FS=MRC", "CURRENCY=USD", "XLFILL=b")</f>
        <v/>
      </c>
      <c r="R79" s="9" t="str">
        <f>_xll.BQL("CRM US Equity", "CB_IS_GROSS_PROFIT/1M", "FPR=2022Y", "FPT=A", "FA_ACT_EST_DATA=E, EST_SOURCE=CAN", "ACT_EST_MAPPING=PRECISE", "FS=MRC", "CURRENCY=USD", "XLFILL=b")</f>
        <v/>
      </c>
      <c r="S79" s="9" t="str">
        <f>_xll.BQL("CRM US Equity", "CB_IS_GROSS_PROFIT/1M", "FPR=2022Y", "FPT=A", "FA_ACT_EST_DATA=E, EST_SOURCE=SCB", "ACT_EST_MAPPING=PRECISE", "FS=MRC", "CURRENCY=USD", "XLFILL=b")</f>
        <v/>
      </c>
      <c r="T79" s="9">
        <f>_xll.BQL("CRM US Equity", "CB_IS_GROSS_PROFIT/1M", "FPR=2022Y", "FPT=A", "FA_ACT_EST_DATA=E, EST_SOURCE=JMP", "ACT_EST_MAPPING=PRECISE", "FS=MRC", "CURRENCY=USD", "XLFILL=b")</f>
        <v>19488.05</v>
      </c>
      <c r="U79" s="9" t="str">
        <f>_xll.BQL("CRM US Equity", "CB_IS_GROSS_PROFIT/1M", "FPR=2022Y", "FPT=A", "FA_ACT_EST_DATA=E, EST_SOURCE=RJA", "ACT_EST_MAPPING=PRECISE", "FS=MRC", "CURRENCY=USD", "XLFILL=b")</f>
        <v/>
      </c>
      <c r="V79" s="9" t="str">
        <f>_xll.BQL("CRM US Equity", "CB_IS_GROSS_PROFIT/1M", "FPR=2022Y", "FPT=A", "FA_ACT_EST_DATA=E, EST_SOURCE=OPY", "ACT_EST_MAPPING=PRECISE", "FS=MRC", "CURRENCY=USD", "XLFILL=b")</f>
        <v/>
      </c>
      <c r="W79" s="9" t="str">
        <f>_xll.BQL("CRM US Equity", "CB_IS_GROSS_PROFIT/1M", "FPR=2022Y", "FPT=A", "FA_ACT_EST_DATA=E, EST_SOURCE=JPM", "ACT_EST_MAPPING=PRECISE", "FS=MRC", "CURRENCY=USD", "XLFILL=b")</f>
        <v/>
      </c>
      <c r="X79" s="9">
        <f>_xll.BQL("CRM US Equity", "CB_IS_GROSS_PROFIT/1M", "FPR=2022Y", "FPT=A", "FA_ACT_EST_DATA=E, EST_SOURCE=FBC", "ACT_EST_MAPPING=PRECISE", "FS=MRC", "CURRENCY=USD", "XLFILL=b")</f>
        <v>19336.411994513601</v>
      </c>
      <c r="Y79" s="9">
        <f>_xll.BQL("CRM US Equity", "CB_IS_GROSS_PROFIT/1M", "FPR=2022Y", "FPT=A", "FA_ACT_EST_DATA=E, EST_SOURCE=WMS", "ACT_EST_MAPPING=PRECISE", "FS=MRC", "CURRENCY=USD", "XLFILL=b")</f>
        <v>1988</v>
      </c>
      <c r="Z79" s="9">
        <f>_xll.BQL("CRM US Equity", "CB_IS_GROSS_PROFIT/1M", "FPR=2022Y", "FPT=A", "FA_ACT_EST_DATA=E, EST_SOURCE=KEY", "ACT_EST_MAPPING=PRECISE", "FS=MRC", "CURRENCY=USD", "XLFILL=b")</f>
        <v>19372.426463324879</v>
      </c>
      <c r="AA79" s="9" t="str">
        <f>_xll.BQL("CRM US Equity", "CB_IS_GROSS_PROFIT/1M", "FPR=2022Y", "FPT=A", "FA_ACT_EST_DATA=E, EST_SOURCE=LCM", "ACT_EST_MAPPING=PRECISE", "FS=MRC", "CURRENCY=USD", "XLFILL=b")</f>
        <v/>
      </c>
      <c r="AB79" s="9" t="str">
        <f>_xll.BQL("CRM US Equity", "CB_IS_GROSS_PROFIT/1M", "FPR=2022Y", "FPT=A", "FA_ACT_EST_DATA=E, EST_SOURCE=CWN", "ACT_EST_MAPPING=PRECISE", "FS=MRC", "CURRENCY=USD", "XLFILL=b")</f>
        <v/>
      </c>
      <c r="AC79" s="9" t="str">
        <f>_xll.BQL("CRM US Equity", "CB_IS_GROSS_PROFIT/1M", "FPR=2022Y", "FPT=A", "FA_ACT_EST_DATA=E, EST_SOURCE=BNS", "ACT_EST_MAPPING=PRECISE", "FS=MRC", "CURRENCY=USD", "XLFILL=b")</f>
        <v/>
      </c>
      <c r="AD79" s="9" t="str">
        <f>_xll.BQL("CRM US Equity", "CB_IS_GROSS_PROFIT/1M", "FPR=2022Y", "FPT=A", "FA_ACT_EST_DATA=E, EST_SOURCE=BAM", "ACT_EST_MAPPING=PRECISE", "FS=MRC", "CURRENCY=USD", "XLFILL=b")</f>
        <v/>
      </c>
      <c r="AE79" s="9" t="str">
        <f>_xll.BQL("CRM US Equity", "CB_IS_GROSS_PROFIT/1M", "FPR=2022Y", "FPT=A", "FA_ACT_EST_DATA=E, EST_SOURCE=RBC", "ACT_EST_MAPPING=PRECISE", "FS=MRC", "CURRENCY=USD", "XLFILL=b")</f>
        <v/>
      </c>
      <c r="AF79" s="9" t="str">
        <f>_xll.BQL("CRM US Equity", "CB_IS_GROSS_PROFIT/1M", "FPR=2022Y", "FPT=A", "FA_ACT_EST_DATA=E, EST_SOURCE=UBS", "ACT_EST_MAPPING=PRECISE", "FS=MRC", "CURRENCY=USD", "XLFILL=b")</f>
        <v/>
      </c>
      <c r="AG79" s="9" t="str">
        <f>_xll.BQL("CRM US Equity", "CB_IS_GROSS_PROFIT/1M", "FPR=2022Y", "FPT=A", "FA_ACT_EST_DATA=E, EST_SOURCE=RHR", "ACT_EST_MAPPING=PRECISE", "FS=MRC", "CURRENCY=USD", "XLFILL=b")</f>
        <v/>
      </c>
      <c r="AH79" s="9" t="str">
        <f>_xll.BQL("CRM US Equity", "CB_IS_GROSS_PROFIT/1M", "FPR=2022Y", "FPT=A", "FA_ACT_EST_DATA=E, EST_SOURCE=JEF", "ACT_EST_MAPPING=PRECISE", "FS=MRC", "CURRENCY=USD", "XLFILL=b")</f>
        <v/>
      </c>
      <c r="AI79" s="9" t="str">
        <f>_xll.BQL("CRM US Equity", "CB_IS_GROSS_PROFIT/1M", "FPR=2022Y", "FPT=A", "FA_ACT_EST_DATA=E, EST_SOURCE=ATL", "ACT_EST_MAPPING=PRECISE", "FS=MRC", "CURRENCY=USD", "XLFILL=b")</f>
        <v/>
      </c>
      <c r="AJ79" s="9" t="str">
        <f>_xll.BQL("CRM US Equity", "CB_IS_GROSS_PROFIT/1M", "FPR=2022Y", "FPT=A", "FA_ACT_EST_DATA=E, EST_SOURCE=MAC", "ACT_EST_MAPPING=PRECISE", "FS=MRC", "CURRENCY=USD", "XLFILL=b")</f>
        <v/>
      </c>
      <c r="AK79" s="9" t="str">
        <f>_xll.BQL("CRM US Equity", "CB_IS_GROSS_PROFIT/1M", "FPR=2022Y", "FPT=A", "FA_ACT_EST_DATA=E, EST_SOURCE=EVR", "ACT_EST_MAPPING=PRECISE", "FS=MRC", "CURRENCY=USD", "XLFILL=b")</f>
        <v/>
      </c>
      <c r="AL79" s="9" t="str">
        <f>_xll.BQL("CRM US Equity", "CB_IS_GROSS_PROFIT/1M", "FPR=2022Y", "FPT=A", "FA_ACT_EST_DATA=E, EST_SOURCE=MSR", "ACT_EST_MAPPING=PRECISE", "FS=MRC", "CURRENCY=USD", "XLFILL=b")</f>
        <v/>
      </c>
      <c r="AM79" s="9" t="str">
        <f>_xll.BQL("CRM US Equity", "CB_IS_GROSS_PROFIT/1M", "FPR=2022Y", "FPT=A", "FA_ACT_EST_DATA=E, EST_SOURCE=KGI", "ACT_EST_MAPPING=PRECISE", "FS=MRC", "CURRENCY=USD", "XLFILL=b")</f>
        <v/>
      </c>
      <c r="AN79" s="9" t="str">
        <f>_xll.BQL("CRM US Equity", "CB_IS_GROSS_PROFIT/1M", "FPR=2022Y", "FPT=A", "FA_ACT_EST_DATA=E, EST_SOURCE=ACC", "ACT_EST_MAPPING=PRECISE", "FS=MRC", "CURRENCY=USD", "XLFILL=b")</f>
        <v/>
      </c>
      <c r="AO79" s="9" t="str">
        <f>_xll.BQL("CRM US Equity", "CB_IS_GROSS_PROFIT/1M", "FPR=2022Y", "FPT=A", "FA_ACT_EST_DATA=E, EST_SOURCE=GSR", "ACT_EST_MAPPING=PRECISE", "FS=MRC", "CURRENCY=USD", "XLFILL=b")</f>
        <v/>
      </c>
      <c r="AP79" s="9" t="str">
        <f>_xll.BQL("CRM US Equity", "CB_IS_GROSS_PROFIT/1M", "FPR=2022Y", "FPT=A", "FA_ACT_EST_DATA=E, EST_SOURCE=PSG", "ACT_EST_MAPPING=PRECISE", "FS=MRC", "CURRENCY=USD", "XLFILL=b")</f>
        <v/>
      </c>
      <c r="AQ79" s="9" t="str">
        <f>_xll.BQL("CRM US Equity", "CB_IS_GROSS_PROFIT/1M", "FPR=2022Y", "FPT=A", "FA_ACT_EST_DATA=E, EST_SOURCE=DWI", "ACT_EST_MAPPING=PRECISE", "FS=MRC", "CURRENCY=USD", "XLFILL=b")</f>
        <v/>
      </c>
      <c r="AR79" s="9" t="str">
        <f>_xll.BQL("CRM US Equity", "CB_IS_GROSS_PROFIT/1M", "FPR=2022Y", "FPT=A", "FA_ACT_EST_DATA=E, EST_SOURCE=RWB", "ACT_EST_MAPPING=PRECISE", "FS=MRC", "CURRENCY=USD", "XLFILL=b")</f>
        <v/>
      </c>
      <c r="AS79" s="9" t="str">
        <f>_xll.BQL("CRM US Equity", "CB_IS_GROSS_PROFIT/1M", "FPR=2022Y", "FPT=A", "FA_ACT_EST_DATA=E, EST_SOURCE=ARG", "ACT_EST_MAPPING=PRECISE", "FS=MRC", "CURRENCY=USD", "XLFILL=b")</f>
        <v/>
      </c>
      <c r="AT79" s="9" t="str">
        <f>_xll.BQL("CRM US Equity", "CB_IS_GROSS_PROFIT/1M", "FPR=2022Y", "FPT=A", "FA_ACT_EST_DATA=E, EST_SOURCE=CTI", "ACT_EST_MAPPING=PRECISE", "FS=MRC", "CURRENCY=USD", "XLFILL=b")</f>
        <v/>
      </c>
      <c r="AU79" s="9" t="str">
        <f>_xll.BQL("CRM US Equity", "CB_IS_GROSS_PROFIT/1M", "FPR=2022Y", "FPT=A", "FA_ACT_EST_DATA=E, EST_SOURCE=WFT", "ACT_EST_MAPPING=PRECISE", "FS=MRC", "CURRENCY=USD", "XLFILL=b")</f>
        <v/>
      </c>
      <c r="AV79" s="9" t="str">
        <f>_xll.BQL("CRM US Equity", "CB_IS_GROSS_PROFIT/1M", "FPR=2022Y", "FPT=A", "FA_ACT_EST_DATA=E, EST_SOURCE=PJE", "ACT_EST_MAPPING=PRECISE", "FS=MRC", "CURRENCY=USD", "XLFILL=b")</f>
        <v/>
      </c>
      <c r="AW79" s="9" t="str">
        <f>_xll.BQL("CRM US Equity", "CB_IS_GROSS_PROFIT/1M", "FPR=2022Y", "FPT=A", "FA_ACT_EST_DATA=E, EST_SOURCE=SGE", "ACT_EST_MAPPING=PRECISE", "FS=MRC", "CURRENCY=USD", "XLFILL=b")</f>
        <v/>
      </c>
      <c r="AX79" s="9" t="str">
        <f>_xll.BQL("CRM US Equity", "CB_IS_GROSS_PROFIT/1M", "FPR=2022Y", "FPT=A", "FA_ACT_EST_DATA=E, EST_SOURCE=MZS", "ACT_EST_MAPPING=PRECISE", "FS=MRC", "CURRENCY=USD", "XLFILL=b")</f>
        <v/>
      </c>
      <c r="AY79" s="9" t="str">
        <f>_xll.BQL("CRM US Equity", "CB_IS_GROSS_PROFIT/1M", "FPR=2022Y", "FPT=A", "FA_ACT_EST_DATA=E, EST_SOURCE=RCP", "ACT_EST_MAPPING=PRECISE", "FS=MRC", "CURRENCY=USD", "XLFILL=b")</f>
        <v/>
      </c>
      <c r="AZ79" s="9" t="str">
        <f>_xll.BQL("CRM US Equity", "CB_IS_GROSS_PROFIT/1M", "FPR=2022Y", "FPT=A", "FA_ACT_EST_DATA=E, EST_SOURCE=WFR", "ACT_EST_MAPPING=PRECISE", "FS=MRC", "CURRENCY=USD", "XLFILL=b")</f>
        <v/>
      </c>
      <c r="BA79" s="9" t="str">
        <f>_xll.BQL("CRM US Equity", "CB_IS_GROSS_PROFIT/1M", "FPR=2022Y", "FPT=A", "FA_ACT_EST_DATA=E, EST_SOURCE=NIK", "ACT_EST_MAPPING=PRECISE", "FS=MRC", "CURRENCY=USD", "XLFILL=b")</f>
        <v/>
      </c>
      <c r="BB79" s="9" t="str">
        <f>_xll.BQL("CRM US Equity", "CB_IS_GROSS_PROFIT/1M", "FPR=2022Y", "FPT=A", "FA_ACT_EST_DATA=E, EST_SOURCE=ARE", "ACT_EST_MAPPING=PRECISE", "FS=MRC", "CURRENCY=USD", "XLFILL=b")</f>
        <v/>
      </c>
      <c r="BC79" s="9" t="str">
        <f>_xll.BQL("CRM US Equity", "CB_IS_GROSS_PROFIT/1M", "FPR=2022Y", "FPT=A", "FA_ACT_EST_DATA=E, EST_SOURCE=RED", "ACT_EST_MAPPING=PRECISE", "FS=MRC", "CURRENCY=USD", "XLFILL=b")</f>
        <v/>
      </c>
      <c r="BD79" s="9" t="str">
        <f>_xll.BQL("CRM US Equity", "CB_IS_GROSS_PROFIT/1M", "FPR=2022Y", "FPT=A", "FA_ACT_EST_DATA=E, EST_SOURCE=DIR", "ACT_EST_MAPPING=PRECISE", "FS=MRC", "CURRENCY=USD", "XLFILL=b")</f>
        <v/>
      </c>
    </row>
    <row r="80" spans="1:56" x14ac:dyDescent="0.55000000000000004">
      <c r="A80" s="8" t="s">
        <v>134</v>
      </c>
      <c r="B80" s="5" t="s">
        <v>135</v>
      </c>
      <c r="C80" s="5" t="s">
        <v>45</v>
      </c>
      <c r="D80" s="5"/>
      <c r="E80" s="9">
        <f>_xll.BQL("CRM US Equity", "GROSS_MARGIN", "FPR=2022Y", "FPT=A", "FA_ACT_EST_DATA=E", "ACT_EST_MAPPING=PRECISE", "FS=MRC", "CURRENCY=USD", "XLFILL=b")</f>
        <v>73.899373833124542</v>
      </c>
      <c r="F80" s="9">
        <f>_xll.BQL("CRM US Equity", "CONTRIBUTOR_STATS(GROSS_MARGIN, MIN)", "FPR=2022Y", "FPT=A", "FA_ACT_EST_DATA=E", "ACT_EST_MAPPING=PRECISE", "FS=MRC", "CURRENCY=USD", "XLFILL=b")</f>
        <v>73.507152170075699</v>
      </c>
      <c r="G80" s="9">
        <f>_xll.BQL("CRM US Equity", "CONTRIBUTOR_STATS(GROSS_MARGIN, MAX)", "FPR=2022Y", "FPT=A", "FA_ACT_EST_DATA=E", "ACT_EST_MAPPING=PRECISE", "FS=MRC", "CURRENCY=USD", "XLFILL=b")</f>
        <v>74.508444261536411</v>
      </c>
      <c r="H80" s="9">
        <f>_xll.BQL("CRM US Equity", "CONTRIBUTOR_STATS(GROSS_MARGIN, STD)", "FPR=2022Y", "FPT=A", "FA_ACT_EST_DATA=E", "ACT_EST_MAPPING=PRECISE", "FS=MRC", "CURRENCY=USD", "XLFILL=b")</f>
        <v>0.30895966165580291</v>
      </c>
      <c r="I80" s="9">
        <f>_xll.BQL("CRM US Equity", "CONTRIBUTOR_STATS(GROSS_MARGIN, MEDIAN)", "FPR=2022Y", "FPT=A", "FA_ACT_EST_DATA=E", "ACT_EST_MAPPING=PRECISE", "FS=MRC", "CURRENCY=USD", "XLFILL=b")</f>
        <v>73.873373217747996</v>
      </c>
      <c r="J80" s="9" t="str">
        <f>_xll.BQL("CRM US Equity", "GROSS_MARGIN", "FPR=2022Y", "FPT=A", "FA_ACT_EST_DATA=E, EST_SOURCE=CMPY", "ACT_EST_MAPPING=PRECISE", "FS=MRC", "CURRENCY=USD", "XLFILL=b")</f>
        <v/>
      </c>
      <c r="K80" s="9" t="str">
        <f>_xll.BQL("CRM US Equity", "GROSS_MARGIN", "FPR=2022Y", "FPT=A", "FA_ACT_EST_DATA=E, EST_SOURCE=WBL", "ACT_EST_MAPPING=PRECISE", "FS=MRC", "CURRENCY=USD", "XLFILL=b")</f>
        <v/>
      </c>
      <c r="L80" s="9" t="str">
        <f>_xll.BQL("CRM US Equity", "GROSS_MARGIN", "FPR=2022Y", "FPT=A", "FA_ACT_EST_DATA=E, EST_SOURCE=BMO", "ACT_EST_MAPPING=PRECISE", "FS=MRC", "CURRENCY=USD", "XLFILL=b")</f>
        <v/>
      </c>
      <c r="M80" s="9">
        <f>_xll.BQL("CRM US Equity", "GROSS_MARGIN", "FPR=2022Y", "FPT=A", "FA_ACT_EST_DATA=E, EST_SOURCE=BCA", "ACT_EST_MAPPING=PRECISE", "FS=MRC", "CURRENCY=USD", "XLFILL=b")</f>
        <v>73.917188926782558</v>
      </c>
      <c r="N80" s="9" t="str">
        <f>_xll.BQL("CRM US Equity", "GROSS_MARGIN", "FPR=2022Y", "FPT=A", "FA_ACT_EST_DATA=E, EST_SOURCE=SNR", "ACT_EST_MAPPING=PRECISE", "FS=MRC", "CURRENCY=USD", "XLFILL=b")</f>
        <v/>
      </c>
      <c r="O80" s="9">
        <f>_xll.BQL("CRM US Equity", "GROSS_MARGIN", "FPR=2022Y", "FPT=A", "FA_ACT_EST_DATA=E, EST_SOURCE=MSV", "ACT_EST_MAPPING=PRECISE", "FS=MRC", "CURRENCY=USD", "XLFILL=b")</f>
        <v>74.018055348193471</v>
      </c>
      <c r="P80" s="9" t="str">
        <f>_xll.BQL("CRM US Equity", "GROSS_MARGIN", "FPR=2022Y", "FPT=A", "FA_ACT_EST_DATA=E, EST_SOURCE=DBG", "ACT_EST_MAPPING=PRECISE", "FS=MRC", "CURRENCY=USD", "XLFILL=b")</f>
        <v/>
      </c>
      <c r="Q80" s="9" t="str">
        <f>_xll.BQL("CRM US Equity", "GROSS_MARGIN", "FPR=2022Y", "FPT=A", "FA_ACT_EST_DATA=E, EST_SOURCE=NDH", "ACT_EST_MAPPING=PRECISE", "FS=MRC", "CURRENCY=USD", "XLFILL=b")</f>
        <v/>
      </c>
      <c r="R80" s="9" t="str">
        <f>_xll.BQL("CRM US Equity", "GROSS_MARGIN", "FPR=2022Y", "FPT=A", "FA_ACT_EST_DATA=E, EST_SOURCE=CAN", "ACT_EST_MAPPING=PRECISE", "FS=MRC", "CURRENCY=USD", "XLFILL=b")</f>
        <v/>
      </c>
      <c r="S80" s="9" t="str">
        <f>_xll.BQL("CRM US Equity", "GROSS_MARGIN", "FPR=2022Y", "FPT=A", "FA_ACT_EST_DATA=E, EST_SOURCE=SCB", "ACT_EST_MAPPING=PRECISE", "FS=MRC", "CURRENCY=USD", "XLFILL=b")</f>
        <v/>
      </c>
      <c r="T80" s="9">
        <f>_xll.BQL("CRM US Equity", "GROSS_MARGIN", "FPR=2022Y", "FPT=A", "FA_ACT_EST_DATA=E, EST_SOURCE=JMP", "ACT_EST_MAPPING=PRECISE", "FS=MRC", "CURRENCY=USD", "XLFILL=b")</f>
        <v>73.829557508713435</v>
      </c>
      <c r="U80" s="9" t="str">
        <f>_xll.BQL("CRM US Equity", "GROSS_MARGIN", "FPR=2022Y", "FPT=A", "FA_ACT_EST_DATA=E, EST_SOURCE=RJA", "ACT_EST_MAPPING=PRECISE", "FS=MRC", "CURRENCY=USD", "XLFILL=b")</f>
        <v/>
      </c>
      <c r="V80" s="9" t="str">
        <f>_xll.BQL("CRM US Equity", "GROSS_MARGIN", "FPR=2022Y", "FPT=A", "FA_ACT_EST_DATA=E, EST_SOURCE=OPY", "ACT_EST_MAPPING=PRECISE", "FS=MRC", "CURRENCY=USD", "XLFILL=b")</f>
        <v/>
      </c>
      <c r="W80" s="9" t="str">
        <f>_xll.BQL("CRM US Equity", "GROSS_MARGIN", "FPR=2022Y", "FPT=A", "FA_ACT_EST_DATA=E, EST_SOURCE=JPM", "ACT_EST_MAPPING=PRECISE", "FS=MRC", "CURRENCY=USD", "XLFILL=b")</f>
        <v/>
      </c>
      <c r="X80" s="9">
        <f>_xll.BQL("CRM US Equity", "GROSS_MARGIN", "FPR=2022Y", "FPT=A", "FA_ACT_EST_DATA=E, EST_SOURCE=FBC", "ACT_EST_MAPPING=PRECISE", "FS=MRC", "CURRENCY=USD", "XLFILL=b")</f>
        <v>73.712100324543059</v>
      </c>
      <c r="Y80" s="9" t="str">
        <f>_xll.BQL("CRM US Equity", "GROSS_MARGIN", "FPR=2022Y", "FPT=A", "FA_ACT_EST_DATA=E, EST_SOURCE=WMS", "ACT_EST_MAPPING=PRECISE", "FS=MRC", "CURRENCY=USD", "XLFILL=b")</f>
        <v/>
      </c>
      <c r="Z80" s="9" t="str">
        <f>_xll.BQL("CRM US Equity", "GROSS_MARGIN", "FPR=2022Y", "FPT=A", "FA_ACT_EST_DATA=E, EST_SOURCE=KEY", "ACT_EST_MAPPING=PRECISE", "FS=MRC", "CURRENCY=USD", "XLFILL=b")</f>
        <v/>
      </c>
      <c r="AA80" s="9" t="str">
        <f>_xll.BQL("CRM US Equity", "GROSS_MARGIN", "FPR=2022Y", "FPT=A", "FA_ACT_EST_DATA=E, EST_SOURCE=LCM", "ACT_EST_MAPPING=PRECISE", "FS=MRC", "CURRENCY=USD", "XLFILL=b")</f>
        <v/>
      </c>
      <c r="AB80" s="9" t="str">
        <f>_xll.BQL("CRM US Equity", "GROSS_MARGIN", "FPR=2022Y", "FPT=A", "FA_ACT_EST_DATA=E, EST_SOURCE=CWN", "ACT_EST_MAPPING=PRECISE", "FS=MRC", "CURRENCY=USD", "XLFILL=b")</f>
        <v/>
      </c>
      <c r="AC80" s="9" t="str">
        <f>_xll.BQL("CRM US Equity", "GROSS_MARGIN", "FPR=2022Y", "FPT=A", "FA_ACT_EST_DATA=E, EST_SOURCE=BNS", "ACT_EST_MAPPING=PRECISE", "FS=MRC", "CURRENCY=USD", "XLFILL=b")</f>
        <v/>
      </c>
      <c r="AD80" s="9" t="str">
        <f>_xll.BQL("CRM US Equity", "GROSS_MARGIN", "FPR=2022Y", "FPT=A", "FA_ACT_EST_DATA=E, EST_SOURCE=BAM", "ACT_EST_MAPPING=PRECISE", "FS=MRC", "CURRENCY=USD", "XLFILL=b")</f>
        <v/>
      </c>
      <c r="AE80" s="9" t="str">
        <f>_xll.BQL("CRM US Equity", "GROSS_MARGIN", "FPR=2022Y", "FPT=A", "FA_ACT_EST_DATA=E, EST_SOURCE=RBC", "ACT_EST_MAPPING=PRECISE", "FS=MRC", "CURRENCY=USD", "XLFILL=b")</f>
        <v/>
      </c>
      <c r="AF80" s="9" t="str">
        <f>_xll.BQL("CRM US Equity", "GROSS_MARGIN", "FPR=2022Y", "FPT=A", "FA_ACT_EST_DATA=E, EST_SOURCE=UBS", "ACT_EST_MAPPING=PRECISE", "FS=MRC", "CURRENCY=USD", "XLFILL=b")</f>
        <v/>
      </c>
      <c r="AG80" s="9" t="str">
        <f>_xll.BQL("CRM US Equity", "GROSS_MARGIN", "FPR=2022Y", "FPT=A", "FA_ACT_EST_DATA=E, EST_SOURCE=RHR", "ACT_EST_MAPPING=PRECISE", "FS=MRC", "CURRENCY=USD", "XLFILL=b")</f>
        <v/>
      </c>
      <c r="AH80" s="9" t="str">
        <f>_xll.BQL("CRM US Equity", "GROSS_MARGIN", "FPR=2022Y", "FPT=A", "FA_ACT_EST_DATA=E, EST_SOURCE=JEF", "ACT_EST_MAPPING=PRECISE", "FS=MRC", "CURRENCY=USD", "XLFILL=b")</f>
        <v/>
      </c>
      <c r="AI80" s="9" t="str">
        <f>_xll.BQL("CRM US Equity", "GROSS_MARGIN", "FPR=2022Y", "FPT=A", "FA_ACT_EST_DATA=E, EST_SOURCE=ATL", "ACT_EST_MAPPING=PRECISE", "FS=MRC", "CURRENCY=USD", "XLFILL=b")</f>
        <v/>
      </c>
      <c r="AJ80" s="9" t="str">
        <f>_xll.BQL("CRM US Equity", "GROSS_MARGIN", "FPR=2022Y", "FPT=A", "FA_ACT_EST_DATA=E, EST_SOURCE=MAC", "ACT_EST_MAPPING=PRECISE", "FS=MRC", "CURRENCY=USD", "XLFILL=b")</f>
        <v/>
      </c>
      <c r="AK80" s="9" t="str">
        <f>_xll.BQL("CRM US Equity", "GROSS_MARGIN", "FPR=2022Y", "FPT=A", "FA_ACT_EST_DATA=E, EST_SOURCE=EVR", "ACT_EST_MAPPING=PRECISE", "FS=MRC", "CURRENCY=USD", "XLFILL=b")</f>
        <v/>
      </c>
      <c r="AL80" s="9" t="str">
        <f>_xll.BQL("CRM US Equity", "GROSS_MARGIN", "FPR=2022Y", "FPT=A", "FA_ACT_EST_DATA=E, EST_SOURCE=MSR", "ACT_EST_MAPPING=PRECISE", "FS=MRC", "CURRENCY=USD", "XLFILL=b")</f>
        <v/>
      </c>
      <c r="AM80" s="9" t="str">
        <f>_xll.BQL("CRM US Equity", "GROSS_MARGIN", "FPR=2022Y", "FPT=A", "FA_ACT_EST_DATA=E, EST_SOURCE=KGI", "ACT_EST_MAPPING=PRECISE", "FS=MRC", "CURRENCY=USD", "XLFILL=b")</f>
        <v/>
      </c>
      <c r="AN80" s="9" t="str">
        <f>_xll.BQL("CRM US Equity", "GROSS_MARGIN", "FPR=2022Y", "FPT=A", "FA_ACT_EST_DATA=E, EST_SOURCE=ACC", "ACT_EST_MAPPING=PRECISE", "FS=MRC", "CURRENCY=USD", "XLFILL=b")</f>
        <v/>
      </c>
      <c r="AO80" s="9" t="str">
        <f>_xll.BQL("CRM US Equity", "GROSS_MARGIN", "FPR=2022Y", "FPT=A", "FA_ACT_EST_DATA=E, EST_SOURCE=GSR", "ACT_EST_MAPPING=PRECISE", "FS=MRC", "CURRENCY=USD", "XLFILL=b")</f>
        <v/>
      </c>
      <c r="AP80" s="9" t="str">
        <f>_xll.BQL("CRM US Equity", "GROSS_MARGIN", "FPR=2022Y", "FPT=A", "FA_ACT_EST_DATA=E, EST_SOURCE=PSG", "ACT_EST_MAPPING=PRECISE", "FS=MRC", "CURRENCY=USD", "XLFILL=b")</f>
        <v/>
      </c>
      <c r="AQ80" s="9" t="str">
        <f>_xll.BQL("CRM US Equity", "GROSS_MARGIN", "FPR=2022Y", "FPT=A", "FA_ACT_EST_DATA=E, EST_SOURCE=DWI", "ACT_EST_MAPPING=PRECISE", "FS=MRC", "CURRENCY=USD", "XLFILL=b")</f>
        <v/>
      </c>
      <c r="AR80" s="9" t="str">
        <f>_xll.BQL("CRM US Equity", "GROSS_MARGIN", "FPR=2022Y", "FPT=A", "FA_ACT_EST_DATA=E, EST_SOURCE=RWB", "ACT_EST_MAPPING=PRECISE", "FS=MRC", "CURRENCY=USD", "XLFILL=b")</f>
        <v/>
      </c>
      <c r="AS80" s="9" t="str">
        <f>_xll.BQL("CRM US Equity", "GROSS_MARGIN", "FPR=2022Y", "FPT=A", "FA_ACT_EST_DATA=E, EST_SOURCE=ARG", "ACT_EST_MAPPING=PRECISE", "FS=MRC", "CURRENCY=USD", "XLFILL=b")</f>
        <v/>
      </c>
      <c r="AT80" s="9" t="str">
        <f>_xll.BQL("CRM US Equity", "GROSS_MARGIN", "FPR=2022Y", "FPT=A", "FA_ACT_EST_DATA=E, EST_SOURCE=CTI", "ACT_EST_MAPPING=PRECISE", "FS=MRC", "CURRENCY=USD", "XLFILL=b")</f>
        <v/>
      </c>
      <c r="AU80" s="9" t="str">
        <f>_xll.BQL("CRM US Equity", "GROSS_MARGIN", "FPR=2022Y", "FPT=A", "FA_ACT_EST_DATA=E, EST_SOURCE=WFT", "ACT_EST_MAPPING=PRECISE", "FS=MRC", "CURRENCY=USD", "XLFILL=b")</f>
        <v/>
      </c>
      <c r="AV80" s="9" t="str">
        <f>_xll.BQL("CRM US Equity", "GROSS_MARGIN", "FPR=2022Y", "FPT=A", "FA_ACT_EST_DATA=E, EST_SOURCE=PJE", "ACT_EST_MAPPING=PRECISE", "FS=MRC", "CURRENCY=USD", "XLFILL=b")</f>
        <v/>
      </c>
      <c r="AW80" s="9" t="str">
        <f>_xll.BQL("CRM US Equity", "GROSS_MARGIN", "FPR=2022Y", "FPT=A", "FA_ACT_EST_DATA=E, EST_SOURCE=SGE", "ACT_EST_MAPPING=PRECISE", "FS=MRC", "CURRENCY=USD", "XLFILL=b")</f>
        <v/>
      </c>
      <c r="AX80" s="9" t="str">
        <f>_xll.BQL("CRM US Equity", "GROSS_MARGIN", "FPR=2022Y", "FPT=A", "FA_ACT_EST_DATA=E, EST_SOURCE=MZS", "ACT_EST_MAPPING=PRECISE", "FS=MRC", "CURRENCY=USD", "XLFILL=b")</f>
        <v/>
      </c>
      <c r="AY80" s="9" t="str">
        <f>_xll.BQL("CRM US Equity", "GROSS_MARGIN", "FPR=2022Y", "FPT=A", "FA_ACT_EST_DATA=E, EST_SOURCE=RCP", "ACT_EST_MAPPING=PRECISE", "FS=MRC", "CURRENCY=USD", "XLFILL=b")</f>
        <v/>
      </c>
      <c r="AZ80" s="9" t="str">
        <f>_xll.BQL("CRM US Equity", "GROSS_MARGIN", "FPR=2022Y", "FPT=A", "FA_ACT_EST_DATA=E, EST_SOURCE=WFR", "ACT_EST_MAPPING=PRECISE", "FS=MRC", "CURRENCY=USD", "XLFILL=b")</f>
        <v/>
      </c>
      <c r="BA80" s="9" t="str">
        <f>_xll.BQL("CRM US Equity", "GROSS_MARGIN", "FPR=2022Y", "FPT=A", "FA_ACT_EST_DATA=E, EST_SOURCE=NIK", "ACT_EST_MAPPING=PRECISE", "FS=MRC", "CURRENCY=USD", "XLFILL=b")</f>
        <v/>
      </c>
      <c r="BB80" s="9" t="str">
        <f>_xll.BQL("CRM US Equity", "GROSS_MARGIN", "FPR=2022Y", "FPT=A", "FA_ACT_EST_DATA=E, EST_SOURCE=ARE", "ACT_EST_MAPPING=PRECISE", "FS=MRC", "CURRENCY=USD", "XLFILL=b")</f>
        <v/>
      </c>
      <c r="BC80" s="9" t="str">
        <f>_xll.BQL("CRM US Equity", "GROSS_MARGIN", "FPR=2022Y", "FPT=A", "FA_ACT_EST_DATA=E, EST_SOURCE=RED", "ACT_EST_MAPPING=PRECISE", "FS=MRC", "CURRENCY=USD", "XLFILL=b")</f>
        <v/>
      </c>
      <c r="BD80" s="9" t="str">
        <f>_xll.BQL("CRM US Equity", "GROSS_MARGIN", "FPR=2022Y", "FPT=A", "FA_ACT_EST_DATA=E, EST_SOURCE=DIR", "ACT_EST_MAPPING=PRECISE", "FS=MRC", "CURRENCY=USD", "XLFILL=b")</f>
        <v/>
      </c>
    </row>
    <row r="81" spans="1:56" x14ac:dyDescent="0.55000000000000004">
      <c r="A81" s="8" t="s">
        <v>136</v>
      </c>
      <c r="B81" s="5" t="s">
        <v>137</v>
      </c>
      <c r="C81" s="5" t="s">
        <v>100</v>
      </c>
      <c r="D81" s="5"/>
      <c r="E81" s="9">
        <f>_xll.BQL("CRM US Equity", "IS_TOT_OPER_EXP/1M", "FPR=2022Y", "FPT=A", "FA_ACT_EST_DATA=E", "ACT_EST_MAPPING=PRECISE", "FS=MRC", "CURRENCY=USD", "XLFILL=b")</f>
        <v>18963.245990313339</v>
      </c>
      <c r="F81" s="9">
        <f>_xll.BQL("CRM US Equity", "CONTRIBUTOR_STATS(IS_TOT_OPER_EXP, MIN)/1M", "FPR=2022Y", "FPT=A", "FA_ACT_EST_DATA=E", "ACT_EST_MAPPING=PRECISE", "FS=MRC", "CURRENCY=USD", "XLFILL=b")</f>
        <v>18685.542619908458</v>
      </c>
      <c r="G81" s="9">
        <f>_xll.BQL("CRM US Equity", "CONTRIBUTOR_STATS(IS_TOT_OPER_EXP, MAX)/1M", "FPR=2022Y", "FPT=A", "FA_ACT_EST_DATA=E", "ACT_EST_MAPPING=PRECISE", "FS=MRC", "CURRENCY=USD", "XLFILL=b")</f>
        <v>19123.616581999999</v>
      </c>
      <c r="H81" s="9">
        <f>_xll.BQL("CRM US Equity", "CONTRIBUTOR_STATS(IS_TOT_OPER_EXP, STD)/1M", "FPR=2022Y", "FPT=A", "FA_ACT_EST_DATA=E", "ACT_EST_MAPPING=PRECISE", "FS=MRC", "CURRENCY=USD", "XLFILL=b")</f>
        <v>132.78810602025351</v>
      </c>
      <c r="I81" s="9">
        <f>_xll.BQL("CRM US Equity", "CONTRIBUTOR_STATS(IS_TOT_OPER_EXP, MEDIAN)/1M", "FPR=2022Y", "FPT=A", "FA_ACT_EST_DATA=E", "ACT_EST_MAPPING=PRECISE", "FS=MRC", "CURRENCY=USD", "XLFILL=b")</f>
        <v>18988.90094396564</v>
      </c>
      <c r="J81" s="9" t="str">
        <f>_xll.BQL("CRM US Equity", "IS_TOT_OPER_EXP/1M", "FPR=2022Y", "FPT=A", "FA_ACT_EST_DATA=E, EST_SOURCE=CMPY", "ACT_EST_MAPPING=PRECISE", "FS=MRC", "CURRENCY=USD", "XLFILL=b")</f>
        <v/>
      </c>
      <c r="K81" s="9" t="str">
        <f>_xll.BQL("CRM US Equity", "IS_TOT_OPER_EXP/1M", "FPR=2022Y", "FPT=A", "FA_ACT_EST_DATA=E, EST_SOURCE=WBL", "ACT_EST_MAPPING=PRECISE", "FS=MRC", "CURRENCY=USD", "XLFILL=b")</f>
        <v/>
      </c>
      <c r="L81" s="9" t="str">
        <f>_xll.BQL("CRM US Equity", "IS_TOT_OPER_EXP/1M", "FPR=2022Y", "FPT=A", "FA_ACT_EST_DATA=E, EST_SOURCE=BMO", "ACT_EST_MAPPING=PRECISE", "FS=MRC", "CURRENCY=USD", "XLFILL=b")</f>
        <v/>
      </c>
      <c r="M81" s="9">
        <f>_xll.BQL("CRM US Equity", "IS_TOT_OPER_EXP/1M", "FPR=2022Y", "FPT=A", "FA_ACT_EST_DATA=E, EST_SOURCE=BCA", "ACT_EST_MAPPING=PRECISE", "FS=MRC", "CURRENCY=USD", "XLFILL=b")</f>
        <v>19032.471298900316</v>
      </c>
      <c r="N81" s="9" t="str">
        <f>_xll.BQL("CRM US Equity", "IS_TOT_OPER_EXP/1M", "FPR=2022Y", "FPT=A", "FA_ACT_EST_DATA=E, EST_SOURCE=SNR", "ACT_EST_MAPPING=PRECISE", "FS=MRC", "CURRENCY=USD", "XLFILL=b")</f>
        <v/>
      </c>
      <c r="O81" s="9">
        <f>_xll.BQL("CRM US Equity", "IS_TOT_OPER_EXP/1M", "FPR=2022Y", "FPT=A", "FA_ACT_EST_DATA=E, EST_SOURCE=MSV", "ACT_EST_MAPPING=PRECISE", "FS=MRC", "CURRENCY=USD", "XLFILL=b")</f>
        <v>19123.616581999999</v>
      </c>
      <c r="P81" s="9">
        <f>_xll.BQL("CRM US Equity", "IS_TOT_OPER_EXP/1M", "FPR=2022Y", "FPT=A", "FA_ACT_EST_DATA=E, EST_SOURCE=DBG", "ACT_EST_MAPPING=PRECISE", "FS=MRC", "CURRENCY=USD", "XLFILL=b")</f>
        <v>18980.154590962309</v>
      </c>
      <c r="Q81" s="9" t="str">
        <f>_xll.BQL("CRM US Equity", "IS_TOT_OPER_EXP/1M", "FPR=2022Y", "FPT=A", "FA_ACT_EST_DATA=E, EST_SOURCE=NDH", "ACT_EST_MAPPING=PRECISE", "FS=MRC", "CURRENCY=USD", "XLFILL=b")</f>
        <v/>
      </c>
      <c r="R81" s="9" t="str">
        <f>_xll.BQL("CRM US Equity", "IS_TOT_OPER_EXP/1M", "FPR=2022Y", "FPT=A", "FA_ACT_EST_DATA=E, EST_SOURCE=CAN", "ACT_EST_MAPPING=PRECISE", "FS=MRC", "CURRENCY=USD", "XLFILL=b")</f>
        <v/>
      </c>
      <c r="S81" s="9" t="str">
        <f>_xll.BQL("CRM US Equity", "IS_TOT_OPER_EXP/1M", "FPR=2022Y", "FPT=A", "FA_ACT_EST_DATA=E, EST_SOURCE=SCB", "ACT_EST_MAPPING=PRECISE", "FS=MRC", "CURRENCY=USD", "XLFILL=b")</f>
        <v/>
      </c>
      <c r="T81" s="9" t="str">
        <f>_xll.BQL("CRM US Equity", "IS_TOT_OPER_EXP/1M", "FPR=2022Y", "FPT=A", "FA_ACT_EST_DATA=E, EST_SOURCE=JMP", "ACT_EST_MAPPING=PRECISE", "FS=MRC", "CURRENCY=USD", "XLFILL=b")</f>
        <v/>
      </c>
      <c r="U81" s="9" t="str">
        <f>_xll.BQL("CRM US Equity", "IS_TOT_OPER_EXP/1M", "FPR=2022Y", "FPT=A", "FA_ACT_EST_DATA=E, EST_SOURCE=RJA", "ACT_EST_MAPPING=PRECISE", "FS=MRC", "CURRENCY=USD", "XLFILL=b")</f>
        <v/>
      </c>
      <c r="V81" s="9" t="str">
        <f>_xll.BQL("CRM US Equity", "IS_TOT_OPER_EXP/1M", "FPR=2022Y", "FPT=A", "FA_ACT_EST_DATA=E, EST_SOURCE=OPY", "ACT_EST_MAPPING=PRECISE", "FS=MRC", "CURRENCY=USD", "XLFILL=b")</f>
        <v/>
      </c>
      <c r="W81" s="9" t="str">
        <f>_xll.BQL("CRM US Equity", "IS_TOT_OPER_EXP/1M", "FPR=2022Y", "FPT=A", "FA_ACT_EST_DATA=E, EST_SOURCE=JPM", "ACT_EST_MAPPING=PRECISE", "FS=MRC", "CURRENCY=USD", "XLFILL=b")</f>
        <v/>
      </c>
      <c r="X81" s="9">
        <f>_xll.BQL("CRM US Equity", "IS_TOT_OPER_EXP/1M", "FPR=2022Y", "FPT=A", "FA_ACT_EST_DATA=E, EST_SOURCE=FBC", "ACT_EST_MAPPING=PRECISE", "FS=MRC", "CURRENCY=USD", "XLFILL=b")</f>
        <v>18864.6638032954</v>
      </c>
      <c r="Y81" s="9" t="str">
        <f>_xll.BQL("CRM US Equity", "IS_TOT_OPER_EXP/1M", "FPR=2022Y", "FPT=A", "FA_ACT_EST_DATA=E, EST_SOURCE=WMS", "ACT_EST_MAPPING=PRECISE", "FS=MRC", "CURRENCY=USD", "XLFILL=b")</f>
        <v/>
      </c>
      <c r="Z81" s="9" t="str">
        <f>_xll.BQL("CRM US Equity", "IS_TOT_OPER_EXP/1M", "FPR=2022Y", "FPT=A", "FA_ACT_EST_DATA=E, EST_SOURCE=KEY", "ACT_EST_MAPPING=PRECISE", "FS=MRC", "CURRENCY=USD", "XLFILL=b")</f>
        <v/>
      </c>
      <c r="AA81" s="9" t="str">
        <f>_xll.BQL("CRM US Equity", "IS_TOT_OPER_EXP/1M", "FPR=2022Y", "FPT=A", "FA_ACT_EST_DATA=E, EST_SOURCE=LCM", "ACT_EST_MAPPING=PRECISE", "FS=MRC", "CURRENCY=USD", "XLFILL=b")</f>
        <v/>
      </c>
      <c r="AB81" s="9" t="str">
        <f>_xll.BQL("CRM US Equity", "IS_TOT_OPER_EXP/1M", "FPR=2022Y", "FPT=A", "FA_ACT_EST_DATA=E, EST_SOURCE=CWN", "ACT_EST_MAPPING=PRECISE", "FS=MRC", "CURRENCY=USD", "XLFILL=b")</f>
        <v/>
      </c>
      <c r="AC81" s="9" t="str">
        <f>_xll.BQL("CRM US Equity", "IS_TOT_OPER_EXP/1M", "FPR=2022Y", "FPT=A", "FA_ACT_EST_DATA=E, EST_SOURCE=BNS", "ACT_EST_MAPPING=PRECISE", "FS=MRC", "CURRENCY=USD", "XLFILL=b")</f>
        <v/>
      </c>
      <c r="AD81" s="9" t="str">
        <f>_xll.BQL("CRM US Equity", "IS_TOT_OPER_EXP/1M", "FPR=2022Y", "FPT=A", "FA_ACT_EST_DATA=E, EST_SOURCE=BAM", "ACT_EST_MAPPING=PRECISE", "FS=MRC", "CURRENCY=USD", "XLFILL=b")</f>
        <v/>
      </c>
      <c r="AE81" s="9" t="str">
        <f>_xll.BQL("CRM US Equity", "IS_TOT_OPER_EXP/1M", "FPR=2022Y", "FPT=A", "FA_ACT_EST_DATA=E, EST_SOURCE=RBC", "ACT_EST_MAPPING=PRECISE", "FS=MRC", "CURRENCY=USD", "XLFILL=b")</f>
        <v/>
      </c>
      <c r="AF81" s="9" t="str">
        <f>_xll.BQL("CRM US Equity", "IS_TOT_OPER_EXP/1M", "FPR=2022Y", "FPT=A", "FA_ACT_EST_DATA=E, EST_SOURCE=UBS", "ACT_EST_MAPPING=PRECISE", "FS=MRC", "CURRENCY=USD", "XLFILL=b")</f>
        <v/>
      </c>
      <c r="AG81" s="9" t="str">
        <f>_xll.BQL("CRM US Equity", "IS_TOT_OPER_EXP/1M", "FPR=2022Y", "FPT=A", "FA_ACT_EST_DATA=E, EST_SOURCE=RHR", "ACT_EST_MAPPING=PRECISE", "FS=MRC", "CURRENCY=USD", "XLFILL=b")</f>
        <v/>
      </c>
      <c r="AH81" s="9" t="str">
        <f>_xll.BQL("CRM US Equity", "IS_TOT_OPER_EXP/1M", "FPR=2022Y", "FPT=A", "FA_ACT_EST_DATA=E, EST_SOURCE=JEF", "ACT_EST_MAPPING=PRECISE", "FS=MRC", "CURRENCY=USD", "XLFILL=b")</f>
        <v/>
      </c>
      <c r="AI81" s="9" t="str">
        <f>_xll.BQL("CRM US Equity", "IS_TOT_OPER_EXP/1M", "FPR=2022Y", "FPT=A", "FA_ACT_EST_DATA=E, EST_SOURCE=ATL", "ACT_EST_MAPPING=PRECISE", "FS=MRC", "CURRENCY=USD", "XLFILL=b")</f>
        <v/>
      </c>
      <c r="AJ81" s="9" t="str">
        <f>_xll.BQL("CRM US Equity", "IS_TOT_OPER_EXP/1M", "FPR=2022Y", "FPT=A", "FA_ACT_EST_DATA=E, EST_SOURCE=MAC", "ACT_EST_MAPPING=PRECISE", "FS=MRC", "CURRENCY=USD", "XLFILL=b")</f>
        <v/>
      </c>
      <c r="AK81" s="9" t="str">
        <f>_xll.BQL("CRM US Equity", "IS_TOT_OPER_EXP/1M", "FPR=2022Y", "FPT=A", "FA_ACT_EST_DATA=E, EST_SOURCE=EVR", "ACT_EST_MAPPING=PRECISE", "FS=MRC", "CURRENCY=USD", "XLFILL=b")</f>
        <v/>
      </c>
      <c r="AL81" s="9" t="str">
        <f>_xll.BQL("CRM US Equity", "IS_TOT_OPER_EXP/1M", "FPR=2022Y", "FPT=A", "FA_ACT_EST_DATA=E, EST_SOURCE=MSR", "ACT_EST_MAPPING=PRECISE", "FS=MRC", "CURRENCY=USD", "XLFILL=b")</f>
        <v/>
      </c>
      <c r="AM81" s="9" t="str">
        <f>_xll.BQL("CRM US Equity", "IS_TOT_OPER_EXP/1M", "FPR=2022Y", "FPT=A", "FA_ACT_EST_DATA=E, EST_SOURCE=KGI", "ACT_EST_MAPPING=PRECISE", "FS=MRC", "CURRENCY=USD", "XLFILL=b")</f>
        <v/>
      </c>
      <c r="AN81" s="9" t="str">
        <f>_xll.BQL("CRM US Equity", "IS_TOT_OPER_EXP/1M", "FPR=2022Y", "FPT=A", "FA_ACT_EST_DATA=E, EST_SOURCE=ACC", "ACT_EST_MAPPING=PRECISE", "FS=MRC", "CURRENCY=USD", "XLFILL=b")</f>
        <v/>
      </c>
      <c r="AO81" s="9" t="str">
        <f>_xll.BQL("CRM US Equity", "IS_TOT_OPER_EXP/1M", "FPR=2022Y", "FPT=A", "FA_ACT_EST_DATA=E, EST_SOURCE=GSR", "ACT_EST_MAPPING=PRECISE", "FS=MRC", "CURRENCY=USD", "XLFILL=b")</f>
        <v/>
      </c>
      <c r="AP81" s="9" t="str">
        <f>_xll.BQL("CRM US Equity", "IS_TOT_OPER_EXP/1M", "FPR=2022Y", "FPT=A", "FA_ACT_EST_DATA=E, EST_SOURCE=PSG", "ACT_EST_MAPPING=PRECISE", "FS=MRC", "CURRENCY=USD", "XLFILL=b")</f>
        <v/>
      </c>
      <c r="AQ81" s="9" t="str">
        <f>_xll.BQL("CRM US Equity", "IS_TOT_OPER_EXP/1M", "FPR=2022Y", "FPT=A", "FA_ACT_EST_DATA=E, EST_SOURCE=DWI", "ACT_EST_MAPPING=PRECISE", "FS=MRC", "CURRENCY=USD", "XLFILL=b")</f>
        <v/>
      </c>
      <c r="AR81" s="9" t="str">
        <f>_xll.BQL("CRM US Equity", "IS_TOT_OPER_EXP/1M", "FPR=2022Y", "FPT=A", "FA_ACT_EST_DATA=E, EST_SOURCE=RWB", "ACT_EST_MAPPING=PRECISE", "FS=MRC", "CURRENCY=USD", "XLFILL=b")</f>
        <v/>
      </c>
      <c r="AS81" s="9" t="str">
        <f>_xll.BQL("CRM US Equity", "IS_TOT_OPER_EXP/1M", "FPR=2022Y", "FPT=A", "FA_ACT_EST_DATA=E, EST_SOURCE=ARG", "ACT_EST_MAPPING=PRECISE", "FS=MRC", "CURRENCY=USD", "XLFILL=b")</f>
        <v/>
      </c>
      <c r="AT81" s="9" t="str">
        <f>_xll.BQL("CRM US Equity", "IS_TOT_OPER_EXP/1M", "FPR=2022Y", "FPT=A", "FA_ACT_EST_DATA=E, EST_SOURCE=CTI", "ACT_EST_MAPPING=PRECISE", "FS=MRC", "CURRENCY=USD", "XLFILL=b")</f>
        <v/>
      </c>
      <c r="AU81" s="9" t="str">
        <f>_xll.BQL("CRM US Equity", "IS_TOT_OPER_EXP/1M", "FPR=2022Y", "FPT=A", "FA_ACT_EST_DATA=E, EST_SOURCE=WFT", "ACT_EST_MAPPING=PRECISE", "FS=MRC", "CURRENCY=USD", "XLFILL=b")</f>
        <v/>
      </c>
      <c r="AV81" s="9" t="str">
        <f>_xll.BQL("CRM US Equity", "IS_TOT_OPER_EXP/1M", "FPR=2022Y", "FPT=A", "FA_ACT_EST_DATA=E, EST_SOURCE=PJE", "ACT_EST_MAPPING=PRECISE", "FS=MRC", "CURRENCY=USD", "XLFILL=b")</f>
        <v/>
      </c>
      <c r="AW81" s="9" t="str">
        <f>_xll.BQL("CRM US Equity", "IS_TOT_OPER_EXP/1M", "FPR=2022Y", "FPT=A", "FA_ACT_EST_DATA=E, EST_SOURCE=SGE", "ACT_EST_MAPPING=PRECISE", "FS=MRC", "CURRENCY=USD", "XLFILL=b")</f>
        <v/>
      </c>
      <c r="AX81" s="9" t="str">
        <f>_xll.BQL("CRM US Equity", "IS_TOT_OPER_EXP/1M", "FPR=2022Y", "FPT=A", "FA_ACT_EST_DATA=E, EST_SOURCE=MZS", "ACT_EST_MAPPING=PRECISE", "FS=MRC", "CURRENCY=USD", "XLFILL=b")</f>
        <v/>
      </c>
      <c r="AY81" s="9" t="str">
        <f>_xll.BQL("CRM US Equity", "IS_TOT_OPER_EXP/1M", "FPR=2022Y", "FPT=A", "FA_ACT_EST_DATA=E, EST_SOURCE=RCP", "ACT_EST_MAPPING=PRECISE", "FS=MRC", "CURRENCY=USD", "XLFILL=b")</f>
        <v/>
      </c>
      <c r="AZ81" s="9" t="str">
        <f>_xll.BQL("CRM US Equity", "IS_TOT_OPER_EXP/1M", "FPR=2022Y", "FPT=A", "FA_ACT_EST_DATA=E, EST_SOURCE=WFR", "ACT_EST_MAPPING=PRECISE", "FS=MRC", "CURRENCY=USD", "XLFILL=b")</f>
        <v/>
      </c>
      <c r="BA81" s="9" t="str">
        <f>_xll.BQL("CRM US Equity", "IS_TOT_OPER_EXP/1M", "FPR=2022Y", "FPT=A", "FA_ACT_EST_DATA=E, EST_SOURCE=NIK", "ACT_EST_MAPPING=PRECISE", "FS=MRC", "CURRENCY=USD", "XLFILL=b")</f>
        <v/>
      </c>
      <c r="BB81" s="9" t="str">
        <f>_xll.BQL("CRM US Equity", "IS_TOT_OPER_EXP/1M", "FPR=2022Y", "FPT=A", "FA_ACT_EST_DATA=E, EST_SOURCE=ARE", "ACT_EST_MAPPING=PRECISE", "FS=MRC", "CURRENCY=USD", "XLFILL=b")</f>
        <v/>
      </c>
      <c r="BC81" s="9" t="str">
        <f>_xll.BQL("CRM US Equity", "IS_TOT_OPER_EXP/1M", "FPR=2022Y", "FPT=A", "FA_ACT_EST_DATA=E, EST_SOURCE=RED", "ACT_EST_MAPPING=PRECISE", "FS=MRC", "CURRENCY=USD", "XLFILL=b")</f>
        <v/>
      </c>
      <c r="BD81" s="9" t="str">
        <f>_xll.BQL("CRM US Equity", "IS_TOT_OPER_EXP/1M", "FPR=2022Y", "FPT=A", "FA_ACT_EST_DATA=E, EST_SOURCE=DIR", "ACT_EST_MAPPING=PRECISE", "FS=MRC", "CURRENCY=USD", "XLFILL=b")</f>
        <v/>
      </c>
    </row>
    <row r="82" spans="1:56" x14ac:dyDescent="0.55000000000000004">
      <c r="A82" s="8" t="s">
        <v>78</v>
      </c>
      <c r="B82" s="5" t="s">
        <v>138</v>
      </c>
      <c r="C82" s="5" t="s">
        <v>79</v>
      </c>
      <c r="D82" s="5"/>
      <c r="E82" s="9">
        <f>_xll.BQL("CRM US Equity", "OPERATING_EXPENSES_TO_NET_SALES", "FPR=2022Y", "FPT=A", "FA_ACT_EST_DATA=E", "ACT_EST_MAPPING=PRECISE", "FS=MRC", "CURRENCY=USD", "XLFILL=b")</f>
        <v>71.998508223486567</v>
      </c>
      <c r="F82" s="9">
        <f>_xll.BQL("CRM US Equity", "CONTRIBUTOR_STATS(OPERATING_EXPENSES_TO_NET_SALES, MIN)", "FPR=2022Y", "FPT=A", "FA_ACT_EST_DATA=E", "ACT_EST_MAPPING=PRECISE", "FS=MRC", "CURRENCY=USD", "XLFILL=b")</f>
        <v>71.477086646206729</v>
      </c>
      <c r="G82" s="9">
        <f>_xll.BQL("CRM US Equity", "CONTRIBUTOR_STATS(OPERATING_EXPENSES_TO_NET_SALES, MAX)", "FPR=2022Y", "FPT=A", "FA_ACT_EST_DATA=E", "ACT_EST_MAPPING=PRECISE", "FS=MRC", "CURRENCY=USD", "XLFILL=b")</f>
        <v>72.411097378407476</v>
      </c>
      <c r="H82" s="9">
        <f>_xll.BQL("CRM US Equity", "CONTRIBUTOR_STATS(OPERATING_EXPENSES_TO_NET_SALES, STD)", "FPR=2022Y", "FPT=A", "FA_ACT_EST_DATA=E", "ACT_EST_MAPPING=PRECISE", "FS=MRC", "CURRENCY=USD", "XLFILL=b")</f>
        <v>0.47642143537411258</v>
      </c>
      <c r="I82" s="9">
        <f>_xll.BQL("CRM US Equity", "CONTRIBUTOR_STATS(OPERATING_EXPENSES_TO_NET_SALES, MEDIAN)", "FPR=2022Y", "FPT=A", "FA_ACT_EST_DATA=E", "ACT_EST_MAPPING=PRECISE", "FS=MRC", "CURRENCY=USD", "XLFILL=b")</f>
        <v>72.107340645845511</v>
      </c>
      <c r="J82" s="9" t="str">
        <f>_xll.BQL("CRM US Equity", "OPERATING_EXPENSES_TO_NET_SALES", "FPR=2022Y", "FPT=A", "FA_ACT_EST_DATA=E, EST_SOURCE=CMPY", "ACT_EST_MAPPING=PRECISE", "FS=MRC", "CURRENCY=USD", "XLFILL=b")</f>
        <v/>
      </c>
      <c r="K82" s="9" t="str">
        <f>_xll.BQL("CRM US Equity", "OPERATING_EXPENSES_TO_NET_SALES", "FPR=2022Y", "FPT=A", "FA_ACT_EST_DATA=E, EST_SOURCE=WBL", "ACT_EST_MAPPING=PRECISE", "FS=MRC", "CURRENCY=USD", "XLFILL=b")</f>
        <v/>
      </c>
      <c r="L82" s="9" t="str">
        <f>_xll.BQL("CRM US Equity", "OPERATING_EXPENSES_TO_NET_SALES", "FPR=2022Y", "FPT=A", "FA_ACT_EST_DATA=E, EST_SOURCE=BMO", "ACT_EST_MAPPING=PRECISE", "FS=MRC", "CURRENCY=USD", "XLFILL=b")</f>
        <v/>
      </c>
      <c r="M82" s="9">
        <f>_xll.BQL("CRM US Equity", "OPERATING_EXPENSES_TO_NET_SALES", "FPR=2022Y", "FPT=A", "FA_ACT_EST_DATA=E, EST_SOURCE=BCA", "ACT_EST_MAPPING=PRECISE", "FS=MRC", "CURRENCY=USD", "XLFILL=b")</f>
        <v>72.107340645845511</v>
      </c>
      <c r="N82" s="9" t="str">
        <f>_xll.BQL("CRM US Equity", "OPERATING_EXPENSES_TO_NET_SALES", "FPR=2022Y", "FPT=A", "FA_ACT_EST_DATA=E, EST_SOURCE=SNR", "ACT_EST_MAPPING=PRECISE", "FS=MRC", "CURRENCY=USD", "XLFILL=b")</f>
        <v/>
      </c>
      <c r="O82" s="9">
        <f>_xll.BQL("CRM US Equity", "OPERATING_EXPENSES_TO_NET_SALES", "FPR=2022Y", "FPT=A", "FA_ACT_EST_DATA=E, EST_SOURCE=MSV", "ACT_EST_MAPPING=PRECISE", "FS=MRC", "CURRENCY=USD", "XLFILL=b")</f>
        <v>72.411097378407476</v>
      </c>
      <c r="P82" s="9" t="str">
        <f>_xll.BQL("CRM US Equity", "OPERATING_EXPENSES_TO_NET_SALES", "FPR=2022Y", "FPT=A", "FA_ACT_EST_DATA=E, EST_SOURCE=DBG", "ACT_EST_MAPPING=PRECISE", "FS=MRC", "CURRENCY=USD", "XLFILL=b")</f>
        <v/>
      </c>
      <c r="Q82" s="9" t="str">
        <f>_xll.BQL("CRM US Equity", "OPERATING_EXPENSES_TO_NET_SALES", "FPR=2022Y", "FPT=A", "FA_ACT_EST_DATA=E, EST_SOURCE=NDH", "ACT_EST_MAPPING=PRECISE", "FS=MRC", "CURRENCY=USD", "XLFILL=b")</f>
        <v/>
      </c>
      <c r="R82" s="9" t="str">
        <f>_xll.BQL("CRM US Equity", "OPERATING_EXPENSES_TO_NET_SALES", "FPR=2022Y", "FPT=A", "FA_ACT_EST_DATA=E, EST_SOURCE=CAN", "ACT_EST_MAPPING=PRECISE", "FS=MRC", "CURRENCY=USD", "XLFILL=b")</f>
        <v/>
      </c>
      <c r="S82" s="9" t="str">
        <f>_xll.BQL("CRM US Equity", "OPERATING_EXPENSES_TO_NET_SALES", "FPR=2022Y", "FPT=A", "FA_ACT_EST_DATA=E, EST_SOURCE=SCB", "ACT_EST_MAPPING=PRECISE", "FS=MRC", "CURRENCY=USD", "XLFILL=b")</f>
        <v/>
      </c>
      <c r="T82" s="9" t="str">
        <f>_xll.BQL("CRM US Equity", "OPERATING_EXPENSES_TO_NET_SALES", "FPR=2022Y", "FPT=A", "FA_ACT_EST_DATA=E, EST_SOURCE=JMP", "ACT_EST_MAPPING=PRECISE", "FS=MRC", "CURRENCY=USD", "XLFILL=b")</f>
        <v/>
      </c>
      <c r="U82" s="9" t="str">
        <f>_xll.BQL("CRM US Equity", "OPERATING_EXPENSES_TO_NET_SALES", "FPR=2022Y", "FPT=A", "FA_ACT_EST_DATA=E, EST_SOURCE=RJA", "ACT_EST_MAPPING=PRECISE", "FS=MRC", "CURRENCY=USD", "XLFILL=b")</f>
        <v/>
      </c>
      <c r="V82" s="9" t="str">
        <f>_xll.BQL("CRM US Equity", "OPERATING_EXPENSES_TO_NET_SALES", "FPR=2022Y", "FPT=A", "FA_ACT_EST_DATA=E, EST_SOURCE=OPY", "ACT_EST_MAPPING=PRECISE", "FS=MRC", "CURRENCY=USD", "XLFILL=b")</f>
        <v/>
      </c>
      <c r="W82" s="9" t="str">
        <f>_xll.BQL("CRM US Equity", "OPERATING_EXPENSES_TO_NET_SALES", "FPR=2022Y", "FPT=A", "FA_ACT_EST_DATA=E, EST_SOURCE=JPM", "ACT_EST_MAPPING=PRECISE", "FS=MRC", "CURRENCY=USD", "XLFILL=b")</f>
        <v/>
      </c>
      <c r="X82" s="9" t="str">
        <f>_xll.BQL("CRM US Equity", "OPERATING_EXPENSES_TO_NET_SALES", "FPR=2022Y", "FPT=A", "FA_ACT_EST_DATA=E, EST_SOURCE=FBC", "ACT_EST_MAPPING=PRECISE", "FS=MRC", "CURRENCY=USD", "XLFILL=b")</f>
        <v/>
      </c>
      <c r="Y82" s="9" t="str">
        <f>_xll.BQL("CRM US Equity", "OPERATING_EXPENSES_TO_NET_SALES", "FPR=2022Y", "FPT=A", "FA_ACT_EST_DATA=E, EST_SOURCE=WMS", "ACT_EST_MAPPING=PRECISE", "FS=MRC", "CURRENCY=USD", "XLFILL=b")</f>
        <v/>
      </c>
      <c r="Z82" s="9" t="str">
        <f>_xll.BQL("CRM US Equity", "OPERATING_EXPENSES_TO_NET_SALES", "FPR=2022Y", "FPT=A", "FA_ACT_EST_DATA=E, EST_SOURCE=KEY", "ACT_EST_MAPPING=PRECISE", "FS=MRC", "CURRENCY=USD", "XLFILL=b")</f>
        <v/>
      </c>
      <c r="AA82" s="9" t="str">
        <f>_xll.BQL("CRM US Equity", "OPERATING_EXPENSES_TO_NET_SALES", "FPR=2022Y", "FPT=A", "FA_ACT_EST_DATA=E, EST_SOURCE=LCM", "ACT_EST_MAPPING=PRECISE", "FS=MRC", "CURRENCY=USD", "XLFILL=b")</f>
        <v/>
      </c>
      <c r="AB82" s="9" t="str">
        <f>_xll.BQL("CRM US Equity", "OPERATING_EXPENSES_TO_NET_SALES", "FPR=2022Y", "FPT=A", "FA_ACT_EST_DATA=E, EST_SOURCE=CWN", "ACT_EST_MAPPING=PRECISE", "FS=MRC", "CURRENCY=USD", "XLFILL=b")</f>
        <v/>
      </c>
      <c r="AC82" s="9" t="str">
        <f>_xll.BQL("CRM US Equity", "OPERATING_EXPENSES_TO_NET_SALES", "FPR=2022Y", "FPT=A", "FA_ACT_EST_DATA=E, EST_SOURCE=BNS", "ACT_EST_MAPPING=PRECISE", "FS=MRC", "CURRENCY=USD", "XLFILL=b")</f>
        <v/>
      </c>
      <c r="AD82" s="9" t="str">
        <f>_xll.BQL("CRM US Equity", "OPERATING_EXPENSES_TO_NET_SALES", "FPR=2022Y", "FPT=A", "FA_ACT_EST_DATA=E, EST_SOURCE=BAM", "ACT_EST_MAPPING=PRECISE", "FS=MRC", "CURRENCY=USD", "XLFILL=b")</f>
        <v/>
      </c>
      <c r="AE82" s="9" t="str">
        <f>_xll.BQL("CRM US Equity", "OPERATING_EXPENSES_TO_NET_SALES", "FPR=2022Y", "FPT=A", "FA_ACT_EST_DATA=E, EST_SOURCE=RBC", "ACT_EST_MAPPING=PRECISE", "FS=MRC", "CURRENCY=USD", "XLFILL=b")</f>
        <v/>
      </c>
      <c r="AF82" s="9" t="str">
        <f>_xll.BQL("CRM US Equity", "OPERATING_EXPENSES_TO_NET_SALES", "FPR=2022Y", "FPT=A", "FA_ACT_EST_DATA=E, EST_SOURCE=UBS", "ACT_EST_MAPPING=PRECISE", "FS=MRC", "CURRENCY=USD", "XLFILL=b")</f>
        <v/>
      </c>
      <c r="AG82" s="9" t="str">
        <f>_xll.BQL("CRM US Equity", "OPERATING_EXPENSES_TO_NET_SALES", "FPR=2022Y", "FPT=A", "FA_ACT_EST_DATA=E, EST_SOURCE=RHR", "ACT_EST_MAPPING=PRECISE", "FS=MRC", "CURRENCY=USD", "XLFILL=b")</f>
        <v/>
      </c>
      <c r="AH82" s="9" t="str">
        <f>_xll.BQL("CRM US Equity", "OPERATING_EXPENSES_TO_NET_SALES", "FPR=2022Y", "FPT=A", "FA_ACT_EST_DATA=E, EST_SOURCE=JEF", "ACT_EST_MAPPING=PRECISE", "FS=MRC", "CURRENCY=USD", "XLFILL=b")</f>
        <v/>
      </c>
      <c r="AI82" s="9" t="str">
        <f>_xll.BQL("CRM US Equity", "OPERATING_EXPENSES_TO_NET_SALES", "FPR=2022Y", "FPT=A", "FA_ACT_EST_DATA=E, EST_SOURCE=ATL", "ACT_EST_MAPPING=PRECISE", "FS=MRC", "CURRENCY=USD", "XLFILL=b")</f>
        <v/>
      </c>
      <c r="AJ82" s="9" t="str">
        <f>_xll.BQL("CRM US Equity", "OPERATING_EXPENSES_TO_NET_SALES", "FPR=2022Y", "FPT=A", "FA_ACT_EST_DATA=E, EST_SOURCE=MAC", "ACT_EST_MAPPING=PRECISE", "FS=MRC", "CURRENCY=USD", "XLFILL=b")</f>
        <v/>
      </c>
      <c r="AK82" s="9" t="str">
        <f>_xll.BQL("CRM US Equity", "OPERATING_EXPENSES_TO_NET_SALES", "FPR=2022Y", "FPT=A", "FA_ACT_EST_DATA=E, EST_SOURCE=EVR", "ACT_EST_MAPPING=PRECISE", "FS=MRC", "CURRENCY=USD", "XLFILL=b")</f>
        <v/>
      </c>
      <c r="AL82" s="9" t="str">
        <f>_xll.BQL("CRM US Equity", "OPERATING_EXPENSES_TO_NET_SALES", "FPR=2022Y", "FPT=A", "FA_ACT_EST_DATA=E, EST_SOURCE=MSR", "ACT_EST_MAPPING=PRECISE", "FS=MRC", "CURRENCY=USD", "XLFILL=b")</f>
        <v/>
      </c>
      <c r="AM82" s="9" t="str">
        <f>_xll.BQL("CRM US Equity", "OPERATING_EXPENSES_TO_NET_SALES", "FPR=2022Y", "FPT=A", "FA_ACT_EST_DATA=E, EST_SOURCE=KGI", "ACT_EST_MAPPING=PRECISE", "FS=MRC", "CURRENCY=USD", "XLFILL=b")</f>
        <v/>
      </c>
      <c r="AN82" s="9" t="str">
        <f>_xll.BQL("CRM US Equity", "OPERATING_EXPENSES_TO_NET_SALES", "FPR=2022Y", "FPT=A", "FA_ACT_EST_DATA=E, EST_SOURCE=ACC", "ACT_EST_MAPPING=PRECISE", "FS=MRC", "CURRENCY=USD", "XLFILL=b")</f>
        <v/>
      </c>
      <c r="AO82" s="9" t="str">
        <f>_xll.BQL("CRM US Equity", "OPERATING_EXPENSES_TO_NET_SALES", "FPR=2022Y", "FPT=A", "FA_ACT_EST_DATA=E, EST_SOURCE=GSR", "ACT_EST_MAPPING=PRECISE", "FS=MRC", "CURRENCY=USD", "XLFILL=b")</f>
        <v/>
      </c>
      <c r="AP82" s="9" t="str">
        <f>_xll.BQL("CRM US Equity", "OPERATING_EXPENSES_TO_NET_SALES", "FPR=2022Y", "FPT=A", "FA_ACT_EST_DATA=E, EST_SOURCE=PSG", "ACT_EST_MAPPING=PRECISE", "FS=MRC", "CURRENCY=USD", "XLFILL=b")</f>
        <v/>
      </c>
      <c r="AQ82" s="9" t="str">
        <f>_xll.BQL("CRM US Equity", "OPERATING_EXPENSES_TO_NET_SALES", "FPR=2022Y", "FPT=A", "FA_ACT_EST_DATA=E, EST_SOURCE=DWI", "ACT_EST_MAPPING=PRECISE", "FS=MRC", "CURRENCY=USD", "XLFILL=b")</f>
        <v/>
      </c>
      <c r="AR82" s="9" t="str">
        <f>_xll.BQL("CRM US Equity", "OPERATING_EXPENSES_TO_NET_SALES", "FPR=2022Y", "FPT=A", "FA_ACT_EST_DATA=E, EST_SOURCE=RWB", "ACT_EST_MAPPING=PRECISE", "FS=MRC", "CURRENCY=USD", "XLFILL=b")</f>
        <v/>
      </c>
      <c r="AS82" s="9" t="str">
        <f>_xll.BQL("CRM US Equity", "OPERATING_EXPENSES_TO_NET_SALES", "FPR=2022Y", "FPT=A", "FA_ACT_EST_DATA=E, EST_SOURCE=ARG", "ACT_EST_MAPPING=PRECISE", "FS=MRC", "CURRENCY=USD", "XLFILL=b")</f>
        <v/>
      </c>
      <c r="AT82" s="9" t="str">
        <f>_xll.BQL("CRM US Equity", "OPERATING_EXPENSES_TO_NET_SALES", "FPR=2022Y", "FPT=A", "FA_ACT_EST_DATA=E, EST_SOURCE=CTI", "ACT_EST_MAPPING=PRECISE", "FS=MRC", "CURRENCY=USD", "XLFILL=b")</f>
        <v/>
      </c>
      <c r="AU82" s="9" t="str">
        <f>_xll.BQL("CRM US Equity", "OPERATING_EXPENSES_TO_NET_SALES", "FPR=2022Y", "FPT=A", "FA_ACT_EST_DATA=E, EST_SOURCE=WFT", "ACT_EST_MAPPING=PRECISE", "FS=MRC", "CURRENCY=USD", "XLFILL=b")</f>
        <v/>
      </c>
      <c r="AV82" s="9" t="str">
        <f>_xll.BQL("CRM US Equity", "OPERATING_EXPENSES_TO_NET_SALES", "FPR=2022Y", "FPT=A", "FA_ACT_EST_DATA=E, EST_SOURCE=PJE", "ACT_EST_MAPPING=PRECISE", "FS=MRC", "CURRENCY=USD", "XLFILL=b")</f>
        <v/>
      </c>
      <c r="AW82" s="9" t="str">
        <f>_xll.BQL("CRM US Equity", "OPERATING_EXPENSES_TO_NET_SALES", "FPR=2022Y", "FPT=A", "FA_ACT_EST_DATA=E, EST_SOURCE=SGE", "ACT_EST_MAPPING=PRECISE", "FS=MRC", "CURRENCY=USD", "XLFILL=b")</f>
        <v/>
      </c>
      <c r="AX82" s="9" t="str">
        <f>_xll.BQL("CRM US Equity", "OPERATING_EXPENSES_TO_NET_SALES", "FPR=2022Y", "FPT=A", "FA_ACT_EST_DATA=E, EST_SOURCE=MZS", "ACT_EST_MAPPING=PRECISE", "FS=MRC", "CURRENCY=USD", "XLFILL=b")</f>
        <v/>
      </c>
      <c r="AY82" s="9" t="str">
        <f>_xll.BQL("CRM US Equity", "OPERATING_EXPENSES_TO_NET_SALES", "FPR=2022Y", "FPT=A", "FA_ACT_EST_DATA=E, EST_SOURCE=RCP", "ACT_EST_MAPPING=PRECISE", "FS=MRC", "CURRENCY=USD", "XLFILL=b")</f>
        <v/>
      </c>
      <c r="AZ82" s="9" t="str">
        <f>_xll.BQL("CRM US Equity", "OPERATING_EXPENSES_TO_NET_SALES", "FPR=2022Y", "FPT=A", "FA_ACT_EST_DATA=E, EST_SOURCE=WFR", "ACT_EST_MAPPING=PRECISE", "FS=MRC", "CURRENCY=USD", "XLFILL=b")</f>
        <v/>
      </c>
      <c r="BA82" s="9" t="str">
        <f>_xll.BQL("CRM US Equity", "OPERATING_EXPENSES_TO_NET_SALES", "FPR=2022Y", "FPT=A", "FA_ACT_EST_DATA=E, EST_SOURCE=NIK", "ACT_EST_MAPPING=PRECISE", "FS=MRC", "CURRENCY=USD", "XLFILL=b")</f>
        <v/>
      </c>
      <c r="BB82" s="9" t="str">
        <f>_xll.BQL("CRM US Equity", "OPERATING_EXPENSES_TO_NET_SALES", "FPR=2022Y", "FPT=A", "FA_ACT_EST_DATA=E, EST_SOURCE=ARE", "ACT_EST_MAPPING=PRECISE", "FS=MRC", "CURRENCY=USD", "XLFILL=b")</f>
        <v/>
      </c>
      <c r="BC82" s="9" t="str">
        <f>_xll.BQL("CRM US Equity", "OPERATING_EXPENSES_TO_NET_SALES", "FPR=2022Y", "FPT=A", "FA_ACT_EST_DATA=E, EST_SOURCE=RED", "ACT_EST_MAPPING=PRECISE", "FS=MRC", "CURRENCY=USD", "XLFILL=b")</f>
        <v/>
      </c>
      <c r="BD82" s="9" t="str">
        <f>_xll.BQL("CRM US Equity", "OPERATING_EXPENSES_TO_NET_SALES", "FPR=2022Y", "FPT=A", "FA_ACT_EST_DATA=E, EST_SOURCE=DIR", "ACT_EST_MAPPING=PRECISE", "FS=MRC", "CURRENCY=USD", "XLFILL=b")</f>
        <v/>
      </c>
    </row>
    <row r="83" spans="1:56" x14ac:dyDescent="0.55000000000000004">
      <c r="A83" s="8" t="s">
        <v>139</v>
      </c>
      <c r="B83" s="5" t="s">
        <v>140</v>
      </c>
      <c r="C83" s="5" t="s">
        <v>141</v>
      </c>
      <c r="D83" s="5"/>
      <c r="E83" s="9">
        <f>_xll.BQL("CRM US Equity", "IS_OPEX_R_AND_D_GAAP/1M", "FPR=2022Y", "FPT=A", "FA_ACT_EST_DATA=E", "ACT_EST_MAPPING=PRECISE", "FS=MRC", "CURRENCY=USD", "XLFILL=b")</f>
        <v>4471.6217729161881</v>
      </c>
      <c r="F83" s="9">
        <f>_xll.BQL("CRM US Equity", "CONTRIBUTOR_STATS(IS_OPEX_R_AND_D_GAAP, MIN)/1M", "FPR=2022Y", "FPT=A", "FA_ACT_EST_DATA=E", "ACT_EST_MAPPING=PRECISE", "FS=MRC", "CURRENCY=USD", "XLFILL=b")</f>
        <v>4339.459580515464</v>
      </c>
      <c r="G83" s="9">
        <f>_xll.BQL("CRM US Equity", "CONTRIBUTOR_STATS(IS_OPEX_R_AND_D_GAAP, MAX)/1M", "FPR=2022Y", "FPT=A", "FA_ACT_EST_DATA=E", "ACT_EST_MAPPING=PRECISE", "FS=MRC", "CURRENCY=USD", "XLFILL=b")</f>
        <v>4583.2387704271132</v>
      </c>
      <c r="H83" s="9">
        <f>_xll.BQL("CRM US Equity", "CONTRIBUTOR_STATS(IS_OPEX_R_AND_D_GAAP, STD)/1M", "FPR=2022Y", "FPT=A", "FA_ACT_EST_DATA=E", "ACT_EST_MAPPING=PRECISE", "FS=MRC", "CURRENCY=USD", "XLFILL=b")</f>
        <v>70.618055922714944</v>
      </c>
      <c r="I83" s="9">
        <f>_xll.BQL("CRM US Equity", "CONTRIBUTOR_STATS(IS_OPEX_R_AND_D_GAAP, MEDIAN)/1M", "FPR=2022Y", "FPT=A", "FA_ACT_EST_DATA=E", "ACT_EST_MAPPING=PRECISE", "FS=MRC", "CURRENCY=USD", "XLFILL=b")</f>
        <v>4475.7046370899579</v>
      </c>
      <c r="J83" s="9" t="str">
        <f>_xll.BQL("CRM US Equity", "IS_OPEX_R_AND_D_GAAP/1M", "FPR=2022Y", "FPT=A", "FA_ACT_EST_DATA=E, EST_SOURCE=CMPY", "ACT_EST_MAPPING=PRECISE", "FS=MRC", "CURRENCY=USD", "XLFILL=b")</f>
        <v/>
      </c>
      <c r="K83" s="9" t="str">
        <f>_xll.BQL("CRM US Equity", "IS_OPEX_R_AND_D_GAAP/1M", "FPR=2022Y", "FPT=A", "FA_ACT_EST_DATA=E, EST_SOURCE=WBL", "ACT_EST_MAPPING=PRECISE", "FS=MRC", "CURRENCY=USD", "XLFILL=b")</f>
        <v/>
      </c>
      <c r="L83" s="9" t="str">
        <f>_xll.BQL("CRM US Equity", "IS_OPEX_R_AND_D_GAAP/1M", "FPR=2022Y", "FPT=A", "FA_ACT_EST_DATA=E, EST_SOURCE=BMO", "ACT_EST_MAPPING=PRECISE", "FS=MRC", "CURRENCY=USD", "XLFILL=b")</f>
        <v/>
      </c>
      <c r="M83" s="9">
        <f>_xll.BQL("CRM US Equity", "IS_OPEX_R_AND_D_GAAP/1M", "FPR=2022Y", "FPT=A", "FA_ACT_EST_DATA=E, EST_SOURCE=BCA", "ACT_EST_MAPPING=PRECISE", "FS=MRC", "CURRENCY=USD", "XLFILL=b")</f>
        <v>4476.0092741799162</v>
      </c>
      <c r="N83" s="9" t="str">
        <f>_xll.BQL("CRM US Equity", "IS_OPEX_R_AND_D_GAAP/1M", "FPR=2022Y", "FPT=A", "FA_ACT_EST_DATA=E, EST_SOURCE=SNR", "ACT_EST_MAPPING=PRECISE", "FS=MRC", "CURRENCY=USD", "XLFILL=b")</f>
        <v/>
      </c>
      <c r="O83" s="9">
        <f>_xll.BQL("CRM US Equity", "IS_OPEX_R_AND_D_GAAP/1M", "FPR=2022Y", "FPT=A", "FA_ACT_EST_DATA=E, EST_SOURCE=MSV", "ACT_EST_MAPPING=PRECISE", "FS=MRC", "CURRENCY=USD", "XLFILL=b")</f>
        <v>4583.2387704271132</v>
      </c>
      <c r="P83" s="9">
        <f>_xll.BQL("CRM US Equity", "IS_OPEX_R_AND_D_GAAP/1M", "FPR=2022Y", "FPT=A", "FA_ACT_EST_DATA=E, EST_SOURCE=DBG", "ACT_EST_MAPPING=PRECISE", "FS=MRC", "CURRENCY=USD", "XLFILL=b")</f>
        <v>4462.2381917730045</v>
      </c>
      <c r="Q83" s="9" t="str">
        <f>_xll.BQL("CRM US Equity", "IS_OPEX_R_AND_D_GAAP/1M", "FPR=2022Y", "FPT=A", "FA_ACT_EST_DATA=E, EST_SOURCE=NDH", "ACT_EST_MAPPING=PRECISE", "FS=MRC", "CURRENCY=USD", "XLFILL=b")</f>
        <v/>
      </c>
      <c r="R83" s="9" t="str">
        <f>_xll.BQL("CRM US Equity", "IS_OPEX_R_AND_D_GAAP/1M", "FPR=2022Y", "FPT=A", "FA_ACT_EST_DATA=E, EST_SOURCE=CAN", "ACT_EST_MAPPING=PRECISE", "FS=MRC", "CURRENCY=USD", "XLFILL=b")</f>
        <v/>
      </c>
      <c r="S83" s="9" t="str">
        <f>_xll.BQL("CRM US Equity", "IS_OPEX_R_AND_D_GAAP/1M", "FPR=2022Y", "FPT=A", "FA_ACT_EST_DATA=E, EST_SOURCE=SCB", "ACT_EST_MAPPING=PRECISE", "FS=MRC", "CURRENCY=USD", "XLFILL=b")</f>
        <v/>
      </c>
      <c r="T83" s="9">
        <f>_xll.BQL("CRM US Equity", "IS_OPEX_R_AND_D_GAAP/1M", "FPR=2022Y", "FPT=A", "FA_ACT_EST_DATA=E, EST_SOURCE=JMP", "ACT_EST_MAPPING=PRECISE", "FS=MRC", "CURRENCY=USD", "XLFILL=b")</f>
        <v>4475.3999999999996</v>
      </c>
      <c r="U83" s="9" t="str">
        <f>_xll.BQL("CRM US Equity", "IS_OPEX_R_AND_D_GAAP/1M", "FPR=2022Y", "FPT=A", "FA_ACT_EST_DATA=E, EST_SOURCE=RJA", "ACT_EST_MAPPING=PRECISE", "FS=MRC", "CURRENCY=USD", "XLFILL=b")</f>
        <v/>
      </c>
      <c r="V83" s="9" t="str">
        <f>_xll.BQL("CRM US Equity", "IS_OPEX_R_AND_D_GAAP/1M", "FPR=2022Y", "FPT=A", "FA_ACT_EST_DATA=E, EST_SOURCE=OPY", "ACT_EST_MAPPING=PRECISE", "FS=MRC", "CURRENCY=USD", "XLFILL=b")</f>
        <v/>
      </c>
      <c r="W83" s="9" t="str">
        <f>_xll.BQL("CRM US Equity", "IS_OPEX_R_AND_D_GAAP/1M", "FPR=2022Y", "FPT=A", "FA_ACT_EST_DATA=E, EST_SOURCE=JPM", "ACT_EST_MAPPING=PRECISE", "FS=MRC", "CURRENCY=USD", "XLFILL=b")</f>
        <v/>
      </c>
      <c r="X83" s="9">
        <f>_xll.BQL("CRM US Equity", "IS_OPEX_R_AND_D_GAAP/1M", "FPR=2022Y", "FPT=A", "FA_ACT_EST_DATA=E, EST_SOURCE=FBC", "ACT_EST_MAPPING=PRECISE", "FS=MRC", "CURRENCY=USD", "XLFILL=b")</f>
        <v>4382.4019664908346</v>
      </c>
      <c r="Y83" s="9">
        <f>_xll.BQL("CRM US Equity", "IS_OPEX_R_AND_D_GAAP/1M", "FPR=2022Y", "FPT=A", "FA_ACT_EST_DATA=E, EST_SOURCE=WMS", "ACT_EST_MAPPING=PRECISE", "FS=MRC", "CURRENCY=USD", "XLFILL=b")</f>
        <v>951</v>
      </c>
      <c r="Z83" s="9">
        <f>_xll.BQL("CRM US Equity", "IS_OPEX_R_AND_D_GAAP/1M", "FPR=2022Y", "FPT=A", "FA_ACT_EST_DATA=E, EST_SOURCE=KEY", "ACT_EST_MAPPING=PRECISE", "FS=MRC", "CURRENCY=USD", "XLFILL=b")</f>
        <v>4317.3172411424293</v>
      </c>
      <c r="AA83" s="9" t="str">
        <f>_xll.BQL("CRM US Equity", "IS_OPEX_R_AND_D_GAAP/1M", "FPR=2022Y", "FPT=A", "FA_ACT_EST_DATA=E, EST_SOURCE=LCM", "ACT_EST_MAPPING=PRECISE", "FS=MRC", "CURRENCY=USD", "XLFILL=b")</f>
        <v/>
      </c>
      <c r="AB83" s="9" t="str">
        <f>_xll.BQL("CRM US Equity", "IS_OPEX_R_AND_D_GAAP/1M", "FPR=2022Y", "FPT=A", "FA_ACT_EST_DATA=E, EST_SOURCE=CWN", "ACT_EST_MAPPING=PRECISE", "FS=MRC", "CURRENCY=USD", "XLFILL=b")</f>
        <v/>
      </c>
      <c r="AC83" s="9" t="str">
        <f>_xll.BQL("CRM US Equity", "IS_OPEX_R_AND_D_GAAP/1M", "FPR=2022Y", "FPT=A", "FA_ACT_EST_DATA=E, EST_SOURCE=BNS", "ACT_EST_MAPPING=PRECISE", "FS=MRC", "CURRENCY=USD", "XLFILL=b")</f>
        <v/>
      </c>
      <c r="AD83" s="9" t="str">
        <f>_xll.BQL("CRM US Equity", "IS_OPEX_R_AND_D_GAAP/1M", "FPR=2022Y", "FPT=A", "FA_ACT_EST_DATA=E, EST_SOURCE=BAM", "ACT_EST_MAPPING=PRECISE", "FS=MRC", "CURRENCY=USD", "XLFILL=b")</f>
        <v/>
      </c>
      <c r="AE83" s="9" t="str">
        <f>_xll.BQL("CRM US Equity", "IS_OPEX_R_AND_D_GAAP/1M", "FPR=2022Y", "FPT=A", "FA_ACT_EST_DATA=E, EST_SOURCE=RBC", "ACT_EST_MAPPING=PRECISE", "FS=MRC", "CURRENCY=USD", "XLFILL=b")</f>
        <v/>
      </c>
      <c r="AF83" s="9" t="str">
        <f>_xll.BQL("CRM US Equity", "IS_OPEX_R_AND_D_GAAP/1M", "FPR=2022Y", "FPT=A", "FA_ACT_EST_DATA=E, EST_SOURCE=UBS", "ACT_EST_MAPPING=PRECISE", "FS=MRC", "CURRENCY=USD", "XLFILL=b")</f>
        <v/>
      </c>
      <c r="AG83" s="9" t="str">
        <f>_xll.BQL("CRM US Equity", "IS_OPEX_R_AND_D_GAAP/1M", "FPR=2022Y", "FPT=A", "FA_ACT_EST_DATA=E, EST_SOURCE=RHR", "ACT_EST_MAPPING=PRECISE", "FS=MRC", "CURRENCY=USD", "XLFILL=b")</f>
        <v/>
      </c>
      <c r="AH83" s="9" t="str">
        <f>_xll.BQL("CRM US Equity", "IS_OPEX_R_AND_D_GAAP/1M", "FPR=2022Y", "FPT=A", "FA_ACT_EST_DATA=E, EST_SOURCE=JEF", "ACT_EST_MAPPING=PRECISE", "FS=MRC", "CURRENCY=USD", "XLFILL=b")</f>
        <v/>
      </c>
      <c r="AI83" s="9" t="str">
        <f>_xll.BQL("CRM US Equity", "IS_OPEX_R_AND_D_GAAP/1M", "FPR=2022Y", "FPT=A", "FA_ACT_EST_DATA=E, EST_SOURCE=ATL", "ACT_EST_MAPPING=PRECISE", "FS=MRC", "CURRENCY=USD", "XLFILL=b")</f>
        <v/>
      </c>
      <c r="AJ83" s="9" t="str">
        <f>_xll.BQL("CRM US Equity", "IS_OPEX_R_AND_D_GAAP/1M", "FPR=2022Y", "FPT=A", "FA_ACT_EST_DATA=E, EST_SOURCE=MAC", "ACT_EST_MAPPING=PRECISE", "FS=MRC", "CURRENCY=USD", "XLFILL=b")</f>
        <v/>
      </c>
      <c r="AK83" s="9" t="str">
        <f>_xll.BQL("CRM US Equity", "IS_OPEX_R_AND_D_GAAP/1M", "FPR=2022Y", "FPT=A", "FA_ACT_EST_DATA=E, EST_SOURCE=EVR", "ACT_EST_MAPPING=PRECISE", "FS=MRC", "CURRENCY=USD", "XLFILL=b")</f>
        <v/>
      </c>
      <c r="AL83" s="9" t="str">
        <f>_xll.BQL("CRM US Equity", "IS_OPEX_R_AND_D_GAAP/1M", "FPR=2022Y", "FPT=A", "FA_ACT_EST_DATA=E, EST_SOURCE=MSR", "ACT_EST_MAPPING=PRECISE", "FS=MRC", "CURRENCY=USD", "XLFILL=b")</f>
        <v/>
      </c>
      <c r="AM83" s="9" t="str">
        <f>_xll.BQL("CRM US Equity", "IS_OPEX_R_AND_D_GAAP/1M", "FPR=2022Y", "FPT=A", "FA_ACT_EST_DATA=E, EST_SOURCE=KGI", "ACT_EST_MAPPING=PRECISE", "FS=MRC", "CURRENCY=USD", "XLFILL=b")</f>
        <v/>
      </c>
      <c r="AN83" s="9" t="str">
        <f>_xll.BQL("CRM US Equity", "IS_OPEX_R_AND_D_GAAP/1M", "FPR=2022Y", "FPT=A", "FA_ACT_EST_DATA=E, EST_SOURCE=ACC", "ACT_EST_MAPPING=PRECISE", "FS=MRC", "CURRENCY=USD", "XLFILL=b")</f>
        <v/>
      </c>
      <c r="AO83" s="9" t="str">
        <f>_xll.BQL("CRM US Equity", "IS_OPEX_R_AND_D_GAAP/1M", "FPR=2022Y", "FPT=A", "FA_ACT_EST_DATA=E, EST_SOURCE=GSR", "ACT_EST_MAPPING=PRECISE", "FS=MRC", "CURRENCY=USD", "XLFILL=b")</f>
        <v/>
      </c>
      <c r="AP83" s="9" t="str">
        <f>_xll.BQL("CRM US Equity", "IS_OPEX_R_AND_D_GAAP/1M", "FPR=2022Y", "FPT=A", "FA_ACT_EST_DATA=E, EST_SOURCE=PSG", "ACT_EST_MAPPING=PRECISE", "FS=MRC", "CURRENCY=USD", "XLFILL=b")</f>
        <v/>
      </c>
      <c r="AQ83" s="9" t="str">
        <f>_xll.BQL("CRM US Equity", "IS_OPEX_R_AND_D_GAAP/1M", "FPR=2022Y", "FPT=A", "FA_ACT_EST_DATA=E, EST_SOURCE=DWI", "ACT_EST_MAPPING=PRECISE", "FS=MRC", "CURRENCY=USD", "XLFILL=b")</f>
        <v/>
      </c>
      <c r="AR83" s="9" t="str">
        <f>_xll.BQL("CRM US Equity", "IS_OPEX_R_AND_D_GAAP/1M", "FPR=2022Y", "FPT=A", "FA_ACT_EST_DATA=E, EST_SOURCE=RWB", "ACT_EST_MAPPING=PRECISE", "FS=MRC", "CURRENCY=USD", "XLFILL=b")</f>
        <v/>
      </c>
      <c r="AS83" s="9" t="str">
        <f>_xll.BQL("CRM US Equity", "IS_OPEX_R_AND_D_GAAP/1M", "FPR=2022Y", "FPT=A", "FA_ACT_EST_DATA=E, EST_SOURCE=ARG", "ACT_EST_MAPPING=PRECISE", "FS=MRC", "CURRENCY=USD", "XLFILL=b")</f>
        <v/>
      </c>
      <c r="AT83" s="9" t="str">
        <f>_xll.BQL("CRM US Equity", "IS_OPEX_R_AND_D_GAAP/1M", "FPR=2022Y", "FPT=A", "FA_ACT_EST_DATA=E, EST_SOURCE=CTI", "ACT_EST_MAPPING=PRECISE", "FS=MRC", "CURRENCY=USD", "XLFILL=b")</f>
        <v/>
      </c>
      <c r="AU83" s="9" t="str">
        <f>_xll.BQL("CRM US Equity", "IS_OPEX_R_AND_D_GAAP/1M", "FPR=2022Y", "FPT=A", "FA_ACT_EST_DATA=E, EST_SOURCE=WFT", "ACT_EST_MAPPING=PRECISE", "FS=MRC", "CURRENCY=USD", "XLFILL=b")</f>
        <v/>
      </c>
      <c r="AV83" s="9" t="str">
        <f>_xll.BQL("CRM US Equity", "IS_OPEX_R_AND_D_GAAP/1M", "FPR=2022Y", "FPT=A", "FA_ACT_EST_DATA=E, EST_SOURCE=PJE", "ACT_EST_MAPPING=PRECISE", "FS=MRC", "CURRENCY=USD", "XLFILL=b")</f>
        <v/>
      </c>
      <c r="AW83" s="9" t="str">
        <f>_xll.BQL("CRM US Equity", "IS_OPEX_R_AND_D_GAAP/1M", "FPR=2022Y", "FPT=A", "FA_ACT_EST_DATA=E, EST_SOURCE=SGE", "ACT_EST_MAPPING=PRECISE", "FS=MRC", "CURRENCY=USD", "XLFILL=b")</f>
        <v/>
      </c>
      <c r="AX83" s="9" t="str">
        <f>_xll.BQL("CRM US Equity", "IS_OPEX_R_AND_D_GAAP/1M", "FPR=2022Y", "FPT=A", "FA_ACT_EST_DATA=E, EST_SOURCE=MZS", "ACT_EST_MAPPING=PRECISE", "FS=MRC", "CURRENCY=USD", "XLFILL=b")</f>
        <v/>
      </c>
      <c r="AY83" s="9" t="str">
        <f>_xll.BQL("CRM US Equity", "IS_OPEX_R_AND_D_GAAP/1M", "FPR=2022Y", "FPT=A", "FA_ACT_EST_DATA=E, EST_SOURCE=RCP", "ACT_EST_MAPPING=PRECISE", "FS=MRC", "CURRENCY=USD", "XLFILL=b")</f>
        <v/>
      </c>
      <c r="AZ83" s="9" t="str">
        <f>_xll.BQL("CRM US Equity", "IS_OPEX_R_AND_D_GAAP/1M", "FPR=2022Y", "FPT=A", "FA_ACT_EST_DATA=E, EST_SOURCE=WFR", "ACT_EST_MAPPING=PRECISE", "FS=MRC", "CURRENCY=USD", "XLFILL=b")</f>
        <v/>
      </c>
      <c r="BA83" s="9" t="str">
        <f>_xll.BQL("CRM US Equity", "IS_OPEX_R_AND_D_GAAP/1M", "FPR=2022Y", "FPT=A", "FA_ACT_EST_DATA=E, EST_SOURCE=NIK", "ACT_EST_MAPPING=PRECISE", "FS=MRC", "CURRENCY=USD", "XLFILL=b")</f>
        <v/>
      </c>
      <c r="BB83" s="9" t="str">
        <f>_xll.BQL("CRM US Equity", "IS_OPEX_R_AND_D_GAAP/1M", "FPR=2022Y", "FPT=A", "FA_ACT_EST_DATA=E, EST_SOURCE=ARE", "ACT_EST_MAPPING=PRECISE", "FS=MRC", "CURRENCY=USD", "XLFILL=b")</f>
        <v/>
      </c>
      <c r="BC83" s="9" t="str">
        <f>_xll.BQL("CRM US Equity", "IS_OPEX_R_AND_D_GAAP/1M", "FPR=2022Y", "FPT=A", "FA_ACT_EST_DATA=E, EST_SOURCE=RED", "ACT_EST_MAPPING=PRECISE", "FS=MRC", "CURRENCY=USD", "XLFILL=b")</f>
        <v/>
      </c>
      <c r="BD83" s="9" t="str">
        <f>_xll.BQL("CRM US Equity", "IS_OPEX_R_AND_D_GAAP/1M", "FPR=2022Y", "FPT=A", "FA_ACT_EST_DATA=E, EST_SOURCE=DIR", "ACT_EST_MAPPING=PRECISE", "FS=MRC", "CURRENCY=USD", "XLFILL=b")</f>
        <v/>
      </c>
    </row>
    <row r="84" spans="1:56" x14ac:dyDescent="0.55000000000000004">
      <c r="A84" s="8" t="s">
        <v>142</v>
      </c>
      <c r="B84" s="5" t="s">
        <v>143</v>
      </c>
      <c r="C84" s="5" t="s">
        <v>79</v>
      </c>
      <c r="D84" s="5"/>
      <c r="E84" s="9">
        <f>_xll.BQL("CRM US Equity", "RD_EXPEND_TO_NET_SALES", "FPR=2022Y", "FPT=A", "FA_ACT_EST_DATA=E", "ACT_EST_MAPPING=PRECISE", "FS=MRC", "CURRENCY=USD", "XLFILL=b")</f>
        <v>16.98594100705472</v>
      </c>
      <c r="F84" s="9">
        <f>_xll.BQL("CRM US Equity", "CONTRIBUTOR_STATS(RD_EXPEND_TO_NET_SALES, MIN)", "FPR=2022Y", "FPT=A", "FA_ACT_EST_DATA=E", "ACT_EST_MAPPING=PRECISE", "FS=MRC", "CURRENCY=USD", "XLFILL=b")</f>
        <v>16.50090126991411</v>
      </c>
      <c r="G84" s="9">
        <f>_xll.BQL("CRM US Equity", "CONTRIBUTOR_STATS(RD_EXPEND_TO_NET_SALES, MAX)", "FPR=2022Y", "FPT=A", "FA_ACT_EST_DATA=E", "ACT_EST_MAPPING=PRECISE", "FS=MRC", "CURRENCY=USD", "XLFILL=b")</f>
        <v>17.366813541510201</v>
      </c>
      <c r="H84" s="9">
        <f>_xll.BQL("CRM US Equity", "CONTRIBUTOR_STATS(RD_EXPEND_TO_NET_SALES, STD)", "FPR=2022Y", "FPT=A", "FA_ACT_EST_DATA=E", "ACT_EST_MAPPING=PRECISE", "FS=MRC", "CURRENCY=USD", "XLFILL=b")</f>
        <v>0.26019498719780348</v>
      </c>
      <c r="I84" s="9">
        <f>_xll.BQL("CRM US Equity", "CONTRIBUTOR_STATS(RD_EXPEND_TO_NET_SALES, MEDIAN)", "FPR=2022Y", "FPT=A", "FA_ACT_EST_DATA=E", "ACT_EST_MAPPING=PRECISE", "FS=MRC", "CURRENCY=USD", "XLFILL=b")</f>
        <v>16.958025071915031</v>
      </c>
      <c r="J84" s="9" t="str">
        <f>_xll.BQL("CRM US Equity", "RD_EXPEND_TO_NET_SALES", "FPR=2022Y", "FPT=A", "FA_ACT_EST_DATA=E, EST_SOURCE=CMPY", "ACT_EST_MAPPING=PRECISE", "FS=MRC", "CURRENCY=USD", "XLFILL=b")</f>
        <v/>
      </c>
      <c r="K84" s="9" t="str">
        <f>_xll.BQL("CRM US Equity", "RD_EXPEND_TO_NET_SALES", "FPR=2022Y", "FPT=A", "FA_ACT_EST_DATA=E, EST_SOURCE=WBL", "ACT_EST_MAPPING=PRECISE", "FS=MRC", "CURRENCY=USD", "XLFILL=b")</f>
        <v/>
      </c>
      <c r="L84" s="9" t="str">
        <f>_xll.BQL("CRM US Equity", "RD_EXPEND_TO_NET_SALES", "FPR=2022Y", "FPT=A", "FA_ACT_EST_DATA=E, EST_SOURCE=BMO", "ACT_EST_MAPPING=PRECISE", "FS=MRC", "CURRENCY=USD", "XLFILL=b")</f>
        <v/>
      </c>
      <c r="M84" s="9">
        <f>_xll.BQL("CRM US Equity", "RD_EXPEND_TO_NET_SALES", "FPR=2022Y", "FPT=A", "FA_ACT_EST_DATA=E, EST_SOURCE=BCA", "ACT_EST_MAPPING=PRECISE", "FS=MRC", "CURRENCY=USD", "XLFILL=b")</f>
        <v>16.958025071915031</v>
      </c>
      <c r="N84" s="9" t="str">
        <f>_xll.BQL("CRM US Equity", "RD_EXPEND_TO_NET_SALES", "FPR=2022Y", "FPT=A", "FA_ACT_EST_DATA=E, EST_SOURCE=SNR", "ACT_EST_MAPPING=PRECISE", "FS=MRC", "CURRENCY=USD", "XLFILL=b")</f>
        <v/>
      </c>
      <c r="O84" s="9">
        <f>_xll.BQL("CRM US Equity", "RD_EXPEND_TO_NET_SALES", "FPR=2022Y", "FPT=A", "FA_ACT_EST_DATA=E, EST_SOURCE=MSV", "ACT_EST_MAPPING=PRECISE", "FS=MRC", "CURRENCY=USD", "XLFILL=b")</f>
        <v>17.366813541510201</v>
      </c>
      <c r="P84" s="9" t="str">
        <f>_xll.BQL("CRM US Equity", "RD_EXPEND_TO_NET_SALES", "FPR=2022Y", "FPT=A", "FA_ACT_EST_DATA=E, EST_SOURCE=DBG", "ACT_EST_MAPPING=PRECISE", "FS=MRC", "CURRENCY=USD", "XLFILL=b")</f>
        <v/>
      </c>
      <c r="Q84" s="9" t="str">
        <f>_xll.BQL("CRM US Equity", "RD_EXPEND_TO_NET_SALES", "FPR=2022Y", "FPT=A", "FA_ACT_EST_DATA=E, EST_SOURCE=NDH", "ACT_EST_MAPPING=PRECISE", "FS=MRC", "CURRENCY=USD", "XLFILL=b")</f>
        <v/>
      </c>
      <c r="R84" s="9" t="str">
        <f>_xll.BQL("CRM US Equity", "RD_EXPEND_TO_NET_SALES", "FPR=2022Y", "FPT=A", "FA_ACT_EST_DATA=E, EST_SOURCE=CAN", "ACT_EST_MAPPING=PRECISE", "FS=MRC", "CURRENCY=USD", "XLFILL=b")</f>
        <v/>
      </c>
      <c r="S84" s="9" t="str">
        <f>_xll.BQL("CRM US Equity", "RD_EXPEND_TO_NET_SALES", "FPR=2022Y", "FPT=A", "FA_ACT_EST_DATA=E, EST_SOURCE=SCB", "ACT_EST_MAPPING=PRECISE", "FS=MRC", "CURRENCY=USD", "XLFILL=b")</f>
        <v/>
      </c>
      <c r="T84" s="9">
        <f>_xll.BQL("CRM US Equity", "RD_EXPEND_TO_NET_SALES", "FPR=2022Y", "FPT=A", "FA_ACT_EST_DATA=E, EST_SOURCE=JMP", "ACT_EST_MAPPING=PRECISE", "FS=MRC", "CURRENCY=USD", "XLFILL=b")</f>
        <v>16.954841642673131</v>
      </c>
      <c r="U84" s="9" t="str">
        <f>_xll.BQL("CRM US Equity", "RD_EXPEND_TO_NET_SALES", "FPR=2022Y", "FPT=A", "FA_ACT_EST_DATA=E, EST_SOURCE=RJA", "ACT_EST_MAPPING=PRECISE", "FS=MRC", "CURRENCY=USD", "XLFILL=b")</f>
        <v/>
      </c>
      <c r="V84" s="9" t="str">
        <f>_xll.BQL("CRM US Equity", "RD_EXPEND_TO_NET_SALES", "FPR=2022Y", "FPT=A", "FA_ACT_EST_DATA=E, EST_SOURCE=OPY", "ACT_EST_MAPPING=PRECISE", "FS=MRC", "CURRENCY=USD", "XLFILL=b")</f>
        <v/>
      </c>
      <c r="W84" s="9" t="str">
        <f>_xll.BQL("CRM US Equity", "RD_EXPEND_TO_NET_SALES", "FPR=2022Y", "FPT=A", "FA_ACT_EST_DATA=E, EST_SOURCE=JPM", "ACT_EST_MAPPING=PRECISE", "FS=MRC", "CURRENCY=USD", "XLFILL=b")</f>
        <v/>
      </c>
      <c r="X84" s="9" t="str">
        <f>_xll.BQL("CRM US Equity", "RD_EXPEND_TO_NET_SALES", "FPR=2022Y", "FPT=A", "FA_ACT_EST_DATA=E, EST_SOURCE=FBC", "ACT_EST_MAPPING=PRECISE", "FS=MRC", "CURRENCY=USD", "XLFILL=b")</f>
        <v/>
      </c>
      <c r="Y84" s="9" t="str">
        <f>_xll.BQL("CRM US Equity", "RD_EXPEND_TO_NET_SALES", "FPR=2022Y", "FPT=A", "FA_ACT_EST_DATA=E, EST_SOURCE=WMS", "ACT_EST_MAPPING=PRECISE", "FS=MRC", "CURRENCY=USD", "XLFILL=b")</f>
        <v/>
      </c>
      <c r="Z84" s="9" t="str">
        <f>_xll.BQL("CRM US Equity", "RD_EXPEND_TO_NET_SALES", "FPR=2022Y", "FPT=A", "FA_ACT_EST_DATA=E, EST_SOURCE=KEY", "ACT_EST_MAPPING=PRECISE", "FS=MRC", "CURRENCY=USD", "XLFILL=b")</f>
        <v/>
      </c>
      <c r="AA84" s="9" t="str">
        <f>_xll.BQL("CRM US Equity", "RD_EXPEND_TO_NET_SALES", "FPR=2022Y", "FPT=A", "FA_ACT_EST_DATA=E, EST_SOURCE=LCM", "ACT_EST_MAPPING=PRECISE", "FS=MRC", "CURRENCY=USD", "XLFILL=b")</f>
        <v/>
      </c>
      <c r="AB84" s="9" t="str">
        <f>_xll.BQL("CRM US Equity", "RD_EXPEND_TO_NET_SALES", "FPR=2022Y", "FPT=A", "FA_ACT_EST_DATA=E, EST_SOURCE=CWN", "ACT_EST_MAPPING=PRECISE", "FS=MRC", "CURRENCY=USD", "XLFILL=b")</f>
        <v/>
      </c>
      <c r="AC84" s="9" t="str">
        <f>_xll.BQL("CRM US Equity", "RD_EXPEND_TO_NET_SALES", "FPR=2022Y", "FPT=A", "FA_ACT_EST_DATA=E, EST_SOURCE=BNS", "ACT_EST_MAPPING=PRECISE", "FS=MRC", "CURRENCY=USD", "XLFILL=b")</f>
        <v/>
      </c>
      <c r="AD84" s="9" t="str">
        <f>_xll.BQL("CRM US Equity", "RD_EXPEND_TO_NET_SALES", "FPR=2022Y", "FPT=A", "FA_ACT_EST_DATA=E, EST_SOURCE=BAM", "ACT_EST_MAPPING=PRECISE", "FS=MRC", "CURRENCY=USD", "XLFILL=b")</f>
        <v/>
      </c>
      <c r="AE84" s="9" t="str">
        <f>_xll.BQL("CRM US Equity", "RD_EXPEND_TO_NET_SALES", "FPR=2022Y", "FPT=A", "FA_ACT_EST_DATA=E, EST_SOURCE=RBC", "ACT_EST_MAPPING=PRECISE", "FS=MRC", "CURRENCY=USD", "XLFILL=b")</f>
        <v/>
      </c>
      <c r="AF84" s="9" t="str">
        <f>_xll.BQL("CRM US Equity", "RD_EXPEND_TO_NET_SALES", "FPR=2022Y", "FPT=A", "FA_ACT_EST_DATA=E, EST_SOURCE=UBS", "ACT_EST_MAPPING=PRECISE", "FS=MRC", "CURRENCY=USD", "XLFILL=b")</f>
        <v/>
      </c>
      <c r="AG84" s="9" t="str">
        <f>_xll.BQL("CRM US Equity", "RD_EXPEND_TO_NET_SALES", "FPR=2022Y", "FPT=A", "FA_ACT_EST_DATA=E, EST_SOURCE=RHR", "ACT_EST_MAPPING=PRECISE", "FS=MRC", "CURRENCY=USD", "XLFILL=b")</f>
        <v/>
      </c>
      <c r="AH84" s="9" t="str">
        <f>_xll.BQL("CRM US Equity", "RD_EXPEND_TO_NET_SALES", "FPR=2022Y", "FPT=A", "FA_ACT_EST_DATA=E, EST_SOURCE=JEF", "ACT_EST_MAPPING=PRECISE", "FS=MRC", "CURRENCY=USD", "XLFILL=b")</f>
        <v/>
      </c>
      <c r="AI84" s="9" t="str">
        <f>_xll.BQL("CRM US Equity", "RD_EXPEND_TO_NET_SALES", "FPR=2022Y", "FPT=A", "FA_ACT_EST_DATA=E, EST_SOURCE=ATL", "ACT_EST_MAPPING=PRECISE", "FS=MRC", "CURRENCY=USD", "XLFILL=b")</f>
        <v/>
      </c>
      <c r="AJ84" s="9" t="str">
        <f>_xll.BQL("CRM US Equity", "RD_EXPEND_TO_NET_SALES", "FPR=2022Y", "FPT=A", "FA_ACT_EST_DATA=E, EST_SOURCE=MAC", "ACT_EST_MAPPING=PRECISE", "FS=MRC", "CURRENCY=USD", "XLFILL=b")</f>
        <v/>
      </c>
      <c r="AK84" s="9" t="str">
        <f>_xll.BQL("CRM US Equity", "RD_EXPEND_TO_NET_SALES", "FPR=2022Y", "FPT=A", "FA_ACT_EST_DATA=E, EST_SOURCE=EVR", "ACT_EST_MAPPING=PRECISE", "FS=MRC", "CURRENCY=USD", "XLFILL=b")</f>
        <v/>
      </c>
      <c r="AL84" s="9" t="str">
        <f>_xll.BQL("CRM US Equity", "RD_EXPEND_TO_NET_SALES", "FPR=2022Y", "FPT=A", "FA_ACT_EST_DATA=E, EST_SOURCE=MSR", "ACT_EST_MAPPING=PRECISE", "FS=MRC", "CURRENCY=USD", "XLFILL=b")</f>
        <v/>
      </c>
      <c r="AM84" s="9" t="str">
        <f>_xll.BQL("CRM US Equity", "RD_EXPEND_TO_NET_SALES", "FPR=2022Y", "FPT=A", "FA_ACT_EST_DATA=E, EST_SOURCE=KGI", "ACT_EST_MAPPING=PRECISE", "FS=MRC", "CURRENCY=USD", "XLFILL=b")</f>
        <v/>
      </c>
      <c r="AN84" s="9" t="str">
        <f>_xll.BQL("CRM US Equity", "RD_EXPEND_TO_NET_SALES", "FPR=2022Y", "FPT=A", "FA_ACT_EST_DATA=E, EST_SOURCE=ACC", "ACT_EST_MAPPING=PRECISE", "FS=MRC", "CURRENCY=USD", "XLFILL=b")</f>
        <v/>
      </c>
      <c r="AO84" s="9" t="str">
        <f>_xll.BQL("CRM US Equity", "RD_EXPEND_TO_NET_SALES", "FPR=2022Y", "FPT=A", "FA_ACT_EST_DATA=E, EST_SOURCE=GSR", "ACT_EST_MAPPING=PRECISE", "FS=MRC", "CURRENCY=USD", "XLFILL=b")</f>
        <v/>
      </c>
      <c r="AP84" s="9" t="str">
        <f>_xll.BQL("CRM US Equity", "RD_EXPEND_TO_NET_SALES", "FPR=2022Y", "FPT=A", "FA_ACT_EST_DATA=E, EST_SOURCE=PSG", "ACT_EST_MAPPING=PRECISE", "FS=MRC", "CURRENCY=USD", "XLFILL=b")</f>
        <v/>
      </c>
      <c r="AQ84" s="9" t="str">
        <f>_xll.BQL("CRM US Equity", "RD_EXPEND_TO_NET_SALES", "FPR=2022Y", "FPT=A", "FA_ACT_EST_DATA=E, EST_SOURCE=DWI", "ACT_EST_MAPPING=PRECISE", "FS=MRC", "CURRENCY=USD", "XLFILL=b")</f>
        <v/>
      </c>
      <c r="AR84" s="9" t="str">
        <f>_xll.BQL("CRM US Equity", "RD_EXPEND_TO_NET_SALES", "FPR=2022Y", "FPT=A", "FA_ACT_EST_DATA=E, EST_SOURCE=RWB", "ACT_EST_MAPPING=PRECISE", "FS=MRC", "CURRENCY=USD", "XLFILL=b")</f>
        <v/>
      </c>
      <c r="AS84" s="9" t="str">
        <f>_xll.BQL("CRM US Equity", "RD_EXPEND_TO_NET_SALES", "FPR=2022Y", "FPT=A", "FA_ACT_EST_DATA=E, EST_SOURCE=ARG", "ACT_EST_MAPPING=PRECISE", "FS=MRC", "CURRENCY=USD", "XLFILL=b")</f>
        <v/>
      </c>
      <c r="AT84" s="9" t="str">
        <f>_xll.BQL("CRM US Equity", "RD_EXPEND_TO_NET_SALES", "FPR=2022Y", "FPT=A", "FA_ACT_EST_DATA=E, EST_SOURCE=CTI", "ACT_EST_MAPPING=PRECISE", "FS=MRC", "CURRENCY=USD", "XLFILL=b")</f>
        <v/>
      </c>
      <c r="AU84" s="9" t="str">
        <f>_xll.BQL("CRM US Equity", "RD_EXPEND_TO_NET_SALES", "FPR=2022Y", "FPT=A", "FA_ACT_EST_DATA=E, EST_SOURCE=WFT", "ACT_EST_MAPPING=PRECISE", "FS=MRC", "CURRENCY=USD", "XLFILL=b")</f>
        <v/>
      </c>
      <c r="AV84" s="9" t="str">
        <f>_xll.BQL("CRM US Equity", "RD_EXPEND_TO_NET_SALES", "FPR=2022Y", "FPT=A", "FA_ACT_EST_DATA=E, EST_SOURCE=PJE", "ACT_EST_MAPPING=PRECISE", "FS=MRC", "CURRENCY=USD", "XLFILL=b")</f>
        <v/>
      </c>
      <c r="AW84" s="9" t="str">
        <f>_xll.BQL("CRM US Equity", "RD_EXPEND_TO_NET_SALES", "FPR=2022Y", "FPT=A", "FA_ACT_EST_DATA=E, EST_SOURCE=SGE", "ACT_EST_MAPPING=PRECISE", "FS=MRC", "CURRENCY=USD", "XLFILL=b")</f>
        <v/>
      </c>
      <c r="AX84" s="9" t="str">
        <f>_xll.BQL("CRM US Equity", "RD_EXPEND_TO_NET_SALES", "FPR=2022Y", "FPT=A", "FA_ACT_EST_DATA=E, EST_SOURCE=MZS", "ACT_EST_MAPPING=PRECISE", "FS=MRC", "CURRENCY=USD", "XLFILL=b")</f>
        <v/>
      </c>
      <c r="AY84" s="9" t="str">
        <f>_xll.BQL("CRM US Equity", "RD_EXPEND_TO_NET_SALES", "FPR=2022Y", "FPT=A", "FA_ACT_EST_DATA=E, EST_SOURCE=RCP", "ACT_EST_MAPPING=PRECISE", "FS=MRC", "CURRENCY=USD", "XLFILL=b")</f>
        <v/>
      </c>
      <c r="AZ84" s="9" t="str">
        <f>_xll.BQL("CRM US Equity", "RD_EXPEND_TO_NET_SALES", "FPR=2022Y", "FPT=A", "FA_ACT_EST_DATA=E, EST_SOURCE=WFR", "ACT_EST_MAPPING=PRECISE", "FS=MRC", "CURRENCY=USD", "XLFILL=b")</f>
        <v/>
      </c>
      <c r="BA84" s="9" t="str">
        <f>_xll.BQL("CRM US Equity", "RD_EXPEND_TO_NET_SALES", "FPR=2022Y", "FPT=A", "FA_ACT_EST_DATA=E, EST_SOURCE=NIK", "ACT_EST_MAPPING=PRECISE", "FS=MRC", "CURRENCY=USD", "XLFILL=b")</f>
        <v/>
      </c>
      <c r="BB84" s="9" t="str">
        <f>_xll.BQL("CRM US Equity", "RD_EXPEND_TO_NET_SALES", "FPR=2022Y", "FPT=A", "FA_ACT_EST_DATA=E, EST_SOURCE=ARE", "ACT_EST_MAPPING=PRECISE", "FS=MRC", "CURRENCY=USD", "XLFILL=b")</f>
        <v/>
      </c>
      <c r="BC84" s="9" t="str">
        <f>_xll.BQL("CRM US Equity", "RD_EXPEND_TO_NET_SALES", "FPR=2022Y", "FPT=A", "FA_ACT_EST_DATA=E, EST_SOURCE=RED", "ACT_EST_MAPPING=PRECISE", "FS=MRC", "CURRENCY=USD", "XLFILL=b")</f>
        <v/>
      </c>
      <c r="BD84" s="9" t="str">
        <f>_xll.BQL("CRM US Equity", "RD_EXPEND_TO_NET_SALES", "FPR=2022Y", "FPT=A", "FA_ACT_EST_DATA=E, EST_SOURCE=DIR", "ACT_EST_MAPPING=PRECISE", "FS=MRC", "CURRENCY=USD", "XLFILL=b")</f>
        <v/>
      </c>
    </row>
    <row r="85" spans="1:56" x14ac:dyDescent="0.55000000000000004">
      <c r="A85" s="8" t="s">
        <v>144</v>
      </c>
      <c r="B85" s="5" t="s">
        <v>145</v>
      </c>
      <c r="C85" s="5" t="s">
        <v>146</v>
      </c>
      <c r="D85" s="5"/>
      <c r="E85" s="9">
        <f>_xll.BQL("CRM US Equity", "CB_IS_S_AND_M_EXPENSE/1M", "FPR=2022Y", "FPT=A", "FA_ACT_EST_DATA=E", "ACT_EST_MAPPING=PRECISE", "FS=MRC", "CURRENCY=USD", "XLFILL=b")</f>
        <v>11867.380010192561</v>
      </c>
      <c r="F85" s="9">
        <f>_xll.BQL("CRM US Equity", "CONTRIBUTOR_STATS(CB_IS_S_AND_M_EXPENSE, MIN)/1M", "FPR=2022Y", "FPT=A", "FA_ACT_EST_DATA=E", "ACT_EST_MAPPING=PRECISE", "FS=MRC", "CURRENCY=USD", "XLFILL=b")</f>
        <v>11724.16639802725</v>
      </c>
      <c r="G85" s="9">
        <f>_xll.BQL("CRM US Equity", "CONTRIBUTOR_STATS(CB_IS_S_AND_M_EXPENSE, MAX)/1M", "FPR=2022Y", "FPT=A", "FA_ACT_EST_DATA=E", "ACT_EST_MAPPING=PRECISE", "FS=MRC", "CURRENCY=USD", "XLFILL=b")</f>
        <v>12008.890784243989</v>
      </c>
      <c r="H85" s="9">
        <f>_xll.BQL("CRM US Equity", "CONTRIBUTOR_STATS(CB_IS_S_AND_M_EXPENSE, STD)/1M", "FPR=2022Y", "FPT=A", "FA_ACT_EST_DATA=E", "ACT_EST_MAPPING=PRECISE", "FS=MRC", "CURRENCY=USD", "XLFILL=b")</f>
        <v>84.983645050150315</v>
      </c>
      <c r="I85" s="9">
        <f>_xll.BQL("CRM US Equity", "CONTRIBUTOR_STATS(CB_IS_S_AND_M_EXPENSE, MEDIAN)/1M", "FPR=2022Y", "FPT=A", "FA_ACT_EST_DATA=E", "ACT_EST_MAPPING=PRECISE", "FS=MRC", "CURRENCY=USD", "XLFILL=b")</f>
        <v>11874.25384007217</v>
      </c>
      <c r="J85" s="9" t="str">
        <f>_xll.BQL("CRM US Equity", "CB_IS_S_AND_M_EXPENSE/1M", "FPR=2022Y", "FPT=A", "FA_ACT_EST_DATA=E, EST_SOURCE=CMPY", "ACT_EST_MAPPING=PRECISE", "FS=MRC", "CURRENCY=USD", "XLFILL=b")</f>
        <v/>
      </c>
      <c r="K85" s="9" t="str">
        <f>_xll.BQL("CRM US Equity", "CB_IS_S_AND_M_EXPENSE/1M", "FPR=2022Y", "FPT=A", "FA_ACT_EST_DATA=E, EST_SOURCE=WBL", "ACT_EST_MAPPING=PRECISE", "FS=MRC", "CURRENCY=USD", "XLFILL=b")</f>
        <v/>
      </c>
      <c r="L85" s="9" t="str">
        <f>_xll.BQL("CRM US Equity", "CB_IS_S_AND_M_EXPENSE/1M", "FPR=2022Y", "FPT=A", "FA_ACT_EST_DATA=E, EST_SOURCE=BMO", "ACT_EST_MAPPING=PRECISE", "FS=MRC", "CURRENCY=USD", "XLFILL=b")</f>
        <v/>
      </c>
      <c r="M85" s="9">
        <f>_xll.BQL("CRM US Equity", "CB_IS_S_AND_M_EXPENSE/1M", "FPR=2022Y", "FPT=A", "FA_ACT_EST_DATA=E, EST_SOURCE=BCA", "ACT_EST_MAPPING=PRECISE", "FS=MRC", "CURRENCY=USD", "XLFILL=b")</f>
        <v>11925.88463417618</v>
      </c>
      <c r="N85" s="9" t="str">
        <f>_xll.BQL("CRM US Equity", "CB_IS_S_AND_M_EXPENSE/1M", "FPR=2022Y", "FPT=A", "FA_ACT_EST_DATA=E, EST_SOURCE=SNR", "ACT_EST_MAPPING=PRECISE", "FS=MRC", "CURRENCY=USD", "XLFILL=b")</f>
        <v/>
      </c>
      <c r="O85" s="9">
        <f>_xll.BQL("CRM US Equity", "CB_IS_S_AND_M_EXPENSE/1M", "FPR=2022Y", "FPT=A", "FA_ACT_EST_DATA=E, EST_SOURCE=MSV", "ACT_EST_MAPPING=PRECISE", "FS=MRC", "CURRENCY=USD", "XLFILL=b")</f>
        <v>11889.749121000001</v>
      </c>
      <c r="P85" s="9">
        <f>_xll.BQL("CRM US Equity", "CB_IS_S_AND_M_EXPENSE/1M", "FPR=2022Y", "FPT=A", "FA_ACT_EST_DATA=E, EST_SOURCE=DBG", "ACT_EST_MAPPING=PRECISE", "FS=MRC", "CURRENCY=USD", "XLFILL=b")</f>
        <v>11928.5734841255</v>
      </c>
      <c r="Q85" s="9" t="str">
        <f>_xll.BQL("CRM US Equity", "CB_IS_S_AND_M_EXPENSE/1M", "FPR=2022Y", "FPT=A", "FA_ACT_EST_DATA=E, EST_SOURCE=NDH", "ACT_EST_MAPPING=PRECISE", "FS=MRC", "CURRENCY=USD", "XLFILL=b")</f>
        <v/>
      </c>
      <c r="R85" s="9" t="str">
        <f>_xll.BQL("CRM US Equity", "CB_IS_S_AND_M_EXPENSE/1M", "FPR=2022Y", "FPT=A", "FA_ACT_EST_DATA=E, EST_SOURCE=CAN", "ACT_EST_MAPPING=PRECISE", "FS=MRC", "CURRENCY=USD", "XLFILL=b")</f>
        <v/>
      </c>
      <c r="S85" s="9" t="str">
        <f>_xll.BQL("CRM US Equity", "CB_IS_S_AND_M_EXPENSE/1M", "FPR=2022Y", "FPT=A", "FA_ACT_EST_DATA=E, EST_SOURCE=SCB", "ACT_EST_MAPPING=PRECISE", "FS=MRC", "CURRENCY=USD", "XLFILL=b")</f>
        <v/>
      </c>
      <c r="T85" s="9">
        <f>_xll.BQL("CRM US Equity", "CB_IS_S_AND_M_EXPENSE/1M", "FPR=2022Y", "FPT=A", "FA_ACT_EST_DATA=E, EST_SOURCE=JMP", "ACT_EST_MAPPING=PRECISE", "FS=MRC", "CURRENCY=USD", "XLFILL=b")</f>
        <v>11832.48</v>
      </c>
      <c r="U85" s="9" t="str">
        <f>_xll.BQL("CRM US Equity", "CB_IS_S_AND_M_EXPENSE/1M", "FPR=2022Y", "FPT=A", "FA_ACT_EST_DATA=E, EST_SOURCE=RJA", "ACT_EST_MAPPING=PRECISE", "FS=MRC", "CURRENCY=USD", "XLFILL=b")</f>
        <v/>
      </c>
      <c r="V85" s="9" t="str">
        <f>_xll.BQL("CRM US Equity", "CB_IS_S_AND_M_EXPENSE/1M", "FPR=2022Y", "FPT=A", "FA_ACT_EST_DATA=E, EST_SOURCE=OPY", "ACT_EST_MAPPING=PRECISE", "FS=MRC", "CURRENCY=USD", "XLFILL=b")</f>
        <v/>
      </c>
      <c r="W85" s="9" t="str">
        <f>_xll.BQL("CRM US Equity", "CB_IS_S_AND_M_EXPENSE/1M", "FPR=2022Y", "FPT=A", "FA_ACT_EST_DATA=E, EST_SOURCE=JPM", "ACT_EST_MAPPING=PRECISE", "FS=MRC", "CURRENCY=USD", "XLFILL=b")</f>
        <v/>
      </c>
      <c r="X85" s="9">
        <f>_xll.BQL("CRM US Equity", "CB_IS_S_AND_M_EXPENSE/1M", "FPR=2022Y", "FPT=A", "FA_ACT_EST_DATA=E, EST_SOURCE=FBC", "ACT_EST_MAPPING=PRECISE", "FS=MRC", "CURRENCY=USD", "XLFILL=b")</f>
        <v>11853.43403283915</v>
      </c>
      <c r="Y85" s="9">
        <f>_xll.BQL("CRM US Equity", "CB_IS_S_AND_M_EXPENSE/1M", "FPR=2022Y", "FPT=A", "FA_ACT_EST_DATA=E, EST_SOURCE=WMS", "ACT_EST_MAPPING=PRECISE", "FS=MRC", "CURRENCY=USD", "XLFILL=b")</f>
        <v>2544</v>
      </c>
      <c r="Z85" s="9">
        <f>_xll.BQL("CRM US Equity", "CB_IS_S_AND_M_EXPENSE/1M", "FPR=2022Y", "FPT=A", "FA_ACT_EST_DATA=E, EST_SOURCE=KEY", "ACT_EST_MAPPING=PRECISE", "FS=MRC", "CURRENCY=USD", "XLFILL=b")</f>
        <v>11887.362550087009</v>
      </c>
      <c r="AA85" s="9" t="str">
        <f>_xll.BQL("CRM US Equity", "CB_IS_S_AND_M_EXPENSE/1M", "FPR=2022Y", "FPT=A", "FA_ACT_EST_DATA=E, EST_SOURCE=LCM", "ACT_EST_MAPPING=PRECISE", "FS=MRC", "CURRENCY=USD", "XLFILL=b")</f>
        <v/>
      </c>
      <c r="AB85" s="9" t="str">
        <f>_xll.BQL("CRM US Equity", "CB_IS_S_AND_M_EXPENSE/1M", "FPR=2022Y", "FPT=A", "FA_ACT_EST_DATA=E, EST_SOURCE=CWN", "ACT_EST_MAPPING=PRECISE", "FS=MRC", "CURRENCY=USD", "XLFILL=b")</f>
        <v/>
      </c>
      <c r="AC85" s="9" t="str">
        <f>_xll.BQL("CRM US Equity", "CB_IS_S_AND_M_EXPENSE/1M", "FPR=2022Y", "FPT=A", "FA_ACT_EST_DATA=E, EST_SOURCE=BNS", "ACT_EST_MAPPING=PRECISE", "FS=MRC", "CURRENCY=USD", "XLFILL=b")</f>
        <v/>
      </c>
      <c r="AD85" s="9" t="str">
        <f>_xll.BQL("CRM US Equity", "CB_IS_S_AND_M_EXPENSE/1M", "FPR=2022Y", "FPT=A", "FA_ACT_EST_DATA=E, EST_SOURCE=BAM", "ACT_EST_MAPPING=PRECISE", "FS=MRC", "CURRENCY=USD", "XLFILL=b")</f>
        <v/>
      </c>
      <c r="AE85" s="9" t="str">
        <f>_xll.BQL("CRM US Equity", "CB_IS_S_AND_M_EXPENSE/1M", "FPR=2022Y", "FPT=A", "FA_ACT_EST_DATA=E, EST_SOURCE=RBC", "ACT_EST_MAPPING=PRECISE", "FS=MRC", "CURRENCY=USD", "XLFILL=b")</f>
        <v/>
      </c>
      <c r="AF85" s="9" t="str">
        <f>_xll.BQL("CRM US Equity", "CB_IS_S_AND_M_EXPENSE/1M", "FPR=2022Y", "FPT=A", "FA_ACT_EST_DATA=E, EST_SOURCE=UBS", "ACT_EST_MAPPING=PRECISE", "FS=MRC", "CURRENCY=USD", "XLFILL=b")</f>
        <v/>
      </c>
      <c r="AG85" s="9" t="str">
        <f>_xll.BQL("CRM US Equity", "CB_IS_S_AND_M_EXPENSE/1M", "FPR=2022Y", "FPT=A", "FA_ACT_EST_DATA=E, EST_SOURCE=RHR", "ACT_EST_MAPPING=PRECISE", "FS=MRC", "CURRENCY=USD", "XLFILL=b")</f>
        <v/>
      </c>
      <c r="AH85" s="9" t="str">
        <f>_xll.BQL("CRM US Equity", "CB_IS_S_AND_M_EXPENSE/1M", "FPR=2022Y", "FPT=A", "FA_ACT_EST_DATA=E, EST_SOURCE=JEF", "ACT_EST_MAPPING=PRECISE", "FS=MRC", "CURRENCY=USD", "XLFILL=b")</f>
        <v/>
      </c>
      <c r="AI85" s="9" t="str">
        <f>_xll.BQL("CRM US Equity", "CB_IS_S_AND_M_EXPENSE/1M", "FPR=2022Y", "FPT=A", "FA_ACT_EST_DATA=E, EST_SOURCE=ATL", "ACT_EST_MAPPING=PRECISE", "FS=MRC", "CURRENCY=USD", "XLFILL=b")</f>
        <v/>
      </c>
      <c r="AJ85" s="9" t="str">
        <f>_xll.BQL("CRM US Equity", "CB_IS_S_AND_M_EXPENSE/1M", "FPR=2022Y", "FPT=A", "FA_ACT_EST_DATA=E, EST_SOURCE=MAC", "ACT_EST_MAPPING=PRECISE", "FS=MRC", "CURRENCY=USD", "XLFILL=b")</f>
        <v/>
      </c>
      <c r="AK85" s="9" t="str">
        <f>_xll.BQL("CRM US Equity", "CB_IS_S_AND_M_EXPENSE/1M", "FPR=2022Y", "FPT=A", "FA_ACT_EST_DATA=E, EST_SOURCE=EVR", "ACT_EST_MAPPING=PRECISE", "FS=MRC", "CURRENCY=USD", "XLFILL=b")</f>
        <v/>
      </c>
      <c r="AL85" s="9" t="str">
        <f>_xll.BQL("CRM US Equity", "CB_IS_S_AND_M_EXPENSE/1M", "FPR=2022Y", "FPT=A", "FA_ACT_EST_DATA=E, EST_SOURCE=MSR", "ACT_EST_MAPPING=PRECISE", "FS=MRC", "CURRENCY=USD", "XLFILL=b")</f>
        <v/>
      </c>
      <c r="AM85" s="9" t="str">
        <f>_xll.BQL("CRM US Equity", "CB_IS_S_AND_M_EXPENSE/1M", "FPR=2022Y", "FPT=A", "FA_ACT_EST_DATA=E, EST_SOURCE=KGI", "ACT_EST_MAPPING=PRECISE", "FS=MRC", "CURRENCY=USD", "XLFILL=b")</f>
        <v/>
      </c>
      <c r="AN85" s="9" t="str">
        <f>_xll.BQL("CRM US Equity", "CB_IS_S_AND_M_EXPENSE/1M", "FPR=2022Y", "FPT=A", "FA_ACT_EST_DATA=E, EST_SOURCE=ACC", "ACT_EST_MAPPING=PRECISE", "FS=MRC", "CURRENCY=USD", "XLFILL=b")</f>
        <v/>
      </c>
      <c r="AO85" s="9" t="str">
        <f>_xll.BQL("CRM US Equity", "CB_IS_S_AND_M_EXPENSE/1M", "FPR=2022Y", "FPT=A", "FA_ACT_EST_DATA=E, EST_SOURCE=GSR", "ACT_EST_MAPPING=PRECISE", "FS=MRC", "CURRENCY=USD", "XLFILL=b")</f>
        <v/>
      </c>
      <c r="AP85" s="9" t="str">
        <f>_xll.BQL("CRM US Equity", "CB_IS_S_AND_M_EXPENSE/1M", "FPR=2022Y", "FPT=A", "FA_ACT_EST_DATA=E, EST_SOURCE=PSG", "ACT_EST_MAPPING=PRECISE", "FS=MRC", "CURRENCY=USD", "XLFILL=b")</f>
        <v/>
      </c>
      <c r="AQ85" s="9" t="str">
        <f>_xll.BQL("CRM US Equity", "CB_IS_S_AND_M_EXPENSE/1M", "FPR=2022Y", "FPT=A", "FA_ACT_EST_DATA=E, EST_SOURCE=DWI", "ACT_EST_MAPPING=PRECISE", "FS=MRC", "CURRENCY=USD", "XLFILL=b")</f>
        <v/>
      </c>
      <c r="AR85" s="9" t="str">
        <f>_xll.BQL("CRM US Equity", "CB_IS_S_AND_M_EXPENSE/1M", "FPR=2022Y", "FPT=A", "FA_ACT_EST_DATA=E, EST_SOURCE=RWB", "ACT_EST_MAPPING=PRECISE", "FS=MRC", "CURRENCY=USD", "XLFILL=b")</f>
        <v/>
      </c>
      <c r="AS85" s="9" t="str">
        <f>_xll.BQL("CRM US Equity", "CB_IS_S_AND_M_EXPENSE/1M", "FPR=2022Y", "FPT=A", "FA_ACT_EST_DATA=E, EST_SOURCE=ARG", "ACT_EST_MAPPING=PRECISE", "FS=MRC", "CURRENCY=USD", "XLFILL=b")</f>
        <v/>
      </c>
      <c r="AT85" s="9" t="str">
        <f>_xll.BQL("CRM US Equity", "CB_IS_S_AND_M_EXPENSE/1M", "FPR=2022Y", "FPT=A", "FA_ACT_EST_DATA=E, EST_SOURCE=CTI", "ACT_EST_MAPPING=PRECISE", "FS=MRC", "CURRENCY=USD", "XLFILL=b")</f>
        <v/>
      </c>
      <c r="AU85" s="9" t="str">
        <f>_xll.BQL("CRM US Equity", "CB_IS_S_AND_M_EXPENSE/1M", "FPR=2022Y", "FPT=A", "FA_ACT_EST_DATA=E, EST_SOURCE=WFT", "ACT_EST_MAPPING=PRECISE", "FS=MRC", "CURRENCY=USD", "XLFILL=b")</f>
        <v/>
      </c>
      <c r="AV85" s="9" t="str">
        <f>_xll.BQL("CRM US Equity", "CB_IS_S_AND_M_EXPENSE/1M", "FPR=2022Y", "FPT=A", "FA_ACT_EST_DATA=E, EST_SOURCE=PJE", "ACT_EST_MAPPING=PRECISE", "FS=MRC", "CURRENCY=USD", "XLFILL=b")</f>
        <v/>
      </c>
      <c r="AW85" s="9" t="str">
        <f>_xll.BQL("CRM US Equity", "CB_IS_S_AND_M_EXPENSE/1M", "FPR=2022Y", "FPT=A", "FA_ACT_EST_DATA=E, EST_SOURCE=SGE", "ACT_EST_MAPPING=PRECISE", "FS=MRC", "CURRENCY=USD", "XLFILL=b")</f>
        <v/>
      </c>
      <c r="AX85" s="9" t="str">
        <f>_xll.BQL("CRM US Equity", "CB_IS_S_AND_M_EXPENSE/1M", "FPR=2022Y", "FPT=A", "FA_ACT_EST_DATA=E, EST_SOURCE=MZS", "ACT_EST_MAPPING=PRECISE", "FS=MRC", "CURRENCY=USD", "XLFILL=b")</f>
        <v/>
      </c>
      <c r="AY85" s="9" t="str">
        <f>_xll.BQL("CRM US Equity", "CB_IS_S_AND_M_EXPENSE/1M", "FPR=2022Y", "FPT=A", "FA_ACT_EST_DATA=E, EST_SOURCE=RCP", "ACT_EST_MAPPING=PRECISE", "FS=MRC", "CURRENCY=USD", "XLFILL=b")</f>
        <v/>
      </c>
      <c r="AZ85" s="9" t="str">
        <f>_xll.BQL("CRM US Equity", "CB_IS_S_AND_M_EXPENSE/1M", "FPR=2022Y", "FPT=A", "FA_ACT_EST_DATA=E, EST_SOURCE=WFR", "ACT_EST_MAPPING=PRECISE", "FS=MRC", "CURRENCY=USD", "XLFILL=b")</f>
        <v/>
      </c>
      <c r="BA85" s="9" t="str">
        <f>_xll.BQL("CRM US Equity", "CB_IS_S_AND_M_EXPENSE/1M", "FPR=2022Y", "FPT=A", "FA_ACT_EST_DATA=E, EST_SOURCE=NIK", "ACT_EST_MAPPING=PRECISE", "FS=MRC", "CURRENCY=USD", "XLFILL=b")</f>
        <v/>
      </c>
      <c r="BB85" s="9" t="str">
        <f>_xll.BQL("CRM US Equity", "CB_IS_S_AND_M_EXPENSE/1M", "FPR=2022Y", "FPT=A", "FA_ACT_EST_DATA=E, EST_SOURCE=ARE", "ACT_EST_MAPPING=PRECISE", "FS=MRC", "CURRENCY=USD", "XLFILL=b")</f>
        <v/>
      </c>
      <c r="BC85" s="9" t="str">
        <f>_xll.BQL("CRM US Equity", "CB_IS_S_AND_M_EXPENSE/1M", "FPR=2022Y", "FPT=A", "FA_ACT_EST_DATA=E, EST_SOURCE=RED", "ACT_EST_MAPPING=PRECISE", "FS=MRC", "CURRENCY=USD", "XLFILL=b")</f>
        <v/>
      </c>
      <c r="BD85" s="9" t="str">
        <f>_xll.BQL("CRM US Equity", "CB_IS_S_AND_M_EXPENSE/1M", "FPR=2022Y", "FPT=A", "FA_ACT_EST_DATA=E, EST_SOURCE=DIR", "ACT_EST_MAPPING=PRECISE", "FS=MRC", "CURRENCY=USD", "XLFILL=b")</f>
        <v/>
      </c>
    </row>
    <row r="86" spans="1:56" x14ac:dyDescent="0.55000000000000004">
      <c r="A86" s="8" t="s">
        <v>147</v>
      </c>
      <c r="B86" s="5" t="s">
        <v>148</v>
      </c>
      <c r="C86" s="5" t="s">
        <v>149</v>
      </c>
      <c r="D86" s="5"/>
      <c r="E86" s="9">
        <f>_xll.BQL("CRM US Equity", "IS_GENERAL_AND_ADMIN_GAAP/1M", "FPR=2022Y", "FPT=A", "FA_ACT_EST_DATA=E", "ACT_EST_MAPPING=PRECISE", "FS=MRC", "CURRENCY=USD", "XLFILL=b")</f>
        <v>2621.0082609801752</v>
      </c>
      <c r="F86" s="9">
        <f>_xll.BQL("CRM US Equity", "CONTRIBUTOR_STATS(IS_GENERAL_AND_ADMIN_GAAP, MIN)/1M", "FPR=2022Y", "FPT=A", "FA_ACT_EST_DATA=E", "ACT_EST_MAPPING=PRECISE", "FS=MRC", "CURRENCY=USD", "XLFILL=b")</f>
        <v>2544.7518481958773</v>
      </c>
      <c r="G86" s="9">
        <f>_xll.BQL("CRM US Equity", "CONTRIBUTOR_STATS(IS_GENERAL_AND_ADMIN_GAAP, MAX)/1M", "FPR=2022Y", "FPT=A", "FA_ACT_EST_DATA=E", "ACT_EST_MAPPING=PRECISE", "FS=MRC", "CURRENCY=USD", "XLFILL=b")</f>
        <v>2696.45</v>
      </c>
      <c r="H86" s="9">
        <f>_xll.BQL("CRM US Equity", "CONTRIBUTOR_STATS(IS_GENERAL_AND_ADMIN_GAAP, STD)/1M", "FPR=2022Y", "FPT=A", "FA_ACT_EST_DATA=E", "ACT_EST_MAPPING=PRECISE", "FS=MRC", "CURRENCY=USD", "XLFILL=b")</f>
        <v>42.254096552288168</v>
      </c>
      <c r="I86" s="9">
        <f>_xll.BQL("CRM US Equity", "CONTRIBUTOR_STATS(IS_GENERAL_AND_ADMIN_GAAP, MEDIAN)/1M", "FPR=2022Y", "FPT=A", "FA_ACT_EST_DATA=E", "ACT_EST_MAPPING=PRECISE", "FS=MRC", "CURRENCY=USD", "XLFILL=b")</f>
        <v>2623.7876768177339</v>
      </c>
      <c r="J86" s="9" t="str">
        <f>_xll.BQL("CRM US Equity", "IS_GENERAL_AND_ADMIN_GAAP/1M", "FPR=2022Y", "FPT=A", "FA_ACT_EST_DATA=E, EST_SOURCE=CMPY", "ACT_EST_MAPPING=PRECISE", "FS=MRC", "CURRENCY=USD", "XLFILL=b")</f>
        <v/>
      </c>
      <c r="K86" s="9" t="str">
        <f>_xll.BQL("CRM US Equity", "IS_GENERAL_AND_ADMIN_GAAP/1M", "FPR=2022Y", "FPT=A", "FA_ACT_EST_DATA=E, EST_SOURCE=WBL", "ACT_EST_MAPPING=PRECISE", "FS=MRC", "CURRENCY=USD", "XLFILL=b")</f>
        <v/>
      </c>
      <c r="L86" s="9" t="str">
        <f>_xll.BQL("CRM US Equity", "IS_GENERAL_AND_ADMIN_GAAP/1M", "FPR=2022Y", "FPT=A", "FA_ACT_EST_DATA=E, EST_SOURCE=BMO", "ACT_EST_MAPPING=PRECISE", "FS=MRC", "CURRENCY=USD", "XLFILL=b")</f>
        <v/>
      </c>
      <c r="M86" s="9">
        <f>_xll.BQL("CRM US Equity", "IS_GENERAL_AND_ADMIN_GAAP/1M", "FPR=2022Y", "FPT=A", "FA_ACT_EST_DATA=E, EST_SOURCE=BCA", "ACT_EST_MAPPING=PRECISE", "FS=MRC", "CURRENCY=USD", "XLFILL=b")</f>
        <v>2630.5773905442311</v>
      </c>
      <c r="N86" s="9" t="str">
        <f>_xll.BQL("CRM US Equity", "IS_GENERAL_AND_ADMIN_GAAP/1M", "FPR=2022Y", "FPT=A", "FA_ACT_EST_DATA=E, EST_SOURCE=SNR", "ACT_EST_MAPPING=PRECISE", "FS=MRC", "CURRENCY=USD", "XLFILL=b")</f>
        <v/>
      </c>
      <c r="O86" s="9">
        <f>_xll.BQL("CRM US Equity", "IS_GENERAL_AND_ADMIN_GAAP/1M", "FPR=2022Y", "FPT=A", "FA_ACT_EST_DATA=E, EST_SOURCE=MSV", "ACT_EST_MAPPING=PRECISE", "FS=MRC", "CURRENCY=USD", "XLFILL=b")</f>
        <v>2647.3289960000002</v>
      </c>
      <c r="P86" s="9">
        <f>_xll.BQL("CRM US Equity", "IS_GENERAL_AND_ADMIN_GAAP/1M", "FPR=2022Y", "FPT=A", "FA_ACT_EST_DATA=E, EST_SOURCE=DBG", "ACT_EST_MAPPING=PRECISE", "FS=MRC", "CURRENCY=USD", "XLFILL=b")</f>
        <v>2589.342915063803</v>
      </c>
      <c r="Q86" s="9" t="str">
        <f>_xll.BQL("CRM US Equity", "IS_GENERAL_AND_ADMIN_GAAP/1M", "FPR=2022Y", "FPT=A", "FA_ACT_EST_DATA=E, EST_SOURCE=NDH", "ACT_EST_MAPPING=PRECISE", "FS=MRC", "CURRENCY=USD", "XLFILL=b")</f>
        <v/>
      </c>
      <c r="R86" s="9" t="str">
        <f>_xll.BQL("CRM US Equity", "IS_GENERAL_AND_ADMIN_GAAP/1M", "FPR=2022Y", "FPT=A", "FA_ACT_EST_DATA=E, EST_SOURCE=CAN", "ACT_EST_MAPPING=PRECISE", "FS=MRC", "CURRENCY=USD", "XLFILL=b")</f>
        <v/>
      </c>
      <c r="S86" s="9" t="str">
        <f>_xll.BQL("CRM US Equity", "IS_GENERAL_AND_ADMIN_GAAP/1M", "FPR=2022Y", "FPT=A", "FA_ACT_EST_DATA=E, EST_SOURCE=SCB", "ACT_EST_MAPPING=PRECISE", "FS=MRC", "CURRENCY=USD", "XLFILL=b")</f>
        <v/>
      </c>
      <c r="T86" s="9">
        <f>_xll.BQL("CRM US Equity", "IS_GENERAL_AND_ADMIN_GAAP/1M", "FPR=2022Y", "FPT=A", "FA_ACT_EST_DATA=E, EST_SOURCE=JMP", "ACT_EST_MAPPING=PRECISE", "FS=MRC", "CURRENCY=USD", "XLFILL=b")</f>
        <v>2696.45</v>
      </c>
      <c r="U86" s="9" t="str">
        <f>_xll.BQL("CRM US Equity", "IS_GENERAL_AND_ADMIN_GAAP/1M", "FPR=2022Y", "FPT=A", "FA_ACT_EST_DATA=E, EST_SOURCE=RJA", "ACT_EST_MAPPING=PRECISE", "FS=MRC", "CURRENCY=USD", "XLFILL=b")</f>
        <v/>
      </c>
      <c r="V86" s="9" t="str">
        <f>_xll.BQL("CRM US Equity", "IS_GENERAL_AND_ADMIN_GAAP/1M", "FPR=2022Y", "FPT=A", "FA_ACT_EST_DATA=E, EST_SOURCE=OPY", "ACT_EST_MAPPING=PRECISE", "FS=MRC", "CURRENCY=USD", "XLFILL=b")</f>
        <v/>
      </c>
      <c r="W86" s="9" t="str">
        <f>_xll.BQL("CRM US Equity", "IS_GENERAL_AND_ADMIN_GAAP/1M", "FPR=2022Y", "FPT=A", "FA_ACT_EST_DATA=E, EST_SOURCE=JPM", "ACT_EST_MAPPING=PRECISE", "FS=MRC", "CURRENCY=USD", "XLFILL=b")</f>
        <v/>
      </c>
      <c r="X86" s="9">
        <f>_xll.BQL("CRM US Equity", "IS_GENERAL_AND_ADMIN_GAAP/1M", "FPR=2022Y", "FPT=A", "FA_ACT_EST_DATA=E, EST_SOURCE=FBC", "ACT_EST_MAPPING=PRECISE", "FS=MRC", "CURRENCY=USD", "XLFILL=b")</f>
        <v>2628.827803965421</v>
      </c>
      <c r="Y86" s="9">
        <f>_xll.BQL("CRM US Equity", "IS_GENERAL_AND_ADMIN_GAAP/1M", "FPR=2022Y", "FPT=A", "FA_ACT_EST_DATA=E, EST_SOURCE=WMS", "ACT_EST_MAPPING=PRECISE", "FS=MRC", "CURRENCY=USD", "XLFILL=b")</f>
        <v>559</v>
      </c>
      <c r="Z86" s="9">
        <f>_xll.BQL("CRM US Equity", "IS_GENERAL_AND_ADMIN_GAAP/1M", "FPR=2022Y", "FPT=A", "FA_ACT_EST_DATA=E, EST_SOURCE=KEY", "ACT_EST_MAPPING=PRECISE", "FS=MRC", "CURRENCY=USD", "XLFILL=b")</f>
        <v>2695.9211446553632</v>
      </c>
      <c r="AA86" s="9" t="str">
        <f>_xll.BQL("CRM US Equity", "IS_GENERAL_AND_ADMIN_GAAP/1M", "FPR=2022Y", "FPT=A", "FA_ACT_EST_DATA=E, EST_SOURCE=LCM", "ACT_EST_MAPPING=PRECISE", "FS=MRC", "CURRENCY=USD", "XLFILL=b")</f>
        <v/>
      </c>
      <c r="AB86" s="9" t="str">
        <f>_xll.BQL("CRM US Equity", "IS_GENERAL_AND_ADMIN_GAAP/1M", "FPR=2022Y", "FPT=A", "FA_ACT_EST_DATA=E, EST_SOURCE=CWN", "ACT_EST_MAPPING=PRECISE", "FS=MRC", "CURRENCY=USD", "XLFILL=b")</f>
        <v/>
      </c>
      <c r="AC86" s="9" t="str">
        <f>_xll.BQL("CRM US Equity", "IS_GENERAL_AND_ADMIN_GAAP/1M", "FPR=2022Y", "FPT=A", "FA_ACT_EST_DATA=E, EST_SOURCE=BNS", "ACT_EST_MAPPING=PRECISE", "FS=MRC", "CURRENCY=USD", "XLFILL=b")</f>
        <v/>
      </c>
      <c r="AD86" s="9" t="str">
        <f>_xll.BQL("CRM US Equity", "IS_GENERAL_AND_ADMIN_GAAP/1M", "FPR=2022Y", "FPT=A", "FA_ACT_EST_DATA=E, EST_SOURCE=BAM", "ACT_EST_MAPPING=PRECISE", "FS=MRC", "CURRENCY=USD", "XLFILL=b")</f>
        <v/>
      </c>
      <c r="AE86" s="9" t="str">
        <f>_xll.BQL("CRM US Equity", "IS_GENERAL_AND_ADMIN_GAAP/1M", "FPR=2022Y", "FPT=A", "FA_ACT_EST_DATA=E, EST_SOURCE=RBC", "ACT_EST_MAPPING=PRECISE", "FS=MRC", "CURRENCY=USD", "XLFILL=b")</f>
        <v/>
      </c>
      <c r="AF86" s="9" t="str">
        <f>_xll.BQL("CRM US Equity", "IS_GENERAL_AND_ADMIN_GAAP/1M", "FPR=2022Y", "FPT=A", "FA_ACT_EST_DATA=E, EST_SOURCE=UBS", "ACT_EST_MAPPING=PRECISE", "FS=MRC", "CURRENCY=USD", "XLFILL=b")</f>
        <v/>
      </c>
      <c r="AG86" s="9" t="str">
        <f>_xll.BQL("CRM US Equity", "IS_GENERAL_AND_ADMIN_GAAP/1M", "FPR=2022Y", "FPT=A", "FA_ACT_EST_DATA=E, EST_SOURCE=RHR", "ACT_EST_MAPPING=PRECISE", "FS=MRC", "CURRENCY=USD", "XLFILL=b")</f>
        <v/>
      </c>
      <c r="AH86" s="9" t="str">
        <f>_xll.BQL("CRM US Equity", "IS_GENERAL_AND_ADMIN_GAAP/1M", "FPR=2022Y", "FPT=A", "FA_ACT_EST_DATA=E, EST_SOURCE=JEF", "ACT_EST_MAPPING=PRECISE", "FS=MRC", "CURRENCY=USD", "XLFILL=b")</f>
        <v/>
      </c>
      <c r="AI86" s="9" t="str">
        <f>_xll.BQL("CRM US Equity", "IS_GENERAL_AND_ADMIN_GAAP/1M", "FPR=2022Y", "FPT=A", "FA_ACT_EST_DATA=E, EST_SOURCE=ATL", "ACT_EST_MAPPING=PRECISE", "FS=MRC", "CURRENCY=USD", "XLFILL=b")</f>
        <v/>
      </c>
      <c r="AJ86" s="9" t="str">
        <f>_xll.BQL("CRM US Equity", "IS_GENERAL_AND_ADMIN_GAAP/1M", "FPR=2022Y", "FPT=A", "FA_ACT_EST_DATA=E, EST_SOURCE=MAC", "ACT_EST_MAPPING=PRECISE", "FS=MRC", "CURRENCY=USD", "XLFILL=b")</f>
        <v/>
      </c>
      <c r="AK86" s="9" t="str">
        <f>_xll.BQL("CRM US Equity", "IS_GENERAL_AND_ADMIN_GAAP/1M", "FPR=2022Y", "FPT=A", "FA_ACT_EST_DATA=E, EST_SOURCE=EVR", "ACT_EST_MAPPING=PRECISE", "FS=MRC", "CURRENCY=USD", "XLFILL=b")</f>
        <v/>
      </c>
      <c r="AL86" s="9" t="str">
        <f>_xll.BQL("CRM US Equity", "IS_GENERAL_AND_ADMIN_GAAP/1M", "FPR=2022Y", "FPT=A", "FA_ACT_EST_DATA=E, EST_SOURCE=MSR", "ACT_EST_MAPPING=PRECISE", "FS=MRC", "CURRENCY=USD", "XLFILL=b")</f>
        <v/>
      </c>
      <c r="AM86" s="9" t="str">
        <f>_xll.BQL("CRM US Equity", "IS_GENERAL_AND_ADMIN_GAAP/1M", "FPR=2022Y", "FPT=A", "FA_ACT_EST_DATA=E, EST_SOURCE=KGI", "ACT_EST_MAPPING=PRECISE", "FS=MRC", "CURRENCY=USD", "XLFILL=b")</f>
        <v/>
      </c>
      <c r="AN86" s="9" t="str">
        <f>_xll.BQL("CRM US Equity", "IS_GENERAL_AND_ADMIN_GAAP/1M", "FPR=2022Y", "FPT=A", "FA_ACT_EST_DATA=E, EST_SOURCE=ACC", "ACT_EST_MAPPING=PRECISE", "FS=MRC", "CURRENCY=USD", "XLFILL=b")</f>
        <v/>
      </c>
      <c r="AO86" s="9" t="str">
        <f>_xll.BQL("CRM US Equity", "IS_GENERAL_AND_ADMIN_GAAP/1M", "FPR=2022Y", "FPT=A", "FA_ACT_EST_DATA=E, EST_SOURCE=GSR", "ACT_EST_MAPPING=PRECISE", "FS=MRC", "CURRENCY=USD", "XLFILL=b")</f>
        <v/>
      </c>
      <c r="AP86" s="9" t="str">
        <f>_xll.BQL("CRM US Equity", "IS_GENERAL_AND_ADMIN_GAAP/1M", "FPR=2022Y", "FPT=A", "FA_ACT_EST_DATA=E, EST_SOURCE=PSG", "ACT_EST_MAPPING=PRECISE", "FS=MRC", "CURRENCY=USD", "XLFILL=b")</f>
        <v/>
      </c>
      <c r="AQ86" s="9" t="str">
        <f>_xll.BQL("CRM US Equity", "IS_GENERAL_AND_ADMIN_GAAP/1M", "FPR=2022Y", "FPT=A", "FA_ACT_EST_DATA=E, EST_SOURCE=DWI", "ACT_EST_MAPPING=PRECISE", "FS=MRC", "CURRENCY=USD", "XLFILL=b")</f>
        <v/>
      </c>
      <c r="AR86" s="9" t="str">
        <f>_xll.BQL("CRM US Equity", "IS_GENERAL_AND_ADMIN_GAAP/1M", "FPR=2022Y", "FPT=A", "FA_ACT_EST_DATA=E, EST_SOURCE=RWB", "ACT_EST_MAPPING=PRECISE", "FS=MRC", "CURRENCY=USD", "XLFILL=b")</f>
        <v/>
      </c>
      <c r="AS86" s="9" t="str">
        <f>_xll.BQL("CRM US Equity", "IS_GENERAL_AND_ADMIN_GAAP/1M", "FPR=2022Y", "FPT=A", "FA_ACT_EST_DATA=E, EST_SOURCE=ARG", "ACT_EST_MAPPING=PRECISE", "FS=MRC", "CURRENCY=USD", "XLFILL=b")</f>
        <v/>
      </c>
      <c r="AT86" s="9" t="str">
        <f>_xll.BQL("CRM US Equity", "IS_GENERAL_AND_ADMIN_GAAP/1M", "FPR=2022Y", "FPT=A", "FA_ACT_EST_DATA=E, EST_SOURCE=CTI", "ACT_EST_MAPPING=PRECISE", "FS=MRC", "CURRENCY=USD", "XLFILL=b")</f>
        <v/>
      </c>
      <c r="AU86" s="9" t="str">
        <f>_xll.BQL("CRM US Equity", "IS_GENERAL_AND_ADMIN_GAAP/1M", "FPR=2022Y", "FPT=A", "FA_ACT_EST_DATA=E, EST_SOURCE=WFT", "ACT_EST_MAPPING=PRECISE", "FS=MRC", "CURRENCY=USD", "XLFILL=b")</f>
        <v/>
      </c>
      <c r="AV86" s="9" t="str">
        <f>_xll.BQL("CRM US Equity", "IS_GENERAL_AND_ADMIN_GAAP/1M", "FPR=2022Y", "FPT=A", "FA_ACT_EST_DATA=E, EST_SOURCE=PJE", "ACT_EST_MAPPING=PRECISE", "FS=MRC", "CURRENCY=USD", "XLFILL=b")</f>
        <v/>
      </c>
      <c r="AW86" s="9" t="str">
        <f>_xll.BQL("CRM US Equity", "IS_GENERAL_AND_ADMIN_GAAP/1M", "FPR=2022Y", "FPT=A", "FA_ACT_EST_DATA=E, EST_SOURCE=SGE", "ACT_EST_MAPPING=PRECISE", "FS=MRC", "CURRENCY=USD", "XLFILL=b")</f>
        <v/>
      </c>
      <c r="AX86" s="9" t="str">
        <f>_xll.BQL("CRM US Equity", "IS_GENERAL_AND_ADMIN_GAAP/1M", "FPR=2022Y", "FPT=A", "FA_ACT_EST_DATA=E, EST_SOURCE=MZS", "ACT_EST_MAPPING=PRECISE", "FS=MRC", "CURRENCY=USD", "XLFILL=b")</f>
        <v/>
      </c>
      <c r="AY86" s="9" t="str">
        <f>_xll.BQL("CRM US Equity", "IS_GENERAL_AND_ADMIN_GAAP/1M", "FPR=2022Y", "FPT=A", "FA_ACT_EST_DATA=E, EST_SOURCE=RCP", "ACT_EST_MAPPING=PRECISE", "FS=MRC", "CURRENCY=USD", "XLFILL=b")</f>
        <v/>
      </c>
      <c r="AZ86" s="9" t="str">
        <f>_xll.BQL("CRM US Equity", "IS_GENERAL_AND_ADMIN_GAAP/1M", "FPR=2022Y", "FPT=A", "FA_ACT_EST_DATA=E, EST_SOURCE=WFR", "ACT_EST_MAPPING=PRECISE", "FS=MRC", "CURRENCY=USD", "XLFILL=b")</f>
        <v/>
      </c>
      <c r="BA86" s="9" t="str">
        <f>_xll.BQL("CRM US Equity", "IS_GENERAL_AND_ADMIN_GAAP/1M", "FPR=2022Y", "FPT=A", "FA_ACT_EST_DATA=E, EST_SOURCE=NIK", "ACT_EST_MAPPING=PRECISE", "FS=MRC", "CURRENCY=USD", "XLFILL=b")</f>
        <v/>
      </c>
      <c r="BB86" s="9" t="str">
        <f>_xll.BQL("CRM US Equity", "IS_GENERAL_AND_ADMIN_GAAP/1M", "FPR=2022Y", "FPT=A", "FA_ACT_EST_DATA=E, EST_SOURCE=ARE", "ACT_EST_MAPPING=PRECISE", "FS=MRC", "CURRENCY=USD", "XLFILL=b")</f>
        <v/>
      </c>
      <c r="BC86" s="9" t="str">
        <f>_xll.BQL("CRM US Equity", "IS_GENERAL_AND_ADMIN_GAAP/1M", "FPR=2022Y", "FPT=A", "FA_ACT_EST_DATA=E, EST_SOURCE=RED", "ACT_EST_MAPPING=PRECISE", "FS=MRC", "CURRENCY=USD", "XLFILL=b")</f>
        <v/>
      </c>
      <c r="BD86" s="9" t="str">
        <f>_xll.BQL("CRM US Equity", "IS_GENERAL_AND_ADMIN_GAAP/1M", "FPR=2022Y", "FPT=A", "FA_ACT_EST_DATA=E, EST_SOURCE=DIR", "ACT_EST_MAPPING=PRECISE", "FS=MRC", "CURRENCY=USD", "XLFILL=b")</f>
        <v/>
      </c>
    </row>
    <row r="87" spans="1:56" x14ac:dyDescent="0.55000000000000004">
      <c r="A87" s="8" t="s">
        <v>150</v>
      </c>
      <c r="B87" s="5" t="s">
        <v>151</v>
      </c>
      <c r="C87" s="5" t="s">
        <v>102</v>
      </c>
      <c r="D87" s="5"/>
      <c r="E87" s="9">
        <f>_xll.BQL("CRM US Equity", "IS_EBIT_AS_REPORTED/1M", "FPR=2022Y", "FPT=A", "FA_ACT_EST_DATA=E", "ACT_EST_MAPPING=PRECISE", "FS=MRC", "CURRENCY=USD", "XLFILL=b")</f>
        <v>474.42144705896129</v>
      </c>
      <c r="F87" s="9">
        <f>_xll.BQL("CRM US Equity", "CONTRIBUTOR_STATS(IS_EBIT_AS_REPORTED, MIN)/1M", "FPR=2022Y", "FPT=A", "FA_ACT_EST_DATA=E", "ACT_EST_MAPPING=PRECISE", "FS=MRC", "CURRENCY=USD", "XLFILL=b")</f>
        <v>409.54508892166712</v>
      </c>
      <c r="G87" s="9">
        <f>_xll.BQL("CRM US Equity", "CONTRIBUTOR_STATS(IS_EBIT_AS_REPORTED, MAX)/1M", "FPR=2022Y", "FPT=A", "FA_ACT_EST_DATA=E", "ACT_EST_MAPPING=PRECISE", "FS=MRC", "CURRENCY=USD", "XLFILL=b")</f>
        <v>535.92795999999862</v>
      </c>
      <c r="H87" s="9">
        <f>_xll.BQL("CRM US Equity", "CONTRIBUTOR_STATS(IS_EBIT_AS_REPORTED, STD)/1M", "FPR=2022Y", "FPT=A", "FA_ACT_EST_DATA=E", "ACT_EST_MAPPING=PRECISE", "FS=MRC", "CURRENCY=USD", "XLFILL=b")</f>
        <v>35.510056011026776</v>
      </c>
      <c r="I87" s="9">
        <f>_xll.BQL("CRM US Equity", "CONTRIBUTOR_STATS(IS_EBIT_AS_REPORTED, MEDIAN)/1M", "FPR=2022Y", "FPT=A", "FA_ACT_EST_DATA=E", "ACT_EST_MAPPING=PRECISE", "FS=MRC", "CURRENCY=USD", "XLFILL=b")</f>
        <v>483.72</v>
      </c>
      <c r="J87" s="9" t="str">
        <f>_xll.BQL("CRM US Equity", "IS_EBIT_AS_REPORTED/1M", "FPR=2022Y", "FPT=A", "FA_ACT_EST_DATA=E, EST_SOURCE=CMPY", "ACT_EST_MAPPING=PRECISE", "FS=MRC", "CURRENCY=USD", "XLFILL=b")</f>
        <v/>
      </c>
      <c r="K87" s="9" t="str">
        <f>_xll.BQL("CRM US Equity", "IS_EBIT_AS_REPORTED/1M", "FPR=2022Y", "FPT=A", "FA_ACT_EST_DATA=E, EST_SOURCE=WBL", "ACT_EST_MAPPING=PRECISE", "FS=MRC", "CURRENCY=USD", "XLFILL=b")</f>
        <v/>
      </c>
      <c r="L87" s="9" t="str">
        <f>_xll.BQL("CRM US Equity", "IS_EBIT_AS_REPORTED/1M", "FPR=2022Y", "FPT=A", "FA_ACT_EST_DATA=E, EST_SOURCE=BMO", "ACT_EST_MAPPING=PRECISE", "FS=MRC", "CURRENCY=USD", "XLFILL=b")</f>
        <v/>
      </c>
      <c r="M87" s="9">
        <f>_xll.BQL("CRM US Equity", "IS_EBIT_AS_REPORTED/1M", "FPR=2022Y", "FPT=A", "FA_ACT_EST_DATA=E, EST_SOURCE=BCA", "ACT_EST_MAPPING=PRECISE", "FS=MRC", "CURRENCY=USD", "XLFILL=b")</f>
        <v>477.70289617916751</v>
      </c>
      <c r="N87" s="9" t="str">
        <f>_xll.BQL("CRM US Equity", "IS_EBIT_AS_REPORTED/1M", "FPR=2022Y", "FPT=A", "FA_ACT_EST_DATA=E, EST_SOURCE=SNR", "ACT_EST_MAPPING=PRECISE", "FS=MRC", "CURRENCY=USD", "XLFILL=b")</f>
        <v/>
      </c>
      <c r="O87" s="9">
        <f>_xll.BQL("CRM US Equity", "IS_EBIT_AS_REPORTED/1M", "FPR=2022Y", "FPT=A", "FA_ACT_EST_DATA=E, EST_SOURCE=MSV", "ACT_EST_MAPPING=PRECISE", "FS=MRC", "CURRENCY=USD", "XLFILL=b")</f>
        <v>424.08885498574449</v>
      </c>
      <c r="P87" s="9">
        <f>_xll.BQL("CRM US Equity", "IS_EBIT_AS_REPORTED/1M", "FPR=2022Y", "FPT=A", "FA_ACT_EST_DATA=E, EST_SOURCE=DBG", "ACT_EST_MAPPING=PRECISE", "FS=MRC", "CURRENCY=USD", "XLFILL=b")</f>
        <v>461.17691994259076</v>
      </c>
      <c r="Q87" s="9">
        <f>_xll.BQL("CRM US Equity", "IS_EBIT_AS_REPORTED/1M", "FPR=2022Y", "FPT=A", "FA_ACT_EST_DATA=E, EST_SOURCE=NDH", "ACT_EST_MAPPING=PRECISE", "FS=MRC", "CURRENCY=USD", "XLFILL=b")</f>
        <v>490.75165000000044</v>
      </c>
      <c r="R87" s="9" t="str">
        <f>_xll.BQL("CRM US Equity", "IS_EBIT_AS_REPORTED/1M", "FPR=2022Y", "FPT=A", "FA_ACT_EST_DATA=E, EST_SOURCE=CAN", "ACT_EST_MAPPING=PRECISE", "FS=MRC", "CURRENCY=USD", "XLFILL=b")</f>
        <v/>
      </c>
      <c r="S87" s="9" t="str">
        <f>_xll.BQL("CRM US Equity", "IS_EBIT_AS_REPORTED/1M", "FPR=2022Y", "FPT=A", "FA_ACT_EST_DATA=E, EST_SOURCE=SCB", "ACT_EST_MAPPING=PRECISE", "FS=MRC", "CURRENCY=USD", "XLFILL=b")</f>
        <v/>
      </c>
      <c r="T87" s="9">
        <f>_xll.BQL("CRM US Equity", "IS_EBIT_AS_REPORTED/1M", "FPR=2022Y", "FPT=A", "FA_ACT_EST_DATA=E, EST_SOURCE=JMP", "ACT_EST_MAPPING=PRECISE", "FS=MRC", "CURRENCY=USD", "XLFILL=b")</f>
        <v>483.72</v>
      </c>
      <c r="U87" s="9">
        <f>_xll.BQL("CRM US Equity", "IS_EBIT_AS_REPORTED/1M", "FPR=2022Y", "FPT=A", "FA_ACT_EST_DATA=E, EST_SOURCE=RJA", "ACT_EST_MAPPING=PRECISE", "FS=MRC", "CURRENCY=USD", "XLFILL=b")</f>
        <v>484.53428999999909</v>
      </c>
      <c r="V87" s="9" t="str">
        <f>_xll.BQL("CRM US Equity", "IS_EBIT_AS_REPORTED/1M", "FPR=2022Y", "FPT=A", "FA_ACT_EST_DATA=E, EST_SOURCE=OPY", "ACT_EST_MAPPING=PRECISE", "FS=MRC", "CURRENCY=USD", "XLFILL=b")</f>
        <v/>
      </c>
      <c r="W87" s="9">
        <f>_xll.BQL("CRM US Equity", "IS_EBIT_AS_REPORTED/1M", "FPR=2022Y", "FPT=A", "FA_ACT_EST_DATA=E, EST_SOURCE=JPM", "ACT_EST_MAPPING=PRECISE", "FS=MRC", "CURRENCY=USD", "XLFILL=b")</f>
        <v>409.54508892166712</v>
      </c>
      <c r="X87" s="9">
        <f>_xll.BQL("CRM US Equity", "IS_EBIT_AS_REPORTED/1M", "FPR=2022Y", "FPT=A", "FA_ACT_EST_DATA=E, EST_SOURCE=FBC", "ACT_EST_MAPPING=PRECISE", "FS=MRC", "CURRENCY=USD", "XLFILL=b")</f>
        <v>471.74819121819752</v>
      </c>
      <c r="Y87" s="9" t="str">
        <f>_xll.BQL("CRM US Equity", "IS_EBIT_AS_REPORTED/1M", "FPR=2022Y", "FPT=A", "FA_ACT_EST_DATA=E, EST_SOURCE=WMS", "ACT_EST_MAPPING=PRECISE", "FS=MRC", "CURRENCY=USD", "XLFILL=b")</f>
        <v/>
      </c>
      <c r="Z87" s="9">
        <f>_xll.BQL("CRM US Equity", "IS_EBIT_AS_REPORTED/1M", "FPR=2022Y", "FPT=A", "FA_ACT_EST_DATA=E, EST_SOURCE=KEY", "ACT_EST_MAPPING=PRECISE", "FS=MRC", "CURRENCY=USD", "XLFILL=b")</f>
        <v>471.82552744007995</v>
      </c>
      <c r="AA87" s="9" t="str">
        <f>_xll.BQL("CRM US Equity", "IS_EBIT_AS_REPORTED/1M", "FPR=2022Y", "FPT=A", "FA_ACT_EST_DATA=E, EST_SOURCE=LCM", "ACT_EST_MAPPING=PRECISE", "FS=MRC", "CURRENCY=USD", "XLFILL=b")</f>
        <v/>
      </c>
      <c r="AB87" s="9" t="str">
        <f>_xll.BQL("CRM US Equity", "IS_EBIT_AS_REPORTED/1M", "FPR=2022Y", "FPT=A", "FA_ACT_EST_DATA=E, EST_SOURCE=CWN", "ACT_EST_MAPPING=PRECISE", "FS=MRC", "CURRENCY=USD", "XLFILL=b")</f>
        <v/>
      </c>
      <c r="AC87" s="9" t="str">
        <f>_xll.BQL("CRM US Equity", "IS_EBIT_AS_REPORTED/1M", "FPR=2022Y", "FPT=A", "FA_ACT_EST_DATA=E, EST_SOURCE=BNS", "ACT_EST_MAPPING=PRECISE", "FS=MRC", "CURRENCY=USD", "XLFILL=b")</f>
        <v/>
      </c>
      <c r="AD87" s="9" t="str">
        <f>_xll.BQL("CRM US Equity", "IS_EBIT_AS_REPORTED/1M", "FPR=2022Y", "FPT=A", "FA_ACT_EST_DATA=E, EST_SOURCE=BAM", "ACT_EST_MAPPING=PRECISE", "FS=MRC", "CURRENCY=USD", "XLFILL=b")</f>
        <v/>
      </c>
      <c r="AE87" s="9" t="str">
        <f>_xll.BQL("CRM US Equity", "IS_EBIT_AS_REPORTED/1M", "FPR=2022Y", "FPT=A", "FA_ACT_EST_DATA=E, EST_SOURCE=RBC", "ACT_EST_MAPPING=PRECISE", "FS=MRC", "CURRENCY=USD", "XLFILL=b")</f>
        <v/>
      </c>
      <c r="AF87" s="9" t="str">
        <f>_xll.BQL("CRM US Equity", "IS_EBIT_AS_REPORTED/1M", "FPR=2022Y", "FPT=A", "FA_ACT_EST_DATA=E, EST_SOURCE=UBS", "ACT_EST_MAPPING=PRECISE", "FS=MRC", "CURRENCY=USD", "XLFILL=b")</f>
        <v/>
      </c>
      <c r="AG87" s="9" t="str">
        <f>_xll.BQL("CRM US Equity", "IS_EBIT_AS_REPORTED/1M", "FPR=2022Y", "FPT=A", "FA_ACT_EST_DATA=E, EST_SOURCE=RHR", "ACT_EST_MAPPING=PRECISE", "FS=MRC", "CURRENCY=USD", "XLFILL=b")</f>
        <v/>
      </c>
      <c r="AH87" s="9" t="str">
        <f>_xll.BQL("CRM US Equity", "IS_EBIT_AS_REPORTED/1M", "FPR=2022Y", "FPT=A", "FA_ACT_EST_DATA=E, EST_SOURCE=JEF", "ACT_EST_MAPPING=PRECISE", "FS=MRC", "CURRENCY=USD", "XLFILL=b")</f>
        <v/>
      </c>
      <c r="AI87" s="9" t="str">
        <f>_xll.BQL("CRM US Equity", "IS_EBIT_AS_REPORTED/1M", "FPR=2022Y", "FPT=A", "FA_ACT_EST_DATA=E, EST_SOURCE=ATL", "ACT_EST_MAPPING=PRECISE", "FS=MRC", "CURRENCY=USD", "XLFILL=b")</f>
        <v/>
      </c>
      <c r="AJ87" s="9" t="str">
        <f>_xll.BQL("CRM US Equity", "IS_EBIT_AS_REPORTED/1M", "FPR=2022Y", "FPT=A", "FA_ACT_EST_DATA=E, EST_SOURCE=MAC", "ACT_EST_MAPPING=PRECISE", "FS=MRC", "CURRENCY=USD", "XLFILL=b")</f>
        <v/>
      </c>
      <c r="AK87" s="9" t="str">
        <f>_xll.BQL("CRM US Equity", "IS_EBIT_AS_REPORTED/1M", "FPR=2022Y", "FPT=A", "FA_ACT_EST_DATA=E, EST_SOURCE=EVR", "ACT_EST_MAPPING=PRECISE", "FS=MRC", "CURRENCY=USD", "XLFILL=b")</f>
        <v/>
      </c>
      <c r="AL87" s="9" t="str">
        <f>_xll.BQL("CRM US Equity", "IS_EBIT_AS_REPORTED/1M", "FPR=2022Y", "FPT=A", "FA_ACT_EST_DATA=E, EST_SOURCE=MSR", "ACT_EST_MAPPING=PRECISE", "FS=MRC", "CURRENCY=USD", "XLFILL=b")</f>
        <v/>
      </c>
      <c r="AM87" s="9" t="str">
        <f>_xll.BQL("CRM US Equity", "IS_EBIT_AS_REPORTED/1M", "FPR=2022Y", "FPT=A", "FA_ACT_EST_DATA=E, EST_SOURCE=KGI", "ACT_EST_MAPPING=PRECISE", "FS=MRC", "CURRENCY=USD", "XLFILL=b")</f>
        <v/>
      </c>
      <c r="AN87" s="9" t="str">
        <f>_xll.BQL("CRM US Equity", "IS_EBIT_AS_REPORTED/1M", "FPR=2022Y", "FPT=A", "FA_ACT_EST_DATA=E, EST_SOURCE=ACC", "ACT_EST_MAPPING=PRECISE", "FS=MRC", "CURRENCY=USD", "XLFILL=b")</f>
        <v/>
      </c>
      <c r="AO87" s="9" t="str">
        <f>_xll.BQL("CRM US Equity", "IS_EBIT_AS_REPORTED/1M", "FPR=2022Y", "FPT=A", "FA_ACT_EST_DATA=E, EST_SOURCE=GSR", "ACT_EST_MAPPING=PRECISE", "FS=MRC", "CURRENCY=USD", "XLFILL=b")</f>
        <v/>
      </c>
      <c r="AP87" s="9" t="str">
        <f>_xll.BQL("CRM US Equity", "IS_EBIT_AS_REPORTED/1M", "FPR=2022Y", "FPT=A", "FA_ACT_EST_DATA=E, EST_SOURCE=PSG", "ACT_EST_MAPPING=PRECISE", "FS=MRC", "CURRENCY=USD", "XLFILL=b")</f>
        <v/>
      </c>
      <c r="AQ87" s="9" t="str">
        <f>_xll.BQL("CRM US Equity", "IS_EBIT_AS_REPORTED/1M", "FPR=2022Y", "FPT=A", "FA_ACT_EST_DATA=E, EST_SOURCE=DWI", "ACT_EST_MAPPING=PRECISE", "FS=MRC", "CURRENCY=USD", "XLFILL=b")</f>
        <v/>
      </c>
      <c r="AR87" s="9" t="str">
        <f>_xll.BQL("CRM US Equity", "IS_EBIT_AS_REPORTED/1M", "FPR=2022Y", "FPT=A", "FA_ACT_EST_DATA=E, EST_SOURCE=RWB", "ACT_EST_MAPPING=PRECISE", "FS=MRC", "CURRENCY=USD", "XLFILL=b")</f>
        <v/>
      </c>
      <c r="AS87" s="9" t="str">
        <f>_xll.BQL("CRM US Equity", "IS_EBIT_AS_REPORTED/1M", "FPR=2022Y", "FPT=A", "FA_ACT_EST_DATA=E, EST_SOURCE=ARG", "ACT_EST_MAPPING=PRECISE", "FS=MRC", "CURRENCY=USD", "XLFILL=b")</f>
        <v/>
      </c>
      <c r="AT87" s="9" t="str">
        <f>_xll.BQL("CRM US Equity", "IS_EBIT_AS_REPORTED/1M", "FPR=2022Y", "FPT=A", "FA_ACT_EST_DATA=E, EST_SOURCE=CTI", "ACT_EST_MAPPING=PRECISE", "FS=MRC", "CURRENCY=USD", "XLFILL=b")</f>
        <v/>
      </c>
      <c r="AU87" s="9" t="str">
        <f>_xll.BQL("CRM US Equity", "IS_EBIT_AS_REPORTED/1M", "FPR=2022Y", "FPT=A", "FA_ACT_EST_DATA=E, EST_SOURCE=WFT", "ACT_EST_MAPPING=PRECISE", "FS=MRC", "CURRENCY=USD", "XLFILL=b")</f>
        <v/>
      </c>
      <c r="AV87" s="9" t="str">
        <f>_xll.BQL("CRM US Equity", "IS_EBIT_AS_REPORTED/1M", "FPR=2022Y", "FPT=A", "FA_ACT_EST_DATA=E, EST_SOURCE=PJE", "ACT_EST_MAPPING=PRECISE", "FS=MRC", "CURRENCY=USD", "XLFILL=b")</f>
        <v/>
      </c>
      <c r="AW87" s="9" t="str">
        <f>_xll.BQL("CRM US Equity", "IS_EBIT_AS_REPORTED/1M", "FPR=2022Y", "FPT=A", "FA_ACT_EST_DATA=E, EST_SOURCE=SGE", "ACT_EST_MAPPING=PRECISE", "FS=MRC", "CURRENCY=USD", "XLFILL=b")</f>
        <v/>
      </c>
      <c r="AX87" s="9" t="str">
        <f>_xll.BQL("CRM US Equity", "IS_EBIT_AS_REPORTED/1M", "FPR=2022Y", "FPT=A", "FA_ACT_EST_DATA=E, EST_SOURCE=MZS", "ACT_EST_MAPPING=PRECISE", "FS=MRC", "CURRENCY=USD", "XLFILL=b")</f>
        <v/>
      </c>
      <c r="AY87" s="9" t="str">
        <f>_xll.BQL("CRM US Equity", "IS_EBIT_AS_REPORTED/1M", "FPR=2022Y", "FPT=A", "FA_ACT_EST_DATA=E, EST_SOURCE=RCP", "ACT_EST_MAPPING=PRECISE", "FS=MRC", "CURRENCY=USD", "XLFILL=b")</f>
        <v/>
      </c>
      <c r="AZ87" s="9" t="str">
        <f>_xll.BQL("CRM US Equity", "IS_EBIT_AS_REPORTED/1M", "FPR=2022Y", "FPT=A", "FA_ACT_EST_DATA=E, EST_SOURCE=WFR", "ACT_EST_MAPPING=PRECISE", "FS=MRC", "CURRENCY=USD", "XLFILL=b")</f>
        <v/>
      </c>
      <c r="BA87" s="9" t="str">
        <f>_xll.BQL("CRM US Equity", "IS_EBIT_AS_REPORTED/1M", "FPR=2022Y", "FPT=A", "FA_ACT_EST_DATA=E, EST_SOURCE=NIK", "ACT_EST_MAPPING=PRECISE", "FS=MRC", "CURRENCY=USD", "XLFILL=b")</f>
        <v/>
      </c>
      <c r="BB87" s="9" t="str">
        <f>_xll.BQL("CRM US Equity", "IS_EBIT_AS_REPORTED/1M", "FPR=2022Y", "FPT=A", "FA_ACT_EST_DATA=E, EST_SOURCE=ARE", "ACT_EST_MAPPING=PRECISE", "FS=MRC", "CURRENCY=USD", "XLFILL=b")</f>
        <v/>
      </c>
      <c r="BC87" s="9" t="str">
        <f>_xll.BQL("CRM US Equity", "IS_EBIT_AS_REPORTED/1M", "FPR=2022Y", "FPT=A", "FA_ACT_EST_DATA=E, EST_SOURCE=RED", "ACT_EST_MAPPING=PRECISE", "FS=MRC", "CURRENCY=USD", "XLFILL=b")</f>
        <v/>
      </c>
      <c r="BD87" s="9" t="str">
        <f>_xll.BQL("CRM US Equity", "IS_EBIT_AS_REPORTED/1M", "FPR=2022Y", "FPT=A", "FA_ACT_EST_DATA=E, EST_SOURCE=DIR", "ACT_EST_MAPPING=PRECISE", "FS=MRC", "CURRENCY=USD", "XLFILL=b")</f>
        <v/>
      </c>
    </row>
    <row r="88" spans="1:56" x14ac:dyDescent="0.55000000000000004">
      <c r="A88" s="8" t="s">
        <v>152</v>
      </c>
      <c r="B88" s="5" t="s">
        <v>153</v>
      </c>
      <c r="C88" s="5" t="s">
        <v>51</v>
      </c>
      <c r="D88" s="5"/>
      <c r="E88" s="9">
        <f>_xll.BQL("CRM US Equity", "OPER_INC_TO_NET_SALES", "FPR=2022Y", "FPT=A", "FA_ACT_EST_DATA=E", "ACT_EST_MAPPING=PRECISE", "FS=MRC", "CURRENCY=USD", "XLFILL=b")</f>
        <v>1.810557588634865</v>
      </c>
      <c r="F88" s="9">
        <f>_xll.BQL("CRM US Equity", "CONTRIBUTOR_STATS(OPER_INC_TO_NET_SALES, MIN)", "FPR=2022Y", "FPT=A", "FA_ACT_EST_DATA=E", "ACT_EST_MAPPING=PRECISE", "FS=MRC", "CURRENCY=USD", "XLFILL=b")</f>
        <v>1.551546351735541</v>
      </c>
      <c r="G88" s="9">
        <f>_xll.BQL("CRM US Equity", "CONTRIBUTOR_STATS(OPER_INC_TO_NET_SALES, MAX)", "FPR=2022Y", "FPT=A", "FA_ACT_EST_DATA=E", "ACT_EST_MAPPING=PRECISE", "FS=MRC", "CURRENCY=USD", "XLFILL=b")</f>
        <v>2.030065523868966</v>
      </c>
      <c r="H88" s="9">
        <f>_xll.BQL("CRM US Equity", "CONTRIBUTOR_STATS(OPER_INC_TO_NET_SALES, STD)", "FPR=2022Y", "FPT=A", "FA_ACT_EST_DATA=E", "ACT_EST_MAPPING=PRECISE", "FS=MRC", "CURRENCY=USD", "XLFILL=b")</f>
        <v>0.14835735160188171</v>
      </c>
      <c r="I88" s="9">
        <f>_xll.BQL("CRM US Equity", "CONTRIBUTOR_STATS(OPER_INC_TO_NET_SALES, MEDIAN)", "FPR=2022Y", "FPT=A", "FA_ACT_EST_DATA=E", "ACT_EST_MAPPING=PRECISE", "FS=MRC", "CURRENCY=USD", "XLFILL=b")</f>
        <v>1.83917174840371</v>
      </c>
      <c r="J88" s="9" t="str">
        <f>_xll.BQL("CRM US Equity", "OPER_INC_TO_NET_SALES", "FPR=2022Y", "FPT=A", "FA_ACT_EST_DATA=E, EST_SOURCE=CMPY", "ACT_EST_MAPPING=PRECISE", "FS=MRC", "CURRENCY=USD", "XLFILL=b")</f>
        <v/>
      </c>
      <c r="K88" s="9" t="str">
        <f>_xll.BQL("CRM US Equity", "OPER_INC_TO_NET_SALES", "FPR=2022Y", "FPT=A", "FA_ACT_EST_DATA=E, EST_SOURCE=WBL", "ACT_EST_MAPPING=PRECISE", "FS=MRC", "CURRENCY=USD", "XLFILL=b")</f>
        <v/>
      </c>
      <c r="L88" s="9" t="str">
        <f>_xll.BQL("CRM US Equity", "OPER_INC_TO_NET_SALES", "FPR=2022Y", "FPT=A", "FA_ACT_EST_DATA=E, EST_SOURCE=BMO", "ACT_EST_MAPPING=PRECISE", "FS=MRC", "CURRENCY=USD", "XLFILL=b")</f>
        <v/>
      </c>
      <c r="M88" s="9">
        <f>_xll.BQL("CRM US Equity", "OPER_INC_TO_NET_SALES", "FPR=2022Y", "FPT=A", "FA_ACT_EST_DATA=E, EST_SOURCE=BCA", "ACT_EST_MAPPING=PRECISE", "FS=MRC", "CURRENCY=USD", "XLFILL=b")</f>
        <v>1.8098482809370351</v>
      </c>
      <c r="N88" s="9" t="str">
        <f>_xll.BQL("CRM US Equity", "OPER_INC_TO_NET_SALES", "FPR=2022Y", "FPT=A", "FA_ACT_EST_DATA=E, EST_SOURCE=SNR", "ACT_EST_MAPPING=PRECISE", "FS=MRC", "CURRENCY=USD", "XLFILL=b")</f>
        <v/>
      </c>
      <c r="O88" s="9">
        <f>_xll.BQL("CRM US Equity", "OPER_INC_TO_NET_SALES", "FPR=2022Y", "FPT=A", "FA_ACT_EST_DATA=E, EST_SOURCE=MSV", "ACT_EST_MAPPING=PRECISE", "FS=MRC", "CURRENCY=USD", "XLFILL=b")</f>
        <v>1.606957969785981</v>
      </c>
      <c r="P88" s="9" t="str">
        <f>_xll.BQL("CRM US Equity", "OPER_INC_TO_NET_SALES", "FPR=2022Y", "FPT=A", "FA_ACT_EST_DATA=E, EST_SOURCE=DBG", "ACT_EST_MAPPING=PRECISE", "FS=MRC", "CURRENCY=USD", "XLFILL=b")</f>
        <v/>
      </c>
      <c r="Q88" s="9">
        <f>_xll.BQL("CRM US Equity", "OPER_INC_TO_NET_SALES", "FPR=2022Y", "FPT=A", "FA_ACT_EST_DATA=E, EST_SOURCE=NDH", "ACT_EST_MAPPING=PRECISE", "FS=MRC", "CURRENCY=USD", "XLFILL=b")</f>
        <v>1.859228200314829</v>
      </c>
      <c r="R88" s="9" t="str">
        <f>_xll.BQL("CRM US Equity", "OPER_INC_TO_NET_SALES", "FPR=2022Y", "FPT=A", "FA_ACT_EST_DATA=E, EST_SOURCE=CAN", "ACT_EST_MAPPING=PRECISE", "FS=MRC", "CURRENCY=USD", "XLFILL=b")</f>
        <v/>
      </c>
      <c r="S88" s="9" t="str">
        <f>_xll.BQL("CRM US Equity", "OPER_INC_TO_NET_SALES", "FPR=2022Y", "FPT=A", "FA_ACT_EST_DATA=E, EST_SOURCE=SCB", "ACT_EST_MAPPING=PRECISE", "FS=MRC", "CURRENCY=USD", "XLFILL=b")</f>
        <v/>
      </c>
      <c r="T88" s="9">
        <f>_xll.BQL("CRM US Equity", "OPER_INC_TO_NET_SALES", "FPR=2022Y", "FPT=A", "FA_ACT_EST_DATA=E, EST_SOURCE=JMP", "ACT_EST_MAPPING=PRECISE", "FS=MRC", "CURRENCY=USD", "XLFILL=b")</f>
        <v>1.832550386422185</v>
      </c>
      <c r="U88" s="9">
        <f>_xll.BQL("CRM US Equity", "OPER_INC_TO_NET_SALES", "FPR=2022Y", "FPT=A", "FA_ACT_EST_DATA=E, EST_SOURCE=RJA", "ACT_EST_MAPPING=PRECISE", "FS=MRC", "CURRENCY=USD", "XLFILL=b")</f>
        <v>1.8357032308704531</v>
      </c>
      <c r="V88" s="9" t="str">
        <f>_xll.BQL("CRM US Equity", "OPER_INC_TO_NET_SALES", "FPR=2022Y", "FPT=A", "FA_ACT_EST_DATA=E, EST_SOURCE=OPY", "ACT_EST_MAPPING=PRECISE", "FS=MRC", "CURRENCY=USD", "XLFILL=b")</f>
        <v/>
      </c>
      <c r="W88" s="9">
        <f>_xll.BQL("CRM US Equity", "OPER_INC_TO_NET_SALES", "FPR=2022Y", "FPT=A", "FA_ACT_EST_DATA=E, EST_SOURCE=JPM", "ACT_EST_MAPPING=PRECISE", "FS=MRC", "CURRENCY=USD", "XLFILL=b")</f>
        <v>1.551546351735541</v>
      </c>
      <c r="X88" s="9">
        <f>_xll.BQL("CRM US Equity", "OPER_INC_TO_NET_SALES", "FPR=2022Y", "FPT=A", "FA_ACT_EST_DATA=E, EST_SOURCE=FBC", "ACT_EST_MAPPING=PRECISE", "FS=MRC", "CURRENCY=USD", "XLFILL=b")</f>
        <v>8.738532939135629</v>
      </c>
      <c r="Y88" s="9" t="str">
        <f>_xll.BQL("CRM US Equity", "OPER_INC_TO_NET_SALES", "FPR=2022Y", "FPT=A", "FA_ACT_EST_DATA=E, EST_SOURCE=WMS", "ACT_EST_MAPPING=PRECISE", "FS=MRC", "CURRENCY=USD", "XLFILL=b")</f>
        <v/>
      </c>
      <c r="Z88" s="9" t="str">
        <f>_xll.BQL("CRM US Equity", "OPER_INC_TO_NET_SALES", "FPR=2022Y", "FPT=A", "FA_ACT_EST_DATA=E, EST_SOURCE=KEY", "ACT_EST_MAPPING=PRECISE", "FS=MRC", "CURRENCY=USD", "XLFILL=b")</f>
        <v/>
      </c>
      <c r="AA88" s="9" t="str">
        <f>_xll.BQL("CRM US Equity", "OPER_INC_TO_NET_SALES", "FPR=2022Y", "FPT=A", "FA_ACT_EST_DATA=E, EST_SOURCE=LCM", "ACT_EST_MAPPING=PRECISE", "FS=MRC", "CURRENCY=USD", "XLFILL=b")</f>
        <v/>
      </c>
      <c r="AB88" s="9" t="str">
        <f>_xll.BQL("CRM US Equity", "OPER_INC_TO_NET_SALES", "FPR=2022Y", "FPT=A", "FA_ACT_EST_DATA=E, EST_SOURCE=CWN", "ACT_EST_MAPPING=PRECISE", "FS=MRC", "CURRENCY=USD", "XLFILL=b")</f>
        <v/>
      </c>
      <c r="AC88" s="9" t="str">
        <f>_xll.BQL("CRM US Equity", "OPER_INC_TO_NET_SALES", "FPR=2022Y", "FPT=A", "FA_ACT_EST_DATA=E, EST_SOURCE=BNS", "ACT_EST_MAPPING=PRECISE", "FS=MRC", "CURRENCY=USD", "XLFILL=b")</f>
        <v/>
      </c>
      <c r="AD88" s="9" t="str">
        <f>_xll.BQL("CRM US Equity", "OPER_INC_TO_NET_SALES", "FPR=2022Y", "FPT=A", "FA_ACT_EST_DATA=E, EST_SOURCE=BAM", "ACT_EST_MAPPING=PRECISE", "FS=MRC", "CURRENCY=USD", "XLFILL=b")</f>
        <v/>
      </c>
      <c r="AE88" s="9" t="str">
        <f>_xll.BQL("CRM US Equity", "OPER_INC_TO_NET_SALES", "FPR=2022Y", "FPT=A", "FA_ACT_EST_DATA=E, EST_SOURCE=RBC", "ACT_EST_MAPPING=PRECISE", "FS=MRC", "CURRENCY=USD", "XLFILL=b")</f>
        <v/>
      </c>
      <c r="AF88" s="9" t="str">
        <f>_xll.BQL("CRM US Equity", "OPER_INC_TO_NET_SALES", "FPR=2022Y", "FPT=A", "FA_ACT_EST_DATA=E, EST_SOURCE=UBS", "ACT_EST_MAPPING=PRECISE", "FS=MRC", "CURRENCY=USD", "XLFILL=b")</f>
        <v/>
      </c>
      <c r="AG88" s="9" t="str">
        <f>_xll.BQL("CRM US Equity", "OPER_INC_TO_NET_SALES", "FPR=2022Y", "FPT=A", "FA_ACT_EST_DATA=E, EST_SOURCE=RHR", "ACT_EST_MAPPING=PRECISE", "FS=MRC", "CURRENCY=USD", "XLFILL=b")</f>
        <v/>
      </c>
      <c r="AH88" s="9" t="str">
        <f>_xll.BQL("CRM US Equity", "OPER_INC_TO_NET_SALES", "FPR=2022Y", "FPT=A", "FA_ACT_EST_DATA=E, EST_SOURCE=JEF", "ACT_EST_MAPPING=PRECISE", "FS=MRC", "CURRENCY=USD", "XLFILL=b")</f>
        <v/>
      </c>
      <c r="AI88" s="9" t="str">
        <f>_xll.BQL("CRM US Equity", "OPER_INC_TO_NET_SALES", "FPR=2022Y", "FPT=A", "FA_ACT_EST_DATA=E, EST_SOURCE=ATL", "ACT_EST_MAPPING=PRECISE", "FS=MRC", "CURRENCY=USD", "XLFILL=b")</f>
        <v/>
      </c>
      <c r="AJ88" s="9" t="str">
        <f>_xll.BQL("CRM US Equity", "OPER_INC_TO_NET_SALES", "FPR=2022Y", "FPT=A", "FA_ACT_EST_DATA=E, EST_SOURCE=MAC", "ACT_EST_MAPPING=PRECISE", "FS=MRC", "CURRENCY=USD", "XLFILL=b")</f>
        <v/>
      </c>
      <c r="AK88" s="9" t="str">
        <f>_xll.BQL("CRM US Equity", "OPER_INC_TO_NET_SALES", "FPR=2022Y", "FPT=A", "FA_ACT_EST_DATA=E, EST_SOURCE=EVR", "ACT_EST_MAPPING=PRECISE", "FS=MRC", "CURRENCY=USD", "XLFILL=b")</f>
        <v/>
      </c>
      <c r="AL88" s="9" t="str">
        <f>_xll.BQL("CRM US Equity", "OPER_INC_TO_NET_SALES", "FPR=2022Y", "FPT=A", "FA_ACT_EST_DATA=E, EST_SOURCE=MSR", "ACT_EST_MAPPING=PRECISE", "FS=MRC", "CURRENCY=USD", "XLFILL=b")</f>
        <v/>
      </c>
      <c r="AM88" s="9" t="str">
        <f>_xll.BQL("CRM US Equity", "OPER_INC_TO_NET_SALES", "FPR=2022Y", "FPT=A", "FA_ACT_EST_DATA=E, EST_SOURCE=KGI", "ACT_EST_MAPPING=PRECISE", "FS=MRC", "CURRENCY=USD", "XLFILL=b")</f>
        <v/>
      </c>
      <c r="AN88" s="9" t="str">
        <f>_xll.BQL("CRM US Equity", "OPER_INC_TO_NET_SALES", "FPR=2022Y", "FPT=A", "FA_ACT_EST_DATA=E, EST_SOURCE=ACC", "ACT_EST_MAPPING=PRECISE", "FS=MRC", "CURRENCY=USD", "XLFILL=b")</f>
        <v/>
      </c>
      <c r="AO88" s="9" t="str">
        <f>_xll.BQL("CRM US Equity", "OPER_INC_TO_NET_SALES", "FPR=2022Y", "FPT=A", "FA_ACT_EST_DATA=E, EST_SOURCE=GSR", "ACT_EST_MAPPING=PRECISE", "FS=MRC", "CURRENCY=USD", "XLFILL=b")</f>
        <v/>
      </c>
      <c r="AP88" s="9" t="str">
        <f>_xll.BQL("CRM US Equity", "OPER_INC_TO_NET_SALES", "FPR=2022Y", "FPT=A", "FA_ACT_EST_DATA=E, EST_SOURCE=PSG", "ACT_EST_MAPPING=PRECISE", "FS=MRC", "CURRENCY=USD", "XLFILL=b")</f>
        <v/>
      </c>
      <c r="AQ88" s="9" t="str">
        <f>_xll.BQL("CRM US Equity", "OPER_INC_TO_NET_SALES", "FPR=2022Y", "FPT=A", "FA_ACT_EST_DATA=E, EST_SOURCE=DWI", "ACT_EST_MAPPING=PRECISE", "FS=MRC", "CURRENCY=USD", "XLFILL=b")</f>
        <v/>
      </c>
      <c r="AR88" s="9" t="str">
        <f>_xll.BQL("CRM US Equity", "OPER_INC_TO_NET_SALES", "FPR=2022Y", "FPT=A", "FA_ACT_EST_DATA=E, EST_SOURCE=RWB", "ACT_EST_MAPPING=PRECISE", "FS=MRC", "CURRENCY=USD", "XLFILL=b")</f>
        <v/>
      </c>
      <c r="AS88" s="9" t="str">
        <f>_xll.BQL("CRM US Equity", "OPER_INC_TO_NET_SALES", "FPR=2022Y", "FPT=A", "FA_ACT_EST_DATA=E, EST_SOURCE=ARG", "ACT_EST_MAPPING=PRECISE", "FS=MRC", "CURRENCY=USD", "XLFILL=b")</f>
        <v/>
      </c>
      <c r="AT88" s="9" t="str">
        <f>_xll.BQL("CRM US Equity", "OPER_INC_TO_NET_SALES", "FPR=2022Y", "FPT=A", "FA_ACT_EST_DATA=E, EST_SOURCE=CTI", "ACT_EST_MAPPING=PRECISE", "FS=MRC", "CURRENCY=USD", "XLFILL=b")</f>
        <v/>
      </c>
      <c r="AU88" s="9" t="str">
        <f>_xll.BQL("CRM US Equity", "OPER_INC_TO_NET_SALES", "FPR=2022Y", "FPT=A", "FA_ACT_EST_DATA=E, EST_SOURCE=WFT", "ACT_EST_MAPPING=PRECISE", "FS=MRC", "CURRENCY=USD", "XLFILL=b")</f>
        <v/>
      </c>
      <c r="AV88" s="9" t="str">
        <f>_xll.BQL("CRM US Equity", "OPER_INC_TO_NET_SALES", "FPR=2022Y", "FPT=A", "FA_ACT_EST_DATA=E, EST_SOURCE=PJE", "ACT_EST_MAPPING=PRECISE", "FS=MRC", "CURRENCY=USD", "XLFILL=b")</f>
        <v/>
      </c>
      <c r="AW88" s="9" t="str">
        <f>_xll.BQL("CRM US Equity", "OPER_INC_TO_NET_SALES", "FPR=2022Y", "FPT=A", "FA_ACT_EST_DATA=E, EST_SOURCE=SGE", "ACT_EST_MAPPING=PRECISE", "FS=MRC", "CURRENCY=USD", "XLFILL=b")</f>
        <v/>
      </c>
      <c r="AX88" s="9" t="str">
        <f>_xll.BQL("CRM US Equity", "OPER_INC_TO_NET_SALES", "FPR=2022Y", "FPT=A", "FA_ACT_EST_DATA=E, EST_SOURCE=MZS", "ACT_EST_MAPPING=PRECISE", "FS=MRC", "CURRENCY=USD", "XLFILL=b")</f>
        <v/>
      </c>
      <c r="AY88" s="9" t="str">
        <f>_xll.BQL("CRM US Equity", "OPER_INC_TO_NET_SALES", "FPR=2022Y", "FPT=A", "FA_ACT_EST_DATA=E, EST_SOURCE=RCP", "ACT_EST_MAPPING=PRECISE", "FS=MRC", "CURRENCY=USD", "XLFILL=b")</f>
        <v/>
      </c>
      <c r="AZ88" s="9" t="str">
        <f>_xll.BQL("CRM US Equity", "OPER_INC_TO_NET_SALES", "FPR=2022Y", "FPT=A", "FA_ACT_EST_DATA=E, EST_SOURCE=WFR", "ACT_EST_MAPPING=PRECISE", "FS=MRC", "CURRENCY=USD", "XLFILL=b")</f>
        <v/>
      </c>
      <c r="BA88" s="9" t="str">
        <f>_xll.BQL("CRM US Equity", "OPER_INC_TO_NET_SALES", "FPR=2022Y", "FPT=A", "FA_ACT_EST_DATA=E, EST_SOURCE=NIK", "ACT_EST_MAPPING=PRECISE", "FS=MRC", "CURRENCY=USD", "XLFILL=b")</f>
        <v/>
      </c>
      <c r="BB88" s="9" t="str">
        <f>_xll.BQL("CRM US Equity", "OPER_INC_TO_NET_SALES", "FPR=2022Y", "FPT=A", "FA_ACT_EST_DATA=E, EST_SOURCE=ARE", "ACT_EST_MAPPING=PRECISE", "FS=MRC", "CURRENCY=USD", "XLFILL=b")</f>
        <v/>
      </c>
      <c r="BC88" s="9" t="str">
        <f>_xll.BQL("CRM US Equity", "OPER_INC_TO_NET_SALES", "FPR=2022Y", "FPT=A", "FA_ACT_EST_DATA=E, EST_SOURCE=RED", "ACT_EST_MAPPING=PRECISE", "FS=MRC", "CURRENCY=USD", "XLFILL=b")</f>
        <v/>
      </c>
      <c r="BD88" s="9" t="str">
        <f>_xll.BQL("CRM US Equity", "OPER_INC_TO_NET_SALES", "FPR=2022Y", "FPT=A", "FA_ACT_EST_DATA=E, EST_SOURCE=DIR", "ACT_EST_MAPPING=PRECISE", "FS=MRC", "CURRENCY=USD", "XLFILL=b")</f>
        <v/>
      </c>
    </row>
    <row r="89" spans="1:56" x14ac:dyDescent="0.55000000000000004">
      <c r="A89" s="8" t="s">
        <v>154</v>
      </c>
      <c r="B89" s="5" t="s">
        <v>155</v>
      </c>
      <c r="C89" s="5" t="s">
        <v>117</v>
      </c>
      <c r="D89" s="5"/>
      <c r="E89" s="9">
        <f>_xll.BQL("CRM US Equity", "PRETAX_INC/1M", "FPR=2022Y", "FPT=A", "FA_ACT_EST_DATA=E", "ACT_EST_MAPPING=PRECISE", "FS=MRC", "CURRENCY=USD", "XLFILL=b")</f>
        <v>1402.126670885428</v>
      </c>
      <c r="F89" s="9">
        <f>_xll.BQL("CRM US Equity", "CONTRIBUTOR_STATS(PRETAX_INC, MIN)/1M", "FPR=2022Y", "FPT=A", "FA_ACT_EST_DATA=E", "ACT_EST_MAPPING=PRECISE", "FS=MRC", "CURRENCY=USD", "XLFILL=b")</f>
        <v>1313.429887999999</v>
      </c>
      <c r="G89" s="9">
        <f>_xll.BQL("CRM US Equity", "CONTRIBUTOR_STATS(PRETAX_INC, MAX)/1M", "FPR=2022Y", "FPT=A", "FA_ACT_EST_DATA=E", "ACT_EST_MAPPING=PRECISE", "FS=MRC", "CURRENCY=USD", "XLFILL=b")</f>
        <v>1577.095659999997</v>
      </c>
      <c r="H89" s="9">
        <f>_xll.BQL("CRM US Equity", "CONTRIBUTOR_STATS(PRETAX_INC, STD)/1M", "FPR=2022Y", "FPT=A", "FA_ACT_EST_DATA=E", "ACT_EST_MAPPING=PRECISE", "FS=MRC", "CURRENCY=USD", "XLFILL=b")</f>
        <v>65.738655153377024</v>
      </c>
      <c r="I89" s="9">
        <f>_xll.BQL("CRM US Equity", "CONTRIBUTOR_STATS(PRETAX_INC, MEDIAN)/1M", "FPR=2022Y", "FPT=A", "FA_ACT_EST_DATA=E", "ACT_EST_MAPPING=PRECISE", "FS=MRC", "CURRENCY=USD", "XLFILL=b")</f>
        <v>1381.0229580895841</v>
      </c>
      <c r="J89" s="9" t="str">
        <f>_xll.BQL("CRM US Equity", "PRETAX_INC/1M", "FPR=2022Y", "FPT=A", "FA_ACT_EST_DATA=E, EST_SOURCE=CMPY", "ACT_EST_MAPPING=PRECISE", "FS=MRC", "CURRENCY=USD", "XLFILL=b")</f>
        <v/>
      </c>
      <c r="K89" s="9" t="str">
        <f>_xll.BQL("CRM US Equity", "PRETAX_INC/1M", "FPR=2022Y", "FPT=A", "FA_ACT_EST_DATA=E, EST_SOURCE=WBL", "ACT_EST_MAPPING=PRECISE", "FS=MRC", "CURRENCY=USD", "XLFILL=b")</f>
        <v/>
      </c>
      <c r="L89" s="9" t="str">
        <f>_xll.BQL("CRM US Equity", "PRETAX_INC/1M", "FPR=2022Y", "FPT=A", "FA_ACT_EST_DATA=E, EST_SOURCE=BMO", "ACT_EST_MAPPING=PRECISE", "FS=MRC", "CURRENCY=USD", "XLFILL=b")</f>
        <v/>
      </c>
      <c r="M89" s="9">
        <f>_xll.BQL("CRM US Equity", "PRETAX_INC/1M", "FPR=2022Y", "FPT=A", "FA_ACT_EST_DATA=E, EST_SOURCE=BCA", "ACT_EST_MAPPING=PRECISE", "FS=MRC", "CURRENCY=USD", "XLFILL=b")</f>
        <v>1380.202896179168</v>
      </c>
      <c r="N89" s="9" t="str">
        <f>_xll.BQL("CRM US Equity", "PRETAX_INC/1M", "FPR=2022Y", "FPT=A", "FA_ACT_EST_DATA=E, EST_SOURCE=SNR", "ACT_EST_MAPPING=PRECISE", "FS=MRC", "CURRENCY=USD", "XLFILL=b")</f>
        <v/>
      </c>
      <c r="O89" s="9">
        <f>_xll.BQL("CRM US Equity", "PRETAX_INC/1M", "FPR=2022Y", "FPT=A", "FA_ACT_EST_DATA=E, EST_SOURCE=MSV", "ACT_EST_MAPPING=PRECISE", "FS=MRC", "CURRENCY=USD", "XLFILL=b")</f>
        <v>1428.365827571703</v>
      </c>
      <c r="P89" s="9">
        <f>_xll.BQL("CRM US Equity", "PRETAX_INC/1M", "FPR=2022Y", "FPT=A", "FA_ACT_EST_DATA=E, EST_SOURCE=DBG", "ACT_EST_MAPPING=PRECISE", "FS=MRC", "CURRENCY=USD", "XLFILL=b")</f>
        <v>1394.392769942591</v>
      </c>
      <c r="Q89" s="9" t="str">
        <f>_xll.BQL("CRM US Equity", "PRETAX_INC/1M", "FPR=2022Y", "FPT=A", "FA_ACT_EST_DATA=E, EST_SOURCE=NDH", "ACT_EST_MAPPING=PRECISE", "FS=MRC", "CURRENCY=USD", "XLFILL=b")</f>
        <v/>
      </c>
      <c r="R89" s="9" t="str">
        <f>_xll.BQL("CRM US Equity", "PRETAX_INC/1M", "FPR=2022Y", "FPT=A", "FA_ACT_EST_DATA=E, EST_SOURCE=CAN", "ACT_EST_MAPPING=PRECISE", "FS=MRC", "CURRENCY=USD", "XLFILL=b")</f>
        <v/>
      </c>
      <c r="S89" s="9" t="str">
        <f>_xll.BQL("CRM US Equity", "PRETAX_INC/1M", "FPR=2022Y", "FPT=A", "FA_ACT_EST_DATA=E, EST_SOURCE=SCB", "ACT_EST_MAPPING=PRECISE", "FS=MRC", "CURRENCY=USD", "XLFILL=b")</f>
        <v/>
      </c>
      <c r="T89" s="9">
        <f>_xll.BQL("CRM US Equity", "PRETAX_INC/1M", "FPR=2022Y", "FPT=A", "FA_ACT_EST_DATA=E, EST_SOURCE=JMP", "ACT_EST_MAPPING=PRECISE", "FS=MRC", "CURRENCY=USD", "XLFILL=b")</f>
        <v>1448.72</v>
      </c>
      <c r="U89" s="9" t="str">
        <f>_xll.BQL("CRM US Equity", "PRETAX_INC/1M", "FPR=2022Y", "FPT=A", "FA_ACT_EST_DATA=E, EST_SOURCE=RJA", "ACT_EST_MAPPING=PRECISE", "FS=MRC", "CURRENCY=USD", "XLFILL=b")</f>
        <v/>
      </c>
      <c r="V89" s="9" t="str">
        <f>_xll.BQL("CRM US Equity", "PRETAX_INC/1M", "FPR=2022Y", "FPT=A", "FA_ACT_EST_DATA=E, EST_SOURCE=OPY", "ACT_EST_MAPPING=PRECISE", "FS=MRC", "CURRENCY=USD", "XLFILL=b")</f>
        <v/>
      </c>
      <c r="W89" s="9">
        <f>_xll.BQL("CRM US Equity", "PRETAX_INC/1M", "FPR=2022Y", "FPT=A", "FA_ACT_EST_DATA=E, EST_SOURCE=JPM", "ACT_EST_MAPPING=PRECISE", "FS=MRC", "CURRENCY=USD", "XLFILL=b")</f>
        <v>1348.9890219316781</v>
      </c>
      <c r="X89" s="9">
        <f>_xll.BQL("CRM US Equity", "PRETAX_INC/1M", "FPR=2022Y", "FPT=A", "FA_ACT_EST_DATA=E, EST_SOURCE=FBC", "ACT_EST_MAPPING=PRECISE", "FS=MRC", "CURRENCY=USD", "XLFILL=b")</f>
        <v>2127.1278727567192</v>
      </c>
      <c r="Y89" s="9">
        <f>_xll.BQL("CRM US Equity", "PRETAX_INC/1M", "FPR=2022Y", "FPT=A", "FA_ACT_EST_DATA=E, EST_SOURCE=WMS", "ACT_EST_MAPPING=PRECISE", "FS=MRC", "CURRENCY=USD", "XLFILL=b")</f>
        <v>604</v>
      </c>
      <c r="Z89" s="9">
        <f>_xll.BQL("CRM US Equity", "PRETAX_INC/1M", "FPR=2022Y", "FPT=A", "FA_ACT_EST_DATA=E, EST_SOURCE=KEY", "ACT_EST_MAPPING=PRECISE", "FS=MRC", "CURRENCY=USD", "XLFILL=b")</f>
        <v>992.15576886655072</v>
      </c>
      <c r="AA89" s="9" t="str">
        <f>_xll.BQL("CRM US Equity", "PRETAX_INC/1M", "FPR=2022Y", "FPT=A", "FA_ACT_EST_DATA=E, EST_SOURCE=LCM", "ACT_EST_MAPPING=PRECISE", "FS=MRC", "CURRENCY=USD", "XLFILL=b")</f>
        <v/>
      </c>
      <c r="AB89" s="9" t="str">
        <f>_xll.BQL("CRM US Equity", "PRETAX_INC/1M", "FPR=2022Y", "FPT=A", "FA_ACT_EST_DATA=E, EST_SOURCE=CWN", "ACT_EST_MAPPING=PRECISE", "FS=MRC", "CURRENCY=USD", "XLFILL=b")</f>
        <v/>
      </c>
      <c r="AC89" s="9" t="str">
        <f>_xll.BQL("CRM US Equity", "PRETAX_INC/1M", "FPR=2022Y", "FPT=A", "FA_ACT_EST_DATA=E, EST_SOURCE=BNS", "ACT_EST_MAPPING=PRECISE", "FS=MRC", "CURRENCY=USD", "XLFILL=b")</f>
        <v/>
      </c>
      <c r="AD89" s="9" t="str">
        <f>_xll.BQL("CRM US Equity", "PRETAX_INC/1M", "FPR=2022Y", "FPT=A", "FA_ACT_EST_DATA=E, EST_SOURCE=BAM", "ACT_EST_MAPPING=PRECISE", "FS=MRC", "CURRENCY=USD", "XLFILL=b")</f>
        <v/>
      </c>
      <c r="AE89" s="9" t="str">
        <f>_xll.BQL("CRM US Equity", "PRETAX_INC/1M", "FPR=2022Y", "FPT=A", "FA_ACT_EST_DATA=E, EST_SOURCE=RBC", "ACT_EST_MAPPING=PRECISE", "FS=MRC", "CURRENCY=USD", "XLFILL=b")</f>
        <v/>
      </c>
      <c r="AF89" s="9" t="str">
        <f>_xll.BQL("CRM US Equity", "PRETAX_INC/1M", "FPR=2022Y", "FPT=A", "FA_ACT_EST_DATA=E, EST_SOURCE=UBS", "ACT_EST_MAPPING=PRECISE", "FS=MRC", "CURRENCY=USD", "XLFILL=b")</f>
        <v/>
      </c>
      <c r="AG89" s="9" t="str">
        <f>_xll.BQL("CRM US Equity", "PRETAX_INC/1M", "FPR=2022Y", "FPT=A", "FA_ACT_EST_DATA=E, EST_SOURCE=RHR", "ACT_EST_MAPPING=PRECISE", "FS=MRC", "CURRENCY=USD", "XLFILL=b")</f>
        <v/>
      </c>
      <c r="AH89" s="9" t="str">
        <f>_xll.BQL("CRM US Equity", "PRETAX_INC/1M", "FPR=2022Y", "FPT=A", "FA_ACT_EST_DATA=E, EST_SOURCE=JEF", "ACT_EST_MAPPING=PRECISE", "FS=MRC", "CURRENCY=USD", "XLFILL=b")</f>
        <v/>
      </c>
      <c r="AI89" s="9" t="str">
        <f>_xll.BQL("CRM US Equity", "PRETAX_INC/1M", "FPR=2022Y", "FPT=A", "FA_ACT_EST_DATA=E, EST_SOURCE=ATL", "ACT_EST_MAPPING=PRECISE", "FS=MRC", "CURRENCY=USD", "XLFILL=b")</f>
        <v/>
      </c>
      <c r="AJ89" s="9" t="str">
        <f>_xll.BQL("CRM US Equity", "PRETAX_INC/1M", "FPR=2022Y", "FPT=A", "FA_ACT_EST_DATA=E, EST_SOURCE=MAC", "ACT_EST_MAPPING=PRECISE", "FS=MRC", "CURRENCY=USD", "XLFILL=b")</f>
        <v/>
      </c>
      <c r="AK89" s="9" t="str">
        <f>_xll.BQL("CRM US Equity", "PRETAX_INC/1M", "FPR=2022Y", "FPT=A", "FA_ACT_EST_DATA=E, EST_SOURCE=EVR", "ACT_EST_MAPPING=PRECISE", "FS=MRC", "CURRENCY=USD", "XLFILL=b")</f>
        <v/>
      </c>
      <c r="AL89" s="9" t="str">
        <f>_xll.BQL("CRM US Equity", "PRETAX_INC/1M", "FPR=2022Y", "FPT=A", "FA_ACT_EST_DATA=E, EST_SOURCE=MSR", "ACT_EST_MAPPING=PRECISE", "FS=MRC", "CURRENCY=USD", "XLFILL=b")</f>
        <v/>
      </c>
      <c r="AM89" s="9" t="str">
        <f>_xll.BQL("CRM US Equity", "PRETAX_INC/1M", "FPR=2022Y", "FPT=A", "FA_ACT_EST_DATA=E, EST_SOURCE=KGI", "ACT_EST_MAPPING=PRECISE", "FS=MRC", "CURRENCY=USD", "XLFILL=b")</f>
        <v/>
      </c>
      <c r="AN89" s="9" t="str">
        <f>_xll.BQL("CRM US Equity", "PRETAX_INC/1M", "FPR=2022Y", "FPT=A", "FA_ACT_EST_DATA=E, EST_SOURCE=ACC", "ACT_EST_MAPPING=PRECISE", "FS=MRC", "CURRENCY=USD", "XLFILL=b")</f>
        <v/>
      </c>
      <c r="AO89" s="9" t="str">
        <f>_xll.BQL("CRM US Equity", "PRETAX_INC/1M", "FPR=2022Y", "FPT=A", "FA_ACT_EST_DATA=E, EST_SOURCE=GSR", "ACT_EST_MAPPING=PRECISE", "FS=MRC", "CURRENCY=USD", "XLFILL=b")</f>
        <v/>
      </c>
      <c r="AP89" s="9" t="str">
        <f>_xll.BQL("CRM US Equity", "PRETAX_INC/1M", "FPR=2022Y", "FPT=A", "FA_ACT_EST_DATA=E, EST_SOURCE=PSG", "ACT_EST_MAPPING=PRECISE", "FS=MRC", "CURRENCY=USD", "XLFILL=b")</f>
        <v/>
      </c>
      <c r="AQ89" s="9" t="str">
        <f>_xll.BQL("CRM US Equity", "PRETAX_INC/1M", "FPR=2022Y", "FPT=A", "FA_ACT_EST_DATA=E, EST_SOURCE=DWI", "ACT_EST_MAPPING=PRECISE", "FS=MRC", "CURRENCY=USD", "XLFILL=b")</f>
        <v/>
      </c>
      <c r="AR89" s="9" t="str">
        <f>_xll.BQL("CRM US Equity", "PRETAX_INC/1M", "FPR=2022Y", "FPT=A", "FA_ACT_EST_DATA=E, EST_SOURCE=RWB", "ACT_EST_MAPPING=PRECISE", "FS=MRC", "CURRENCY=USD", "XLFILL=b")</f>
        <v/>
      </c>
      <c r="AS89" s="9" t="str">
        <f>_xll.BQL("CRM US Equity", "PRETAX_INC/1M", "FPR=2022Y", "FPT=A", "FA_ACT_EST_DATA=E, EST_SOURCE=ARG", "ACT_EST_MAPPING=PRECISE", "FS=MRC", "CURRENCY=USD", "XLFILL=b")</f>
        <v/>
      </c>
      <c r="AT89" s="9" t="str">
        <f>_xll.BQL("CRM US Equity", "PRETAX_INC/1M", "FPR=2022Y", "FPT=A", "FA_ACT_EST_DATA=E, EST_SOURCE=CTI", "ACT_EST_MAPPING=PRECISE", "FS=MRC", "CURRENCY=USD", "XLFILL=b")</f>
        <v/>
      </c>
      <c r="AU89" s="9" t="str">
        <f>_xll.BQL("CRM US Equity", "PRETAX_INC/1M", "FPR=2022Y", "FPT=A", "FA_ACT_EST_DATA=E, EST_SOURCE=WFT", "ACT_EST_MAPPING=PRECISE", "FS=MRC", "CURRENCY=USD", "XLFILL=b")</f>
        <v/>
      </c>
      <c r="AV89" s="9" t="str">
        <f>_xll.BQL("CRM US Equity", "PRETAX_INC/1M", "FPR=2022Y", "FPT=A", "FA_ACT_EST_DATA=E, EST_SOURCE=PJE", "ACT_EST_MAPPING=PRECISE", "FS=MRC", "CURRENCY=USD", "XLFILL=b")</f>
        <v/>
      </c>
      <c r="AW89" s="9" t="str">
        <f>_xll.BQL("CRM US Equity", "PRETAX_INC/1M", "FPR=2022Y", "FPT=A", "FA_ACT_EST_DATA=E, EST_SOURCE=SGE", "ACT_EST_MAPPING=PRECISE", "FS=MRC", "CURRENCY=USD", "XLFILL=b")</f>
        <v/>
      </c>
      <c r="AX89" s="9" t="str">
        <f>_xll.BQL("CRM US Equity", "PRETAX_INC/1M", "FPR=2022Y", "FPT=A", "FA_ACT_EST_DATA=E, EST_SOURCE=MZS", "ACT_EST_MAPPING=PRECISE", "FS=MRC", "CURRENCY=USD", "XLFILL=b")</f>
        <v/>
      </c>
      <c r="AY89" s="9" t="str">
        <f>_xll.BQL("CRM US Equity", "PRETAX_INC/1M", "FPR=2022Y", "FPT=A", "FA_ACT_EST_DATA=E, EST_SOURCE=RCP", "ACT_EST_MAPPING=PRECISE", "FS=MRC", "CURRENCY=USD", "XLFILL=b")</f>
        <v/>
      </c>
      <c r="AZ89" s="9" t="str">
        <f>_xll.BQL("CRM US Equity", "PRETAX_INC/1M", "FPR=2022Y", "FPT=A", "FA_ACT_EST_DATA=E, EST_SOURCE=WFR", "ACT_EST_MAPPING=PRECISE", "FS=MRC", "CURRENCY=USD", "XLFILL=b")</f>
        <v/>
      </c>
      <c r="BA89" s="9" t="str">
        <f>_xll.BQL("CRM US Equity", "PRETAX_INC/1M", "FPR=2022Y", "FPT=A", "FA_ACT_EST_DATA=E, EST_SOURCE=NIK", "ACT_EST_MAPPING=PRECISE", "FS=MRC", "CURRENCY=USD", "XLFILL=b")</f>
        <v/>
      </c>
      <c r="BB89" s="9" t="str">
        <f>_xll.BQL("CRM US Equity", "PRETAX_INC/1M", "FPR=2022Y", "FPT=A", "FA_ACT_EST_DATA=E, EST_SOURCE=ARE", "ACT_EST_MAPPING=PRECISE", "FS=MRC", "CURRENCY=USD", "XLFILL=b")</f>
        <v/>
      </c>
      <c r="BC89" s="9" t="str">
        <f>_xll.BQL("CRM US Equity", "PRETAX_INC/1M", "FPR=2022Y", "FPT=A", "FA_ACT_EST_DATA=E, EST_SOURCE=RED", "ACT_EST_MAPPING=PRECISE", "FS=MRC", "CURRENCY=USD", "XLFILL=b")</f>
        <v/>
      </c>
      <c r="BD89" s="9" t="str">
        <f>_xll.BQL("CRM US Equity", "PRETAX_INC/1M", "FPR=2022Y", "FPT=A", "FA_ACT_EST_DATA=E, EST_SOURCE=DIR", "ACT_EST_MAPPING=PRECISE", "FS=MRC", "CURRENCY=USD", "XLFILL=b")</f>
        <v/>
      </c>
    </row>
    <row r="90" spans="1:56" x14ac:dyDescent="0.55000000000000004">
      <c r="A90" s="8" t="s">
        <v>156</v>
      </c>
      <c r="B90" s="5" t="s">
        <v>157</v>
      </c>
      <c r="C90" s="5" t="s">
        <v>158</v>
      </c>
      <c r="D90" s="5"/>
      <c r="E90" s="9">
        <f>_xll.BQL("CRM US Equity", "IS_INC_TAX_EXP/1M", "FPR=2022Y", "FPT=A", "FA_ACT_EST_DATA=E", "ACT_EST_MAPPING=PRECISE", "FS=MRC", "CURRENCY=USD", "XLFILL=b")</f>
        <v>152.6512219173587</v>
      </c>
      <c r="F90" s="9">
        <f>_xll.BQL("CRM US Equity", "CONTRIBUTOR_STATS(IS_INC_TAX_EXP, MIN)/1M", "FPR=2022Y", "FPT=A", "FA_ACT_EST_DATA=E", "ACT_EST_MAPPING=PRECISE", "FS=MRC", "CURRENCY=USD", "XLFILL=b")</f>
        <v>61.559931519999836</v>
      </c>
      <c r="G90" s="9">
        <f>_xll.BQL("CRM US Equity", "CONTRIBUTOR_STATS(IS_INC_TAX_EXP, MAX)/1M", "FPR=2022Y", "FPT=A", "FA_ACT_EST_DATA=E", "ACT_EST_MAPPING=PRECISE", "FS=MRC", "CURRENCY=USD", "XLFILL=b")</f>
        <v>200.94399999999999</v>
      </c>
      <c r="H90" s="9">
        <f>_xll.BQL("CRM US Equity", "CONTRIBUTOR_STATS(IS_INC_TAX_EXP, STD)/1M", "FPR=2022Y", "FPT=A", "FA_ACT_EST_DATA=E", "ACT_EST_MAPPING=PRECISE", "FS=MRC", "CURRENCY=USD", "XLFILL=b")</f>
        <v>38.502635187605769</v>
      </c>
      <c r="I90" s="9">
        <f>_xll.BQL("CRM US Equity", "CONTRIBUTOR_STATS(IS_INC_TAX_EXP, MEDIAN)/1M", "FPR=2022Y", "FPT=A", "FA_ACT_EST_DATA=E", "ACT_EST_MAPPING=PRECISE", "FS=MRC", "CURRENCY=USD", "XLFILL=b")</f>
        <v>152.79975394081418</v>
      </c>
      <c r="J90" s="9" t="str">
        <f>_xll.BQL("CRM US Equity", "IS_INC_TAX_EXP/1M", "FPR=2022Y", "FPT=A", "FA_ACT_EST_DATA=E, EST_SOURCE=CMPY", "ACT_EST_MAPPING=PRECISE", "FS=MRC", "CURRENCY=USD", "XLFILL=b")</f>
        <v/>
      </c>
      <c r="K90" s="9" t="str">
        <f>_xll.BQL("CRM US Equity", "IS_INC_TAX_EXP/1M", "FPR=2022Y", "FPT=A", "FA_ACT_EST_DATA=E, EST_SOURCE=WBL", "ACT_EST_MAPPING=PRECISE", "FS=MRC", "CURRENCY=USD", "XLFILL=b")</f>
        <v/>
      </c>
      <c r="L90" s="9" t="str">
        <f>_xll.BQL("CRM US Equity", "IS_INC_TAX_EXP/1M", "FPR=2022Y", "FPT=A", "FA_ACT_EST_DATA=E, EST_SOURCE=BMO", "ACT_EST_MAPPING=PRECISE", "FS=MRC", "CURRENCY=USD", "XLFILL=b")</f>
        <v/>
      </c>
      <c r="M90" s="9">
        <f>_xll.BQL("CRM US Equity", "IS_INC_TAX_EXP/1M", "FPR=2022Y", "FPT=A", "FA_ACT_EST_DATA=E, EST_SOURCE=BCA", "ACT_EST_MAPPING=PRECISE", "FS=MRC", "CURRENCY=USD", "XLFILL=b")</f>
        <v>138.40898470091687</v>
      </c>
      <c r="N90" s="9" t="str">
        <f>_xll.BQL("CRM US Equity", "IS_INC_TAX_EXP/1M", "FPR=2022Y", "FPT=A", "FA_ACT_EST_DATA=E, EST_SOURCE=SNR", "ACT_EST_MAPPING=PRECISE", "FS=MRC", "CURRENCY=USD", "XLFILL=b")</f>
        <v/>
      </c>
      <c r="O90" s="9">
        <f>_xll.BQL("CRM US Equity", "IS_INC_TAX_EXP/1M", "FPR=2022Y", "FPT=A", "FA_ACT_EST_DATA=E, EST_SOURCE=MSV", "ACT_EST_MAPPING=PRECISE", "FS=MRC", "CURRENCY=USD", "XLFILL=b")</f>
        <v>192.44619675910971</v>
      </c>
      <c r="P90" s="9">
        <f>_xll.BQL("CRM US Equity", "IS_INC_TAX_EXP/1M", "FPR=2022Y", "FPT=A", "FA_ACT_EST_DATA=E, EST_SOURCE=DBG", "ACT_EST_MAPPING=PRECISE", "FS=MRC", "CURRENCY=USD", "XLFILL=b")</f>
        <v>149.92568638162851</v>
      </c>
      <c r="Q90" s="9">
        <f>_xll.BQL("CRM US Equity", "IS_INC_TAX_EXP/1M", "FPR=2022Y", "FPT=A", "FA_ACT_EST_DATA=E, EST_SOURCE=NDH", "ACT_EST_MAPPING=PRECISE", "FS=MRC", "CURRENCY=USD", "XLFILL=b")</f>
        <v>157</v>
      </c>
      <c r="R90" s="9" t="str">
        <f>_xll.BQL("CRM US Equity", "IS_INC_TAX_EXP/1M", "FPR=2022Y", "FPT=A", "FA_ACT_EST_DATA=E, EST_SOURCE=CAN", "ACT_EST_MAPPING=PRECISE", "FS=MRC", "CURRENCY=USD", "XLFILL=b")</f>
        <v/>
      </c>
      <c r="S90" s="9" t="str">
        <f>_xll.BQL("CRM US Equity", "IS_INC_TAX_EXP/1M", "FPR=2022Y", "FPT=A", "FA_ACT_EST_DATA=E, EST_SOURCE=SCB", "ACT_EST_MAPPING=PRECISE", "FS=MRC", "CURRENCY=USD", "XLFILL=b")</f>
        <v/>
      </c>
      <c r="T90" s="9">
        <f>_xll.BQL("CRM US Equity", "IS_INC_TAX_EXP/1M", "FPR=2022Y", "FPT=A", "FA_ACT_EST_DATA=E, EST_SOURCE=JMP", "ACT_EST_MAPPING=PRECISE", "FS=MRC", "CURRENCY=USD", "XLFILL=b")</f>
        <v>200.94399999999999</v>
      </c>
      <c r="U90" s="9">
        <f>_xll.BQL("CRM US Equity", "IS_INC_TAX_EXP/1M", "FPR=2022Y", "FPT=A", "FA_ACT_EST_DATA=E, EST_SOURCE=RJA", "ACT_EST_MAPPING=PRECISE", "FS=MRC", "CURRENCY=USD", "XLFILL=b")</f>
        <v>146.42443206193241</v>
      </c>
      <c r="V90" s="9" t="str">
        <f>_xll.BQL("CRM US Equity", "IS_INC_TAX_EXP/1M", "FPR=2022Y", "FPT=A", "FA_ACT_EST_DATA=E, EST_SOURCE=OPY", "ACT_EST_MAPPING=PRECISE", "FS=MRC", "CURRENCY=USD", "XLFILL=b")</f>
        <v/>
      </c>
      <c r="W90" s="9" t="str">
        <f>_xll.BQL("CRM US Equity", "IS_INC_TAX_EXP/1M", "FPR=2022Y", "FPT=A", "FA_ACT_EST_DATA=E, EST_SOURCE=JPM", "ACT_EST_MAPPING=PRECISE", "FS=MRC", "CURRENCY=USD", "XLFILL=b")</f>
        <v/>
      </c>
      <c r="X90" s="9">
        <f>_xll.BQL("CRM US Equity", "IS_INC_TAX_EXP/1M", "FPR=2022Y", "FPT=A", "FA_ACT_EST_DATA=E, EST_SOURCE=FBC", "ACT_EST_MAPPING=PRECISE", "FS=MRC", "CURRENCY=USD", "XLFILL=b")</f>
        <v>269.51269111191277</v>
      </c>
      <c r="Y90" s="9">
        <f>_xll.BQL("CRM US Equity", "IS_INC_TAX_EXP/1M", "FPR=2022Y", "FPT=A", "FA_ACT_EST_DATA=E, EST_SOURCE=WMS", "ACT_EST_MAPPING=PRECISE", "FS=MRC", "CURRENCY=USD", "XLFILL=b")</f>
        <v>135</v>
      </c>
      <c r="Z90" s="9">
        <f>_xll.BQL("CRM US Equity", "IS_INC_TAX_EXP/1M", "FPR=2022Y", "FPT=A", "FA_ACT_EST_DATA=E, EST_SOURCE=KEY", "ACT_EST_MAPPING=PRECISE", "FS=MRC", "CURRENCY=USD", "XLFILL=b")</f>
        <v>170.65978794148961</v>
      </c>
      <c r="AA90" s="9" t="str">
        <f>_xll.BQL("CRM US Equity", "IS_INC_TAX_EXP/1M", "FPR=2022Y", "FPT=A", "FA_ACT_EST_DATA=E, EST_SOURCE=LCM", "ACT_EST_MAPPING=PRECISE", "FS=MRC", "CURRENCY=USD", "XLFILL=b")</f>
        <v/>
      </c>
      <c r="AB90" s="9" t="str">
        <f>_xll.BQL("CRM US Equity", "IS_INC_TAX_EXP/1M", "FPR=2022Y", "FPT=A", "FA_ACT_EST_DATA=E, EST_SOURCE=CWN", "ACT_EST_MAPPING=PRECISE", "FS=MRC", "CURRENCY=USD", "XLFILL=b")</f>
        <v/>
      </c>
      <c r="AC90" s="9" t="str">
        <f>_xll.BQL("CRM US Equity", "IS_INC_TAX_EXP/1M", "FPR=2022Y", "FPT=A", "FA_ACT_EST_DATA=E, EST_SOURCE=BNS", "ACT_EST_MAPPING=PRECISE", "FS=MRC", "CURRENCY=USD", "XLFILL=b")</f>
        <v/>
      </c>
      <c r="AD90" s="9" t="str">
        <f>_xll.BQL("CRM US Equity", "IS_INC_TAX_EXP/1M", "FPR=2022Y", "FPT=A", "FA_ACT_EST_DATA=E, EST_SOURCE=BAM", "ACT_EST_MAPPING=PRECISE", "FS=MRC", "CURRENCY=USD", "XLFILL=b")</f>
        <v/>
      </c>
      <c r="AE90" s="9" t="str">
        <f>_xll.BQL("CRM US Equity", "IS_INC_TAX_EXP/1M", "FPR=2022Y", "FPT=A", "FA_ACT_EST_DATA=E, EST_SOURCE=RBC", "ACT_EST_MAPPING=PRECISE", "FS=MRC", "CURRENCY=USD", "XLFILL=b")</f>
        <v/>
      </c>
      <c r="AF90" s="9" t="str">
        <f>_xll.BQL("CRM US Equity", "IS_INC_TAX_EXP/1M", "FPR=2022Y", "FPT=A", "FA_ACT_EST_DATA=E, EST_SOURCE=UBS", "ACT_EST_MAPPING=PRECISE", "FS=MRC", "CURRENCY=USD", "XLFILL=b")</f>
        <v/>
      </c>
      <c r="AG90" s="9" t="str">
        <f>_xll.BQL("CRM US Equity", "IS_INC_TAX_EXP/1M", "FPR=2022Y", "FPT=A", "FA_ACT_EST_DATA=E, EST_SOURCE=RHR", "ACT_EST_MAPPING=PRECISE", "FS=MRC", "CURRENCY=USD", "XLFILL=b")</f>
        <v/>
      </c>
      <c r="AH90" s="9" t="str">
        <f>_xll.BQL("CRM US Equity", "IS_INC_TAX_EXP/1M", "FPR=2022Y", "FPT=A", "FA_ACT_EST_DATA=E, EST_SOURCE=JEF", "ACT_EST_MAPPING=PRECISE", "FS=MRC", "CURRENCY=USD", "XLFILL=b")</f>
        <v/>
      </c>
      <c r="AI90" s="9" t="str">
        <f>_xll.BQL("CRM US Equity", "IS_INC_TAX_EXP/1M", "FPR=2022Y", "FPT=A", "FA_ACT_EST_DATA=E, EST_SOURCE=ATL", "ACT_EST_MAPPING=PRECISE", "FS=MRC", "CURRENCY=USD", "XLFILL=b")</f>
        <v/>
      </c>
      <c r="AJ90" s="9" t="str">
        <f>_xll.BQL("CRM US Equity", "IS_INC_TAX_EXP/1M", "FPR=2022Y", "FPT=A", "FA_ACT_EST_DATA=E, EST_SOURCE=MAC", "ACT_EST_MAPPING=PRECISE", "FS=MRC", "CURRENCY=USD", "XLFILL=b")</f>
        <v/>
      </c>
      <c r="AK90" s="9" t="str">
        <f>_xll.BQL("CRM US Equity", "IS_INC_TAX_EXP/1M", "FPR=2022Y", "FPT=A", "FA_ACT_EST_DATA=E, EST_SOURCE=EVR", "ACT_EST_MAPPING=PRECISE", "FS=MRC", "CURRENCY=USD", "XLFILL=b")</f>
        <v/>
      </c>
      <c r="AL90" s="9" t="str">
        <f>_xll.BQL("CRM US Equity", "IS_INC_TAX_EXP/1M", "FPR=2022Y", "FPT=A", "FA_ACT_EST_DATA=E, EST_SOURCE=MSR", "ACT_EST_MAPPING=PRECISE", "FS=MRC", "CURRENCY=USD", "XLFILL=b")</f>
        <v/>
      </c>
      <c r="AM90" s="9" t="str">
        <f>_xll.BQL("CRM US Equity", "IS_INC_TAX_EXP/1M", "FPR=2022Y", "FPT=A", "FA_ACT_EST_DATA=E, EST_SOURCE=KGI", "ACT_EST_MAPPING=PRECISE", "FS=MRC", "CURRENCY=USD", "XLFILL=b")</f>
        <v/>
      </c>
      <c r="AN90" s="9" t="str">
        <f>_xll.BQL("CRM US Equity", "IS_INC_TAX_EXP/1M", "FPR=2022Y", "FPT=A", "FA_ACT_EST_DATA=E, EST_SOURCE=ACC", "ACT_EST_MAPPING=PRECISE", "FS=MRC", "CURRENCY=USD", "XLFILL=b")</f>
        <v/>
      </c>
      <c r="AO90" s="9" t="str">
        <f>_xll.BQL("CRM US Equity", "IS_INC_TAX_EXP/1M", "FPR=2022Y", "FPT=A", "FA_ACT_EST_DATA=E, EST_SOURCE=GSR", "ACT_EST_MAPPING=PRECISE", "FS=MRC", "CURRENCY=USD", "XLFILL=b")</f>
        <v/>
      </c>
      <c r="AP90" s="9" t="str">
        <f>_xll.BQL("CRM US Equity", "IS_INC_TAX_EXP/1M", "FPR=2022Y", "FPT=A", "FA_ACT_EST_DATA=E, EST_SOURCE=PSG", "ACT_EST_MAPPING=PRECISE", "FS=MRC", "CURRENCY=USD", "XLFILL=b")</f>
        <v/>
      </c>
      <c r="AQ90" s="9" t="str">
        <f>_xll.BQL("CRM US Equity", "IS_INC_TAX_EXP/1M", "FPR=2022Y", "FPT=A", "FA_ACT_EST_DATA=E, EST_SOURCE=DWI", "ACT_EST_MAPPING=PRECISE", "FS=MRC", "CURRENCY=USD", "XLFILL=b")</f>
        <v/>
      </c>
      <c r="AR90" s="9" t="str">
        <f>_xll.BQL("CRM US Equity", "IS_INC_TAX_EXP/1M", "FPR=2022Y", "FPT=A", "FA_ACT_EST_DATA=E, EST_SOURCE=RWB", "ACT_EST_MAPPING=PRECISE", "FS=MRC", "CURRENCY=USD", "XLFILL=b")</f>
        <v/>
      </c>
      <c r="AS90" s="9" t="str">
        <f>_xll.BQL("CRM US Equity", "IS_INC_TAX_EXP/1M", "FPR=2022Y", "FPT=A", "FA_ACT_EST_DATA=E, EST_SOURCE=ARG", "ACT_EST_MAPPING=PRECISE", "FS=MRC", "CURRENCY=USD", "XLFILL=b")</f>
        <v/>
      </c>
      <c r="AT90" s="9" t="str">
        <f>_xll.BQL("CRM US Equity", "IS_INC_TAX_EXP/1M", "FPR=2022Y", "FPT=A", "FA_ACT_EST_DATA=E, EST_SOURCE=CTI", "ACT_EST_MAPPING=PRECISE", "FS=MRC", "CURRENCY=USD", "XLFILL=b")</f>
        <v/>
      </c>
      <c r="AU90" s="9" t="str">
        <f>_xll.BQL("CRM US Equity", "IS_INC_TAX_EXP/1M", "FPR=2022Y", "FPT=A", "FA_ACT_EST_DATA=E, EST_SOURCE=WFT", "ACT_EST_MAPPING=PRECISE", "FS=MRC", "CURRENCY=USD", "XLFILL=b")</f>
        <v/>
      </c>
      <c r="AV90" s="9" t="str">
        <f>_xll.BQL("CRM US Equity", "IS_INC_TAX_EXP/1M", "FPR=2022Y", "FPT=A", "FA_ACT_EST_DATA=E, EST_SOURCE=PJE", "ACT_EST_MAPPING=PRECISE", "FS=MRC", "CURRENCY=USD", "XLFILL=b")</f>
        <v/>
      </c>
      <c r="AW90" s="9" t="str">
        <f>_xll.BQL("CRM US Equity", "IS_INC_TAX_EXP/1M", "FPR=2022Y", "FPT=A", "FA_ACT_EST_DATA=E, EST_SOURCE=SGE", "ACT_EST_MAPPING=PRECISE", "FS=MRC", "CURRENCY=USD", "XLFILL=b")</f>
        <v/>
      </c>
      <c r="AX90" s="9" t="str">
        <f>_xll.BQL("CRM US Equity", "IS_INC_TAX_EXP/1M", "FPR=2022Y", "FPT=A", "FA_ACT_EST_DATA=E, EST_SOURCE=MZS", "ACT_EST_MAPPING=PRECISE", "FS=MRC", "CURRENCY=USD", "XLFILL=b")</f>
        <v/>
      </c>
      <c r="AY90" s="9" t="str">
        <f>_xll.BQL("CRM US Equity", "IS_INC_TAX_EXP/1M", "FPR=2022Y", "FPT=A", "FA_ACT_EST_DATA=E, EST_SOURCE=RCP", "ACT_EST_MAPPING=PRECISE", "FS=MRC", "CURRENCY=USD", "XLFILL=b")</f>
        <v/>
      </c>
      <c r="AZ90" s="9" t="str">
        <f>_xll.BQL("CRM US Equity", "IS_INC_TAX_EXP/1M", "FPR=2022Y", "FPT=A", "FA_ACT_EST_DATA=E, EST_SOURCE=WFR", "ACT_EST_MAPPING=PRECISE", "FS=MRC", "CURRENCY=USD", "XLFILL=b")</f>
        <v/>
      </c>
      <c r="BA90" s="9" t="str">
        <f>_xll.BQL("CRM US Equity", "IS_INC_TAX_EXP/1M", "FPR=2022Y", "FPT=A", "FA_ACT_EST_DATA=E, EST_SOURCE=NIK", "ACT_EST_MAPPING=PRECISE", "FS=MRC", "CURRENCY=USD", "XLFILL=b")</f>
        <v/>
      </c>
      <c r="BB90" s="9" t="str">
        <f>_xll.BQL("CRM US Equity", "IS_INC_TAX_EXP/1M", "FPR=2022Y", "FPT=A", "FA_ACT_EST_DATA=E, EST_SOURCE=ARE", "ACT_EST_MAPPING=PRECISE", "FS=MRC", "CURRENCY=USD", "XLFILL=b")</f>
        <v/>
      </c>
      <c r="BC90" s="9" t="str">
        <f>_xll.BQL("CRM US Equity", "IS_INC_TAX_EXP/1M", "FPR=2022Y", "FPT=A", "FA_ACT_EST_DATA=E, EST_SOURCE=RED", "ACT_EST_MAPPING=PRECISE", "FS=MRC", "CURRENCY=USD", "XLFILL=b")</f>
        <v/>
      </c>
      <c r="BD90" s="9" t="str">
        <f>_xll.BQL("CRM US Equity", "IS_INC_TAX_EXP/1M", "FPR=2022Y", "FPT=A", "FA_ACT_EST_DATA=E, EST_SOURCE=DIR", "ACT_EST_MAPPING=PRECISE", "FS=MRC", "CURRENCY=USD", "XLFILL=b")</f>
        <v/>
      </c>
    </row>
    <row r="91" spans="1:56" x14ac:dyDescent="0.55000000000000004">
      <c r="A91" s="8" t="s">
        <v>159</v>
      </c>
      <c r="B91" s="5" t="s">
        <v>160</v>
      </c>
      <c r="C91" s="5" t="s">
        <v>120</v>
      </c>
      <c r="D91" s="5"/>
      <c r="E91" s="9">
        <f>_xll.BQL("CRM US Equity", "IS_COMP_NET_INCOME_GAAP/1M", "FPR=2022Y", "FPT=A", "FA_ACT_EST_DATA=E", "ACT_EST_MAPPING=PRECISE", "FS=MRC", "CURRENCY=USD", "XLFILL=b")</f>
        <v>1160.3103448275858</v>
      </c>
      <c r="F91" s="9">
        <f>_xll.BQL("CRM US Equity", "CONTRIBUTOR_STATS(IS_COMP_NET_INCOME_GAAP, MIN)/1M", "FPR=2022Y", "FPT=A", "FA_ACT_EST_DATA=E", "ACT_EST_MAPPING=PRECISE", "FS=MRC", "CURRENCY=USD", "XLFILL=b")</f>
        <v>810</v>
      </c>
      <c r="G91" s="9">
        <f>_xll.BQL("CRM US Equity", "CONTRIBUTOR_STATS(IS_COMP_NET_INCOME_GAAP, MAX)/1M", "FPR=2022Y", "FPT=A", "FA_ACT_EST_DATA=E", "ACT_EST_MAPPING=PRECISE", "FS=MRC", "CURRENCY=USD", "XLFILL=b")</f>
        <v>1343</v>
      </c>
      <c r="H91" s="9">
        <f>_xll.BQL("CRM US Equity", "CONTRIBUTOR_STATS(IS_COMP_NET_INCOME_GAAP, STD)/1M", "FPR=2022Y", "FPT=A", "FA_ACT_EST_DATA=E", "ACT_EST_MAPPING=PRECISE", "FS=MRC", "CURRENCY=USD", "XLFILL=b")</f>
        <v>165.05196226129939</v>
      </c>
      <c r="I91" s="9">
        <f>_xll.BQL("CRM US Equity", "CONTRIBUTOR_STATS(IS_COMP_NET_INCOME_GAAP, MEDIAN)/1M", "FPR=2022Y", "FPT=A", "FA_ACT_EST_DATA=E", "ACT_EST_MAPPING=PRECISE", "FS=MRC", "CURRENCY=USD", "XLFILL=b")</f>
        <v>1237</v>
      </c>
      <c r="J91" s="9" t="str">
        <f>_xll.BQL("CRM US Equity", "IS_COMP_NET_INCOME_GAAP/1M", "FPR=2022Y", "FPT=A", "FA_ACT_EST_DATA=E, EST_SOURCE=CMPY", "ACT_EST_MAPPING=PRECISE", "FS=MRC", "CURRENCY=USD", "XLFILL=b")</f>
        <v/>
      </c>
      <c r="K91" s="9">
        <f>_xll.BQL("CRM US Equity", "IS_COMP_NET_INCOME_GAAP/1M", "FPR=2022Y", "FPT=A", "FA_ACT_EST_DATA=E, EST_SOURCE=WBL", "ACT_EST_MAPPING=PRECISE", "FS=MRC", "CURRENCY=USD", "XLFILL=b")</f>
        <v>1235</v>
      </c>
      <c r="L91" s="9">
        <f>_xll.BQL("CRM US Equity", "IS_COMP_NET_INCOME_GAAP/1M", "FPR=2022Y", "FPT=A", "FA_ACT_EST_DATA=E, EST_SOURCE=BMO", "ACT_EST_MAPPING=PRECISE", "FS=MRC", "CURRENCY=USD", "XLFILL=b")</f>
        <v>1226</v>
      </c>
      <c r="M91" s="9">
        <f>_xll.BQL("CRM US Equity", "IS_COMP_NET_INCOME_GAAP/1M", "FPR=2022Y", "FPT=A", "FA_ACT_EST_DATA=E, EST_SOURCE=BCA", "ACT_EST_MAPPING=PRECISE", "FS=MRC", "CURRENCY=USD", "XLFILL=b")</f>
        <v>1242</v>
      </c>
      <c r="N91" s="9">
        <f>_xll.BQL("CRM US Equity", "IS_COMP_NET_INCOME_GAAP/1M", "FPR=2022Y", "FPT=A", "FA_ACT_EST_DATA=E, EST_SOURCE=SNR", "ACT_EST_MAPPING=PRECISE", "FS=MRC", "CURRENCY=USD", "XLFILL=b")</f>
        <v>1242</v>
      </c>
      <c r="O91" s="9">
        <f>_xll.BQL("CRM US Equity", "IS_COMP_NET_INCOME_GAAP/1M", "FPR=2022Y", "FPT=A", "FA_ACT_EST_DATA=E, EST_SOURCE=MSV", "ACT_EST_MAPPING=PRECISE", "FS=MRC", "CURRENCY=USD", "XLFILL=b")</f>
        <v>1236</v>
      </c>
      <c r="P91" s="9">
        <f>_xll.BQL("CRM US Equity", "IS_COMP_NET_INCOME_GAAP/1M", "FPR=2022Y", "FPT=A", "FA_ACT_EST_DATA=E, EST_SOURCE=DBG", "ACT_EST_MAPPING=PRECISE", "FS=MRC", "CURRENCY=USD", "XLFILL=b")</f>
        <v>1244</v>
      </c>
      <c r="Q91" s="9">
        <f>_xll.BQL("CRM US Equity", "IS_COMP_NET_INCOME_GAAP/1M", "FPR=2022Y", "FPT=A", "FA_ACT_EST_DATA=E, EST_SOURCE=NDH", "ACT_EST_MAPPING=PRECISE", "FS=MRC", "CURRENCY=USD", "XLFILL=b")</f>
        <v>1229</v>
      </c>
      <c r="R91" s="9">
        <f>_xll.BQL("CRM US Equity", "IS_COMP_NET_INCOME_GAAP/1M", "FPR=2022Y", "FPT=A", "FA_ACT_EST_DATA=E, EST_SOURCE=CAN", "ACT_EST_MAPPING=PRECISE", "FS=MRC", "CURRENCY=USD", "XLFILL=b")</f>
        <v>1244</v>
      </c>
      <c r="S91" s="9">
        <f>_xll.BQL("CRM US Equity", "IS_COMP_NET_INCOME_GAAP/1M", "FPR=2022Y", "FPT=A", "FA_ACT_EST_DATA=E, EST_SOURCE=SCB", "ACT_EST_MAPPING=PRECISE", "FS=MRC", "CURRENCY=USD", "XLFILL=b")</f>
        <v>1249</v>
      </c>
      <c r="T91" s="9">
        <f>_xll.BQL("CRM US Equity", "IS_COMP_NET_INCOME_GAAP/1M", "FPR=2022Y", "FPT=A", "FA_ACT_EST_DATA=E, EST_SOURCE=JMP", "ACT_EST_MAPPING=PRECISE", "FS=MRC", "CURRENCY=USD", "XLFILL=b")</f>
        <v>1248</v>
      </c>
      <c r="U91" s="9">
        <f>_xll.BQL("CRM US Equity", "IS_COMP_NET_INCOME_GAAP/1M", "FPR=2022Y", "FPT=A", "FA_ACT_EST_DATA=E, EST_SOURCE=RJA", "ACT_EST_MAPPING=PRECISE", "FS=MRC", "CURRENCY=USD", "XLFILL=b")</f>
        <v>1237</v>
      </c>
      <c r="V91" s="9">
        <f>_xll.BQL("CRM US Equity", "IS_COMP_NET_INCOME_GAAP/1M", "FPR=2022Y", "FPT=A", "FA_ACT_EST_DATA=E, EST_SOURCE=OPY", "ACT_EST_MAPPING=PRECISE", "FS=MRC", "CURRENCY=USD", "XLFILL=b")</f>
        <v>1236</v>
      </c>
      <c r="W91" s="9">
        <f>_xll.BQL("CRM US Equity", "IS_COMP_NET_INCOME_GAAP/1M", "FPR=2022Y", "FPT=A", "FA_ACT_EST_DATA=E, EST_SOURCE=JPM", "ACT_EST_MAPPING=PRECISE", "FS=MRC", "CURRENCY=USD", "XLFILL=b")</f>
        <v>1221</v>
      </c>
      <c r="X91" s="9">
        <f>_xll.BQL("CRM US Equity", "IS_COMP_NET_INCOME_GAAP/1M", "FPR=2022Y", "FPT=A", "FA_ACT_EST_DATA=E, EST_SOURCE=FBC", "ACT_EST_MAPPING=PRECISE", "FS=MRC", "CURRENCY=USD", "XLFILL=b")</f>
        <v>810</v>
      </c>
      <c r="Y91" s="9">
        <f>_xll.BQL("CRM US Equity", "IS_COMP_NET_INCOME_GAAP/1M", "FPR=2022Y", "FPT=A", "FA_ACT_EST_DATA=E, EST_SOURCE=WMS", "ACT_EST_MAPPING=PRECISE", "FS=MRC", "CURRENCY=USD", "XLFILL=b")</f>
        <v>1343</v>
      </c>
      <c r="Z91" s="9">
        <f>_xll.BQL("CRM US Equity", "IS_COMP_NET_INCOME_GAAP/1M", "FPR=2022Y", "FPT=A", "FA_ACT_EST_DATA=E, EST_SOURCE=KEY", "ACT_EST_MAPPING=PRECISE", "FS=MRC", "CURRENCY=USD", "XLFILL=b")</f>
        <v>821</v>
      </c>
      <c r="AA91" s="9">
        <f>_xll.BQL("CRM US Equity", "IS_COMP_NET_INCOME_GAAP/1M", "FPR=2022Y", "FPT=A", "FA_ACT_EST_DATA=E, EST_SOURCE=LCM", "ACT_EST_MAPPING=PRECISE", "FS=MRC", "CURRENCY=USD", "XLFILL=b")</f>
        <v>1246</v>
      </c>
      <c r="AB91" s="9">
        <f>_xll.BQL("CRM US Equity", "IS_COMP_NET_INCOME_GAAP/1M", "FPR=2022Y", "FPT=A", "FA_ACT_EST_DATA=E, EST_SOURCE=CWN", "ACT_EST_MAPPING=PRECISE", "FS=MRC", "CURRENCY=USD", "XLFILL=b")</f>
        <v>1256</v>
      </c>
      <c r="AC91" s="9">
        <f>_xll.BQL("CRM US Equity", "IS_COMP_NET_INCOME_GAAP/1M", "FPR=2022Y", "FPT=A", "FA_ACT_EST_DATA=E, EST_SOURCE=BNS", "ACT_EST_MAPPING=PRECISE", "FS=MRC", "CURRENCY=USD", "XLFILL=b")</f>
        <v>1221</v>
      </c>
      <c r="AD91" s="9">
        <f>_xll.BQL("CRM US Equity", "IS_COMP_NET_INCOME_GAAP/1M", "FPR=2022Y", "FPT=A", "FA_ACT_EST_DATA=E, EST_SOURCE=BAM", "ACT_EST_MAPPING=PRECISE", "FS=MRC", "CURRENCY=USD", "XLFILL=b")</f>
        <v>1235</v>
      </c>
      <c r="AE91" s="9" t="str">
        <f>_xll.BQL("CRM US Equity", "IS_COMP_NET_INCOME_GAAP/1M", "FPR=2022Y", "FPT=A", "FA_ACT_EST_DATA=E, EST_SOURCE=RBC", "ACT_EST_MAPPING=PRECISE", "FS=MRC", "CURRENCY=USD", "XLFILL=b")</f>
        <v/>
      </c>
      <c r="AF91" s="9">
        <f>_xll.BQL("CRM US Equity", "IS_COMP_NET_INCOME_GAAP/1M", "FPR=2022Y", "FPT=A", "FA_ACT_EST_DATA=E, EST_SOURCE=UBS", "ACT_EST_MAPPING=PRECISE", "FS=MRC", "CURRENCY=USD", "XLFILL=b")</f>
        <v>1048</v>
      </c>
      <c r="AG91" s="9">
        <f>_xll.BQL("CRM US Equity", "IS_COMP_NET_INCOME_GAAP/1M", "FPR=2022Y", "FPT=A", "FA_ACT_EST_DATA=E, EST_SOURCE=RHR", "ACT_EST_MAPPING=PRECISE", "FS=MRC", "CURRENCY=USD", "XLFILL=b")</f>
        <v>609</v>
      </c>
      <c r="AH91" s="9">
        <f>_xll.BQL("CRM US Equity", "IS_COMP_NET_INCOME_GAAP/1M", "FPR=2022Y", "FPT=A", "FA_ACT_EST_DATA=E, EST_SOURCE=JEF", "ACT_EST_MAPPING=PRECISE", "FS=MRC", "CURRENCY=USD", "XLFILL=b")</f>
        <v>366</v>
      </c>
      <c r="AI91" s="9">
        <f>_xll.BQL("CRM US Equity", "IS_COMP_NET_INCOME_GAAP/1M", "FPR=2022Y", "FPT=A", "FA_ACT_EST_DATA=E, EST_SOURCE=ATL", "ACT_EST_MAPPING=PRECISE", "FS=MRC", "CURRENCY=USD", "XLFILL=b")</f>
        <v>1108</v>
      </c>
      <c r="AJ91" s="9" t="str">
        <f>_xll.BQL("CRM US Equity", "IS_COMP_NET_INCOME_GAAP/1M", "FPR=2022Y", "FPT=A", "FA_ACT_EST_DATA=E, EST_SOURCE=MAC", "ACT_EST_MAPPING=PRECISE", "FS=MRC", "CURRENCY=USD", "XLFILL=b")</f>
        <v/>
      </c>
      <c r="AK91" s="9" t="str">
        <f>_xll.BQL("CRM US Equity", "IS_COMP_NET_INCOME_GAAP/1M", "FPR=2022Y", "FPT=A", "FA_ACT_EST_DATA=E, EST_SOURCE=EVR", "ACT_EST_MAPPING=PRECISE", "FS=MRC", "CURRENCY=USD", "XLFILL=b")</f>
        <v/>
      </c>
      <c r="AL91" s="9" t="str">
        <f>_xll.BQL("CRM US Equity", "IS_COMP_NET_INCOME_GAAP/1M", "FPR=2022Y", "FPT=A", "FA_ACT_EST_DATA=E, EST_SOURCE=MSR", "ACT_EST_MAPPING=PRECISE", "FS=MRC", "CURRENCY=USD", "XLFILL=b")</f>
        <v/>
      </c>
      <c r="AM91" s="9" t="str">
        <f>_xll.BQL("CRM US Equity", "IS_COMP_NET_INCOME_GAAP/1M", "FPR=2022Y", "FPT=A", "FA_ACT_EST_DATA=E, EST_SOURCE=KGI", "ACT_EST_MAPPING=PRECISE", "FS=MRC", "CURRENCY=USD", "XLFILL=b")</f>
        <v/>
      </c>
      <c r="AN91" s="9">
        <f>_xll.BQL("CRM US Equity", "IS_COMP_NET_INCOME_GAAP/1M", "FPR=2022Y", "FPT=A", "FA_ACT_EST_DATA=E, EST_SOURCE=ACC", "ACT_EST_MAPPING=PRECISE", "FS=MRC", "CURRENCY=USD", "XLFILL=b")</f>
        <v>1240</v>
      </c>
      <c r="AO91" s="9" t="str">
        <f>_xll.BQL("CRM US Equity", "IS_COMP_NET_INCOME_GAAP/1M", "FPR=2022Y", "FPT=A", "FA_ACT_EST_DATA=E, EST_SOURCE=GSR", "ACT_EST_MAPPING=PRECISE", "FS=MRC", "CURRENCY=USD", "XLFILL=b")</f>
        <v/>
      </c>
      <c r="AP91" s="9" t="str">
        <f>_xll.BQL("CRM US Equity", "IS_COMP_NET_INCOME_GAAP/1M", "FPR=2022Y", "FPT=A", "FA_ACT_EST_DATA=E, EST_SOURCE=PSG", "ACT_EST_MAPPING=PRECISE", "FS=MRC", "CURRENCY=USD", "XLFILL=b")</f>
        <v/>
      </c>
      <c r="AQ91" s="9" t="str">
        <f>_xll.BQL("CRM US Equity", "IS_COMP_NET_INCOME_GAAP/1M", "FPR=2022Y", "FPT=A", "FA_ACT_EST_DATA=E, EST_SOURCE=DWI", "ACT_EST_MAPPING=PRECISE", "FS=MRC", "CURRENCY=USD", "XLFILL=b")</f>
        <v/>
      </c>
      <c r="AR91" s="9">
        <f>_xll.BQL("CRM US Equity", "IS_COMP_NET_INCOME_GAAP/1M", "FPR=2022Y", "FPT=A", "FA_ACT_EST_DATA=E, EST_SOURCE=RWB", "ACT_EST_MAPPING=PRECISE", "FS=MRC", "CURRENCY=USD", "XLFILL=b")</f>
        <v>584</v>
      </c>
      <c r="AS91" s="9" t="str">
        <f>_xll.BQL("CRM US Equity", "IS_COMP_NET_INCOME_GAAP/1M", "FPR=2022Y", "FPT=A", "FA_ACT_EST_DATA=E, EST_SOURCE=ARG", "ACT_EST_MAPPING=PRECISE", "FS=MRC", "CURRENCY=USD", "XLFILL=b")</f>
        <v/>
      </c>
      <c r="AT91" s="9" t="str">
        <f>_xll.BQL("CRM US Equity", "IS_COMP_NET_INCOME_GAAP/1M", "FPR=2022Y", "FPT=A", "FA_ACT_EST_DATA=E, EST_SOURCE=CTI", "ACT_EST_MAPPING=PRECISE", "FS=MRC", "CURRENCY=USD", "XLFILL=b")</f>
        <v/>
      </c>
      <c r="AU91" s="9" t="str">
        <f>_xll.BQL("CRM US Equity", "IS_COMP_NET_INCOME_GAAP/1M", "FPR=2022Y", "FPT=A", "FA_ACT_EST_DATA=E, EST_SOURCE=WFT", "ACT_EST_MAPPING=PRECISE", "FS=MRC", "CURRENCY=USD", "XLFILL=b")</f>
        <v/>
      </c>
      <c r="AV91" s="9" t="str">
        <f>_xll.BQL("CRM US Equity", "IS_COMP_NET_INCOME_GAAP/1M", "FPR=2022Y", "FPT=A", "FA_ACT_EST_DATA=E, EST_SOURCE=PJE", "ACT_EST_MAPPING=PRECISE", "FS=MRC", "CURRENCY=USD", "XLFILL=b")</f>
        <v/>
      </c>
      <c r="AW91" s="9" t="str">
        <f>_xll.BQL("CRM US Equity", "IS_COMP_NET_INCOME_GAAP/1M", "FPR=2022Y", "FPT=A", "FA_ACT_EST_DATA=E, EST_SOURCE=SGE", "ACT_EST_MAPPING=PRECISE", "FS=MRC", "CURRENCY=USD", "XLFILL=b")</f>
        <v/>
      </c>
      <c r="AX91" s="9" t="str">
        <f>_xll.BQL("CRM US Equity", "IS_COMP_NET_INCOME_GAAP/1M", "FPR=2022Y", "FPT=A", "FA_ACT_EST_DATA=E, EST_SOURCE=MZS", "ACT_EST_MAPPING=PRECISE", "FS=MRC", "CURRENCY=USD", "XLFILL=b")</f>
        <v/>
      </c>
      <c r="AY91" s="9" t="str">
        <f>_xll.BQL("CRM US Equity", "IS_COMP_NET_INCOME_GAAP/1M", "FPR=2022Y", "FPT=A", "FA_ACT_EST_DATA=E, EST_SOURCE=RCP", "ACT_EST_MAPPING=PRECISE", "FS=MRC", "CURRENCY=USD", "XLFILL=b")</f>
        <v/>
      </c>
      <c r="AZ91" s="9" t="str">
        <f>_xll.BQL("CRM US Equity", "IS_COMP_NET_INCOME_GAAP/1M", "FPR=2022Y", "FPT=A", "FA_ACT_EST_DATA=E, EST_SOURCE=WFR", "ACT_EST_MAPPING=PRECISE", "FS=MRC", "CURRENCY=USD", "XLFILL=b")</f>
        <v/>
      </c>
      <c r="BA91" s="9" t="str">
        <f>_xll.BQL("CRM US Equity", "IS_COMP_NET_INCOME_GAAP/1M", "FPR=2022Y", "FPT=A", "FA_ACT_EST_DATA=E, EST_SOURCE=NIK", "ACT_EST_MAPPING=PRECISE", "FS=MRC", "CURRENCY=USD", "XLFILL=b")</f>
        <v/>
      </c>
      <c r="BB91" s="9" t="str">
        <f>_xll.BQL("CRM US Equity", "IS_COMP_NET_INCOME_GAAP/1M", "FPR=2022Y", "FPT=A", "FA_ACT_EST_DATA=E, EST_SOURCE=ARE", "ACT_EST_MAPPING=PRECISE", "FS=MRC", "CURRENCY=USD", "XLFILL=b")</f>
        <v/>
      </c>
      <c r="BC91" s="9" t="str">
        <f>_xll.BQL("CRM US Equity", "IS_COMP_NET_INCOME_GAAP/1M", "FPR=2022Y", "FPT=A", "FA_ACT_EST_DATA=E, EST_SOURCE=RED", "ACT_EST_MAPPING=PRECISE", "FS=MRC", "CURRENCY=USD", "XLFILL=b")</f>
        <v/>
      </c>
      <c r="BD91" s="9" t="str">
        <f>_xll.BQL("CRM US Equity", "IS_COMP_NET_INCOME_GAAP/1M", "FPR=2022Y", "FPT=A", "FA_ACT_EST_DATA=E, EST_SOURCE=DIR", "ACT_EST_MAPPING=PRECISE", "FS=MRC", "CURRENCY=USD", "XLFILL=b")</f>
        <v/>
      </c>
    </row>
    <row r="92" spans="1:56" x14ac:dyDescent="0.55000000000000004">
      <c r="A92" s="8" t="s">
        <v>161</v>
      </c>
      <c r="B92" s="5" t="s">
        <v>162</v>
      </c>
      <c r="C92" s="5" t="s">
        <v>123</v>
      </c>
      <c r="D92" s="5"/>
      <c r="E92" s="9">
        <f>_xll.BQL("CRM US Equity", "PROF_MARGIN", "FPR=2022Y", "FPT=A", "FA_ACT_EST_DATA=E", "ACT_EST_MAPPING=PRECISE", "FS=MRC", "CURRENCY=USD", "XLFILL=b")</f>
        <v>4.6736582285155386</v>
      </c>
      <c r="F92" s="9">
        <f>_xll.BQL("CRM US Equity", "CONTRIBUTOR_STATS(PROF_MARGIN, MIN)", "FPR=2022Y", "FPT=A", "FA_ACT_EST_DATA=E", "ACT_EST_MAPPING=PRECISE", "FS=MRC", "CURRENCY=USD", "XLFILL=b")</f>
        <v>4.6264437781972054</v>
      </c>
      <c r="G92" s="9">
        <f>_xll.BQL("CRM US Equity", "CONTRIBUTOR_STATS(PROF_MARGIN, MAX)", "FPR=2022Y", "FPT=A", "FA_ACT_EST_DATA=E", "ACT_EST_MAPPING=PRECISE", "FS=MRC", "CURRENCY=USD", "XLFILL=b")</f>
        <v>4.7175116705630229</v>
      </c>
      <c r="H92" s="9">
        <f>_xll.BQL("CRM US Equity", "CONTRIBUTOR_STATS(PROF_MARGIN, STD)", "FPR=2022Y", "FPT=A", "FA_ACT_EST_DATA=E", "ACT_EST_MAPPING=PRECISE", "FS=MRC", "CURRENCY=USD", "XLFILL=b")</f>
        <v>3.4428195284807402E-2</v>
      </c>
      <c r="I92" s="9">
        <f>_xll.BQL("CRM US Equity", "CONTRIBUTOR_STATS(PROF_MARGIN, MEDIAN)", "FPR=2022Y", "FPT=A", "FA_ACT_EST_DATA=E", "ACT_EST_MAPPING=PRECISE", "FS=MRC", "CURRENCY=USD", "XLFILL=b")</f>
        <v>4.6825795203953966</v>
      </c>
      <c r="J92" s="9" t="str">
        <f>_xll.BQL("CRM US Equity", "PROF_MARGIN", "FPR=2022Y", "FPT=A", "FA_ACT_EST_DATA=E, EST_SOURCE=CMPY", "ACT_EST_MAPPING=PRECISE", "FS=MRC", "CURRENCY=USD", "XLFILL=b")</f>
        <v/>
      </c>
      <c r="K92" s="9" t="str">
        <f>_xll.BQL("CRM US Equity", "PROF_MARGIN", "FPR=2022Y", "FPT=A", "FA_ACT_EST_DATA=E, EST_SOURCE=WBL", "ACT_EST_MAPPING=PRECISE", "FS=MRC", "CURRENCY=USD", "XLFILL=b")</f>
        <v/>
      </c>
      <c r="L92" s="9" t="str">
        <f>_xll.BQL("CRM US Equity", "PROF_MARGIN", "FPR=2022Y", "FPT=A", "FA_ACT_EST_DATA=E, EST_SOURCE=BMO", "ACT_EST_MAPPING=PRECISE", "FS=MRC", "CURRENCY=USD", "XLFILL=b")</f>
        <v/>
      </c>
      <c r="M92" s="9" t="str">
        <f>_xll.BQL("CRM US Equity", "PROF_MARGIN", "FPR=2022Y", "FPT=A", "FA_ACT_EST_DATA=E, EST_SOURCE=BCA", "ACT_EST_MAPPING=PRECISE", "FS=MRC", "CURRENCY=USD", "XLFILL=b")</f>
        <v/>
      </c>
      <c r="N92" s="9" t="str">
        <f>_xll.BQL("CRM US Equity", "PROF_MARGIN", "FPR=2022Y", "FPT=A", "FA_ACT_EST_DATA=E, EST_SOURCE=SNR", "ACT_EST_MAPPING=PRECISE", "FS=MRC", "CURRENCY=USD", "XLFILL=b")</f>
        <v/>
      </c>
      <c r="O92" s="9">
        <f>_xll.BQL("CRM US Equity", "PROF_MARGIN", "FPR=2022Y", "FPT=A", "FA_ACT_EST_DATA=E, EST_SOURCE=MSV", "ACT_EST_MAPPING=PRECISE", "FS=MRC", "CURRENCY=USD", "XLFILL=b")</f>
        <v>3.2162499999999969</v>
      </c>
      <c r="P92" s="9" t="str">
        <f>_xll.BQL("CRM US Equity", "PROF_MARGIN", "FPR=2022Y", "FPT=A", "FA_ACT_EST_DATA=E, EST_SOURCE=DBG", "ACT_EST_MAPPING=PRECISE", "FS=MRC", "CURRENCY=USD", "XLFILL=b")</f>
        <v/>
      </c>
      <c r="Q92" s="9">
        <f>_xll.BQL("CRM US Equity", "PROF_MARGIN", "FPR=2022Y", "FPT=A", "FA_ACT_EST_DATA=E, EST_SOURCE=NDH", "ACT_EST_MAPPING=PRECISE", "FS=MRC", "CURRENCY=USD", "XLFILL=b")</f>
        <v>4.655164621175242</v>
      </c>
      <c r="R92" s="9" t="str">
        <f>_xll.BQL("CRM US Equity", "PROF_MARGIN", "FPR=2022Y", "FPT=A", "FA_ACT_EST_DATA=E, EST_SOURCE=CAN", "ACT_EST_MAPPING=PRECISE", "FS=MRC", "CURRENCY=USD", "XLFILL=b")</f>
        <v/>
      </c>
      <c r="S92" s="9" t="str">
        <f>_xll.BQL("CRM US Equity", "PROF_MARGIN", "FPR=2022Y", "FPT=A", "FA_ACT_EST_DATA=E, EST_SOURCE=SCB", "ACT_EST_MAPPING=PRECISE", "FS=MRC", "CURRENCY=USD", "XLFILL=b")</f>
        <v/>
      </c>
      <c r="T92" s="9" t="str">
        <f>_xll.BQL("CRM US Equity", "PROF_MARGIN", "FPR=2022Y", "FPT=A", "FA_ACT_EST_DATA=E, EST_SOURCE=JMP", "ACT_EST_MAPPING=PRECISE", "FS=MRC", "CURRENCY=USD", "XLFILL=b")</f>
        <v/>
      </c>
      <c r="U92" s="9">
        <f>_xll.BQL("CRM US Equity", "PROF_MARGIN", "FPR=2022Y", "FPT=A", "FA_ACT_EST_DATA=E, EST_SOURCE=RJA", "ACT_EST_MAPPING=PRECISE", "FS=MRC", "CURRENCY=USD", "XLFILL=b")</f>
        <v>4.6865915522468233</v>
      </c>
      <c r="V92" s="9" t="str">
        <f>_xll.BQL("CRM US Equity", "PROF_MARGIN", "FPR=2022Y", "FPT=A", "FA_ACT_EST_DATA=E, EST_SOURCE=OPY", "ACT_EST_MAPPING=PRECISE", "FS=MRC", "CURRENCY=USD", "XLFILL=b")</f>
        <v/>
      </c>
      <c r="W92" s="9">
        <f>_xll.BQL("CRM US Equity", "PROF_MARGIN", "FPR=2022Y", "FPT=A", "FA_ACT_EST_DATA=E, EST_SOURCE=JPM", "ACT_EST_MAPPING=PRECISE", "FS=MRC", "CURRENCY=USD", "XLFILL=b")</f>
        <v>4.6264437781972054</v>
      </c>
      <c r="X92" s="9">
        <f>_xll.BQL("CRM US Equity", "PROF_MARGIN", "FPR=2022Y", "FPT=A", "FA_ACT_EST_DATA=E, EST_SOURCE=FBC", "ACT_EST_MAPPING=PRECISE", "FS=MRC", "CURRENCY=USD", "XLFILL=b")</f>
        <v>3.0886888677840831</v>
      </c>
      <c r="Y92" s="9" t="str">
        <f>_xll.BQL("CRM US Equity", "PROF_MARGIN", "FPR=2022Y", "FPT=A", "FA_ACT_EST_DATA=E, EST_SOURCE=WMS", "ACT_EST_MAPPING=PRECISE", "FS=MRC", "CURRENCY=USD", "XLFILL=b")</f>
        <v/>
      </c>
      <c r="Z92" s="9" t="str">
        <f>_xll.BQL("CRM US Equity", "PROF_MARGIN", "FPR=2022Y", "FPT=A", "FA_ACT_EST_DATA=E, EST_SOURCE=KEY", "ACT_EST_MAPPING=PRECISE", "FS=MRC", "CURRENCY=USD", "XLFILL=b")</f>
        <v/>
      </c>
      <c r="AA92" s="9" t="str">
        <f>_xll.BQL("CRM US Equity", "PROF_MARGIN", "FPR=2022Y", "FPT=A", "FA_ACT_EST_DATA=E, EST_SOURCE=LCM", "ACT_EST_MAPPING=PRECISE", "FS=MRC", "CURRENCY=USD", "XLFILL=b")</f>
        <v/>
      </c>
      <c r="AB92" s="9" t="str">
        <f>_xll.BQL("CRM US Equity", "PROF_MARGIN", "FPR=2022Y", "FPT=A", "FA_ACT_EST_DATA=E, EST_SOURCE=CWN", "ACT_EST_MAPPING=PRECISE", "FS=MRC", "CURRENCY=USD", "XLFILL=b")</f>
        <v/>
      </c>
      <c r="AC92" s="9" t="str">
        <f>_xll.BQL("CRM US Equity", "PROF_MARGIN", "FPR=2022Y", "FPT=A", "FA_ACT_EST_DATA=E, EST_SOURCE=BNS", "ACT_EST_MAPPING=PRECISE", "FS=MRC", "CURRENCY=USD", "XLFILL=b")</f>
        <v/>
      </c>
      <c r="AD92" s="9" t="str">
        <f>_xll.BQL("CRM US Equity", "PROF_MARGIN", "FPR=2022Y", "FPT=A", "FA_ACT_EST_DATA=E, EST_SOURCE=BAM", "ACT_EST_MAPPING=PRECISE", "FS=MRC", "CURRENCY=USD", "XLFILL=b")</f>
        <v/>
      </c>
      <c r="AE92" s="9" t="str">
        <f>_xll.BQL("CRM US Equity", "PROF_MARGIN", "FPR=2022Y", "FPT=A", "FA_ACT_EST_DATA=E, EST_SOURCE=RBC", "ACT_EST_MAPPING=PRECISE", "FS=MRC", "CURRENCY=USD", "XLFILL=b")</f>
        <v/>
      </c>
      <c r="AF92" s="9" t="str">
        <f>_xll.BQL("CRM US Equity", "PROF_MARGIN", "FPR=2022Y", "FPT=A", "FA_ACT_EST_DATA=E, EST_SOURCE=UBS", "ACT_EST_MAPPING=PRECISE", "FS=MRC", "CURRENCY=USD", "XLFILL=b")</f>
        <v/>
      </c>
      <c r="AG92" s="9" t="str">
        <f>_xll.BQL("CRM US Equity", "PROF_MARGIN", "FPR=2022Y", "FPT=A", "FA_ACT_EST_DATA=E, EST_SOURCE=RHR", "ACT_EST_MAPPING=PRECISE", "FS=MRC", "CURRENCY=USD", "XLFILL=b")</f>
        <v/>
      </c>
      <c r="AH92" s="9" t="str">
        <f>_xll.BQL("CRM US Equity", "PROF_MARGIN", "FPR=2022Y", "FPT=A", "FA_ACT_EST_DATA=E, EST_SOURCE=JEF", "ACT_EST_MAPPING=PRECISE", "FS=MRC", "CURRENCY=USD", "XLFILL=b")</f>
        <v/>
      </c>
      <c r="AI92" s="9" t="str">
        <f>_xll.BQL("CRM US Equity", "PROF_MARGIN", "FPR=2022Y", "FPT=A", "FA_ACT_EST_DATA=E, EST_SOURCE=ATL", "ACT_EST_MAPPING=PRECISE", "FS=MRC", "CURRENCY=USD", "XLFILL=b")</f>
        <v/>
      </c>
      <c r="AJ92" s="9" t="str">
        <f>_xll.BQL("CRM US Equity", "PROF_MARGIN", "FPR=2022Y", "FPT=A", "FA_ACT_EST_DATA=E, EST_SOURCE=MAC", "ACT_EST_MAPPING=PRECISE", "FS=MRC", "CURRENCY=USD", "XLFILL=b")</f>
        <v/>
      </c>
      <c r="AK92" s="9" t="str">
        <f>_xll.BQL("CRM US Equity", "PROF_MARGIN", "FPR=2022Y", "FPT=A", "FA_ACT_EST_DATA=E, EST_SOURCE=EVR", "ACT_EST_MAPPING=PRECISE", "FS=MRC", "CURRENCY=USD", "XLFILL=b")</f>
        <v/>
      </c>
      <c r="AL92" s="9" t="str">
        <f>_xll.BQL("CRM US Equity", "PROF_MARGIN", "FPR=2022Y", "FPT=A", "FA_ACT_EST_DATA=E, EST_SOURCE=MSR", "ACT_EST_MAPPING=PRECISE", "FS=MRC", "CURRENCY=USD", "XLFILL=b")</f>
        <v/>
      </c>
      <c r="AM92" s="9" t="str">
        <f>_xll.BQL("CRM US Equity", "PROF_MARGIN", "FPR=2022Y", "FPT=A", "FA_ACT_EST_DATA=E, EST_SOURCE=KGI", "ACT_EST_MAPPING=PRECISE", "FS=MRC", "CURRENCY=USD", "XLFILL=b")</f>
        <v/>
      </c>
      <c r="AN92" s="9" t="str">
        <f>_xll.BQL("CRM US Equity", "PROF_MARGIN", "FPR=2022Y", "FPT=A", "FA_ACT_EST_DATA=E, EST_SOURCE=ACC", "ACT_EST_MAPPING=PRECISE", "FS=MRC", "CURRENCY=USD", "XLFILL=b")</f>
        <v/>
      </c>
      <c r="AO92" s="9" t="str">
        <f>_xll.BQL("CRM US Equity", "PROF_MARGIN", "FPR=2022Y", "FPT=A", "FA_ACT_EST_DATA=E, EST_SOURCE=GSR", "ACT_EST_MAPPING=PRECISE", "FS=MRC", "CURRENCY=USD", "XLFILL=b")</f>
        <v/>
      </c>
      <c r="AP92" s="9" t="str">
        <f>_xll.BQL("CRM US Equity", "PROF_MARGIN", "FPR=2022Y", "FPT=A", "FA_ACT_EST_DATA=E, EST_SOURCE=PSG", "ACT_EST_MAPPING=PRECISE", "FS=MRC", "CURRENCY=USD", "XLFILL=b")</f>
        <v/>
      </c>
      <c r="AQ92" s="9" t="str">
        <f>_xll.BQL("CRM US Equity", "PROF_MARGIN", "FPR=2022Y", "FPT=A", "FA_ACT_EST_DATA=E, EST_SOURCE=DWI", "ACT_EST_MAPPING=PRECISE", "FS=MRC", "CURRENCY=USD", "XLFILL=b")</f>
        <v/>
      </c>
      <c r="AR92" s="9" t="str">
        <f>_xll.BQL("CRM US Equity", "PROF_MARGIN", "FPR=2022Y", "FPT=A", "FA_ACT_EST_DATA=E, EST_SOURCE=RWB", "ACT_EST_MAPPING=PRECISE", "FS=MRC", "CURRENCY=USD", "XLFILL=b")</f>
        <v/>
      </c>
      <c r="AS92" s="9" t="str">
        <f>_xll.BQL("CRM US Equity", "PROF_MARGIN", "FPR=2022Y", "FPT=A", "FA_ACT_EST_DATA=E, EST_SOURCE=ARG", "ACT_EST_MAPPING=PRECISE", "FS=MRC", "CURRENCY=USD", "XLFILL=b")</f>
        <v/>
      </c>
      <c r="AT92" s="9" t="str">
        <f>_xll.BQL("CRM US Equity", "PROF_MARGIN", "FPR=2022Y", "FPT=A", "FA_ACT_EST_DATA=E, EST_SOURCE=CTI", "ACT_EST_MAPPING=PRECISE", "FS=MRC", "CURRENCY=USD", "XLFILL=b")</f>
        <v/>
      </c>
      <c r="AU92" s="9" t="str">
        <f>_xll.BQL("CRM US Equity", "PROF_MARGIN", "FPR=2022Y", "FPT=A", "FA_ACT_EST_DATA=E, EST_SOURCE=WFT", "ACT_EST_MAPPING=PRECISE", "FS=MRC", "CURRENCY=USD", "XLFILL=b")</f>
        <v/>
      </c>
      <c r="AV92" s="9" t="str">
        <f>_xll.BQL("CRM US Equity", "PROF_MARGIN", "FPR=2022Y", "FPT=A", "FA_ACT_EST_DATA=E, EST_SOURCE=PJE", "ACT_EST_MAPPING=PRECISE", "FS=MRC", "CURRENCY=USD", "XLFILL=b")</f>
        <v/>
      </c>
      <c r="AW92" s="9" t="str">
        <f>_xll.BQL("CRM US Equity", "PROF_MARGIN", "FPR=2022Y", "FPT=A", "FA_ACT_EST_DATA=E, EST_SOURCE=SGE", "ACT_EST_MAPPING=PRECISE", "FS=MRC", "CURRENCY=USD", "XLFILL=b")</f>
        <v/>
      </c>
      <c r="AX92" s="9" t="str">
        <f>_xll.BQL("CRM US Equity", "PROF_MARGIN", "FPR=2022Y", "FPT=A", "FA_ACT_EST_DATA=E, EST_SOURCE=MZS", "ACT_EST_MAPPING=PRECISE", "FS=MRC", "CURRENCY=USD", "XLFILL=b")</f>
        <v/>
      </c>
      <c r="AY92" s="9" t="str">
        <f>_xll.BQL("CRM US Equity", "PROF_MARGIN", "FPR=2022Y", "FPT=A", "FA_ACT_EST_DATA=E, EST_SOURCE=RCP", "ACT_EST_MAPPING=PRECISE", "FS=MRC", "CURRENCY=USD", "XLFILL=b")</f>
        <v/>
      </c>
      <c r="AZ92" s="9" t="str">
        <f>_xll.BQL("CRM US Equity", "PROF_MARGIN", "FPR=2022Y", "FPT=A", "FA_ACT_EST_DATA=E, EST_SOURCE=WFR", "ACT_EST_MAPPING=PRECISE", "FS=MRC", "CURRENCY=USD", "XLFILL=b")</f>
        <v/>
      </c>
      <c r="BA92" s="9" t="str">
        <f>_xll.BQL("CRM US Equity", "PROF_MARGIN", "FPR=2022Y", "FPT=A", "FA_ACT_EST_DATA=E, EST_SOURCE=NIK", "ACT_EST_MAPPING=PRECISE", "FS=MRC", "CURRENCY=USD", "XLFILL=b")</f>
        <v/>
      </c>
      <c r="BB92" s="9" t="str">
        <f>_xll.BQL("CRM US Equity", "PROF_MARGIN", "FPR=2022Y", "FPT=A", "FA_ACT_EST_DATA=E, EST_SOURCE=ARE", "ACT_EST_MAPPING=PRECISE", "FS=MRC", "CURRENCY=USD", "XLFILL=b")</f>
        <v/>
      </c>
      <c r="BC92" s="9" t="str">
        <f>_xll.BQL("CRM US Equity", "PROF_MARGIN", "FPR=2022Y", "FPT=A", "FA_ACT_EST_DATA=E, EST_SOURCE=RED", "ACT_EST_MAPPING=PRECISE", "FS=MRC", "CURRENCY=USD", "XLFILL=b")</f>
        <v/>
      </c>
      <c r="BD92" s="9" t="str">
        <f>_xll.BQL("CRM US Equity", "PROF_MARGIN", "FPR=2022Y", "FPT=A", "FA_ACT_EST_DATA=E, EST_SOURCE=DIR", "ACT_EST_MAPPING=PRECISE", "FS=MRC", "CURRENCY=USD", "XLFILL=b")</f>
        <v/>
      </c>
    </row>
    <row r="93" spans="1:56" x14ac:dyDescent="0.55000000000000004">
      <c r="A93" s="8" t="s">
        <v>163</v>
      </c>
      <c r="B93" s="5" t="s">
        <v>164</v>
      </c>
      <c r="C93" s="5" t="s">
        <v>165</v>
      </c>
      <c r="D93" s="5"/>
      <c r="E93" s="9">
        <f>_xll.BQL("CRM US Equity", "IS_AVG_NUM_SH_FOR_EPS/1M", "FPR=2022Y", "FPT=A", "FA_ACT_EST_DATA=E", "ACT_EST_MAPPING=PRECISE", "FS=MRC", "CURRENCY=USD", "XLFILL=b")</f>
        <v>955.51935099515867</v>
      </c>
      <c r="F93" s="9">
        <f>_xll.BQL("CRM US Equity", "CONTRIBUTOR_STATS(IS_AVG_NUM_SH_FOR_EPS, MIN)/1M", "FPR=2022Y", "FPT=A", "FA_ACT_EST_DATA=E", "ACT_EST_MAPPING=PRECISE", "FS=MRC", "CURRENCY=USD", "XLFILL=b")</f>
        <v>953.5</v>
      </c>
      <c r="G93" s="9">
        <f>_xll.BQL("CRM US Equity", "CONTRIBUTOR_STATS(IS_AVG_NUM_SH_FOR_EPS, MAX)/1M", "FPR=2022Y", "FPT=A", "FA_ACT_EST_DATA=E", "ACT_EST_MAPPING=PRECISE", "FS=MRC", "CURRENCY=USD", "XLFILL=b")</f>
        <v>957.8125</v>
      </c>
      <c r="H93" s="9">
        <f>_xll.BQL("CRM US Equity", "CONTRIBUTOR_STATS(IS_AVG_NUM_SH_FOR_EPS, STD)/1M", "FPR=2022Y", "FPT=A", "FA_ACT_EST_DATA=E", "ACT_EST_MAPPING=PRECISE", "FS=MRC", "CURRENCY=USD", "XLFILL=b")</f>
        <v>1.0229712322787921</v>
      </c>
      <c r="I93" s="9">
        <f>_xll.BQL("CRM US Equity", "CONTRIBUTOR_STATS(IS_AVG_NUM_SH_FOR_EPS, MEDIAN)/1M", "FPR=2022Y", "FPT=A", "FA_ACT_EST_DATA=E", "ACT_EST_MAPPING=PRECISE", "FS=MRC", "CURRENCY=USD", "XLFILL=b")</f>
        <v>955.25</v>
      </c>
      <c r="J93" s="9" t="str">
        <f>_xll.BQL("CRM US Equity", "IS_AVG_NUM_SH_FOR_EPS/1M", "FPR=2022Y", "FPT=A", "FA_ACT_EST_DATA=E, EST_SOURCE=CMPY", "ACT_EST_MAPPING=PRECISE", "FS=MRC", "CURRENCY=USD", "XLFILL=b")</f>
        <v/>
      </c>
      <c r="K93" s="9" t="str">
        <f>_xll.BQL("CRM US Equity", "IS_AVG_NUM_SH_FOR_EPS/1M", "FPR=2022Y", "FPT=A", "FA_ACT_EST_DATA=E, EST_SOURCE=WBL", "ACT_EST_MAPPING=PRECISE", "FS=MRC", "CURRENCY=USD", "XLFILL=b")</f>
        <v/>
      </c>
      <c r="L93" s="9" t="str">
        <f>_xll.BQL("CRM US Equity", "IS_AVG_NUM_SH_FOR_EPS/1M", "FPR=2022Y", "FPT=A", "FA_ACT_EST_DATA=E, EST_SOURCE=BMO", "ACT_EST_MAPPING=PRECISE", "FS=MRC", "CURRENCY=USD", "XLFILL=b")</f>
        <v/>
      </c>
      <c r="M93" s="9">
        <f>_xll.BQL("CRM US Equity", "IS_AVG_NUM_SH_FOR_EPS/1M", "FPR=2022Y", "FPT=A", "FA_ACT_EST_DATA=E, EST_SOURCE=BCA", "ACT_EST_MAPPING=PRECISE", "FS=MRC", "CURRENCY=USD", "XLFILL=b")</f>
        <v>955.25</v>
      </c>
      <c r="N93" s="9" t="str">
        <f>_xll.BQL("CRM US Equity", "IS_AVG_NUM_SH_FOR_EPS/1M", "FPR=2022Y", "FPT=A", "FA_ACT_EST_DATA=E, EST_SOURCE=SNR", "ACT_EST_MAPPING=PRECISE", "FS=MRC", "CURRENCY=USD", "XLFILL=b")</f>
        <v/>
      </c>
      <c r="O93" s="9" t="str">
        <f>_xll.BQL("CRM US Equity", "IS_AVG_NUM_SH_FOR_EPS/1M", "FPR=2022Y", "FPT=A", "FA_ACT_EST_DATA=E, EST_SOURCE=MSV", "ACT_EST_MAPPING=PRECISE", "FS=MRC", "CURRENCY=USD", "XLFILL=b")</f>
        <v/>
      </c>
      <c r="P93" s="9" t="str">
        <f>_xll.BQL("CRM US Equity", "IS_AVG_NUM_SH_FOR_EPS/1M", "FPR=2022Y", "FPT=A", "FA_ACT_EST_DATA=E, EST_SOURCE=DBG", "ACT_EST_MAPPING=PRECISE", "FS=MRC", "CURRENCY=USD", "XLFILL=b")</f>
        <v/>
      </c>
      <c r="Q93" s="9">
        <f>_xll.BQL("CRM US Equity", "IS_AVG_NUM_SH_FOR_EPS/1M", "FPR=2022Y", "FPT=A", "FA_ACT_EST_DATA=E, EST_SOURCE=NDH", "ACT_EST_MAPPING=PRECISE", "FS=MRC", "CURRENCY=USD", "XLFILL=b")</f>
        <v>955.25</v>
      </c>
      <c r="R93" s="9" t="str">
        <f>_xll.BQL("CRM US Equity", "IS_AVG_NUM_SH_FOR_EPS/1M", "FPR=2022Y", "FPT=A", "FA_ACT_EST_DATA=E, EST_SOURCE=CAN", "ACT_EST_MAPPING=PRECISE", "FS=MRC", "CURRENCY=USD", "XLFILL=b")</f>
        <v/>
      </c>
      <c r="S93" s="9" t="str">
        <f>_xll.BQL("CRM US Equity", "IS_AVG_NUM_SH_FOR_EPS/1M", "FPR=2022Y", "FPT=A", "FA_ACT_EST_DATA=E, EST_SOURCE=SCB", "ACT_EST_MAPPING=PRECISE", "FS=MRC", "CURRENCY=USD", "XLFILL=b")</f>
        <v/>
      </c>
      <c r="T93" s="9">
        <f>_xll.BQL("CRM US Equity", "IS_AVG_NUM_SH_FOR_EPS/1M", "FPR=2022Y", "FPT=A", "FA_ACT_EST_DATA=E, EST_SOURCE=JMP", "ACT_EST_MAPPING=PRECISE", "FS=MRC", "CURRENCY=USD", "XLFILL=b")</f>
        <v>956.43706293706293</v>
      </c>
      <c r="U93" s="9">
        <f>_xll.BQL("CRM US Equity", "IS_AVG_NUM_SH_FOR_EPS/1M", "FPR=2022Y", "FPT=A", "FA_ACT_EST_DATA=E, EST_SOURCE=RJA", "ACT_EST_MAPPING=PRECISE", "FS=MRC", "CURRENCY=USD", "XLFILL=b")</f>
        <v>955.25</v>
      </c>
      <c r="V93" s="9" t="str">
        <f>_xll.BQL("CRM US Equity", "IS_AVG_NUM_SH_FOR_EPS/1M", "FPR=2022Y", "FPT=A", "FA_ACT_EST_DATA=E, EST_SOURCE=OPY", "ACT_EST_MAPPING=PRECISE", "FS=MRC", "CURRENCY=USD", "XLFILL=b")</f>
        <v/>
      </c>
      <c r="W93" s="9">
        <f>_xll.BQL("CRM US Equity", "IS_AVG_NUM_SH_FOR_EPS/1M", "FPR=2022Y", "FPT=A", "FA_ACT_EST_DATA=E, EST_SOURCE=JPM", "ACT_EST_MAPPING=PRECISE", "FS=MRC", "CURRENCY=USD", "XLFILL=b")</f>
        <v>955.95</v>
      </c>
      <c r="X93" s="9">
        <f>_xll.BQL("CRM US Equity", "IS_AVG_NUM_SH_FOR_EPS/1M", "FPR=2022Y", "FPT=A", "FA_ACT_EST_DATA=E, EST_SOURCE=FBC", "ACT_EST_MAPPING=PRECISE", "FS=MRC", "CURRENCY=USD", "XLFILL=b")</f>
        <v>960.93437500000005</v>
      </c>
      <c r="Y93" s="9">
        <f>_xll.BQL("CRM US Equity", "IS_AVG_NUM_SH_FOR_EPS/1M", "FPR=2022Y", "FPT=A", "FA_ACT_EST_DATA=E, EST_SOURCE=WMS", "ACT_EST_MAPPING=PRECISE", "FS=MRC", "CURRENCY=USD", "XLFILL=b")</f>
        <v>953.75</v>
      </c>
      <c r="Z93" s="9">
        <f>_xll.BQL("CRM US Equity", "IS_AVG_NUM_SH_FOR_EPS/1M", "FPR=2022Y", "FPT=A", "FA_ACT_EST_DATA=E, EST_SOURCE=KEY", "ACT_EST_MAPPING=PRECISE", "FS=MRC", "CURRENCY=USD", "XLFILL=b")</f>
        <v>972.51262499999996</v>
      </c>
      <c r="AA93" s="9" t="str">
        <f>_xll.BQL("CRM US Equity", "IS_AVG_NUM_SH_FOR_EPS/1M", "FPR=2022Y", "FPT=A", "FA_ACT_EST_DATA=E, EST_SOURCE=LCM", "ACT_EST_MAPPING=PRECISE", "FS=MRC", "CURRENCY=USD", "XLFILL=b")</f>
        <v/>
      </c>
      <c r="AB93" s="9" t="str">
        <f>_xll.BQL("CRM US Equity", "IS_AVG_NUM_SH_FOR_EPS/1M", "FPR=2022Y", "FPT=A", "FA_ACT_EST_DATA=E, EST_SOURCE=CWN", "ACT_EST_MAPPING=PRECISE", "FS=MRC", "CURRENCY=USD", "XLFILL=b")</f>
        <v/>
      </c>
      <c r="AC93" s="9" t="str">
        <f>_xll.BQL("CRM US Equity", "IS_AVG_NUM_SH_FOR_EPS/1M", "FPR=2022Y", "FPT=A", "FA_ACT_EST_DATA=E, EST_SOURCE=BNS", "ACT_EST_MAPPING=PRECISE", "FS=MRC", "CURRENCY=USD", "XLFILL=b")</f>
        <v/>
      </c>
      <c r="AD93" s="9" t="str">
        <f>_xll.BQL("CRM US Equity", "IS_AVG_NUM_SH_FOR_EPS/1M", "FPR=2022Y", "FPT=A", "FA_ACT_EST_DATA=E, EST_SOURCE=BAM", "ACT_EST_MAPPING=PRECISE", "FS=MRC", "CURRENCY=USD", "XLFILL=b")</f>
        <v/>
      </c>
      <c r="AE93" s="9" t="str">
        <f>_xll.BQL("CRM US Equity", "IS_AVG_NUM_SH_FOR_EPS/1M", "FPR=2022Y", "FPT=A", "FA_ACT_EST_DATA=E, EST_SOURCE=RBC", "ACT_EST_MAPPING=PRECISE", "FS=MRC", "CURRENCY=USD", "XLFILL=b")</f>
        <v/>
      </c>
      <c r="AF93" s="9" t="str">
        <f>_xll.BQL("CRM US Equity", "IS_AVG_NUM_SH_FOR_EPS/1M", "FPR=2022Y", "FPT=A", "FA_ACT_EST_DATA=E, EST_SOURCE=UBS", "ACT_EST_MAPPING=PRECISE", "FS=MRC", "CURRENCY=USD", "XLFILL=b")</f>
        <v/>
      </c>
      <c r="AG93" s="9" t="str">
        <f>_xll.BQL("CRM US Equity", "IS_AVG_NUM_SH_FOR_EPS/1M", "FPR=2022Y", "FPT=A", "FA_ACT_EST_DATA=E, EST_SOURCE=RHR", "ACT_EST_MAPPING=PRECISE", "FS=MRC", "CURRENCY=USD", "XLFILL=b")</f>
        <v/>
      </c>
      <c r="AH93" s="9" t="str">
        <f>_xll.BQL("CRM US Equity", "IS_AVG_NUM_SH_FOR_EPS/1M", "FPR=2022Y", "FPT=A", "FA_ACT_EST_DATA=E, EST_SOURCE=JEF", "ACT_EST_MAPPING=PRECISE", "FS=MRC", "CURRENCY=USD", "XLFILL=b")</f>
        <v/>
      </c>
      <c r="AI93" s="9" t="str">
        <f>_xll.BQL("CRM US Equity", "IS_AVG_NUM_SH_FOR_EPS/1M", "FPR=2022Y", "FPT=A", "FA_ACT_EST_DATA=E, EST_SOURCE=ATL", "ACT_EST_MAPPING=PRECISE", "FS=MRC", "CURRENCY=USD", "XLFILL=b")</f>
        <v/>
      </c>
      <c r="AJ93" s="9" t="str">
        <f>_xll.BQL("CRM US Equity", "IS_AVG_NUM_SH_FOR_EPS/1M", "FPR=2022Y", "FPT=A", "FA_ACT_EST_DATA=E, EST_SOURCE=MAC", "ACT_EST_MAPPING=PRECISE", "FS=MRC", "CURRENCY=USD", "XLFILL=b")</f>
        <v/>
      </c>
      <c r="AK93" s="9" t="str">
        <f>_xll.BQL("CRM US Equity", "IS_AVG_NUM_SH_FOR_EPS/1M", "FPR=2022Y", "FPT=A", "FA_ACT_EST_DATA=E, EST_SOURCE=EVR", "ACT_EST_MAPPING=PRECISE", "FS=MRC", "CURRENCY=USD", "XLFILL=b")</f>
        <v/>
      </c>
      <c r="AL93" s="9" t="str">
        <f>_xll.BQL("CRM US Equity", "IS_AVG_NUM_SH_FOR_EPS/1M", "FPR=2022Y", "FPT=A", "FA_ACT_EST_DATA=E, EST_SOURCE=MSR", "ACT_EST_MAPPING=PRECISE", "FS=MRC", "CURRENCY=USD", "XLFILL=b")</f>
        <v/>
      </c>
      <c r="AM93" s="9" t="str">
        <f>_xll.BQL("CRM US Equity", "IS_AVG_NUM_SH_FOR_EPS/1M", "FPR=2022Y", "FPT=A", "FA_ACT_EST_DATA=E, EST_SOURCE=KGI", "ACT_EST_MAPPING=PRECISE", "FS=MRC", "CURRENCY=USD", "XLFILL=b")</f>
        <v/>
      </c>
      <c r="AN93" s="9" t="str">
        <f>_xll.BQL("CRM US Equity", "IS_AVG_NUM_SH_FOR_EPS/1M", "FPR=2022Y", "FPT=A", "FA_ACT_EST_DATA=E, EST_SOURCE=ACC", "ACT_EST_MAPPING=PRECISE", "FS=MRC", "CURRENCY=USD", "XLFILL=b")</f>
        <v/>
      </c>
      <c r="AO93" s="9" t="str">
        <f>_xll.BQL("CRM US Equity", "IS_AVG_NUM_SH_FOR_EPS/1M", "FPR=2022Y", "FPT=A", "FA_ACT_EST_DATA=E, EST_SOURCE=GSR", "ACT_EST_MAPPING=PRECISE", "FS=MRC", "CURRENCY=USD", "XLFILL=b")</f>
        <v/>
      </c>
      <c r="AP93" s="9" t="str">
        <f>_xll.BQL("CRM US Equity", "IS_AVG_NUM_SH_FOR_EPS/1M", "FPR=2022Y", "FPT=A", "FA_ACT_EST_DATA=E, EST_SOURCE=PSG", "ACT_EST_MAPPING=PRECISE", "FS=MRC", "CURRENCY=USD", "XLFILL=b")</f>
        <v/>
      </c>
      <c r="AQ93" s="9" t="str">
        <f>_xll.BQL("CRM US Equity", "IS_AVG_NUM_SH_FOR_EPS/1M", "FPR=2022Y", "FPT=A", "FA_ACT_EST_DATA=E, EST_SOURCE=DWI", "ACT_EST_MAPPING=PRECISE", "FS=MRC", "CURRENCY=USD", "XLFILL=b")</f>
        <v/>
      </c>
      <c r="AR93" s="9" t="str">
        <f>_xll.BQL("CRM US Equity", "IS_AVG_NUM_SH_FOR_EPS/1M", "FPR=2022Y", "FPT=A", "FA_ACT_EST_DATA=E, EST_SOURCE=RWB", "ACT_EST_MAPPING=PRECISE", "FS=MRC", "CURRENCY=USD", "XLFILL=b")</f>
        <v/>
      </c>
      <c r="AS93" s="9" t="str">
        <f>_xll.BQL("CRM US Equity", "IS_AVG_NUM_SH_FOR_EPS/1M", "FPR=2022Y", "FPT=A", "FA_ACT_EST_DATA=E, EST_SOURCE=ARG", "ACT_EST_MAPPING=PRECISE", "FS=MRC", "CURRENCY=USD", "XLFILL=b")</f>
        <v/>
      </c>
      <c r="AT93" s="9" t="str">
        <f>_xll.BQL("CRM US Equity", "IS_AVG_NUM_SH_FOR_EPS/1M", "FPR=2022Y", "FPT=A", "FA_ACT_EST_DATA=E, EST_SOURCE=CTI", "ACT_EST_MAPPING=PRECISE", "FS=MRC", "CURRENCY=USD", "XLFILL=b")</f>
        <v/>
      </c>
      <c r="AU93" s="9" t="str">
        <f>_xll.BQL("CRM US Equity", "IS_AVG_NUM_SH_FOR_EPS/1M", "FPR=2022Y", "FPT=A", "FA_ACT_EST_DATA=E, EST_SOURCE=WFT", "ACT_EST_MAPPING=PRECISE", "FS=MRC", "CURRENCY=USD", "XLFILL=b")</f>
        <v/>
      </c>
      <c r="AV93" s="9" t="str">
        <f>_xll.BQL("CRM US Equity", "IS_AVG_NUM_SH_FOR_EPS/1M", "FPR=2022Y", "FPT=A", "FA_ACT_EST_DATA=E, EST_SOURCE=PJE", "ACT_EST_MAPPING=PRECISE", "FS=MRC", "CURRENCY=USD", "XLFILL=b")</f>
        <v/>
      </c>
      <c r="AW93" s="9" t="str">
        <f>_xll.BQL("CRM US Equity", "IS_AVG_NUM_SH_FOR_EPS/1M", "FPR=2022Y", "FPT=A", "FA_ACT_EST_DATA=E, EST_SOURCE=SGE", "ACT_EST_MAPPING=PRECISE", "FS=MRC", "CURRENCY=USD", "XLFILL=b")</f>
        <v/>
      </c>
      <c r="AX93" s="9" t="str">
        <f>_xll.BQL("CRM US Equity", "IS_AVG_NUM_SH_FOR_EPS/1M", "FPR=2022Y", "FPT=A", "FA_ACT_EST_DATA=E, EST_SOURCE=MZS", "ACT_EST_MAPPING=PRECISE", "FS=MRC", "CURRENCY=USD", "XLFILL=b")</f>
        <v/>
      </c>
      <c r="AY93" s="9" t="str">
        <f>_xll.BQL("CRM US Equity", "IS_AVG_NUM_SH_FOR_EPS/1M", "FPR=2022Y", "FPT=A", "FA_ACT_EST_DATA=E, EST_SOURCE=RCP", "ACT_EST_MAPPING=PRECISE", "FS=MRC", "CURRENCY=USD", "XLFILL=b")</f>
        <v/>
      </c>
      <c r="AZ93" s="9" t="str">
        <f>_xll.BQL("CRM US Equity", "IS_AVG_NUM_SH_FOR_EPS/1M", "FPR=2022Y", "FPT=A", "FA_ACT_EST_DATA=E, EST_SOURCE=WFR", "ACT_EST_MAPPING=PRECISE", "FS=MRC", "CURRENCY=USD", "XLFILL=b")</f>
        <v/>
      </c>
      <c r="BA93" s="9" t="str">
        <f>_xll.BQL("CRM US Equity", "IS_AVG_NUM_SH_FOR_EPS/1M", "FPR=2022Y", "FPT=A", "FA_ACT_EST_DATA=E, EST_SOURCE=NIK", "ACT_EST_MAPPING=PRECISE", "FS=MRC", "CURRENCY=USD", "XLFILL=b")</f>
        <v/>
      </c>
      <c r="BB93" s="9" t="str">
        <f>_xll.BQL("CRM US Equity", "IS_AVG_NUM_SH_FOR_EPS/1M", "FPR=2022Y", "FPT=A", "FA_ACT_EST_DATA=E, EST_SOURCE=ARE", "ACT_EST_MAPPING=PRECISE", "FS=MRC", "CURRENCY=USD", "XLFILL=b")</f>
        <v/>
      </c>
      <c r="BC93" s="9" t="str">
        <f>_xll.BQL("CRM US Equity", "IS_AVG_NUM_SH_FOR_EPS/1M", "FPR=2022Y", "FPT=A", "FA_ACT_EST_DATA=E, EST_SOURCE=RED", "ACT_EST_MAPPING=PRECISE", "FS=MRC", "CURRENCY=USD", "XLFILL=b")</f>
        <v/>
      </c>
      <c r="BD93" s="9" t="str">
        <f>_xll.BQL("CRM US Equity", "IS_AVG_NUM_SH_FOR_EPS/1M", "FPR=2022Y", "FPT=A", "FA_ACT_EST_DATA=E, EST_SOURCE=DIR", "ACT_EST_MAPPING=PRECISE", "FS=MRC", "CURRENCY=USD", "XLFILL=b")</f>
        <v/>
      </c>
    </row>
    <row r="94" spans="1:56" x14ac:dyDescent="0.55000000000000004">
      <c r="A94" s="8" t="s">
        <v>166</v>
      </c>
      <c r="B94" s="5" t="s">
        <v>125</v>
      </c>
      <c r="C94" s="5" t="s">
        <v>126</v>
      </c>
      <c r="D94" s="5"/>
      <c r="E94" s="9">
        <f>_xll.BQL("CRM US Equity", "IS_SH_FOR_DILUTED_EPS/1M", "FPR=2022Y", "FPT=A", "FA_ACT_EST_DATA=E", "ACT_EST_MAPPING=PRECISE", "FS=MRC", "CURRENCY=USD", "XLFILL=b")</f>
        <v>975.77584926470593</v>
      </c>
      <c r="F94" s="9">
        <f>_xll.BQL("CRM US Equity", "CONTRIBUTOR_STATS(IS_SH_FOR_DILUTED_EPS, MIN)/1M", "FPR=2022Y", "FPT=A", "FA_ACT_EST_DATA=E", "ACT_EST_MAPPING=PRECISE", "FS=MRC", "CURRENCY=USD", "XLFILL=b")</f>
        <v>973</v>
      </c>
      <c r="G94" s="9">
        <f>_xll.BQL("CRM US Equity", "CONTRIBUTOR_STATS(IS_SH_FOR_DILUTED_EPS, MAX)/1M", "FPR=2022Y", "FPT=A", "FA_ACT_EST_DATA=E", "ACT_EST_MAPPING=PRECISE", "FS=MRC", "CURRENCY=USD", "XLFILL=b")</f>
        <v>978.29531249999991</v>
      </c>
      <c r="H94" s="9">
        <f>_xll.BQL("CRM US Equity", "CONTRIBUTOR_STATS(IS_SH_FOR_DILUTED_EPS, STD)/1M", "FPR=2022Y", "FPT=A", "FA_ACT_EST_DATA=E", "ACT_EST_MAPPING=PRECISE", "FS=MRC", "CURRENCY=USD", "XLFILL=b")</f>
        <v>1.268635456086121</v>
      </c>
      <c r="I94" s="9">
        <f>_xll.BQL("CRM US Equity", "CONTRIBUTOR_STATS(IS_SH_FOR_DILUTED_EPS, MEDIAN)/1M", "FPR=2022Y", "FPT=A", "FA_ACT_EST_DATA=E", "ACT_EST_MAPPING=PRECISE", "FS=MRC", "CURRENCY=USD", "XLFILL=b")</f>
        <v>976</v>
      </c>
      <c r="J94" s="9" t="str">
        <f>_xll.BQL("CRM US Equity", "IS_SH_FOR_DILUTED_EPS/1M", "FPR=2022Y", "FPT=A", "FA_ACT_EST_DATA=E, EST_SOURCE=CMPY", "ACT_EST_MAPPING=PRECISE", "FS=MRC", "CURRENCY=USD", "XLFILL=b")</f>
        <v/>
      </c>
      <c r="K94" s="9" t="str">
        <f>_xll.BQL("CRM US Equity", "IS_SH_FOR_DILUTED_EPS/1M", "FPR=2022Y", "FPT=A", "FA_ACT_EST_DATA=E, EST_SOURCE=WBL", "ACT_EST_MAPPING=PRECISE", "FS=MRC", "CURRENCY=USD", "XLFILL=b")</f>
        <v/>
      </c>
      <c r="L94" s="9" t="str">
        <f>_xll.BQL("CRM US Equity", "IS_SH_FOR_DILUTED_EPS/1M", "FPR=2022Y", "FPT=A", "FA_ACT_EST_DATA=E, EST_SOURCE=BMO", "ACT_EST_MAPPING=PRECISE", "FS=MRC", "CURRENCY=USD", "XLFILL=b")</f>
        <v/>
      </c>
      <c r="M94" s="9">
        <f>_xll.BQL("CRM US Equity", "IS_SH_FOR_DILUTED_EPS/1M", "FPR=2022Y", "FPT=A", "FA_ACT_EST_DATA=E, EST_SOURCE=BCA", "ACT_EST_MAPPING=PRECISE", "FS=MRC", "CURRENCY=USD", "XLFILL=b")</f>
        <v>976</v>
      </c>
      <c r="N94" s="9" t="str">
        <f>_xll.BQL("CRM US Equity", "IS_SH_FOR_DILUTED_EPS/1M", "FPR=2022Y", "FPT=A", "FA_ACT_EST_DATA=E, EST_SOURCE=SNR", "ACT_EST_MAPPING=PRECISE", "FS=MRC", "CURRENCY=USD", "XLFILL=b")</f>
        <v/>
      </c>
      <c r="O94" s="9">
        <f>_xll.BQL("CRM US Equity", "IS_SH_FOR_DILUTED_EPS/1M", "FPR=2022Y", "FPT=A", "FA_ACT_EST_DATA=E, EST_SOURCE=MSV", "ACT_EST_MAPPING=PRECISE", "FS=MRC", "CURRENCY=USD", "XLFILL=b")</f>
        <v>976</v>
      </c>
      <c r="P94" s="9" t="str">
        <f>_xll.BQL("CRM US Equity", "IS_SH_FOR_DILUTED_EPS/1M", "FPR=2022Y", "FPT=A", "FA_ACT_EST_DATA=E, EST_SOURCE=DBG", "ACT_EST_MAPPING=PRECISE", "FS=MRC", "CURRENCY=USD", "XLFILL=b")</f>
        <v/>
      </c>
      <c r="Q94" s="9">
        <f>_xll.BQL("CRM US Equity", "IS_SH_FOR_DILUTED_EPS/1M", "FPR=2022Y", "FPT=A", "FA_ACT_EST_DATA=E, EST_SOURCE=NDH", "ACT_EST_MAPPING=PRECISE", "FS=MRC", "CURRENCY=USD", "XLFILL=b")</f>
        <v>976</v>
      </c>
      <c r="R94" s="9" t="str">
        <f>_xll.BQL("CRM US Equity", "IS_SH_FOR_DILUTED_EPS/1M", "FPR=2022Y", "FPT=A", "FA_ACT_EST_DATA=E, EST_SOURCE=CAN", "ACT_EST_MAPPING=PRECISE", "FS=MRC", "CURRENCY=USD", "XLFILL=b")</f>
        <v/>
      </c>
      <c r="S94" s="9" t="str">
        <f>_xll.BQL("CRM US Equity", "IS_SH_FOR_DILUTED_EPS/1M", "FPR=2022Y", "FPT=A", "FA_ACT_EST_DATA=E, EST_SOURCE=SCB", "ACT_EST_MAPPING=PRECISE", "FS=MRC", "CURRENCY=USD", "XLFILL=b")</f>
        <v/>
      </c>
      <c r="T94" s="9">
        <f>_xll.BQL("CRM US Equity", "IS_SH_FOR_DILUTED_EPS/1M", "FPR=2022Y", "FPT=A", "FA_ACT_EST_DATA=E, EST_SOURCE=JMP", "ACT_EST_MAPPING=PRECISE", "FS=MRC", "CURRENCY=USD", "XLFILL=b")</f>
        <v>975</v>
      </c>
      <c r="U94" s="9">
        <f>_xll.BQL("CRM US Equity", "IS_SH_FOR_DILUTED_EPS/1M", "FPR=2022Y", "FPT=A", "FA_ACT_EST_DATA=E, EST_SOURCE=RJA", "ACT_EST_MAPPING=PRECISE", "FS=MRC", "CURRENCY=USD", "XLFILL=b")</f>
        <v>976</v>
      </c>
      <c r="V94" s="9" t="str">
        <f>_xll.BQL("CRM US Equity", "IS_SH_FOR_DILUTED_EPS/1M", "FPR=2022Y", "FPT=A", "FA_ACT_EST_DATA=E, EST_SOURCE=OPY", "ACT_EST_MAPPING=PRECISE", "FS=MRC", "CURRENCY=USD", "XLFILL=b")</f>
        <v/>
      </c>
      <c r="W94" s="9">
        <f>_xll.BQL("CRM US Equity", "IS_SH_FOR_DILUTED_EPS/1M", "FPR=2022Y", "FPT=A", "FA_ACT_EST_DATA=E, EST_SOURCE=JPM", "ACT_EST_MAPPING=PRECISE", "FS=MRC", "CURRENCY=USD", "XLFILL=b")</f>
        <v>976.25324999999998</v>
      </c>
      <c r="X94" s="9">
        <f>_xll.BQL("CRM US Equity", "IS_SH_FOR_DILUTED_EPS/1M", "FPR=2022Y", "FPT=A", "FA_ACT_EST_DATA=E, EST_SOURCE=FBC", "ACT_EST_MAPPING=PRECISE", "FS=MRC", "CURRENCY=USD", "XLFILL=b")</f>
        <v>977.75</v>
      </c>
      <c r="Y94" s="9">
        <f>_xll.BQL("CRM US Equity", "IS_SH_FOR_DILUTED_EPS/1M", "FPR=2022Y", "FPT=A", "FA_ACT_EST_DATA=E, EST_SOURCE=WMS", "ACT_EST_MAPPING=PRECISE", "FS=MRC", "CURRENCY=USD", "XLFILL=b")</f>
        <v>955</v>
      </c>
      <c r="Z94" s="9">
        <f>_xll.BQL("CRM US Equity", "IS_SH_FOR_DILUTED_EPS/1M", "FPR=2022Y", "FPT=A", "FA_ACT_EST_DATA=E, EST_SOURCE=KEY", "ACT_EST_MAPPING=PRECISE", "FS=MRC", "CURRENCY=USD", "XLFILL=b")</f>
        <v>997.75631249999992</v>
      </c>
      <c r="AA94" s="9" t="str">
        <f>_xll.BQL("CRM US Equity", "IS_SH_FOR_DILUTED_EPS/1M", "FPR=2022Y", "FPT=A", "FA_ACT_EST_DATA=E, EST_SOURCE=LCM", "ACT_EST_MAPPING=PRECISE", "FS=MRC", "CURRENCY=USD", "XLFILL=b")</f>
        <v/>
      </c>
      <c r="AB94" s="9" t="str">
        <f>_xll.BQL("CRM US Equity", "IS_SH_FOR_DILUTED_EPS/1M", "FPR=2022Y", "FPT=A", "FA_ACT_EST_DATA=E, EST_SOURCE=CWN", "ACT_EST_MAPPING=PRECISE", "FS=MRC", "CURRENCY=USD", "XLFILL=b")</f>
        <v/>
      </c>
      <c r="AC94" s="9" t="str">
        <f>_xll.BQL("CRM US Equity", "IS_SH_FOR_DILUTED_EPS/1M", "FPR=2022Y", "FPT=A", "FA_ACT_EST_DATA=E, EST_SOURCE=BNS", "ACT_EST_MAPPING=PRECISE", "FS=MRC", "CURRENCY=USD", "XLFILL=b")</f>
        <v/>
      </c>
      <c r="AD94" s="9" t="str">
        <f>_xll.BQL("CRM US Equity", "IS_SH_FOR_DILUTED_EPS/1M", "FPR=2022Y", "FPT=A", "FA_ACT_EST_DATA=E, EST_SOURCE=BAM", "ACT_EST_MAPPING=PRECISE", "FS=MRC", "CURRENCY=USD", "XLFILL=b")</f>
        <v/>
      </c>
      <c r="AE94" s="9" t="str">
        <f>_xll.BQL("CRM US Equity", "IS_SH_FOR_DILUTED_EPS/1M", "FPR=2022Y", "FPT=A", "FA_ACT_EST_DATA=E, EST_SOURCE=RBC", "ACT_EST_MAPPING=PRECISE", "FS=MRC", "CURRENCY=USD", "XLFILL=b")</f>
        <v/>
      </c>
      <c r="AF94" s="9" t="str">
        <f>_xll.BQL("CRM US Equity", "IS_SH_FOR_DILUTED_EPS/1M", "FPR=2022Y", "FPT=A", "FA_ACT_EST_DATA=E, EST_SOURCE=UBS", "ACT_EST_MAPPING=PRECISE", "FS=MRC", "CURRENCY=USD", "XLFILL=b")</f>
        <v/>
      </c>
      <c r="AG94" s="9" t="str">
        <f>_xll.BQL("CRM US Equity", "IS_SH_FOR_DILUTED_EPS/1M", "FPR=2022Y", "FPT=A", "FA_ACT_EST_DATA=E, EST_SOURCE=RHR", "ACT_EST_MAPPING=PRECISE", "FS=MRC", "CURRENCY=USD", "XLFILL=b")</f>
        <v/>
      </c>
      <c r="AH94" s="9" t="str">
        <f>_xll.BQL("CRM US Equity", "IS_SH_FOR_DILUTED_EPS/1M", "FPR=2022Y", "FPT=A", "FA_ACT_EST_DATA=E, EST_SOURCE=JEF", "ACT_EST_MAPPING=PRECISE", "FS=MRC", "CURRENCY=USD", "XLFILL=b")</f>
        <v/>
      </c>
      <c r="AI94" s="9" t="str">
        <f>_xll.BQL("CRM US Equity", "IS_SH_FOR_DILUTED_EPS/1M", "FPR=2022Y", "FPT=A", "FA_ACT_EST_DATA=E, EST_SOURCE=ATL", "ACT_EST_MAPPING=PRECISE", "FS=MRC", "CURRENCY=USD", "XLFILL=b")</f>
        <v/>
      </c>
      <c r="AJ94" s="9" t="str">
        <f>_xll.BQL("CRM US Equity", "IS_SH_FOR_DILUTED_EPS/1M", "FPR=2022Y", "FPT=A", "FA_ACT_EST_DATA=E, EST_SOURCE=MAC", "ACT_EST_MAPPING=PRECISE", "FS=MRC", "CURRENCY=USD", "XLFILL=b")</f>
        <v/>
      </c>
      <c r="AK94" s="9" t="str">
        <f>_xll.BQL("CRM US Equity", "IS_SH_FOR_DILUTED_EPS/1M", "FPR=2022Y", "FPT=A", "FA_ACT_EST_DATA=E, EST_SOURCE=EVR", "ACT_EST_MAPPING=PRECISE", "FS=MRC", "CURRENCY=USD", "XLFILL=b")</f>
        <v/>
      </c>
      <c r="AL94" s="9" t="str">
        <f>_xll.BQL("CRM US Equity", "IS_SH_FOR_DILUTED_EPS/1M", "FPR=2022Y", "FPT=A", "FA_ACT_EST_DATA=E, EST_SOURCE=MSR", "ACT_EST_MAPPING=PRECISE", "FS=MRC", "CURRENCY=USD", "XLFILL=b")</f>
        <v/>
      </c>
      <c r="AM94" s="9" t="str">
        <f>_xll.BQL("CRM US Equity", "IS_SH_FOR_DILUTED_EPS/1M", "FPR=2022Y", "FPT=A", "FA_ACT_EST_DATA=E, EST_SOURCE=KGI", "ACT_EST_MAPPING=PRECISE", "FS=MRC", "CURRENCY=USD", "XLFILL=b")</f>
        <v/>
      </c>
      <c r="AN94" s="9" t="str">
        <f>_xll.BQL("CRM US Equity", "IS_SH_FOR_DILUTED_EPS/1M", "FPR=2022Y", "FPT=A", "FA_ACT_EST_DATA=E, EST_SOURCE=ACC", "ACT_EST_MAPPING=PRECISE", "FS=MRC", "CURRENCY=USD", "XLFILL=b")</f>
        <v/>
      </c>
      <c r="AO94" s="9" t="str">
        <f>_xll.BQL("CRM US Equity", "IS_SH_FOR_DILUTED_EPS/1M", "FPR=2022Y", "FPT=A", "FA_ACT_EST_DATA=E, EST_SOURCE=GSR", "ACT_EST_MAPPING=PRECISE", "FS=MRC", "CURRENCY=USD", "XLFILL=b")</f>
        <v/>
      </c>
      <c r="AP94" s="9" t="str">
        <f>_xll.BQL("CRM US Equity", "IS_SH_FOR_DILUTED_EPS/1M", "FPR=2022Y", "FPT=A", "FA_ACT_EST_DATA=E, EST_SOURCE=PSG", "ACT_EST_MAPPING=PRECISE", "FS=MRC", "CURRENCY=USD", "XLFILL=b")</f>
        <v/>
      </c>
      <c r="AQ94" s="9" t="str">
        <f>_xll.BQL("CRM US Equity", "IS_SH_FOR_DILUTED_EPS/1M", "FPR=2022Y", "FPT=A", "FA_ACT_EST_DATA=E, EST_SOURCE=DWI", "ACT_EST_MAPPING=PRECISE", "FS=MRC", "CURRENCY=USD", "XLFILL=b")</f>
        <v/>
      </c>
      <c r="AR94" s="9" t="str">
        <f>_xll.BQL("CRM US Equity", "IS_SH_FOR_DILUTED_EPS/1M", "FPR=2022Y", "FPT=A", "FA_ACT_EST_DATA=E, EST_SOURCE=RWB", "ACT_EST_MAPPING=PRECISE", "FS=MRC", "CURRENCY=USD", "XLFILL=b")</f>
        <v/>
      </c>
      <c r="AS94" s="9" t="str">
        <f>_xll.BQL("CRM US Equity", "IS_SH_FOR_DILUTED_EPS/1M", "FPR=2022Y", "FPT=A", "FA_ACT_EST_DATA=E, EST_SOURCE=ARG", "ACT_EST_MAPPING=PRECISE", "FS=MRC", "CURRENCY=USD", "XLFILL=b")</f>
        <v/>
      </c>
      <c r="AT94" s="9" t="str">
        <f>_xll.BQL("CRM US Equity", "IS_SH_FOR_DILUTED_EPS/1M", "FPR=2022Y", "FPT=A", "FA_ACT_EST_DATA=E, EST_SOURCE=CTI", "ACT_EST_MAPPING=PRECISE", "FS=MRC", "CURRENCY=USD", "XLFILL=b")</f>
        <v/>
      </c>
      <c r="AU94" s="9" t="str">
        <f>_xll.BQL("CRM US Equity", "IS_SH_FOR_DILUTED_EPS/1M", "FPR=2022Y", "FPT=A", "FA_ACT_EST_DATA=E, EST_SOURCE=WFT", "ACT_EST_MAPPING=PRECISE", "FS=MRC", "CURRENCY=USD", "XLFILL=b")</f>
        <v/>
      </c>
      <c r="AV94" s="9" t="str">
        <f>_xll.BQL("CRM US Equity", "IS_SH_FOR_DILUTED_EPS/1M", "FPR=2022Y", "FPT=A", "FA_ACT_EST_DATA=E, EST_SOURCE=PJE", "ACT_EST_MAPPING=PRECISE", "FS=MRC", "CURRENCY=USD", "XLFILL=b")</f>
        <v/>
      </c>
      <c r="AW94" s="9" t="str">
        <f>_xll.BQL("CRM US Equity", "IS_SH_FOR_DILUTED_EPS/1M", "FPR=2022Y", "FPT=A", "FA_ACT_EST_DATA=E, EST_SOURCE=SGE", "ACT_EST_MAPPING=PRECISE", "FS=MRC", "CURRENCY=USD", "XLFILL=b")</f>
        <v/>
      </c>
      <c r="AX94" s="9" t="str">
        <f>_xll.BQL("CRM US Equity", "IS_SH_FOR_DILUTED_EPS/1M", "FPR=2022Y", "FPT=A", "FA_ACT_EST_DATA=E, EST_SOURCE=MZS", "ACT_EST_MAPPING=PRECISE", "FS=MRC", "CURRENCY=USD", "XLFILL=b")</f>
        <v/>
      </c>
      <c r="AY94" s="9" t="str">
        <f>_xll.BQL("CRM US Equity", "IS_SH_FOR_DILUTED_EPS/1M", "FPR=2022Y", "FPT=A", "FA_ACT_EST_DATA=E, EST_SOURCE=RCP", "ACT_EST_MAPPING=PRECISE", "FS=MRC", "CURRENCY=USD", "XLFILL=b")</f>
        <v/>
      </c>
      <c r="AZ94" s="9" t="str">
        <f>_xll.BQL("CRM US Equity", "IS_SH_FOR_DILUTED_EPS/1M", "FPR=2022Y", "FPT=A", "FA_ACT_EST_DATA=E, EST_SOURCE=WFR", "ACT_EST_MAPPING=PRECISE", "FS=MRC", "CURRENCY=USD", "XLFILL=b")</f>
        <v/>
      </c>
      <c r="BA94" s="9" t="str">
        <f>_xll.BQL("CRM US Equity", "IS_SH_FOR_DILUTED_EPS/1M", "FPR=2022Y", "FPT=A", "FA_ACT_EST_DATA=E, EST_SOURCE=NIK", "ACT_EST_MAPPING=PRECISE", "FS=MRC", "CURRENCY=USD", "XLFILL=b")</f>
        <v/>
      </c>
      <c r="BB94" s="9" t="str">
        <f>_xll.BQL("CRM US Equity", "IS_SH_FOR_DILUTED_EPS/1M", "FPR=2022Y", "FPT=A", "FA_ACT_EST_DATA=E, EST_SOURCE=ARE", "ACT_EST_MAPPING=PRECISE", "FS=MRC", "CURRENCY=USD", "XLFILL=b")</f>
        <v/>
      </c>
      <c r="BC94" s="9" t="str">
        <f>_xll.BQL("CRM US Equity", "IS_SH_FOR_DILUTED_EPS/1M", "FPR=2022Y", "FPT=A", "FA_ACT_EST_DATA=E, EST_SOURCE=RED", "ACT_EST_MAPPING=PRECISE", "FS=MRC", "CURRENCY=USD", "XLFILL=b")</f>
        <v/>
      </c>
      <c r="BD94" s="9" t="str">
        <f>_xll.BQL("CRM US Equity", "IS_SH_FOR_DILUTED_EPS/1M", "FPR=2022Y", "FPT=A", "FA_ACT_EST_DATA=E, EST_SOURCE=DIR", "ACT_EST_MAPPING=PRECISE", "FS=MRC", "CURRENCY=USD", "XLFILL=b")</f>
        <v/>
      </c>
    </row>
    <row r="95" spans="1:56" x14ac:dyDescent="0.55000000000000004">
      <c r="A95" s="8" t="s">
        <v>167</v>
      </c>
      <c r="B95" s="5" t="s">
        <v>168</v>
      </c>
      <c r="C95" s="5" t="s">
        <v>128</v>
      </c>
      <c r="D95" s="5"/>
      <c r="E95" s="9">
        <f>_xll.BQL("CRM US Equity", "IS_COMP_EPS_GAAP", "FPR=2022Y", "FPT=A", "FA_ACT_EST_DATA=E", "ACT_EST_MAPPING=PRECISE", "FS=MRC", "CURRENCY=USD", "XLFILL=b")</f>
        <v>1.247391304347826</v>
      </c>
      <c r="F95" s="9">
        <f>_xll.BQL("CRM US Equity", "CONTRIBUTOR_STATS(IS_COMP_EPS_GAAP, MIN)", "FPR=2022Y", "FPT=A", "FA_ACT_EST_DATA=E", "ACT_EST_MAPPING=PRECISE", "FS=MRC", "CURRENCY=USD", "XLFILL=b")</f>
        <v>0.85</v>
      </c>
      <c r="G95" s="9">
        <f>_xll.BQL("CRM US Equity", "CONTRIBUTOR_STATS(IS_COMP_EPS_GAAP, MAX)", "FPR=2022Y", "FPT=A", "FA_ACT_EST_DATA=E", "ACT_EST_MAPPING=PRECISE", "FS=MRC", "CURRENCY=USD", "XLFILL=b")</f>
        <v>1.35</v>
      </c>
      <c r="H95" s="9">
        <f>_xll.BQL("CRM US Equity", "CONTRIBUTOR_STATS(IS_COMP_EPS_GAAP, STD)", "FPR=2022Y", "FPT=A", "FA_ACT_EST_DATA=E", "ACT_EST_MAPPING=PRECISE", "FS=MRC", "CURRENCY=USD", "XLFILL=b")</f>
        <v>0.1273583845012444</v>
      </c>
      <c r="I95" s="9">
        <f>_xll.BQL("CRM US Equity", "CONTRIBUTOR_STATS(IS_COMP_EPS_GAAP, MEDIAN)", "FPR=2022Y", "FPT=A", "FA_ACT_EST_DATA=E", "ACT_EST_MAPPING=PRECISE", "FS=MRC", "CURRENCY=USD", "XLFILL=b")</f>
        <v>1.28</v>
      </c>
      <c r="J95" s="9">
        <f>_xll.BQL("CRM US Equity", "IS_COMP_EPS_GAAP", "FPR=2022Y", "FPT=A", "FA_ACT_EST_DATA=E, EST_SOURCE=CMPY", "ACT_EST_MAPPING=PRECISE", "FS=MRC", "CURRENCY=USD", "XLFILL=b")</f>
        <v>1.2849999666213989</v>
      </c>
      <c r="K95" s="9">
        <f>_xll.BQL("CRM US Equity", "IS_COMP_EPS_GAAP", "FPR=2022Y", "FPT=A", "FA_ACT_EST_DATA=E, EST_SOURCE=WBL", "ACT_EST_MAPPING=PRECISE", "FS=MRC", "CURRENCY=USD", "XLFILL=b")</f>
        <v>1.27</v>
      </c>
      <c r="L95" s="9">
        <f>_xll.BQL("CRM US Equity", "IS_COMP_EPS_GAAP", "FPR=2022Y", "FPT=A", "FA_ACT_EST_DATA=E, EST_SOURCE=BMO", "ACT_EST_MAPPING=PRECISE", "FS=MRC", "CURRENCY=USD", "XLFILL=b")</f>
        <v>1.26</v>
      </c>
      <c r="M95" s="9">
        <f>_xll.BQL("CRM US Equity", "IS_COMP_EPS_GAAP", "FPR=2022Y", "FPT=A", "FA_ACT_EST_DATA=E, EST_SOURCE=BCA", "ACT_EST_MAPPING=PRECISE", "FS=MRC", "CURRENCY=USD", "XLFILL=b")</f>
        <v>4.6900000000000004</v>
      </c>
      <c r="N95" s="9">
        <f>_xll.BQL("CRM US Equity", "IS_COMP_EPS_GAAP", "FPR=2022Y", "FPT=A", "FA_ACT_EST_DATA=E, EST_SOURCE=SNR", "ACT_EST_MAPPING=PRECISE", "FS=MRC", "CURRENCY=USD", "XLFILL=b")</f>
        <v>1.3</v>
      </c>
      <c r="O95" s="9">
        <f>_xll.BQL("CRM US Equity", "IS_COMP_EPS_GAAP", "FPR=2022Y", "FPT=A", "FA_ACT_EST_DATA=E, EST_SOURCE=MSV", "ACT_EST_MAPPING=PRECISE", "FS=MRC", "CURRENCY=USD", "XLFILL=b")</f>
        <v>1.27</v>
      </c>
      <c r="P95" s="9">
        <f>_xll.BQL("CRM US Equity", "IS_COMP_EPS_GAAP", "FPR=2022Y", "FPT=A", "FA_ACT_EST_DATA=E, EST_SOURCE=DBG", "ACT_EST_MAPPING=PRECISE", "FS=MRC", "CURRENCY=USD", "XLFILL=b")</f>
        <v>1.28</v>
      </c>
      <c r="Q95" s="9">
        <f>_xll.BQL("CRM US Equity", "IS_COMP_EPS_GAAP", "FPR=2022Y", "FPT=A", "FA_ACT_EST_DATA=E, EST_SOURCE=NDH", "ACT_EST_MAPPING=PRECISE", "FS=MRC", "CURRENCY=USD", "XLFILL=b")</f>
        <v>1.26</v>
      </c>
      <c r="R95" s="9">
        <f>_xll.BQL("CRM US Equity", "IS_COMP_EPS_GAAP", "FPR=2022Y", "FPT=A", "FA_ACT_EST_DATA=E, EST_SOURCE=CAN", "ACT_EST_MAPPING=PRECISE", "FS=MRC", "CURRENCY=USD", "XLFILL=b")</f>
        <v>1.3</v>
      </c>
      <c r="S95" s="9">
        <f>_xll.BQL("CRM US Equity", "IS_COMP_EPS_GAAP", "FPR=2022Y", "FPT=A", "FA_ACT_EST_DATA=E, EST_SOURCE=SCB", "ACT_EST_MAPPING=PRECISE", "FS=MRC", "CURRENCY=USD", "XLFILL=b")</f>
        <v>1.71</v>
      </c>
      <c r="T95" s="9">
        <f>_xll.BQL("CRM US Equity", "IS_COMP_EPS_GAAP", "FPR=2022Y", "FPT=A", "FA_ACT_EST_DATA=E, EST_SOURCE=JMP", "ACT_EST_MAPPING=PRECISE", "FS=MRC", "CURRENCY=USD", "XLFILL=b")</f>
        <v>1.28</v>
      </c>
      <c r="U95" s="9">
        <f>_xll.BQL("CRM US Equity", "IS_COMP_EPS_GAAP", "FPR=2022Y", "FPT=A", "FA_ACT_EST_DATA=E, EST_SOURCE=RJA", "ACT_EST_MAPPING=PRECISE", "FS=MRC", "CURRENCY=USD", "XLFILL=b")</f>
        <v>1.29</v>
      </c>
      <c r="V95" s="9">
        <f>_xll.BQL("CRM US Equity", "IS_COMP_EPS_GAAP", "FPR=2022Y", "FPT=A", "FA_ACT_EST_DATA=E, EST_SOURCE=OPY", "ACT_EST_MAPPING=PRECISE", "FS=MRC", "CURRENCY=USD", "XLFILL=b")</f>
        <v>1.29</v>
      </c>
      <c r="W95" s="9">
        <f>_xll.BQL("CRM US Equity", "IS_COMP_EPS_GAAP", "FPR=2022Y", "FPT=A", "FA_ACT_EST_DATA=E, EST_SOURCE=JPM", "ACT_EST_MAPPING=PRECISE", "FS=MRC", "CURRENCY=USD", "XLFILL=b")</f>
        <v>1.25</v>
      </c>
      <c r="X95" s="9">
        <f>_xll.BQL("CRM US Equity", "IS_COMP_EPS_GAAP", "FPR=2022Y", "FPT=A", "FA_ACT_EST_DATA=E, EST_SOURCE=FBC", "ACT_EST_MAPPING=PRECISE", "FS=MRC", "CURRENCY=USD", "XLFILL=b")</f>
        <v>4.42</v>
      </c>
      <c r="Y95" s="9">
        <f>_xll.BQL("CRM US Equity", "IS_COMP_EPS_GAAP", "FPR=2022Y", "FPT=A", "FA_ACT_EST_DATA=E, EST_SOURCE=WMS", "ACT_EST_MAPPING=PRECISE", "FS=MRC", "CURRENCY=USD", "XLFILL=b")</f>
        <v>1.35</v>
      </c>
      <c r="Z95" s="9">
        <f>_xll.BQL("CRM US Equity", "IS_COMP_EPS_GAAP", "FPR=2022Y", "FPT=A", "FA_ACT_EST_DATA=E, EST_SOURCE=KEY", "ACT_EST_MAPPING=PRECISE", "FS=MRC", "CURRENCY=USD", "XLFILL=b")</f>
        <v>1.32</v>
      </c>
      <c r="AA95" s="9">
        <f>_xll.BQL("CRM US Equity", "IS_COMP_EPS_GAAP", "FPR=2022Y", "FPT=A", "FA_ACT_EST_DATA=E, EST_SOURCE=LCM", "ACT_EST_MAPPING=PRECISE", "FS=MRC", "CURRENCY=USD", "XLFILL=b")</f>
        <v>1.28</v>
      </c>
      <c r="AB95" s="9">
        <f>_xll.BQL("CRM US Equity", "IS_COMP_EPS_GAAP", "FPR=2022Y", "FPT=A", "FA_ACT_EST_DATA=E, EST_SOURCE=CWN", "ACT_EST_MAPPING=PRECISE", "FS=MRC", "CURRENCY=USD", "XLFILL=b")</f>
        <v>1.29</v>
      </c>
      <c r="AC95" s="9">
        <f>_xll.BQL("CRM US Equity", "IS_COMP_EPS_GAAP", "FPR=2022Y", "FPT=A", "FA_ACT_EST_DATA=E, EST_SOURCE=BNS", "ACT_EST_MAPPING=PRECISE", "FS=MRC", "CURRENCY=USD", "XLFILL=b")</f>
        <v>1.25</v>
      </c>
      <c r="AD95" s="9">
        <f>_xll.BQL("CRM US Equity", "IS_COMP_EPS_GAAP", "FPR=2022Y", "FPT=A", "FA_ACT_EST_DATA=E, EST_SOURCE=BAM", "ACT_EST_MAPPING=PRECISE", "FS=MRC", "CURRENCY=USD", "XLFILL=b")</f>
        <v>1.27</v>
      </c>
      <c r="AE95" s="9" t="str">
        <f>_xll.BQL("CRM US Equity", "IS_COMP_EPS_GAAP", "FPR=2022Y", "FPT=A", "FA_ACT_EST_DATA=E, EST_SOURCE=RBC", "ACT_EST_MAPPING=PRECISE", "FS=MRC", "CURRENCY=USD", "XLFILL=b")</f>
        <v/>
      </c>
      <c r="AF95" s="9">
        <f>_xll.BQL("CRM US Equity", "IS_COMP_EPS_GAAP", "FPR=2022Y", "FPT=A", "FA_ACT_EST_DATA=E, EST_SOURCE=UBS", "ACT_EST_MAPPING=PRECISE", "FS=MRC", "CURRENCY=USD", "XLFILL=b")</f>
        <v>1.07</v>
      </c>
      <c r="AG95" s="9">
        <f>_xll.BQL("CRM US Equity", "IS_COMP_EPS_GAAP", "FPR=2022Y", "FPT=A", "FA_ACT_EST_DATA=E, EST_SOURCE=RHR", "ACT_EST_MAPPING=PRECISE", "FS=MRC", "CURRENCY=USD", "XLFILL=b")</f>
        <v>0.63</v>
      </c>
      <c r="AH95" s="9">
        <f>_xll.BQL("CRM US Equity", "IS_COMP_EPS_GAAP", "FPR=2022Y", "FPT=A", "FA_ACT_EST_DATA=E, EST_SOURCE=JEF", "ACT_EST_MAPPING=PRECISE", "FS=MRC", "CURRENCY=USD", "XLFILL=b")</f>
        <v>0.24</v>
      </c>
      <c r="AI95" s="9">
        <f>_xll.BQL("CRM US Equity", "IS_COMP_EPS_GAAP", "FPR=2022Y", "FPT=A", "FA_ACT_EST_DATA=E, EST_SOURCE=ATL", "ACT_EST_MAPPING=PRECISE", "FS=MRC", "CURRENCY=USD", "XLFILL=b")</f>
        <v>0.79</v>
      </c>
      <c r="AJ95" s="9" t="str">
        <f>_xll.BQL("CRM US Equity", "IS_COMP_EPS_GAAP", "FPR=2022Y", "FPT=A", "FA_ACT_EST_DATA=E, EST_SOURCE=MAC", "ACT_EST_MAPPING=PRECISE", "FS=MRC", "CURRENCY=USD", "XLFILL=b")</f>
        <v/>
      </c>
      <c r="AK95" s="9" t="str">
        <f>_xll.BQL("CRM US Equity", "IS_COMP_EPS_GAAP", "FPR=2022Y", "FPT=A", "FA_ACT_EST_DATA=E, EST_SOURCE=EVR", "ACT_EST_MAPPING=PRECISE", "FS=MRC", "CURRENCY=USD", "XLFILL=b")</f>
        <v/>
      </c>
      <c r="AL95" s="9" t="str">
        <f>_xll.BQL("CRM US Equity", "IS_COMP_EPS_GAAP", "FPR=2022Y", "FPT=A", "FA_ACT_EST_DATA=E, EST_SOURCE=MSR", "ACT_EST_MAPPING=PRECISE", "FS=MRC", "CURRENCY=USD", "XLFILL=b")</f>
        <v/>
      </c>
      <c r="AM95" s="9" t="str">
        <f>_xll.BQL("CRM US Equity", "IS_COMP_EPS_GAAP", "FPR=2022Y", "FPT=A", "FA_ACT_EST_DATA=E, EST_SOURCE=KGI", "ACT_EST_MAPPING=PRECISE", "FS=MRC", "CURRENCY=USD", "XLFILL=b")</f>
        <v/>
      </c>
      <c r="AN95" s="9">
        <f>_xll.BQL("CRM US Equity", "IS_COMP_EPS_GAAP", "FPR=2022Y", "FPT=A", "FA_ACT_EST_DATA=E, EST_SOURCE=ACC", "ACT_EST_MAPPING=PRECISE", "FS=MRC", "CURRENCY=USD", "XLFILL=b")</f>
        <v>1.27</v>
      </c>
      <c r="AO95" s="9" t="str">
        <f>_xll.BQL("CRM US Equity", "IS_COMP_EPS_GAAP", "FPR=2022Y", "FPT=A", "FA_ACT_EST_DATA=E, EST_SOURCE=GSR", "ACT_EST_MAPPING=PRECISE", "FS=MRC", "CURRENCY=USD", "XLFILL=b")</f>
        <v/>
      </c>
      <c r="AP95" s="9" t="str">
        <f>_xll.BQL("CRM US Equity", "IS_COMP_EPS_GAAP", "FPR=2022Y", "FPT=A", "FA_ACT_EST_DATA=E, EST_SOURCE=PSG", "ACT_EST_MAPPING=PRECISE", "FS=MRC", "CURRENCY=USD", "XLFILL=b")</f>
        <v/>
      </c>
      <c r="AQ95" s="9" t="str">
        <f>_xll.BQL("CRM US Equity", "IS_COMP_EPS_GAAP", "FPR=2022Y", "FPT=A", "FA_ACT_EST_DATA=E, EST_SOURCE=DWI", "ACT_EST_MAPPING=PRECISE", "FS=MRC", "CURRENCY=USD", "XLFILL=b")</f>
        <v/>
      </c>
      <c r="AR95" s="9" t="str">
        <f>_xll.BQL("CRM US Equity", "IS_COMP_EPS_GAAP", "FPR=2022Y", "FPT=A", "FA_ACT_EST_DATA=E, EST_SOURCE=RWB", "ACT_EST_MAPPING=PRECISE", "FS=MRC", "CURRENCY=USD", "XLFILL=b")</f>
        <v/>
      </c>
      <c r="AS95" s="9" t="str">
        <f>_xll.BQL("CRM US Equity", "IS_COMP_EPS_GAAP", "FPR=2022Y", "FPT=A", "FA_ACT_EST_DATA=E, EST_SOURCE=ARG", "ACT_EST_MAPPING=PRECISE", "FS=MRC", "CURRENCY=USD", "XLFILL=b")</f>
        <v/>
      </c>
      <c r="AT95" s="9" t="str">
        <f>_xll.BQL("CRM US Equity", "IS_COMP_EPS_GAAP", "FPR=2022Y", "FPT=A", "FA_ACT_EST_DATA=E, EST_SOURCE=CTI", "ACT_EST_MAPPING=PRECISE", "FS=MRC", "CURRENCY=USD", "XLFILL=b")</f>
        <v/>
      </c>
      <c r="AU95" s="9" t="str">
        <f>_xll.BQL("CRM US Equity", "IS_COMP_EPS_GAAP", "FPR=2022Y", "FPT=A", "FA_ACT_EST_DATA=E, EST_SOURCE=WFT", "ACT_EST_MAPPING=PRECISE", "FS=MRC", "CURRENCY=USD", "XLFILL=b")</f>
        <v/>
      </c>
      <c r="AV95" s="9" t="str">
        <f>_xll.BQL("CRM US Equity", "IS_COMP_EPS_GAAP", "FPR=2022Y", "FPT=A", "FA_ACT_EST_DATA=E, EST_SOURCE=PJE", "ACT_EST_MAPPING=PRECISE", "FS=MRC", "CURRENCY=USD", "XLFILL=b")</f>
        <v/>
      </c>
      <c r="AW95" s="9" t="str">
        <f>_xll.BQL("CRM US Equity", "IS_COMP_EPS_GAAP", "FPR=2022Y", "FPT=A", "FA_ACT_EST_DATA=E, EST_SOURCE=SGE", "ACT_EST_MAPPING=PRECISE", "FS=MRC", "CURRENCY=USD", "XLFILL=b")</f>
        <v/>
      </c>
      <c r="AX95" s="9" t="str">
        <f>_xll.BQL("CRM US Equity", "IS_COMP_EPS_GAAP", "FPR=2022Y", "FPT=A", "FA_ACT_EST_DATA=E, EST_SOURCE=MZS", "ACT_EST_MAPPING=PRECISE", "FS=MRC", "CURRENCY=USD", "XLFILL=b")</f>
        <v/>
      </c>
      <c r="AY95" s="9" t="str">
        <f>_xll.BQL("CRM US Equity", "IS_COMP_EPS_GAAP", "FPR=2022Y", "FPT=A", "FA_ACT_EST_DATA=E, EST_SOURCE=RCP", "ACT_EST_MAPPING=PRECISE", "FS=MRC", "CURRENCY=USD", "XLFILL=b")</f>
        <v/>
      </c>
      <c r="AZ95" s="9" t="str">
        <f>_xll.BQL("CRM US Equity", "IS_COMP_EPS_GAAP", "FPR=2022Y", "FPT=A", "FA_ACT_EST_DATA=E, EST_SOURCE=WFR", "ACT_EST_MAPPING=PRECISE", "FS=MRC", "CURRENCY=USD", "XLFILL=b")</f>
        <v/>
      </c>
      <c r="BA95" s="9" t="str">
        <f>_xll.BQL("CRM US Equity", "IS_COMP_EPS_GAAP", "FPR=2022Y", "FPT=A", "FA_ACT_EST_DATA=E, EST_SOURCE=NIK", "ACT_EST_MAPPING=PRECISE", "FS=MRC", "CURRENCY=USD", "XLFILL=b")</f>
        <v/>
      </c>
      <c r="BB95" s="9" t="str">
        <f>_xll.BQL("CRM US Equity", "IS_COMP_EPS_GAAP", "FPR=2022Y", "FPT=A", "FA_ACT_EST_DATA=E, EST_SOURCE=ARE", "ACT_EST_MAPPING=PRECISE", "FS=MRC", "CURRENCY=USD", "XLFILL=b")</f>
        <v/>
      </c>
      <c r="BC95" s="9" t="str">
        <f>_xll.BQL("CRM US Equity", "IS_COMP_EPS_GAAP", "FPR=2022Y", "FPT=A", "FA_ACT_EST_DATA=E, EST_SOURCE=RED", "ACT_EST_MAPPING=PRECISE", "FS=MRC", "CURRENCY=USD", "XLFILL=b")</f>
        <v/>
      </c>
      <c r="BD95" s="9" t="str">
        <f>_xll.BQL("CRM US Equity", "IS_COMP_EPS_GAAP", "FPR=2022Y", "FPT=A", "FA_ACT_EST_DATA=E, EST_SOURCE=DIR", "ACT_EST_MAPPING=PRECISE", "FS=MRC", "CURRENCY=USD", "XLFILL=b")</f>
        <v/>
      </c>
    </row>
    <row r="96" spans="1:56" x14ac:dyDescent="0.55000000000000004">
      <c r="A96" s="8" t="s">
        <v>26</v>
      </c>
      <c r="B96" s="5"/>
      <c r="C96" s="5"/>
      <c r="D96" s="5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</row>
    <row r="97" spans="1:56" x14ac:dyDescent="0.55000000000000004">
      <c r="A97" s="8" t="s">
        <v>169</v>
      </c>
      <c r="B97" s="5"/>
      <c r="C97" s="5" t="s">
        <v>170</v>
      </c>
      <c r="D97" s="5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</row>
    <row r="98" spans="1:56" x14ac:dyDescent="0.55000000000000004">
      <c r="A98" s="8" t="s">
        <v>171</v>
      </c>
      <c r="B98" s="5" t="s">
        <v>172</v>
      </c>
      <c r="C98" s="5" t="s">
        <v>173</v>
      </c>
      <c r="D98" s="5"/>
      <c r="E98" s="9">
        <f>_xll.BQL("CRM US Equity", "IS_INC_TAX_EFFECT_NONGAAP_REC/1M", "FPR=2022Y", "FPT=A", "FA_ACT_EST_DATA=E", "ACT_EST_MAPPING=PRECISE", "FS=MRC", "CURRENCY=USD", "XLFILL=b")</f>
        <v>-1121.67608</v>
      </c>
      <c r="F98" s="9">
        <f>_xll.BQL("CRM US Equity", "CONTRIBUTOR_STATS(IS_INC_TAX_EFFECT_NONGAAP_REC, MIN)/1M", "FPR=2022Y", "FPT=A", "FA_ACT_EST_DATA=E", "ACT_EST_MAPPING=PRECISE", "FS=MRC", "CURRENCY=USD", "XLFILL=b")</f>
        <v>-1197</v>
      </c>
      <c r="G98" s="9">
        <f>_xll.BQL("CRM US Equity", "CONTRIBUTOR_STATS(IS_INC_TAX_EFFECT_NONGAAP_REC, MAX)/1M", "FPR=2022Y", "FPT=A", "FA_ACT_EST_DATA=E", "ACT_EST_MAPPING=PRECISE", "FS=MRC", "CURRENCY=USD", "XLFILL=b")</f>
        <v>-1090</v>
      </c>
      <c r="H98" s="9">
        <f>_xll.BQL("CRM US Equity", "CONTRIBUTOR_STATS(IS_INC_TAX_EFFECT_NONGAAP_REC, STD)/1M", "FPR=2022Y", "FPT=A", "FA_ACT_EST_DATA=E", "ACT_EST_MAPPING=PRECISE", "FS=MRC", "CURRENCY=USD", "XLFILL=b")</f>
        <v>43.3087083717813</v>
      </c>
      <c r="I98" s="9">
        <f>_xll.BQL("CRM US Equity", "CONTRIBUTOR_STATS(IS_INC_TAX_EFFECT_NONGAAP_REC, MEDIAN)/1M", "FPR=2022Y", "FPT=A", "FA_ACT_EST_DATA=E", "ACT_EST_MAPPING=PRECISE", "FS=MRC", "CURRENCY=USD", "XLFILL=b")</f>
        <v>-1102</v>
      </c>
      <c r="J98" s="9" t="str">
        <f>_xll.BQL("CRM US Equity", "IS_INC_TAX_EFFECT_NONGAAP_REC/1M", "FPR=2022Y", "FPT=A", "FA_ACT_EST_DATA=E, EST_SOURCE=CMPY", "ACT_EST_MAPPING=PRECISE", "FS=MRC", "CURRENCY=USD", "XLFILL=b")</f>
        <v/>
      </c>
      <c r="K98" s="9" t="str">
        <f>_xll.BQL("CRM US Equity", "IS_INC_TAX_EFFECT_NONGAAP_REC/1M", "FPR=2022Y", "FPT=A", "FA_ACT_EST_DATA=E, EST_SOURCE=WBL", "ACT_EST_MAPPING=PRECISE", "FS=MRC", "CURRENCY=USD", "XLFILL=b")</f>
        <v/>
      </c>
      <c r="L98" s="9" t="str">
        <f>_xll.BQL("CRM US Equity", "IS_INC_TAX_EFFECT_NONGAAP_REC/1M", "FPR=2022Y", "FPT=A", "FA_ACT_EST_DATA=E, EST_SOURCE=BMO", "ACT_EST_MAPPING=PRECISE", "FS=MRC", "CURRENCY=USD", "XLFILL=b")</f>
        <v/>
      </c>
      <c r="M98" s="9">
        <f>_xll.BQL("CRM US Equity", "IS_INC_TAX_EFFECT_NONGAAP_REC/1M", "FPR=2022Y", "FPT=A", "FA_ACT_EST_DATA=E, EST_SOURCE=BCA", "ACT_EST_MAPPING=PRECISE", "FS=MRC", "CURRENCY=USD", "XLFILL=b")</f>
        <v>-664.4779710629324</v>
      </c>
      <c r="N98" s="9" t="str">
        <f>_xll.BQL("CRM US Equity", "IS_INC_TAX_EFFECT_NONGAAP_REC/1M", "FPR=2022Y", "FPT=A", "FA_ACT_EST_DATA=E, EST_SOURCE=SNR", "ACT_EST_MAPPING=PRECISE", "FS=MRC", "CURRENCY=USD", "XLFILL=b")</f>
        <v/>
      </c>
      <c r="O98" s="9">
        <f>_xll.BQL("CRM US Equity", "IS_INC_TAX_EFFECT_NONGAAP_REC/1M", "FPR=2022Y", "FPT=A", "FA_ACT_EST_DATA=E, EST_SOURCE=MSV", "ACT_EST_MAPPING=PRECISE", "FS=MRC", "CURRENCY=USD", "XLFILL=b")</f>
        <v>-410.77468318014581</v>
      </c>
      <c r="P98" s="9" t="str">
        <f>_xll.BQL("CRM US Equity", "IS_INC_TAX_EFFECT_NONGAAP_REC/1M", "FPR=2022Y", "FPT=A", "FA_ACT_EST_DATA=E, EST_SOURCE=DBG", "ACT_EST_MAPPING=PRECISE", "FS=MRC", "CURRENCY=USD", "XLFILL=b")</f>
        <v/>
      </c>
      <c r="Q98" s="9" t="str">
        <f>_xll.BQL("CRM US Equity", "IS_INC_TAX_EFFECT_NONGAAP_REC/1M", "FPR=2022Y", "FPT=A", "FA_ACT_EST_DATA=E, EST_SOURCE=NDH", "ACT_EST_MAPPING=PRECISE", "FS=MRC", "CURRENCY=USD", "XLFILL=b")</f>
        <v/>
      </c>
      <c r="R98" s="9" t="str">
        <f>_xll.BQL("CRM US Equity", "IS_INC_TAX_EFFECT_NONGAAP_REC/1M", "FPR=2022Y", "FPT=A", "FA_ACT_EST_DATA=E, EST_SOURCE=CAN", "ACT_EST_MAPPING=PRECISE", "FS=MRC", "CURRENCY=USD", "XLFILL=b")</f>
        <v/>
      </c>
      <c r="S98" s="9" t="str">
        <f>_xll.BQL("CRM US Equity", "IS_INC_TAX_EFFECT_NONGAAP_REC/1M", "FPR=2022Y", "FPT=A", "FA_ACT_EST_DATA=E, EST_SOURCE=SCB", "ACT_EST_MAPPING=PRECISE", "FS=MRC", "CURRENCY=USD", "XLFILL=b")</f>
        <v/>
      </c>
      <c r="T98" s="9">
        <f>_xll.BQL("CRM US Equity", "IS_INC_TAX_EFFECT_NONGAAP_REC/1M", "FPR=2022Y", "FPT=A", "FA_ACT_EST_DATA=E, EST_SOURCE=JMP", "ACT_EST_MAPPING=PRECISE", "FS=MRC", "CURRENCY=USD", "XLFILL=b")</f>
        <v>-1118.3804</v>
      </c>
      <c r="U98" s="9" t="str">
        <f>_xll.BQL("CRM US Equity", "IS_INC_TAX_EFFECT_NONGAAP_REC/1M", "FPR=2022Y", "FPT=A", "FA_ACT_EST_DATA=E, EST_SOURCE=RJA", "ACT_EST_MAPPING=PRECISE", "FS=MRC", "CURRENCY=USD", "XLFILL=b")</f>
        <v/>
      </c>
      <c r="V98" s="9" t="str">
        <f>_xll.BQL("CRM US Equity", "IS_INC_TAX_EFFECT_NONGAAP_REC/1M", "FPR=2022Y", "FPT=A", "FA_ACT_EST_DATA=E, EST_SOURCE=OPY", "ACT_EST_MAPPING=PRECISE", "FS=MRC", "CURRENCY=USD", "XLFILL=b")</f>
        <v/>
      </c>
      <c r="W98" s="9" t="str">
        <f>_xll.BQL("CRM US Equity", "IS_INC_TAX_EFFECT_NONGAAP_REC/1M", "FPR=2022Y", "FPT=A", "FA_ACT_EST_DATA=E, EST_SOURCE=JPM", "ACT_EST_MAPPING=PRECISE", "FS=MRC", "CURRENCY=USD", "XLFILL=b")</f>
        <v/>
      </c>
      <c r="X98" s="9">
        <f>_xll.BQL("CRM US Equity", "IS_INC_TAX_EFFECT_NONGAAP_REC/1M", "FPR=2022Y", "FPT=A", "FA_ACT_EST_DATA=E, EST_SOURCE=FBC", "ACT_EST_MAPPING=PRECISE", "FS=MRC", "CURRENCY=USD", "XLFILL=b")</f>
        <v>-904.65000000000009</v>
      </c>
      <c r="Y98" s="9">
        <f>_xll.BQL("CRM US Equity", "IS_INC_TAX_EFFECT_NONGAAP_REC/1M", "FPR=2022Y", "FPT=A", "FA_ACT_EST_DATA=E, EST_SOURCE=WMS", "ACT_EST_MAPPING=PRECISE", "FS=MRC", "CURRENCY=USD", "XLFILL=b")</f>
        <v>-255</v>
      </c>
      <c r="Z98" s="9">
        <f>_xll.BQL("CRM US Equity", "IS_INC_TAX_EFFECT_NONGAAP_REC/1M", "FPR=2022Y", "FPT=A", "FA_ACT_EST_DATA=E, EST_SOURCE=KEY", "ACT_EST_MAPPING=PRECISE", "FS=MRC", "CURRENCY=USD", "XLFILL=b")</f>
        <v>-929</v>
      </c>
      <c r="AA98" s="9" t="str">
        <f>_xll.BQL("CRM US Equity", "IS_INC_TAX_EFFECT_NONGAAP_REC/1M", "FPR=2022Y", "FPT=A", "FA_ACT_EST_DATA=E, EST_SOURCE=LCM", "ACT_EST_MAPPING=PRECISE", "FS=MRC", "CURRENCY=USD", "XLFILL=b")</f>
        <v/>
      </c>
      <c r="AB98" s="9" t="str">
        <f>_xll.BQL("CRM US Equity", "IS_INC_TAX_EFFECT_NONGAAP_REC/1M", "FPR=2022Y", "FPT=A", "FA_ACT_EST_DATA=E, EST_SOURCE=CWN", "ACT_EST_MAPPING=PRECISE", "FS=MRC", "CURRENCY=USD", "XLFILL=b")</f>
        <v/>
      </c>
      <c r="AC98" s="9" t="str">
        <f>_xll.BQL("CRM US Equity", "IS_INC_TAX_EFFECT_NONGAAP_REC/1M", "FPR=2022Y", "FPT=A", "FA_ACT_EST_DATA=E, EST_SOURCE=BNS", "ACT_EST_MAPPING=PRECISE", "FS=MRC", "CURRENCY=USD", "XLFILL=b")</f>
        <v/>
      </c>
      <c r="AD98" s="9" t="str">
        <f>_xll.BQL("CRM US Equity", "IS_INC_TAX_EFFECT_NONGAAP_REC/1M", "FPR=2022Y", "FPT=A", "FA_ACT_EST_DATA=E, EST_SOURCE=BAM", "ACT_EST_MAPPING=PRECISE", "FS=MRC", "CURRENCY=USD", "XLFILL=b")</f>
        <v/>
      </c>
      <c r="AE98" s="9" t="str">
        <f>_xll.BQL("CRM US Equity", "IS_INC_TAX_EFFECT_NONGAAP_REC/1M", "FPR=2022Y", "FPT=A", "FA_ACT_EST_DATA=E, EST_SOURCE=RBC", "ACT_EST_MAPPING=PRECISE", "FS=MRC", "CURRENCY=USD", "XLFILL=b")</f>
        <v/>
      </c>
      <c r="AF98" s="9" t="str">
        <f>_xll.BQL("CRM US Equity", "IS_INC_TAX_EFFECT_NONGAAP_REC/1M", "FPR=2022Y", "FPT=A", "FA_ACT_EST_DATA=E, EST_SOURCE=UBS", "ACT_EST_MAPPING=PRECISE", "FS=MRC", "CURRENCY=USD", "XLFILL=b")</f>
        <v/>
      </c>
      <c r="AG98" s="9" t="str">
        <f>_xll.BQL("CRM US Equity", "IS_INC_TAX_EFFECT_NONGAAP_REC/1M", "FPR=2022Y", "FPT=A", "FA_ACT_EST_DATA=E, EST_SOURCE=RHR", "ACT_EST_MAPPING=PRECISE", "FS=MRC", "CURRENCY=USD", "XLFILL=b")</f>
        <v/>
      </c>
      <c r="AH98" s="9" t="str">
        <f>_xll.BQL("CRM US Equity", "IS_INC_TAX_EFFECT_NONGAAP_REC/1M", "FPR=2022Y", "FPT=A", "FA_ACT_EST_DATA=E, EST_SOURCE=JEF", "ACT_EST_MAPPING=PRECISE", "FS=MRC", "CURRENCY=USD", "XLFILL=b")</f>
        <v/>
      </c>
      <c r="AI98" s="9" t="str">
        <f>_xll.BQL("CRM US Equity", "IS_INC_TAX_EFFECT_NONGAAP_REC/1M", "FPR=2022Y", "FPT=A", "FA_ACT_EST_DATA=E, EST_SOURCE=ATL", "ACT_EST_MAPPING=PRECISE", "FS=MRC", "CURRENCY=USD", "XLFILL=b")</f>
        <v/>
      </c>
      <c r="AJ98" s="9" t="str">
        <f>_xll.BQL("CRM US Equity", "IS_INC_TAX_EFFECT_NONGAAP_REC/1M", "FPR=2022Y", "FPT=A", "FA_ACT_EST_DATA=E, EST_SOURCE=MAC", "ACT_EST_MAPPING=PRECISE", "FS=MRC", "CURRENCY=USD", "XLFILL=b")</f>
        <v/>
      </c>
      <c r="AK98" s="9" t="str">
        <f>_xll.BQL("CRM US Equity", "IS_INC_TAX_EFFECT_NONGAAP_REC/1M", "FPR=2022Y", "FPT=A", "FA_ACT_EST_DATA=E, EST_SOURCE=EVR", "ACT_EST_MAPPING=PRECISE", "FS=MRC", "CURRENCY=USD", "XLFILL=b")</f>
        <v/>
      </c>
      <c r="AL98" s="9" t="str">
        <f>_xll.BQL("CRM US Equity", "IS_INC_TAX_EFFECT_NONGAAP_REC/1M", "FPR=2022Y", "FPT=A", "FA_ACT_EST_DATA=E, EST_SOURCE=MSR", "ACT_EST_MAPPING=PRECISE", "FS=MRC", "CURRENCY=USD", "XLFILL=b")</f>
        <v/>
      </c>
      <c r="AM98" s="9" t="str">
        <f>_xll.BQL("CRM US Equity", "IS_INC_TAX_EFFECT_NONGAAP_REC/1M", "FPR=2022Y", "FPT=A", "FA_ACT_EST_DATA=E, EST_SOURCE=KGI", "ACT_EST_MAPPING=PRECISE", "FS=MRC", "CURRENCY=USD", "XLFILL=b")</f>
        <v/>
      </c>
      <c r="AN98" s="9" t="str">
        <f>_xll.BQL("CRM US Equity", "IS_INC_TAX_EFFECT_NONGAAP_REC/1M", "FPR=2022Y", "FPT=A", "FA_ACT_EST_DATA=E, EST_SOURCE=ACC", "ACT_EST_MAPPING=PRECISE", "FS=MRC", "CURRENCY=USD", "XLFILL=b")</f>
        <v/>
      </c>
      <c r="AO98" s="9" t="str">
        <f>_xll.BQL("CRM US Equity", "IS_INC_TAX_EFFECT_NONGAAP_REC/1M", "FPR=2022Y", "FPT=A", "FA_ACT_EST_DATA=E, EST_SOURCE=GSR", "ACT_EST_MAPPING=PRECISE", "FS=MRC", "CURRENCY=USD", "XLFILL=b")</f>
        <v/>
      </c>
      <c r="AP98" s="9" t="str">
        <f>_xll.BQL("CRM US Equity", "IS_INC_TAX_EFFECT_NONGAAP_REC/1M", "FPR=2022Y", "FPT=A", "FA_ACT_EST_DATA=E, EST_SOURCE=PSG", "ACT_EST_MAPPING=PRECISE", "FS=MRC", "CURRENCY=USD", "XLFILL=b")</f>
        <v/>
      </c>
      <c r="AQ98" s="9" t="str">
        <f>_xll.BQL("CRM US Equity", "IS_INC_TAX_EFFECT_NONGAAP_REC/1M", "FPR=2022Y", "FPT=A", "FA_ACT_EST_DATA=E, EST_SOURCE=DWI", "ACT_EST_MAPPING=PRECISE", "FS=MRC", "CURRENCY=USD", "XLFILL=b")</f>
        <v/>
      </c>
      <c r="AR98" s="9" t="str">
        <f>_xll.BQL("CRM US Equity", "IS_INC_TAX_EFFECT_NONGAAP_REC/1M", "FPR=2022Y", "FPT=A", "FA_ACT_EST_DATA=E, EST_SOURCE=RWB", "ACT_EST_MAPPING=PRECISE", "FS=MRC", "CURRENCY=USD", "XLFILL=b")</f>
        <v/>
      </c>
      <c r="AS98" s="9" t="str">
        <f>_xll.BQL("CRM US Equity", "IS_INC_TAX_EFFECT_NONGAAP_REC/1M", "FPR=2022Y", "FPT=A", "FA_ACT_EST_DATA=E, EST_SOURCE=ARG", "ACT_EST_MAPPING=PRECISE", "FS=MRC", "CURRENCY=USD", "XLFILL=b")</f>
        <v/>
      </c>
      <c r="AT98" s="9" t="str">
        <f>_xll.BQL("CRM US Equity", "IS_INC_TAX_EFFECT_NONGAAP_REC/1M", "FPR=2022Y", "FPT=A", "FA_ACT_EST_DATA=E, EST_SOURCE=CTI", "ACT_EST_MAPPING=PRECISE", "FS=MRC", "CURRENCY=USD", "XLFILL=b")</f>
        <v/>
      </c>
      <c r="AU98" s="9" t="str">
        <f>_xll.BQL("CRM US Equity", "IS_INC_TAX_EFFECT_NONGAAP_REC/1M", "FPR=2022Y", "FPT=A", "FA_ACT_EST_DATA=E, EST_SOURCE=WFT", "ACT_EST_MAPPING=PRECISE", "FS=MRC", "CURRENCY=USD", "XLFILL=b")</f>
        <v/>
      </c>
      <c r="AV98" s="9" t="str">
        <f>_xll.BQL("CRM US Equity", "IS_INC_TAX_EFFECT_NONGAAP_REC/1M", "FPR=2022Y", "FPT=A", "FA_ACT_EST_DATA=E, EST_SOURCE=PJE", "ACT_EST_MAPPING=PRECISE", "FS=MRC", "CURRENCY=USD", "XLFILL=b")</f>
        <v/>
      </c>
      <c r="AW98" s="9" t="str">
        <f>_xll.BQL("CRM US Equity", "IS_INC_TAX_EFFECT_NONGAAP_REC/1M", "FPR=2022Y", "FPT=A", "FA_ACT_EST_DATA=E, EST_SOURCE=SGE", "ACT_EST_MAPPING=PRECISE", "FS=MRC", "CURRENCY=USD", "XLFILL=b")</f>
        <v/>
      </c>
      <c r="AX98" s="9" t="str">
        <f>_xll.BQL("CRM US Equity", "IS_INC_TAX_EFFECT_NONGAAP_REC/1M", "FPR=2022Y", "FPT=A", "FA_ACT_EST_DATA=E, EST_SOURCE=MZS", "ACT_EST_MAPPING=PRECISE", "FS=MRC", "CURRENCY=USD", "XLFILL=b")</f>
        <v/>
      </c>
      <c r="AY98" s="9" t="str">
        <f>_xll.BQL("CRM US Equity", "IS_INC_TAX_EFFECT_NONGAAP_REC/1M", "FPR=2022Y", "FPT=A", "FA_ACT_EST_DATA=E, EST_SOURCE=RCP", "ACT_EST_MAPPING=PRECISE", "FS=MRC", "CURRENCY=USD", "XLFILL=b")</f>
        <v/>
      </c>
      <c r="AZ98" s="9" t="str">
        <f>_xll.BQL("CRM US Equity", "IS_INC_TAX_EFFECT_NONGAAP_REC/1M", "FPR=2022Y", "FPT=A", "FA_ACT_EST_DATA=E, EST_SOURCE=WFR", "ACT_EST_MAPPING=PRECISE", "FS=MRC", "CURRENCY=USD", "XLFILL=b")</f>
        <v/>
      </c>
      <c r="BA98" s="9" t="str">
        <f>_xll.BQL("CRM US Equity", "IS_INC_TAX_EFFECT_NONGAAP_REC/1M", "FPR=2022Y", "FPT=A", "FA_ACT_EST_DATA=E, EST_SOURCE=NIK", "ACT_EST_MAPPING=PRECISE", "FS=MRC", "CURRENCY=USD", "XLFILL=b")</f>
        <v/>
      </c>
      <c r="BB98" s="9" t="str">
        <f>_xll.BQL("CRM US Equity", "IS_INC_TAX_EFFECT_NONGAAP_REC/1M", "FPR=2022Y", "FPT=A", "FA_ACT_EST_DATA=E, EST_SOURCE=ARE", "ACT_EST_MAPPING=PRECISE", "FS=MRC", "CURRENCY=USD", "XLFILL=b")</f>
        <v/>
      </c>
      <c r="BC98" s="9" t="str">
        <f>_xll.BQL("CRM US Equity", "IS_INC_TAX_EFFECT_NONGAAP_REC/1M", "FPR=2022Y", "FPT=A", "FA_ACT_EST_DATA=E, EST_SOURCE=RED", "ACT_EST_MAPPING=PRECISE", "FS=MRC", "CURRENCY=USD", "XLFILL=b")</f>
        <v/>
      </c>
      <c r="BD98" s="9" t="str">
        <f>_xll.BQL("CRM US Equity", "IS_INC_TAX_EFFECT_NONGAAP_REC/1M", "FPR=2022Y", "FPT=A", "FA_ACT_EST_DATA=E, EST_SOURCE=DIR", "ACT_EST_MAPPING=PRECISE", "FS=MRC", "CURRENCY=USD", "XLFILL=b")</f>
        <v/>
      </c>
    </row>
    <row r="99" spans="1:56" x14ac:dyDescent="0.55000000000000004">
      <c r="A99" s="8" t="s">
        <v>174</v>
      </c>
      <c r="B99" s="5" t="s">
        <v>175</v>
      </c>
      <c r="C99" s="5" t="s">
        <v>176</v>
      </c>
      <c r="D99" s="5"/>
      <c r="E99" s="9">
        <f>_xll.BQL("CRM US Equity", "IS_SBC_NON_GAAP/1M", "FPR=2022Y", "FPT=A", "FA_ACT_EST_DATA=E", "ACT_EST_MAPPING=PRECISE", "FS=MRC", "CURRENCY=USD", "XLFILL=b")</f>
        <v>2805.9761435853857</v>
      </c>
      <c r="F99" s="9">
        <f>_xll.BQL("CRM US Equity", "CONTRIBUTOR_STATS(IS_SBC_NON_GAAP, MIN)/1M", "FPR=2022Y", "FPT=A", "FA_ACT_EST_DATA=E", "ACT_EST_MAPPING=PRECISE", "FS=MRC", "CURRENCY=USD", "XLFILL=b")</f>
        <v>2738.256647298243</v>
      </c>
      <c r="G99" s="9">
        <f>_xll.BQL("CRM US Equity", "CONTRIBUTOR_STATS(IS_SBC_NON_GAAP, MAX)/1M", "FPR=2022Y", "FPT=A", "FA_ACT_EST_DATA=E", "ACT_EST_MAPPING=PRECISE", "FS=MRC", "CURRENCY=USD", "XLFILL=b")</f>
        <v>2883.4638</v>
      </c>
      <c r="H99" s="9">
        <f>_xll.BQL("CRM US Equity", "CONTRIBUTOR_STATS(IS_SBC_NON_GAAP, STD)/1M", "FPR=2022Y", "FPT=A", "FA_ACT_EST_DATA=E", "ACT_EST_MAPPING=PRECISE", "FS=MRC", "CURRENCY=USD", "XLFILL=b")</f>
        <v>36.218095338121593</v>
      </c>
      <c r="I99" s="9">
        <f>_xll.BQL("CRM US Equity", "CONTRIBUTOR_STATS(IS_SBC_NON_GAAP, MEDIAN)/1M", "FPR=2022Y", "FPT=A", "FA_ACT_EST_DATA=E", "ACT_EST_MAPPING=PRECISE", "FS=MRC", "CURRENCY=USD", "XLFILL=b")</f>
        <v>2796.3566040000001</v>
      </c>
      <c r="J99" s="9" t="str">
        <f>_xll.BQL("CRM US Equity", "IS_SBC_NON_GAAP/1M", "FPR=2022Y", "FPT=A", "FA_ACT_EST_DATA=E, EST_SOURCE=CMPY", "ACT_EST_MAPPING=PRECISE", "FS=MRC", "CURRENCY=USD", "XLFILL=b")</f>
        <v/>
      </c>
      <c r="K99" s="9" t="str">
        <f>_xll.BQL("CRM US Equity", "IS_SBC_NON_GAAP/1M", "FPR=2022Y", "FPT=A", "FA_ACT_EST_DATA=E, EST_SOURCE=WBL", "ACT_EST_MAPPING=PRECISE", "FS=MRC", "CURRENCY=USD", "XLFILL=b")</f>
        <v/>
      </c>
      <c r="L99" s="9" t="str">
        <f>_xll.BQL("CRM US Equity", "IS_SBC_NON_GAAP/1M", "FPR=2022Y", "FPT=A", "FA_ACT_EST_DATA=E, EST_SOURCE=BMO", "ACT_EST_MAPPING=PRECISE", "FS=MRC", "CURRENCY=USD", "XLFILL=b")</f>
        <v/>
      </c>
      <c r="M99" s="9">
        <f>_xll.BQL("CRM US Equity", "IS_SBC_NON_GAAP/1M", "FPR=2022Y", "FPT=A", "FA_ACT_EST_DATA=E, EST_SOURCE=BCA", "ACT_EST_MAPPING=PRECISE", "FS=MRC", "CURRENCY=USD", "XLFILL=b")</f>
        <v>2831</v>
      </c>
      <c r="N99" s="9" t="str">
        <f>_xll.BQL("CRM US Equity", "IS_SBC_NON_GAAP/1M", "FPR=2022Y", "FPT=A", "FA_ACT_EST_DATA=E, EST_SOURCE=SNR", "ACT_EST_MAPPING=PRECISE", "FS=MRC", "CURRENCY=USD", "XLFILL=b")</f>
        <v/>
      </c>
      <c r="O99" s="9">
        <f>_xll.BQL("CRM US Equity", "IS_SBC_NON_GAAP/1M", "FPR=2022Y", "FPT=A", "FA_ACT_EST_DATA=E, EST_SOURCE=MSV", "ACT_EST_MAPPING=PRECISE", "FS=MRC", "CURRENCY=USD", "XLFILL=b")</f>
        <v>2836</v>
      </c>
      <c r="P99" s="9">
        <f>_xll.BQL("CRM US Equity", "IS_SBC_NON_GAAP/1M", "FPR=2022Y", "FPT=A", "FA_ACT_EST_DATA=E, EST_SOURCE=DBG", "ACT_EST_MAPPING=PRECISE", "FS=MRC", "CURRENCY=USD", "XLFILL=b")</f>
        <v>2828</v>
      </c>
      <c r="Q99" s="9">
        <f>_xll.BQL("CRM US Equity", "IS_SBC_NON_GAAP/1M", "FPR=2022Y", "FPT=A", "FA_ACT_EST_DATA=E, EST_SOURCE=NDH", "ACT_EST_MAPPING=PRECISE", "FS=MRC", "CURRENCY=USD", "XLFILL=b")</f>
        <v>2766</v>
      </c>
      <c r="R99" s="9" t="str">
        <f>_xll.BQL("CRM US Equity", "IS_SBC_NON_GAAP/1M", "FPR=2022Y", "FPT=A", "FA_ACT_EST_DATA=E, EST_SOURCE=CAN", "ACT_EST_MAPPING=PRECISE", "FS=MRC", "CURRENCY=USD", "XLFILL=b")</f>
        <v/>
      </c>
      <c r="S99" s="9" t="str">
        <f>_xll.BQL("CRM US Equity", "IS_SBC_NON_GAAP/1M", "FPR=2022Y", "FPT=A", "FA_ACT_EST_DATA=E, EST_SOURCE=SCB", "ACT_EST_MAPPING=PRECISE", "FS=MRC", "CURRENCY=USD", "XLFILL=b")</f>
        <v/>
      </c>
      <c r="T99" s="9">
        <f>_xll.BQL("CRM US Equity", "IS_SBC_NON_GAAP/1M", "FPR=2022Y", "FPT=A", "FA_ACT_EST_DATA=E, EST_SOURCE=JMP", "ACT_EST_MAPPING=PRECISE", "FS=MRC", "CURRENCY=USD", "XLFILL=b")</f>
        <v>2806</v>
      </c>
      <c r="U99" s="9">
        <f>_xll.BQL("CRM US Equity", "IS_SBC_NON_GAAP/1M", "FPR=2022Y", "FPT=A", "FA_ACT_EST_DATA=E, EST_SOURCE=RJA", "ACT_EST_MAPPING=PRECISE", "FS=MRC", "CURRENCY=USD", "XLFILL=b")</f>
        <v>2796</v>
      </c>
      <c r="V99" s="9" t="str">
        <f>_xll.BQL("CRM US Equity", "IS_SBC_NON_GAAP/1M", "FPR=2022Y", "FPT=A", "FA_ACT_EST_DATA=E, EST_SOURCE=OPY", "ACT_EST_MAPPING=PRECISE", "FS=MRC", "CURRENCY=USD", "XLFILL=b")</f>
        <v/>
      </c>
      <c r="W99" s="9">
        <f>_xll.BQL("CRM US Equity", "IS_SBC_NON_GAAP/1M", "FPR=2022Y", "FPT=A", "FA_ACT_EST_DATA=E, EST_SOURCE=JPM", "ACT_EST_MAPPING=PRECISE", "FS=MRC", "CURRENCY=USD", "XLFILL=b")</f>
        <v>2876.2698210783328</v>
      </c>
      <c r="X99" s="9">
        <f>_xll.BQL("CRM US Equity", "IS_SBC_NON_GAAP/1M", "FPR=2022Y", "FPT=A", "FA_ACT_EST_DATA=E, EST_SOURCE=FBC", "ACT_EST_MAPPING=PRECISE", "FS=MRC", "CURRENCY=USD", "XLFILL=b")</f>
        <v>2747.8719999999998</v>
      </c>
      <c r="Y99" s="9">
        <f>_xll.BQL("CRM US Equity", "IS_SBC_NON_GAAP/1M", "FPR=2022Y", "FPT=A", "FA_ACT_EST_DATA=E, EST_SOURCE=WMS", "ACT_EST_MAPPING=PRECISE", "FS=MRC", "CURRENCY=USD", "XLFILL=b")</f>
        <v>2764</v>
      </c>
      <c r="Z99" s="9">
        <f>_xll.BQL("CRM US Equity", "IS_SBC_NON_GAAP/1M", "FPR=2022Y", "FPT=A", "FA_ACT_EST_DATA=E, EST_SOURCE=KEY", "ACT_EST_MAPPING=PRECISE", "FS=MRC", "CURRENCY=USD", "XLFILL=b")</f>
        <v>2803.406265640378</v>
      </c>
      <c r="AA99" s="9" t="str">
        <f>_xll.BQL("CRM US Equity", "IS_SBC_NON_GAAP/1M", "FPR=2022Y", "FPT=A", "FA_ACT_EST_DATA=E, EST_SOURCE=LCM", "ACT_EST_MAPPING=PRECISE", "FS=MRC", "CURRENCY=USD", "XLFILL=b")</f>
        <v/>
      </c>
      <c r="AB99" s="9" t="str">
        <f>_xll.BQL("CRM US Equity", "IS_SBC_NON_GAAP/1M", "FPR=2022Y", "FPT=A", "FA_ACT_EST_DATA=E, EST_SOURCE=CWN", "ACT_EST_MAPPING=PRECISE", "FS=MRC", "CURRENCY=USD", "XLFILL=b")</f>
        <v/>
      </c>
      <c r="AC99" s="9" t="str">
        <f>_xll.BQL("CRM US Equity", "IS_SBC_NON_GAAP/1M", "FPR=2022Y", "FPT=A", "FA_ACT_EST_DATA=E, EST_SOURCE=BNS", "ACT_EST_MAPPING=PRECISE", "FS=MRC", "CURRENCY=USD", "XLFILL=b")</f>
        <v/>
      </c>
      <c r="AD99" s="9" t="str">
        <f>_xll.BQL("CRM US Equity", "IS_SBC_NON_GAAP/1M", "FPR=2022Y", "FPT=A", "FA_ACT_EST_DATA=E, EST_SOURCE=BAM", "ACT_EST_MAPPING=PRECISE", "FS=MRC", "CURRENCY=USD", "XLFILL=b")</f>
        <v/>
      </c>
      <c r="AE99" s="9" t="str">
        <f>_xll.BQL("CRM US Equity", "IS_SBC_NON_GAAP/1M", "FPR=2022Y", "FPT=A", "FA_ACT_EST_DATA=E, EST_SOURCE=RBC", "ACT_EST_MAPPING=PRECISE", "FS=MRC", "CURRENCY=USD", "XLFILL=b")</f>
        <v/>
      </c>
      <c r="AF99" s="9" t="str">
        <f>_xll.BQL("CRM US Equity", "IS_SBC_NON_GAAP/1M", "FPR=2022Y", "FPT=A", "FA_ACT_EST_DATA=E, EST_SOURCE=UBS", "ACT_EST_MAPPING=PRECISE", "FS=MRC", "CURRENCY=USD", "XLFILL=b")</f>
        <v/>
      </c>
      <c r="AG99" s="9" t="str">
        <f>_xll.BQL("CRM US Equity", "IS_SBC_NON_GAAP/1M", "FPR=2022Y", "FPT=A", "FA_ACT_EST_DATA=E, EST_SOURCE=RHR", "ACT_EST_MAPPING=PRECISE", "FS=MRC", "CURRENCY=USD", "XLFILL=b")</f>
        <v/>
      </c>
      <c r="AH99" s="9" t="str">
        <f>_xll.BQL("CRM US Equity", "IS_SBC_NON_GAAP/1M", "FPR=2022Y", "FPT=A", "FA_ACT_EST_DATA=E, EST_SOURCE=JEF", "ACT_EST_MAPPING=PRECISE", "FS=MRC", "CURRENCY=USD", "XLFILL=b")</f>
        <v/>
      </c>
      <c r="AI99" s="9" t="str">
        <f>_xll.BQL("CRM US Equity", "IS_SBC_NON_GAAP/1M", "FPR=2022Y", "FPT=A", "FA_ACT_EST_DATA=E, EST_SOURCE=ATL", "ACT_EST_MAPPING=PRECISE", "FS=MRC", "CURRENCY=USD", "XLFILL=b")</f>
        <v/>
      </c>
      <c r="AJ99" s="9" t="str">
        <f>_xll.BQL("CRM US Equity", "IS_SBC_NON_GAAP/1M", "FPR=2022Y", "FPT=A", "FA_ACT_EST_DATA=E, EST_SOURCE=MAC", "ACT_EST_MAPPING=PRECISE", "FS=MRC", "CURRENCY=USD", "XLFILL=b")</f>
        <v/>
      </c>
      <c r="AK99" s="9" t="str">
        <f>_xll.BQL("CRM US Equity", "IS_SBC_NON_GAAP/1M", "FPR=2022Y", "FPT=A", "FA_ACT_EST_DATA=E, EST_SOURCE=EVR", "ACT_EST_MAPPING=PRECISE", "FS=MRC", "CURRENCY=USD", "XLFILL=b")</f>
        <v/>
      </c>
      <c r="AL99" s="9" t="str">
        <f>_xll.BQL("CRM US Equity", "IS_SBC_NON_GAAP/1M", "FPR=2022Y", "FPT=A", "FA_ACT_EST_DATA=E, EST_SOURCE=MSR", "ACT_EST_MAPPING=PRECISE", "FS=MRC", "CURRENCY=USD", "XLFILL=b")</f>
        <v/>
      </c>
      <c r="AM99" s="9" t="str">
        <f>_xll.BQL("CRM US Equity", "IS_SBC_NON_GAAP/1M", "FPR=2022Y", "FPT=A", "FA_ACT_EST_DATA=E, EST_SOURCE=KGI", "ACT_EST_MAPPING=PRECISE", "FS=MRC", "CURRENCY=USD", "XLFILL=b")</f>
        <v/>
      </c>
      <c r="AN99" s="9" t="str">
        <f>_xll.BQL("CRM US Equity", "IS_SBC_NON_GAAP/1M", "FPR=2022Y", "FPT=A", "FA_ACT_EST_DATA=E, EST_SOURCE=ACC", "ACT_EST_MAPPING=PRECISE", "FS=MRC", "CURRENCY=USD", "XLFILL=b")</f>
        <v/>
      </c>
      <c r="AO99" s="9" t="str">
        <f>_xll.BQL("CRM US Equity", "IS_SBC_NON_GAAP/1M", "FPR=2022Y", "FPT=A", "FA_ACT_EST_DATA=E, EST_SOURCE=GSR", "ACT_EST_MAPPING=PRECISE", "FS=MRC", "CURRENCY=USD", "XLFILL=b")</f>
        <v/>
      </c>
      <c r="AP99" s="9" t="str">
        <f>_xll.BQL("CRM US Equity", "IS_SBC_NON_GAAP/1M", "FPR=2022Y", "FPT=A", "FA_ACT_EST_DATA=E, EST_SOURCE=PSG", "ACT_EST_MAPPING=PRECISE", "FS=MRC", "CURRENCY=USD", "XLFILL=b")</f>
        <v/>
      </c>
      <c r="AQ99" s="9" t="str">
        <f>_xll.BQL("CRM US Equity", "IS_SBC_NON_GAAP/1M", "FPR=2022Y", "FPT=A", "FA_ACT_EST_DATA=E, EST_SOURCE=DWI", "ACT_EST_MAPPING=PRECISE", "FS=MRC", "CURRENCY=USD", "XLFILL=b")</f>
        <v/>
      </c>
      <c r="AR99" s="9" t="str">
        <f>_xll.BQL("CRM US Equity", "IS_SBC_NON_GAAP/1M", "FPR=2022Y", "FPT=A", "FA_ACT_EST_DATA=E, EST_SOURCE=RWB", "ACT_EST_MAPPING=PRECISE", "FS=MRC", "CURRENCY=USD", "XLFILL=b")</f>
        <v/>
      </c>
      <c r="AS99" s="9" t="str">
        <f>_xll.BQL("CRM US Equity", "IS_SBC_NON_GAAP/1M", "FPR=2022Y", "FPT=A", "FA_ACT_EST_DATA=E, EST_SOURCE=ARG", "ACT_EST_MAPPING=PRECISE", "FS=MRC", "CURRENCY=USD", "XLFILL=b")</f>
        <v/>
      </c>
      <c r="AT99" s="9" t="str">
        <f>_xll.BQL("CRM US Equity", "IS_SBC_NON_GAAP/1M", "FPR=2022Y", "FPT=A", "FA_ACT_EST_DATA=E, EST_SOURCE=CTI", "ACT_EST_MAPPING=PRECISE", "FS=MRC", "CURRENCY=USD", "XLFILL=b")</f>
        <v/>
      </c>
      <c r="AU99" s="9" t="str">
        <f>_xll.BQL("CRM US Equity", "IS_SBC_NON_GAAP/1M", "FPR=2022Y", "FPT=A", "FA_ACT_EST_DATA=E, EST_SOURCE=WFT", "ACT_EST_MAPPING=PRECISE", "FS=MRC", "CURRENCY=USD", "XLFILL=b")</f>
        <v/>
      </c>
      <c r="AV99" s="9" t="str">
        <f>_xll.BQL("CRM US Equity", "IS_SBC_NON_GAAP/1M", "FPR=2022Y", "FPT=A", "FA_ACT_EST_DATA=E, EST_SOURCE=PJE", "ACT_EST_MAPPING=PRECISE", "FS=MRC", "CURRENCY=USD", "XLFILL=b")</f>
        <v/>
      </c>
      <c r="AW99" s="9" t="str">
        <f>_xll.BQL("CRM US Equity", "IS_SBC_NON_GAAP/1M", "FPR=2022Y", "FPT=A", "FA_ACT_EST_DATA=E, EST_SOURCE=SGE", "ACT_EST_MAPPING=PRECISE", "FS=MRC", "CURRENCY=USD", "XLFILL=b")</f>
        <v/>
      </c>
      <c r="AX99" s="9" t="str">
        <f>_xll.BQL("CRM US Equity", "IS_SBC_NON_GAAP/1M", "FPR=2022Y", "FPT=A", "FA_ACT_EST_DATA=E, EST_SOURCE=MZS", "ACT_EST_MAPPING=PRECISE", "FS=MRC", "CURRENCY=USD", "XLFILL=b")</f>
        <v/>
      </c>
      <c r="AY99" s="9" t="str">
        <f>_xll.BQL("CRM US Equity", "IS_SBC_NON_GAAP/1M", "FPR=2022Y", "FPT=A", "FA_ACT_EST_DATA=E, EST_SOURCE=RCP", "ACT_EST_MAPPING=PRECISE", "FS=MRC", "CURRENCY=USD", "XLFILL=b")</f>
        <v/>
      </c>
      <c r="AZ99" s="9" t="str">
        <f>_xll.BQL("CRM US Equity", "IS_SBC_NON_GAAP/1M", "FPR=2022Y", "FPT=A", "FA_ACT_EST_DATA=E, EST_SOURCE=WFR", "ACT_EST_MAPPING=PRECISE", "FS=MRC", "CURRENCY=USD", "XLFILL=b")</f>
        <v/>
      </c>
      <c r="BA99" s="9" t="str">
        <f>_xll.BQL("CRM US Equity", "IS_SBC_NON_GAAP/1M", "FPR=2022Y", "FPT=A", "FA_ACT_EST_DATA=E, EST_SOURCE=NIK", "ACT_EST_MAPPING=PRECISE", "FS=MRC", "CURRENCY=USD", "XLFILL=b")</f>
        <v/>
      </c>
      <c r="BB99" s="9" t="str">
        <f>_xll.BQL("CRM US Equity", "IS_SBC_NON_GAAP/1M", "FPR=2022Y", "FPT=A", "FA_ACT_EST_DATA=E, EST_SOURCE=ARE", "ACT_EST_MAPPING=PRECISE", "FS=MRC", "CURRENCY=USD", "XLFILL=b")</f>
        <v/>
      </c>
      <c r="BC99" s="9" t="str">
        <f>_xll.BQL("CRM US Equity", "IS_SBC_NON_GAAP/1M", "FPR=2022Y", "FPT=A", "FA_ACT_EST_DATA=E, EST_SOURCE=RED", "ACT_EST_MAPPING=PRECISE", "FS=MRC", "CURRENCY=USD", "XLFILL=b")</f>
        <v/>
      </c>
      <c r="BD99" s="9" t="str">
        <f>_xll.BQL("CRM US Equity", "IS_SBC_NON_GAAP/1M", "FPR=2022Y", "FPT=A", "FA_ACT_EST_DATA=E, EST_SOURCE=DIR", "ACT_EST_MAPPING=PRECISE", "FS=MRC", "CURRENCY=USD", "XLFILL=b")</f>
        <v/>
      </c>
    </row>
    <row r="100" spans="1:56" x14ac:dyDescent="0.55000000000000004">
      <c r="A100" s="8" t="s">
        <v>177</v>
      </c>
      <c r="B100" s="5" t="s">
        <v>178</v>
      </c>
      <c r="C100" s="5" t="s">
        <v>74</v>
      </c>
      <c r="D100" s="5"/>
      <c r="E100" s="9">
        <f>_xll.BQL("CRM US Equity", "IS_SBC_ATTRIB_TO_COGS_PRETX/1M", "FPR=2022Y", "FPT=A", "FA_ACT_EST_DATA=E", "ACT_EST_MAPPING=PRECISE", "FS=MRC", "CURRENCY=USD", "XLFILL=b")</f>
        <v>383.59896666921298</v>
      </c>
      <c r="F100" s="9">
        <f>_xll.BQL("CRM US Equity", "CONTRIBUTOR_STATS(IS_SBC_ATTRIB_TO_COGS_PRETX, MIN)/1M", "FPR=2022Y", "FPT=A", "FA_ACT_EST_DATA=E", "ACT_EST_MAPPING=PRECISE", "FS=MRC", "CURRENCY=USD", "XLFILL=b")</f>
        <v>355.15199999999999</v>
      </c>
      <c r="G100" s="9">
        <f>_xll.BQL("CRM US Equity", "CONTRIBUTOR_STATS(IS_SBC_ATTRIB_TO_COGS_PRETX, MAX)/1M", "FPR=2022Y", "FPT=A", "FA_ACT_EST_DATA=E", "ACT_EST_MAPPING=PRECISE", "FS=MRC", "CURRENCY=USD", "XLFILL=b")</f>
        <v>415</v>
      </c>
      <c r="H100" s="9">
        <f>_xll.BQL("CRM US Equity", "CONTRIBUTOR_STATS(IS_SBC_ATTRIB_TO_COGS_PRETX, STD)/1M", "FPR=2022Y", "FPT=A", "FA_ACT_EST_DATA=E", "ACT_EST_MAPPING=PRECISE", "FS=MRC", "CURRENCY=USD", "XLFILL=b")</f>
        <v>16.88056118388408</v>
      </c>
      <c r="I100" s="9">
        <f>_xll.BQL("CRM US Equity", "CONTRIBUTOR_STATS(IS_SBC_ATTRIB_TO_COGS_PRETX, MEDIAN)/1M", "FPR=2022Y", "FPT=A", "FA_ACT_EST_DATA=E", "ACT_EST_MAPPING=PRECISE", "FS=MRC", "CURRENCY=USD", "XLFILL=b")</f>
        <v>380.88031073891625</v>
      </c>
      <c r="J100" s="9" t="str">
        <f>_xll.BQL("CRM US Equity", "IS_SBC_ATTRIB_TO_COGS_PRETX/1M", "FPR=2022Y", "FPT=A", "FA_ACT_EST_DATA=E, EST_SOURCE=CMPY", "ACT_EST_MAPPING=PRECISE", "FS=MRC", "CURRENCY=USD", "XLFILL=b")</f>
        <v/>
      </c>
      <c r="K100" s="9" t="str">
        <f>_xll.BQL("CRM US Equity", "IS_SBC_ATTRIB_TO_COGS_PRETX/1M", "FPR=2022Y", "FPT=A", "FA_ACT_EST_DATA=E, EST_SOURCE=WBL", "ACT_EST_MAPPING=PRECISE", "FS=MRC", "CURRENCY=USD", "XLFILL=b")</f>
        <v/>
      </c>
      <c r="L100" s="9" t="str">
        <f>_xll.BQL("CRM US Equity", "IS_SBC_ATTRIB_TO_COGS_PRETX/1M", "FPR=2022Y", "FPT=A", "FA_ACT_EST_DATA=E, EST_SOURCE=BMO", "ACT_EST_MAPPING=PRECISE", "FS=MRC", "CURRENCY=USD", "XLFILL=b")</f>
        <v/>
      </c>
      <c r="M100" s="9">
        <f>_xll.BQL("CRM US Equity", "IS_SBC_ATTRIB_TO_COGS_PRETX/1M", "FPR=2022Y", "FPT=A", "FA_ACT_EST_DATA=E, EST_SOURCE=BCA", "ACT_EST_MAPPING=PRECISE", "FS=MRC", "CURRENCY=USD", "XLFILL=b")</f>
        <v>380</v>
      </c>
      <c r="N100" s="9" t="str">
        <f>_xll.BQL("CRM US Equity", "IS_SBC_ATTRIB_TO_COGS_PRETX/1M", "FPR=2022Y", "FPT=A", "FA_ACT_EST_DATA=E, EST_SOURCE=SNR", "ACT_EST_MAPPING=PRECISE", "FS=MRC", "CURRENCY=USD", "XLFILL=b")</f>
        <v/>
      </c>
      <c r="O100" s="9">
        <f>_xll.BQL("CRM US Equity", "IS_SBC_ATTRIB_TO_COGS_PRETX/1M", "FPR=2022Y", "FPT=A", "FA_ACT_EST_DATA=E, EST_SOURCE=MSV", "ACT_EST_MAPPING=PRECISE", "FS=MRC", "CURRENCY=USD", "XLFILL=b")</f>
        <v>415</v>
      </c>
      <c r="P100" s="9">
        <f>_xll.BQL("CRM US Equity", "IS_SBC_ATTRIB_TO_COGS_PRETX/1M", "FPR=2022Y", "FPT=A", "FA_ACT_EST_DATA=E, EST_SOURCE=DBG", "ACT_EST_MAPPING=PRECISE", "FS=MRC", "CURRENCY=USD", "XLFILL=b")</f>
        <v>383</v>
      </c>
      <c r="Q100" s="9" t="str">
        <f>_xll.BQL("CRM US Equity", "IS_SBC_ATTRIB_TO_COGS_PRETX/1M", "FPR=2022Y", "FPT=A", "FA_ACT_EST_DATA=E, EST_SOURCE=NDH", "ACT_EST_MAPPING=PRECISE", "FS=MRC", "CURRENCY=USD", "XLFILL=b")</f>
        <v/>
      </c>
      <c r="R100" s="9" t="str">
        <f>_xll.BQL("CRM US Equity", "IS_SBC_ATTRIB_TO_COGS_PRETX/1M", "FPR=2022Y", "FPT=A", "FA_ACT_EST_DATA=E, EST_SOURCE=CAN", "ACT_EST_MAPPING=PRECISE", "FS=MRC", "CURRENCY=USD", "XLFILL=b")</f>
        <v/>
      </c>
      <c r="S100" s="9" t="str">
        <f>_xll.BQL("CRM US Equity", "IS_SBC_ATTRIB_TO_COGS_PRETX/1M", "FPR=2022Y", "FPT=A", "FA_ACT_EST_DATA=E, EST_SOURCE=SCB", "ACT_EST_MAPPING=PRECISE", "FS=MRC", "CURRENCY=USD", "XLFILL=b")</f>
        <v/>
      </c>
      <c r="T100" s="9">
        <f>_xll.BQL("CRM US Equity", "IS_SBC_ATTRIB_TO_COGS_PRETX/1M", "FPR=2022Y", "FPT=A", "FA_ACT_EST_DATA=E, EST_SOURCE=JMP", "ACT_EST_MAPPING=PRECISE", "FS=MRC", "CURRENCY=USD", "XLFILL=b")</f>
        <v>400</v>
      </c>
      <c r="U100" s="9" t="str">
        <f>_xll.BQL("CRM US Equity", "IS_SBC_ATTRIB_TO_COGS_PRETX/1M", "FPR=2022Y", "FPT=A", "FA_ACT_EST_DATA=E, EST_SOURCE=RJA", "ACT_EST_MAPPING=PRECISE", "FS=MRC", "CURRENCY=USD", "XLFILL=b")</f>
        <v/>
      </c>
      <c r="V100" s="9" t="str">
        <f>_xll.BQL("CRM US Equity", "IS_SBC_ATTRIB_TO_COGS_PRETX/1M", "FPR=2022Y", "FPT=A", "FA_ACT_EST_DATA=E, EST_SOURCE=OPY", "ACT_EST_MAPPING=PRECISE", "FS=MRC", "CURRENCY=USD", "XLFILL=b")</f>
        <v/>
      </c>
      <c r="W100" s="9" t="str">
        <f>_xll.BQL("CRM US Equity", "IS_SBC_ATTRIB_TO_COGS_PRETX/1M", "FPR=2022Y", "FPT=A", "FA_ACT_EST_DATA=E, EST_SOURCE=JPM", "ACT_EST_MAPPING=PRECISE", "FS=MRC", "CURRENCY=USD", "XLFILL=b")</f>
        <v/>
      </c>
      <c r="X100" s="9">
        <f>_xll.BQL("CRM US Equity", "IS_SBC_ATTRIB_TO_COGS_PRETX/1M", "FPR=2022Y", "FPT=A", "FA_ACT_EST_DATA=E, EST_SOURCE=FBC", "ACT_EST_MAPPING=PRECISE", "FS=MRC", "CURRENCY=USD", "XLFILL=b")</f>
        <v>406.16849999999999</v>
      </c>
      <c r="Y100" s="9">
        <f>_xll.BQL("CRM US Equity", "IS_SBC_ATTRIB_TO_COGS_PRETX/1M", "FPR=2022Y", "FPT=A", "FA_ACT_EST_DATA=E, EST_SOURCE=WMS", "ACT_EST_MAPPING=PRECISE", "FS=MRC", "CURRENCY=USD", "XLFILL=b")</f>
        <v>328</v>
      </c>
      <c r="Z100" s="9">
        <f>_xll.BQL("CRM US Equity", "IS_SBC_ATTRIB_TO_COGS_PRETX/1M", "FPR=2022Y", "FPT=A", "FA_ACT_EST_DATA=E, EST_SOURCE=KEY", "ACT_EST_MAPPING=PRECISE", "FS=MRC", "CURRENCY=USD", "XLFILL=b")</f>
        <v>414.41186755599369</v>
      </c>
      <c r="AA100" s="9" t="str">
        <f>_xll.BQL("CRM US Equity", "IS_SBC_ATTRIB_TO_COGS_PRETX/1M", "FPR=2022Y", "FPT=A", "FA_ACT_EST_DATA=E, EST_SOURCE=LCM", "ACT_EST_MAPPING=PRECISE", "FS=MRC", "CURRENCY=USD", "XLFILL=b")</f>
        <v/>
      </c>
      <c r="AB100" s="9" t="str">
        <f>_xll.BQL("CRM US Equity", "IS_SBC_ATTRIB_TO_COGS_PRETX/1M", "FPR=2022Y", "FPT=A", "FA_ACT_EST_DATA=E, EST_SOURCE=CWN", "ACT_EST_MAPPING=PRECISE", "FS=MRC", "CURRENCY=USD", "XLFILL=b")</f>
        <v/>
      </c>
      <c r="AC100" s="9" t="str">
        <f>_xll.BQL("CRM US Equity", "IS_SBC_ATTRIB_TO_COGS_PRETX/1M", "FPR=2022Y", "FPT=A", "FA_ACT_EST_DATA=E, EST_SOURCE=BNS", "ACT_EST_MAPPING=PRECISE", "FS=MRC", "CURRENCY=USD", "XLFILL=b")</f>
        <v/>
      </c>
      <c r="AD100" s="9" t="str">
        <f>_xll.BQL("CRM US Equity", "IS_SBC_ATTRIB_TO_COGS_PRETX/1M", "FPR=2022Y", "FPT=A", "FA_ACT_EST_DATA=E, EST_SOURCE=BAM", "ACT_EST_MAPPING=PRECISE", "FS=MRC", "CURRENCY=USD", "XLFILL=b")</f>
        <v/>
      </c>
      <c r="AE100" s="9" t="str">
        <f>_xll.BQL("CRM US Equity", "IS_SBC_ATTRIB_TO_COGS_PRETX/1M", "FPR=2022Y", "FPT=A", "FA_ACT_EST_DATA=E, EST_SOURCE=RBC", "ACT_EST_MAPPING=PRECISE", "FS=MRC", "CURRENCY=USD", "XLFILL=b")</f>
        <v/>
      </c>
      <c r="AF100" s="9" t="str">
        <f>_xll.BQL("CRM US Equity", "IS_SBC_ATTRIB_TO_COGS_PRETX/1M", "FPR=2022Y", "FPT=A", "FA_ACT_EST_DATA=E, EST_SOURCE=UBS", "ACT_EST_MAPPING=PRECISE", "FS=MRC", "CURRENCY=USD", "XLFILL=b")</f>
        <v/>
      </c>
      <c r="AG100" s="9" t="str">
        <f>_xll.BQL("CRM US Equity", "IS_SBC_ATTRIB_TO_COGS_PRETX/1M", "FPR=2022Y", "FPT=A", "FA_ACT_EST_DATA=E, EST_SOURCE=RHR", "ACT_EST_MAPPING=PRECISE", "FS=MRC", "CURRENCY=USD", "XLFILL=b")</f>
        <v/>
      </c>
      <c r="AH100" s="9" t="str">
        <f>_xll.BQL("CRM US Equity", "IS_SBC_ATTRIB_TO_COGS_PRETX/1M", "FPR=2022Y", "FPT=A", "FA_ACT_EST_DATA=E, EST_SOURCE=JEF", "ACT_EST_MAPPING=PRECISE", "FS=MRC", "CURRENCY=USD", "XLFILL=b")</f>
        <v/>
      </c>
      <c r="AI100" s="9" t="str">
        <f>_xll.BQL("CRM US Equity", "IS_SBC_ATTRIB_TO_COGS_PRETX/1M", "FPR=2022Y", "FPT=A", "FA_ACT_EST_DATA=E, EST_SOURCE=ATL", "ACT_EST_MAPPING=PRECISE", "FS=MRC", "CURRENCY=USD", "XLFILL=b")</f>
        <v/>
      </c>
      <c r="AJ100" s="9" t="str">
        <f>_xll.BQL("CRM US Equity", "IS_SBC_ATTRIB_TO_COGS_PRETX/1M", "FPR=2022Y", "FPT=A", "FA_ACT_EST_DATA=E, EST_SOURCE=MAC", "ACT_EST_MAPPING=PRECISE", "FS=MRC", "CURRENCY=USD", "XLFILL=b")</f>
        <v/>
      </c>
      <c r="AK100" s="9" t="str">
        <f>_xll.BQL("CRM US Equity", "IS_SBC_ATTRIB_TO_COGS_PRETX/1M", "FPR=2022Y", "FPT=A", "FA_ACT_EST_DATA=E, EST_SOURCE=EVR", "ACT_EST_MAPPING=PRECISE", "FS=MRC", "CURRENCY=USD", "XLFILL=b")</f>
        <v/>
      </c>
      <c r="AL100" s="9" t="str">
        <f>_xll.BQL("CRM US Equity", "IS_SBC_ATTRIB_TO_COGS_PRETX/1M", "FPR=2022Y", "FPT=A", "FA_ACT_EST_DATA=E, EST_SOURCE=MSR", "ACT_EST_MAPPING=PRECISE", "FS=MRC", "CURRENCY=USD", "XLFILL=b")</f>
        <v/>
      </c>
      <c r="AM100" s="9" t="str">
        <f>_xll.BQL("CRM US Equity", "IS_SBC_ATTRIB_TO_COGS_PRETX/1M", "FPR=2022Y", "FPT=A", "FA_ACT_EST_DATA=E, EST_SOURCE=KGI", "ACT_EST_MAPPING=PRECISE", "FS=MRC", "CURRENCY=USD", "XLFILL=b")</f>
        <v/>
      </c>
      <c r="AN100" s="9" t="str">
        <f>_xll.BQL("CRM US Equity", "IS_SBC_ATTRIB_TO_COGS_PRETX/1M", "FPR=2022Y", "FPT=A", "FA_ACT_EST_DATA=E, EST_SOURCE=ACC", "ACT_EST_MAPPING=PRECISE", "FS=MRC", "CURRENCY=USD", "XLFILL=b")</f>
        <v/>
      </c>
      <c r="AO100" s="9" t="str">
        <f>_xll.BQL("CRM US Equity", "IS_SBC_ATTRIB_TO_COGS_PRETX/1M", "FPR=2022Y", "FPT=A", "FA_ACT_EST_DATA=E, EST_SOURCE=GSR", "ACT_EST_MAPPING=PRECISE", "FS=MRC", "CURRENCY=USD", "XLFILL=b")</f>
        <v/>
      </c>
      <c r="AP100" s="9" t="str">
        <f>_xll.BQL("CRM US Equity", "IS_SBC_ATTRIB_TO_COGS_PRETX/1M", "FPR=2022Y", "FPT=A", "FA_ACT_EST_DATA=E, EST_SOURCE=PSG", "ACT_EST_MAPPING=PRECISE", "FS=MRC", "CURRENCY=USD", "XLFILL=b")</f>
        <v/>
      </c>
      <c r="AQ100" s="9" t="str">
        <f>_xll.BQL("CRM US Equity", "IS_SBC_ATTRIB_TO_COGS_PRETX/1M", "FPR=2022Y", "FPT=A", "FA_ACT_EST_DATA=E, EST_SOURCE=DWI", "ACT_EST_MAPPING=PRECISE", "FS=MRC", "CURRENCY=USD", "XLFILL=b")</f>
        <v/>
      </c>
      <c r="AR100" s="9" t="str">
        <f>_xll.BQL("CRM US Equity", "IS_SBC_ATTRIB_TO_COGS_PRETX/1M", "FPR=2022Y", "FPT=A", "FA_ACT_EST_DATA=E, EST_SOURCE=RWB", "ACT_EST_MAPPING=PRECISE", "FS=MRC", "CURRENCY=USD", "XLFILL=b")</f>
        <v/>
      </c>
      <c r="AS100" s="9" t="str">
        <f>_xll.BQL("CRM US Equity", "IS_SBC_ATTRIB_TO_COGS_PRETX/1M", "FPR=2022Y", "FPT=A", "FA_ACT_EST_DATA=E, EST_SOURCE=ARG", "ACT_EST_MAPPING=PRECISE", "FS=MRC", "CURRENCY=USD", "XLFILL=b")</f>
        <v/>
      </c>
      <c r="AT100" s="9" t="str">
        <f>_xll.BQL("CRM US Equity", "IS_SBC_ATTRIB_TO_COGS_PRETX/1M", "FPR=2022Y", "FPT=A", "FA_ACT_EST_DATA=E, EST_SOURCE=CTI", "ACT_EST_MAPPING=PRECISE", "FS=MRC", "CURRENCY=USD", "XLFILL=b")</f>
        <v/>
      </c>
      <c r="AU100" s="9" t="str">
        <f>_xll.BQL("CRM US Equity", "IS_SBC_ATTRIB_TO_COGS_PRETX/1M", "FPR=2022Y", "FPT=A", "FA_ACT_EST_DATA=E, EST_SOURCE=WFT", "ACT_EST_MAPPING=PRECISE", "FS=MRC", "CURRENCY=USD", "XLFILL=b")</f>
        <v/>
      </c>
      <c r="AV100" s="9" t="str">
        <f>_xll.BQL("CRM US Equity", "IS_SBC_ATTRIB_TO_COGS_PRETX/1M", "FPR=2022Y", "FPT=A", "FA_ACT_EST_DATA=E, EST_SOURCE=PJE", "ACT_EST_MAPPING=PRECISE", "FS=MRC", "CURRENCY=USD", "XLFILL=b")</f>
        <v/>
      </c>
      <c r="AW100" s="9" t="str">
        <f>_xll.BQL("CRM US Equity", "IS_SBC_ATTRIB_TO_COGS_PRETX/1M", "FPR=2022Y", "FPT=A", "FA_ACT_EST_DATA=E, EST_SOURCE=SGE", "ACT_EST_MAPPING=PRECISE", "FS=MRC", "CURRENCY=USD", "XLFILL=b")</f>
        <v/>
      </c>
      <c r="AX100" s="9" t="str">
        <f>_xll.BQL("CRM US Equity", "IS_SBC_ATTRIB_TO_COGS_PRETX/1M", "FPR=2022Y", "FPT=A", "FA_ACT_EST_DATA=E, EST_SOURCE=MZS", "ACT_EST_MAPPING=PRECISE", "FS=MRC", "CURRENCY=USD", "XLFILL=b")</f>
        <v/>
      </c>
      <c r="AY100" s="9" t="str">
        <f>_xll.BQL("CRM US Equity", "IS_SBC_ATTRIB_TO_COGS_PRETX/1M", "FPR=2022Y", "FPT=A", "FA_ACT_EST_DATA=E, EST_SOURCE=RCP", "ACT_EST_MAPPING=PRECISE", "FS=MRC", "CURRENCY=USD", "XLFILL=b")</f>
        <v/>
      </c>
      <c r="AZ100" s="9" t="str">
        <f>_xll.BQL("CRM US Equity", "IS_SBC_ATTRIB_TO_COGS_PRETX/1M", "FPR=2022Y", "FPT=A", "FA_ACT_EST_DATA=E, EST_SOURCE=WFR", "ACT_EST_MAPPING=PRECISE", "FS=MRC", "CURRENCY=USD", "XLFILL=b")</f>
        <v/>
      </c>
      <c r="BA100" s="9" t="str">
        <f>_xll.BQL("CRM US Equity", "IS_SBC_ATTRIB_TO_COGS_PRETX/1M", "FPR=2022Y", "FPT=A", "FA_ACT_EST_DATA=E, EST_SOURCE=NIK", "ACT_EST_MAPPING=PRECISE", "FS=MRC", "CURRENCY=USD", "XLFILL=b")</f>
        <v/>
      </c>
      <c r="BB100" s="9" t="str">
        <f>_xll.BQL("CRM US Equity", "IS_SBC_ATTRIB_TO_COGS_PRETX/1M", "FPR=2022Y", "FPT=A", "FA_ACT_EST_DATA=E, EST_SOURCE=ARE", "ACT_EST_MAPPING=PRECISE", "FS=MRC", "CURRENCY=USD", "XLFILL=b")</f>
        <v/>
      </c>
      <c r="BC100" s="9" t="str">
        <f>_xll.BQL("CRM US Equity", "IS_SBC_ATTRIB_TO_COGS_PRETX/1M", "FPR=2022Y", "FPT=A", "FA_ACT_EST_DATA=E, EST_SOURCE=RED", "ACT_EST_MAPPING=PRECISE", "FS=MRC", "CURRENCY=USD", "XLFILL=b")</f>
        <v/>
      </c>
      <c r="BD100" s="9" t="str">
        <f>_xll.BQL("CRM US Equity", "IS_SBC_ATTRIB_TO_COGS_PRETX/1M", "FPR=2022Y", "FPT=A", "FA_ACT_EST_DATA=E, EST_SOURCE=DIR", "ACT_EST_MAPPING=PRECISE", "FS=MRC", "CURRENCY=USD", "XLFILL=b")</f>
        <v/>
      </c>
    </row>
    <row r="101" spans="1:56" x14ac:dyDescent="0.55000000000000004">
      <c r="A101" s="8" t="s">
        <v>139</v>
      </c>
      <c r="B101" s="5" t="s">
        <v>179</v>
      </c>
      <c r="C101" s="5" t="s">
        <v>141</v>
      </c>
      <c r="D101" s="5"/>
      <c r="E101" s="9">
        <f>_xll.BQL("CRM US Equity", "IS_SBC_ATTRIBUTABLE_TO_R_AND_D_PRETX/1M", "FPR=2022Y", "FPT=A", "FA_ACT_EST_DATA=E", "ACT_EST_MAPPING=PRECISE", "FS=MRC", "CURRENCY=USD", "XLFILL=b")</f>
        <v>901.73989210568914</v>
      </c>
      <c r="F101" s="9">
        <f>_xll.BQL("CRM US Equity", "CONTRIBUTOR_STATS(IS_SBC_ATTRIBUTABLE_TO_R_AND_D_PRETX, MIN)/1M", "FPR=2022Y", "FPT=A", "FA_ACT_EST_DATA=E", "ACT_EST_MAPPING=PRECISE", "FS=MRC", "CURRENCY=USD", "XLFILL=b")</f>
        <v>841.45958051546393</v>
      </c>
      <c r="G101" s="9">
        <f>_xll.BQL("CRM US Equity", "CONTRIBUTOR_STATS(IS_SBC_ATTRIBUTABLE_TO_R_AND_D_PRETX, MAX)/1M", "FPR=2022Y", "FPT=A", "FA_ACT_EST_DATA=E", "ACT_EST_MAPPING=PRECISE", "FS=MRC", "CURRENCY=USD", "XLFILL=b")</f>
        <v>936</v>
      </c>
      <c r="H101" s="9">
        <f>_xll.BQL("CRM US Equity", "CONTRIBUTOR_STATS(IS_SBC_ATTRIBUTABLE_TO_R_AND_D_PRETX, STD)/1M", "FPR=2022Y", "FPT=A", "FA_ACT_EST_DATA=E", "ACT_EST_MAPPING=PRECISE", "FS=MRC", "CURRENCY=USD", "XLFILL=b")</f>
        <v>34.980219949501695</v>
      </c>
      <c r="I101" s="9">
        <f>_xll.BQL("CRM US Equity", "CONTRIBUTOR_STATS(IS_SBC_ATTRIBUTABLE_TO_R_AND_D_PRETX, MEDIAN)/1M", "FPR=2022Y", "FPT=A", "FA_ACT_EST_DATA=E", "ACT_EST_MAPPING=PRECISE", "FS=MRC", "CURRENCY=USD", "XLFILL=b")</f>
        <v>912.60697816502466</v>
      </c>
      <c r="J101" s="9" t="str">
        <f>_xll.BQL("CRM US Equity", "IS_SBC_ATTRIBUTABLE_TO_R_AND_D_PRETX/1M", "FPR=2022Y", "FPT=A", "FA_ACT_EST_DATA=E, EST_SOURCE=CMPY", "ACT_EST_MAPPING=PRECISE", "FS=MRC", "CURRENCY=USD", "XLFILL=b")</f>
        <v/>
      </c>
      <c r="K101" s="9" t="str">
        <f>_xll.BQL("CRM US Equity", "IS_SBC_ATTRIBUTABLE_TO_R_AND_D_PRETX/1M", "FPR=2022Y", "FPT=A", "FA_ACT_EST_DATA=E, EST_SOURCE=WBL", "ACT_EST_MAPPING=PRECISE", "FS=MRC", "CURRENCY=USD", "XLFILL=b")</f>
        <v/>
      </c>
      <c r="L101" s="9" t="str">
        <f>_xll.BQL("CRM US Equity", "IS_SBC_ATTRIBUTABLE_TO_R_AND_D_PRETX/1M", "FPR=2022Y", "FPT=A", "FA_ACT_EST_DATA=E, EST_SOURCE=BMO", "ACT_EST_MAPPING=PRECISE", "FS=MRC", "CURRENCY=USD", "XLFILL=b")</f>
        <v/>
      </c>
      <c r="M101" s="9">
        <f>_xll.BQL("CRM US Equity", "IS_SBC_ATTRIBUTABLE_TO_R_AND_D_PRETX/1M", "FPR=2022Y", "FPT=A", "FA_ACT_EST_DATA=E, EST_SOURCE=BCA", "ACT_EST_MAPPING=PRECISE", "FS=MRC", "CURRENCY=USD", "XLFILL=b")</f>
        <v>936</v>
      </c>
      <c r="N101" s="9" t="str">
        <f>_xll.BQL("CRM US Equity", "IS_SBC_ATTRIBUTABLE_TO_R_AND_D_PRETX/1M", "FPR=2022Y", "FPT=A", "FA_ACT_EST_DATA=E, EST_SOURCE=SNR", "ACT_EST_MAPPING=PRECISE", "FS=MRC", "CURRENCY=USD", "XLFILL=b")</f>
        <v/>
      </c>
      <c r="O101" s="9">
        <f>_xll.BQL("CRM US Equity", "IS_SBC_ATTRIBUTABLE_TO_R_AND_D_PRETX/1M", "FPR=2022Y", "FPT=A", "FA_ACT_EST_DATA=E, EST_SOURCE=MSV", "ACT_EST_MAPPING=PRECISE", "FS=MRC", "CURRENCY=USD", "XLFILL=b")</f>
        <v>462.47262694022766</v>
      </c>
      <c r="P101" s="9">
        <f>_xll.BQL("CRM US Equity", "IS_SBC_ATTRIBUTABLE_TO_R_AND_D_PRETX/1M", "FPR=2022Y", "FPT=A", "FA_ACT_EST_DATA=E, EST_SOURCE=DBG", "ACT_EST_MAPPING=PRECISE", "FS=MRC", "CURRENCY=USD", "XLFILL=b")</f>
        <v>922</v>
      </c>
      <c r="Q101" s="9" t="str">
        <f>_xll.BQL("CRM US Equity", "IS_SBC_ATTRIBUTABLE_TO_R_AND_D_PRETX/1M", "FPR=2022Y", "FPT=A", "FA_ACT_EST_DATA=E, EST_SOURCE=NDH", "ACT_EST_MAPPING=PRECISE", "FS=MRC", "CURRENCY=USD", "XLFILL=b")</f>
        <v/>
      </c>
      <c r="R101" s="9" t="str">
        <f>_xll.BQL("CRM US Equity", "IS_SBC_ATTRIBUTABLE_TO_R_AND_D_PRETX/1M", "FPR=2022Y", "FPT=A", "FA_ACT_EST_DATA=E, EST_SOURCE=CAN", "ACT_EST_MAPPING=PRECISE", "FS=MRC", "CURRENCY=USD", "XLFILL=b")</f>
        <v/>
      </c>
      <c r="S101" s="9" t="str">
        <f>_xll.BQL("CRM US Equity", "IS_SBC_ATTRIBUTABLE_TO_R_AND_D_PRETX/1M", "FPR=2022Y", "FPT=A", "FA_ACT_EST_DATA=E, EST_SOURCE=SCB", "ACT_EST_MAPPING=PRECISE", "FS=MRC", "CURRENCY=USD", "XLFILL=b")</f>
        <v/>
      </c>
      <c r="T101" s="9">
        <f>_xll.BQL("CRM US Equity", "IS_SBC_ATTRIBUTABLE_TO_R_AND_D_PRETX/1M", "FPR=2022Y", "FPT=A", "FA_ACT_EST_DATA=E, EST_SOURCE=JMP", "ACT_EST_MAPPING=PRECISE", "FS=MRC", "CURRENCY=USD", "XLFILL=b")</f>
        <v>896</v>
      </c>
      <c r="U101" s="9" t="str">
        <f>_xll.BQL("CRM US Equity", "IS_SBC_ATTRIBUTABLE_TO_R_AND_D_PRETX/1M", "FPR=2022Y", "FPT=A", "FA_ACT_EST_DATA=E, EST_SOURCE=RJA", "ACT_EST_MAPPING=PRECISE", "FS=MRC", "CURRENCY=USD", "XLFILL=b")</f>
        <v/>
      </c>
      <c r="V101" s="9" t="str">
        <f>_xll.BQL("CRM US Equity", "IS_SBC_ATTRIBUTABLE_TO_R_AND_D_PRETX/1M", "FPR=2022Y", "FPT=A", "FA_ACT_EST_DATA=E, EST_SOURCE=OPY", "ACT_EST_MAPPING=PRECISE", "FS=MRC", "CURRENCY=USD", "XLFILL=b")</f>
        <v/>
      </c>
      <c r="W101" s="9" t="str">
        <f>_xll.BQL("CRM US Equity", "IS_SBC_ATTRIBUTABLE_TO_R_AND_D_PRETX/1M", "FPR=2022Y", "FPT=A", "FA_ACT_EST_DATA=E, EST_SOURCE=JPM", "ACT_EST_MAPPING=PRECISE", "FS=MRC", "CURRENCY=USD", "XLFILL=b")</f>
        <v/>
      </c>
      <c r="X101" s="9">
        <f>_xll.BQL("CRM US Equity", "IS_SBC_ATTRIBUTABLE_TO_R_AND_D_PRETX/1M", "FPR=2022Y", "FPT=A", "FA_ACT_EST_DATA=E, EST_SOURCE=FBC", "ACT_EST_MAPPING=PRECISE", "FS=MRC", "CURRENCY=USD", "XLFILL=b")</f>
        <v>845.22309999999993</v>
      </c>
      <c r="Y101" s="9" t="str">
        <f>_xll.BQL("CRM US Equity", "IS_SBC_ATTRIBUTABLE_TO_R_AND_D_PRETX/1M", "FPR=2022Y", "FPT=A", "FA_ACT_EST_DATA=E, EST_SOURCE=WMS", "ACT_EST_MAPPING=PRECISE", "FS=MRC", "CURRENCY=USD", "XLFILL=b")</f>
        <v/>
      </c>
      <c r="Z101" s="9">
        <f>_xll.BQL("CRM US Equity", "IS_SBC_ATTRIBUTABLE_TO_R_AND_D_PRETX/1M", "FPR=2022Y", "FPT=A", "FA_ACT_EST_DATA=E, EST_SOURCE=KEY", "ACT_EST_MAPPING=PRECISE", "FS=MRC", "CURRENCY=USD", "XLFILL=b")</f>
        <v>862.31724114242911</v>
      </c>
      <c r="AA101" s="9" t="str">
        <f>_xll.BQL("CRM US Equity", "IS_SBC_ATTRIBUTABLE_TO_R_AND_D_PRETX/1M", "FPR=2022Y", "FPT=A", "FA_ACT_EST_DATA=E, EST_SOURCE=LCM", "ACT_EST_MAPPING=PRECISE", "FS=MRC", "CURRENCY=USD", "XLFILL=b")</f>
        <v/>
      </c>
      <c r="AB101" s="9" t="str">
        <f>_xll.BQL("CRM US Equity", "IS_SBC_ATTRIBUTABLE_TO_R_AND_D_PRETX/1M", "FPR=2022Y", "FPT=A", "FA_ACT_EST_DATA=E, EST_SOURCE=CWN", "ACT_EST_MAPPING=PRECISE", "FS=MRC", "CURRENCY=USD", "XLFILL=b")</f>
        <v/>
      </c>
      <c r="AC101" s="9" t="str">
        <f>_xll.BQL("CRM US Equity", "IS_SBC_ATTRIBUTABLE_TO_R_AND_D_PRETX/1M", "FPR=2022Y", "FPT=A", "FA_ACT_EST_DATA=E, EST_SOURCE=BNS", "ACT_EST_MAPPING=PRECISE", "FS=MRC", "CURRENCY=USD", "XLFILL=b")</f>
        <v/>
      </c>
      <c r="AD101" s="9" t="str">
        <f>_xll.BQL("CRM US Equity", "IS_SBC_ATTRIBUTABLE_TO_R_AND_D_PRETX/1M", "FPR=2022Y", "FPT=A", "FA_ACT_EST_DATA=E, EST_SOURCE=BAM", "ACT_EST_MAPPING=PRECISE", "FS=MRC", "CURRENCY=USD", "XLFILL=b")</f>
        <v/>
      </c>
      <c r="AE101" s="9" t="str">
        <f>_xll.BQL("CRM US Equity", "IS_SBC_ATTRIBUTABLE_TO_R_AND_D_PRETX/1M", "FPR=2022Y", "FPT=A", "FA_ACT_EST_DATA=E, EST_SOURCE=RBC", "ACT_EST_MAPPING=PRECISE", "FS=MRC", "CURRENCY=USD", "XLFILL=b")</f>
        <v/>
      </c>
      <c r="AF101" s="9" t="str">
        <f>_xll.BQL("CRM US Equity", "IS_SBC_ATTRIBUTABLE_TO_R_AND_D_PRETX/1M", "FPR=2022Y", "FPT=A", "FA_ACT_EST_DATA=E, EST_SOURCE=UBS", "ACT_EST_MAPPING=PRECISE", "FS=MRC", "CURRENCY=USD", "XLFILL=b")</f>
        <v/>
      </c>
      <c r="AG101" s="9" t="str">
        <f>_xll.BQL("CRM US Equity", "IS_SBC_ATTRIBUTABLE_TO_R_AND_D_PRETX/1M", "FPR=2022Y", "FPT=A", "FA_ACT_EST_DATA=E, EST_SOURCE=RHR", "ACT_EST_MAPPING=PRECISE", "FS=MRC", "CURRENCY=USD", "XLFILL=b")</f>
        <v/>
      </c>
      <c r="AH101" s="9" t="str">
        <f>_xll.BQL("CRM US Equity", "IS_SBC_ATTRIBUTABLE_TO_R_AND_D_PRETX/1M", "FPR=2022Y", "FPT=A", "FA_ACT_EST_DATA=E, EST_SOURCE=JEF", "ACT_EST_MAPPING=PRECISE", "FS=MRC", "CURRENCY=USD", "XLFILL=b")</f>
        <v/>
      </c>
      <c r="AI101" s="9" t="str">
        <f>_xll.BQL("CRM US Equity", "IS_SBC_ATTRIBUTABLE_TO_R_AND_D_PRETX/1M", "FPR=2022Y", "FPT=A", "FA_ACT_EST_DATA=E, EST_SOURCE=ATL", "ACT_EST_MAPPING=PRECISE", "FS=MRC", "CURRENCY=USD", "XLFILL=b")</f>
        <v/>
      </c>
      <c r="AJ101" s="9" t="str">
        <f>_xll.BQL("CRM US Equity", "IS_SBC_ATTRIBUTABLE_TO_R_AND_D_PRETX/1M", "FPR=2022Y", "FPT=A", "FA_ACT_EST_DATA=E, EST_SOURCE=MAC", "ACT_EST_MAPPING=PRECISE", "FS=MRC", "CURRENCY=USD", "XLFILL=b")</f>
        <v/>
      </c>
      <c r="AK101" s="9" t="str">
        <f>_xll.BQL("CRM US Equity", "IS_SBC_ATTRIBUTABLE_TO_R_AND_D_PRETX/1M", "FPR=2022Y", "FPT=A", "FA_ACT_EST_DATA=E, EST_SOURCE=EVR", "ACT_EST_MAPPING=PRECISE", "FS=MRC", "CURRENCY=USD", "XLFILL=b")</f>
        <v/>
      </c>
      <c r="AL101" s="9" t="str">
        <f>_xll.BQL("CRM US Equity", "IS_SBC_ATTRIBUTABLE_TO_R_AND_D_PRETX/1M", "FPR=2022Y", "FPT=A", "FA_ACT_EST_DATA=E, EST_SOURCE=MSR", "ACT_EST_MAPPING=PRECISE", "FS=MRC", "CURRENCY=USD", "XLFILL=b")</f>
        <v/>
      </c>
      <c r="AM101" s="9" t="str">
        <f>_xll.BQL("CRM US Equity", "IS_SBC_ATTRIBUTABLE_TO_R_AND_D_PRETX/1M", "FPR=2022Y", "FPT=A", "FA_ACT_EST_DATA=E, EST_SOURCE=KGI", "ACT_EST_MAPPING=PRECISE", "FS=MRC", "CURRENCY=USD", "XLFILL=b")</f>
        <v/>
      </c>
      <c r="AN101" s="9" t="str">
        <f>_xll.BQL("CRM US Equity", "IS_SBC_ATTRIBUTABLE_TO_R_AND_D_PRETX/1M", "FPR=2022Y", "FPT=A", "FA_ACT_EST_DATA=E, EST_SOURCE=ACC", "ACT_EST_MAPPING=PRECISE", "FS=MRC", "CURRENCY=USD", "XLFILL=b")</f>
        <v/>
      </c>
      <c r="AO101" s="9" t="str">
        <f>_xll.BQL("CRM US Equity", "IS_SBC_ATTRIBUTABLE_TO_R_AND_D_PRETX/1M", "FPR=2022Y", "FPT=A", "FA_ACT_EST_DATA=E, EST_SOURCE=GSR", "ACT_EST_MAPPING=PRECISE", "FS=MRC", "CURRENCY=USD", "XLFILL=b")</f>
        <v/>
      </c>
      <c r="AP101" s="9" t="str">
        <f>_xll.BQL("CRM US Equity", "IS_SBC_ATTRIBUTABLE_TO_R_AND_D_PRETX/1M", "FPR=2022Y", "FPT=A", "FA_ACT_EST_DATA=E, EST_SOURCE=PSG", "ACT_EST_MAPPING=PRECISE", "FS=MRC", "CURRENCY=USD", "XLFILL=b")</f>
        <v/>
      </c>
      <c r="AQ101" s="9" t="str">
        <f>_xll.BQL("CRM US Equity", "IS_SBC_ATTRIBUTABLE_TO_R_AND_D_PRETX/1M", "FPR=2022Y", "FPT=A", "FA_ACT_EST_DATA=E, EST_SOURCE=DWI", "ACT_EST_MAPPING=PRECISE", "FS=MRC", "CURRENCY=USD", "XLFILL=b")</f>
        <v/>
      </c>
      <c r="AR101" s="9" t="str">
        <f>_xll.BQL("CRM US Equity", "IS_SBC_ATTRIBUTABLE_TO_R_AND_D_PRETX/1M", "FPR=2022Y", "FPT=A", "FA_ACT_EST_DATA=E, EST_SOURCE=RWB", "ACT_EST_MAPPING=PRECISE", "FS=MRC", "CURRENCY=USD", "XLFILL=b")</f>
        <v/>
      </c>
      <c r="AS101" s="9" t="str">
        <f>_xll.BQL("CRM US Equity", "IS_SBC_ATTRIBUTABLE_TO_R_AND_D_PRETX/1M", "FPR=2022Y", "FPT=A", "FA_ACT_EST_DATA=E, EST_SOURCE=ARG", "ACT_EST_MAPPING=PRECISE", "FS=MRC", "CURRENCY=USD", "XLFILL=b")</f>
        <v/>
      </c>
      <c r="AT101" s="9" t="str">
        <f>_xll.BQL("CRM US Equity", "IS_SBC_ATTRIBUTABLE_TO_R_AND_D_PRETX/1M", "FPR=2022Y", "FPT=A", "FA_ACT_EST_DATA=E, EST_SOURCE=CTI", "ACT_EST_MAPPING=PRECISE", "FS=MRC", "CURRENCY=USD", "XLFILL=b")</f>
        <v/>
      </c>
      <c r="AU101" s="9" t="str">
        <f>_xll.BQL("CRM US Equity", "IS_SBC_ATTRIBUTABLE_TO_R_AND_D_PRETX/1M", "FPR=2022Y", "FPT=A", "FA_ACT_EST_DATA=E, EST_SOURCE=WFT", "ACT_EST_MAPPING=PRECISE", "FS=MRC", "CURRENCY=USD", "XLFILL=b")</f>
        <v/>
      </c>
      <c r="AV101" s="9" t="str">
        <f>_xll.BQL("CRM US Equity", "IS_SBC_ATTRIBUTABLE_TO_R_AND_D_PRETX/1M", "FPR=2022Y", "FPT=A", "FA_ACT_EST_DATA=E, EST_SOURCE=PJE", "ACT_EST_MAPPING=PRECISE", "FS=MRC", "CURRENCY=USD", "XLFILL=b")</f>
        <v/>
      </c>
      <c r="AW101" s="9" t="str">
        <f>_xll.BQL("CRM US Equity", "IS_SBC_ATTRIBUTABLE_TO_R_AND_D_PRETX/1M", "FPR=2022Y", "FPT=A", "FA_ACT_EST_DATA=E, EST_SOURCE=SGE", "ACT_EST_MAPPING=PRECISE", "FS=MRC", "CURRENCY=USD", "XLFILL=b")</f>
        <v/>
      </c>
      <c r="AX101" s="9" t="str">
        <f>_xll.BQL("CRM US Equity", "IS_SBC_ATTRIBUTABLE_TO_R_AND_D_PRETX/1M", "FPR=2022Y", "FPT=A", "FA_ACT_EST_DATA=E, EST_SOURCE=MZS", "ACT_EST_MAPPING=PRECISE", "FS=MRC", "CURRENCY=USD", "XLFILL=b")</f>
        <v/>
      </c>
      <c r="AY101" s="9" t="str">
        <f>_xll.BQL("CRM US Equity", "IS_SBC_ATTRIBUTABLE_TO_R_AND_D_PRETX/1M", "FPR=2022Y", "FPT=A", "FA_ACT_EST_DATA=E, EST_SOURCE=RCP", "ACT_EST_MAPPING=PRECISE", "FS=MRC", "CURRENCY=USD", "XLFILL=b")</f>
        <v/>
      </c>
      <c r="AZ101" s="9" t="str">
        <f>_xll.BQL("CRM US Equity", "IS_SBC_ATTRIBUTABLE_TO_R_AND_D_PRETX/1M", "FPR=2022Y", "FPT=A", "FA_ACT_EST_DATA=E, EST_SOURCE=WFR", "ACT_EST_MAPPING=PRECISE", "FS=MRC", "CURRENCY=USD", "XLFILL=b")</f>
        <v/>
      </c>
      <c r="BA101" s="9" t="str">
        <f>_xll.BQL("CRM US Equity", "IS_SBC_ATTRIBUTABLE_TO_R_AND_D_PRETX/1M", "FPR=2022Y", "FPT=A", "FA_ACT_EST_DATA=E, EST_SOURCE=NIK", "ACT_EST_MAPPING=PRECISE", "FS=MRC", "CURRENCY=USD", "XLFILL=b")</f>
        <v/>
      </c>
      <c r="BB101" s="9" t="str">
        <f>_xll.BQL("CRM US Equity", "IS_SBC_ATTRIBUTABLE_TO_R_AND_D_PRETX/1M", "FPR=2022Y", "FPT=A", "FA_ACT_EST_DATA=E, EST_SOURCE=ARE", "ACT_EST_MAPPING=PRECISE", "FS=MRC", "CURRENCY=USD", "XLFILL=b")</f>
        <v/>
      </c>
      <c r="BC101" s="9" t="str">
        <f>_xll.BQL("CRM US Equity", "IS_SBC_ATTRIBUTABLE_TO_R_AND_D_PRETX/1M", "FPR=2022Y", "FPT=A", "FA_ACT_EST_DATA=E, EST_SOURCE=RED", "ACT_EST_MAPPING=PRECISE", "FS=MRC", "CURRENCY=USD", "XLFILL=b")</f>
        <v/>
      </c>
      <c r="BD101" s="9" t="str">
        <f>_xll.BQL("CRM US Equity", "IS_SBC_ATTRIBUTABLE_TO_R_AND_D_PRETX/1M", "FPR=2022Y", "FPT=A", "FA_ACT_EST_DATA=E, EST_SOURCE=DIR", "ACT_EST_MAPPING=PRECISE", "FS=MRC", "CURRENCY=USD", "XLFILL=b")</f>
        <v/>
      </c>
    </row>
    <row r="102" spans="1:56" x14ac:dyDescent="0.55000000000000004">
      <c r="A102" s="8" t="s">
        <v>144</v>
      </c>
      <c r="B102" s="5" t="s">
        <v>180</v>
      </c>
      <c r="C102" s="5" t="s">
        <v>146</v>
      </c>
      <c r="D102" s="5"/>
      <c r="E102" s="9">
        <f>_xll.BQL("CRM US Equity", "IS_SBC_ATT_TO_S_AND_M_PRETX/1M", "FPR=2022Y", "FPT=A", "FA_ACT_EST_DATA=E", "ACT_EST_MAPPING=PRECISE", "FS=MRC", "CURRENCY=USD", "XLFILL=b")</f>
        <v>1140.400329860342</v>
      </c>
      <c r="F102" s="9">
        <f>_xll.BQL("CRM US Equity", "CONTRIBUTOR_STATS(IS_SBC_ATT_TO_S_AND_M_PRETX, MIN)/1M", "FPR=2022Y", "FPT=A", "FA_ACT_EST_DATA=E", "ACT_EST_MAPPING=PRECISE", "FS=MRC", "CURRENCY=USD", "XLFILL=b")</f>
        <v>1112</v>
      </c>
      <c r="G102" s="9">
        <f>_xll.BQL("CRM US Equity", "CONTRIBUTOR_STATS(IS_SBC_ATT_TO_S_AND_M_PRETX, MAX)/1M", "FPR=2022Y", "FPT=A", "FA_ACT_EST_DATA=E", "ACT_EST_MAPPING=PRECISE", "FS=MRC", "CURRENCY=USD", "XLFILL=b")</f>
        <v>1213.9026175773201</v>
      </c>
      <c r="H102" s="9">
        <f>_xll.BQL("CRM US Equity", "CONTRIBUTOR_STATS(IS_SBC_ATT_TO_S_AND_M_PRETX, STD)/1M", "FPR=2022Y", "FPT=A", "FA_ACT_EST_DATA=E", "ACT_EST_MAPPING=PRECISE", "FS=MRC", "CURRENCY=USD", "XLFILL=b")</f>
        <v>34.890030187521042</v>
      </c>
      <c r="I102" s="9">
        <f>_xll.BQL("CRM US Equity", "CONTRIBUTOR_STATS(IS_SBC_ATT_TO_S_AND_M_PRETX, MEDIAN)/1M", "FPR=2022Y", "FPT=A", "FA_ACT_EST_DATA=E", "ACT_EST_MAPPING=PRECISE", "FS=MRC", "CURRENCY=USD", "XLFILL=b")</f>
        <v>1126.7484378325119</v>
      </c>
      <c r="J102" s="9" t="str">
        <f>_xll.BQL("CRM US Equity", "IS_SBC_ATT_TO_S_AND_M_PRETX/1M", "FPR=2022Y", "FPT=A", "FA_ACT_EST_DATA=E, EST_SOURCE=CMPY", "ACT_EST_MAPPING=PRECISE", "FS=MRC", "CURRENCY=USD", "XLFILL=b")</f>
        <v/>
      </c>
      <c r="K102" s="9" t="str">
        <f>_xll.BQL("CRM US Equity", "IS_SBC_ATT_TO_S_AND_M_PRETX/1M", "FPR=2022Y", "FPT=A", "FA_ACT_EST_DATA=E, EST_SOURCE=WBL", "ACT_EST_MAPPING=PRECISE", "FS=MRC", "CURRENCY=USD", "XLFILL=b")</f>
        <v/>
      </c>
      <c r="L102" s="9" t="str">
        <f>_xll.BQL("CRM US Equity", "IS_SBC_ATT_TO_S_AND_M_PRETX/1M", "FPR=2022Y", "FPT=A", "FA_ACT_EST_DATA=E, EST_SOURCE=BMO", "ACT_EST_MAPPING=PRECISE", "FS=MRC", "CURRENCY=USD", "XLFILL=b")</f>
        <v/>
      </c>
      <c r="M102" s="9">
        <f>_xll.BQL("CRM US Equity", "IS_SBC_ATT_TO_S_AND_M_PRETX/1M", "FPR=2022Y", "FPT=A", "FA_ACT_EST_DATA=E, EST_SOURCE=BCA", "ACT_EST_MAPPING=PRECISE", "FS=MRC", "CURRENCY=USD", "XLFILL=b")</f>
        <v>1127</v>
      </c>
      <c r="N102" s="9" t="str">
        <f>_xll.BQL("CRM US Equity", "IS_SBC_ATT_TO_S_AND_M_PRETX/1M", "FPR=2022Y", "FPT=A", "FA_ACT_EST_DATA=E, EST_SOURCE=SNR", "ACT_EST_MAPPING=PRECISE", "FS=MRC", "CURRENCY=USD", "XLFILL=b")</f>
        <v/>
      </c>
      <c r="O102" s="9">
        <f>_xll.BQL("CRM US Equity", "IS_SBC_ATT_TO_S_AND_M_PRETX/1M", "FPR=2022Y", "FPT=A", "FA_ACT_EST_DATA=E, EST_SOURCE=MSV", "ACT_EST_MAPPING=PRECISE", "FS=MRC", "CURRENCY=USD", "XLFILL=b")</f>
        <v>731.29252543067673</v>
      </c>
      <c r="P102" s="9">
        <f>_xll.BQL("CRM US Equity", "IS_SBC_ATT_TO_S_AND_M_PRETX/1M", "FPR=2022Y", "FPT=A", "FA_ACT_EST_DATA=E, EST_SOURCE=DBG", "ACT_EST_MAPPING=PRECISE", "FS=MRC", "CURRENCY=USD", "XLFILL=b")</f>
        <v>1133</v>
      </c>
      <c r="Q102" s="9" t="str">
        <f>_xll.BQL("CRM US Equity", "IS_SBC_ATT_TO_S_AND_M_PRETX/1M", "FPR=2022Y", "FPT=A", "FA_ACT_EST_DATA=E, EST_SOURCE=NDH", "ACT_EST_MAPPING=PRECISE", "FS=MRC", "CURRENCY=USD", "XLFILL=b")</f>
        <v/>
      </c>
      <c r="R102" s="9" t="str">
        <f>_xll.BQL("CRM US Equity", "IS_SBC_ATT_TO_S_AND_M_PRETX/1M", "FPR=2022Y", "FPT=A", "FA_ACT_EST_DATA=E, EST_SOURCE=CAN", "ACT_EST_MAPPING=PRECISE", "FS=MRC", "CURRENCY=USD", "XLFILL=b")</f>
        <v/>
      </c>
      <c r="S102" s="9" t="str">
        <f>_xll.BQL("CRM US Equity", "IS_SBC_ATT_TO_S_AND_M_PRETX/1M", "FPR=2022Y", "FPT=A", "FA_ACT_EST_DATA=E, EST_SOURCE=SCB", "ACT_EST_MAPPING=PRECISE", "FS=MRC", "CURRENCY=USD", "XLFILL=b")</f>
        <v/>
      </c>
      <c r="T102" s="9">
        <f>_xll.BQL("CRM US Equity", "IS_SBC_ATT_TO_S_AND_M_PRETX/1M", "FPR=2022Y", "FPT=A", "FA_ACT_EST_DATA=E, EST_SOURCE=JMP", "ACT_EST_MAPPING=PRECISE", "FS=MRC", "CURRENCY=USD", "XLFILL=b")</f>
        <v>1112</v>
      </c>
      <c r="U102" s="9" t="str">
        <f>_xll.BQL("CRM US Equity", "IS_SBC_ATT_TO_S_AND_M_PRETX/1M", "FPR=2022Y", "FPT=A", "FA_ACT_EST_DATA=E, EST_SOURCE=RJA", "ACT_EST_MAPPING=PRECISE", "FS=MRC", "CURRENCY=USD", "XLFILL=b")</f>
        <v/>
      </c>
      <c r="V102" s="9" t="str">
        <f>_xll.BQL("CRM US Equity", "IS_SBC_ATT_TO_S_AND_M_PRETX/1M", "FPR=2022Y", "FPT=A", "FA_ACT_EST_DATA=E, EST_SOURCE=OPY", "ACT_EST_MAPPING=PRECISE", "FS=MRC", "CURRENCY=USD", "XLFILL=b")</f>
        <v/>
      </c>
      <c r="W102" s="9" t="str">
        <f>_xll.BQL("CRM US Equity", "IS_SBC_ATT_TO_S_AND_M_PRETX/1M", "FPR=2022Y", "FPT=A", "FA_ACT_EST_DATA=E, EST_SOURCE=JPM", "ACT_EST_MAPPING=PRECISE", "FS=MRC", "CURRENCY=USD", "XLFILL=b")</f>
        <v/>
      </c>
      <c r="X102" s="9">
        <f>_xll.BQL("CRM US Equity", "IS_SBC_ATT_TO_S_AND_M_PRETX/1M", "FPR=2022Y", "FPT=A", "FA_ACT_EST_DATA=E, EST_SOURCE=FBC", "ACT_EST_MAPPING=PRECISE", "FS=MRC", "CURRENCY=USD", "XLFILL=b")</f>
        <v>1135.4349</v>
      </c>
      <c r="Y102" s="9" t="str">
        <f>_xll.BQL("CRM US Equity", "IS_SBC_ATT_TO_S_AND_M_PRETX/1M", "FPR=2022Y", "FPT=A", "FA_ACT_EST_DATA=E, EST_SOURCE=WMS", "ACT_EST_MAPPING=PRECISE", "FS=MRC", "CURRENCY=USD", "XLFILL=b")</f>
        <v/>
      </c>
      <c r="Z102" s="9">
        <f>_xll.BQL("CRM US Equity", "IS_SBC_ATT_TO_S_AND_M_PRETX/1M", "FPR=2022Y", "FPT=A", "FA_ACT_EST_DATA=E, EST_SOURCE=KEY", "ACT_EST_MAPPING=PRECISE", "FS=MRC", "CURRENCY=USD", "XLFILL=b")</f>
        <v>1158.256012286593</v>
      </c>
      <c r="AA102" s="9" t="str">
        <f>_xll.BQL("CRM US Equity", "IS_SBC_ATT_TO_S_AND_M_PRETX/1M", "FPR=2022Y", "FPT=A", "FA_ACT_EST_DATA=E, EST_SOURCE=LCM", "ACT_EST_MAPPING=PRECISE", "FS=MRC", "CURRENCY=USD", "XLFILL=b")</f>
        <v/>
      </c>
      <c r="AB102" s="9" t="str">
        <f>_xll.BQL("CRM US Equity", "IS_SBC_ATT_TO_S_AND_M_PRETX/1M", "FPR=2022Y", "FPT=A", "FA_ACT_EST_DATA=E, EST_SOURCE=CWN", "ACT_EST_MAPPING=PRECISE", "FS=MRC", "CURRENCY=USD", "XLFILL=b")</f>
        <v/>
      </c>
      <c r="AC102" s="9" t="str">
        <f>_xll.BQL("CRM US Equity", "IS_SBC_ATT_TO_S_AND_M_PRETX/1M", "FPR=2022Y", "FPT=A", "FA_ACT_EST_DATA=E, EST_SOURCE=BNS", "ACT_EST_MAPPING=PRECISE", "FS=MRC", "CURRENCY=USD", "XLFILL=b")</f>
        <v/>
      </c>
      <c r="AD102" s="9" t="str">
        <f>_xll.BQL("CRM US Equity", "IS_SBC_ATT_TO_S_AND_M_PRETX/1M", "FPR=2022Y", "FPT=A", "FA_ACT_EST_DATA=E, EST_SOURCE=BAM", "ACT_EST_MAPPING=PRECISE", "FS=MRC", "CURRENCY=USD", "XLFILL=b")</f>
        <v/>
      </c>
      <c r="AE102" s="9" t="str">
        <f>_xll.BQL("CRM US Equity", "IS_SBC_ATT_TO_S_AND_M_PRETX/1M", "FPR=2022Y", "FPT=A", "FA_ACT_EST_DATA=E, EST_SOURCE=RBC", "ACT_EST_MAPPING=PRECISE", "FS=MRC", "CURRENCY=USD", "XLFILL=b")</f>
        <v/>
      </c>
      <c r="AF102" s="9" t="str">
        <f>_xll.BQL("CRM US Equity", "IS_SBC_ATT_TO_S_AND_M_PRETX/1M", "FPR=2022Y", "FPT=A", "FA_ACT_EST_DATA=E, EST_SOURCE=UBS", "ACT_EST_MAPPING=PRECISE", "FS=MRC", "CURRENCY=USD", "XLFILL=b")</f>
        <v/>
      </c>
      <c r="AG102" s="9" t="str">
        <f>_xll.BQL("CRM US Equity", "IS_SBC_ATT_TO_S_AND_M_PRETX/1M", "FPR=2022Y", "FPT=A", "FA_ACT_EST_DATA=E, EST_SOURCE=RHR", "ACT_EST_MAPPING=PRECISE", "FS=MRC", "CURRENCY=USD", "XLFILL=b")</f>
        <v/>
      </c>
      <c r="AH102" s="9" t="str">
        <f>_xll.BQL("CRM US Equity", "IS_SBC_ATT_TO_S_AND_M_PRETX/1M", "FPR=2022Y", "FPT=A", "FA_ACT_EST_DATA=E, EST_SOURCE=JEF", "ACT_EST_MAPPING=PRECISE", "FS=MRC", "CURRENCY=USD", "XLFILL=b")</f>
        <v/>
      </c>
      <c r="AI102" s="9" t="str">
        <f>_xll.BQL("CRM US Equity", "IS_SBC_ATT_TO_S_AND_M_PRETX/1M", "FPR=2022Y", "FPT=A", "FA_ACT_EST_DATA=E, EST_SOURCE=ATL", "ACT_EST_MAPPING=PRECISE", "FS=MRC", "CURRENCY=USD", "XLFILL=b")</f>
        <v/>
      </c>
      <c r="AJ102" s="9" t="str">
        <f>_xll.BQL("CRM US Equity", "IS_SBC_ATT_TO_S_AND_M_PRETX/1M", "FPR=2022Y", "FPT=A", "FA_ACT_EST_DATA=E, EST_SOURCE=MAC", "ACT_EST_MAPPING=PRECISE", "FS=MRC", "CURRENCY=USD", "XLFILL=b")</f>
        <v/>
      </c>
      <c r="AK102" s="9" t="str">
        <f>_xll.BQL("CRM US Equity", "IS_SBC_ATT_TO_S_AND_M_PRETX/1M", "FPR=2022Y", "FPT=A", "FA_ACT_EST_DATA=E, EST_SOURCE=EVR", "ACT_EST_MAPPING=PRECISE", "FS=MRC", "CURRENCY=USD", "XLFILL=b")</f>
        <v/>
      </c>
      <c r="AL102" s="9" t="str">
        <f>_xll.BQL("CRM US Equity", "IS_SBC_ATT_TO_S_AND_M_PRETX/1M", "FPR=2022Y", "FPT=A", "FA_ACT_EST_DATA=E, EST_SOURCE=MSR", "ACT_EST_MAPPING=PRECISE", "FS=MRC", "CURRENCY=USD", "XLFILL=b")</f>
        <v/>
      </c>
      <c r="AM102" s="9" t="str">
        <f>_xll.BQL("CRM US Equity", "IS_SBC_ATT_TO_S_AND_M_PRETX/1M", "FPR=2022Y", "FPT=A", "FA_ACT_EST_DATA=E, EST_SOURCE=KGI", "ACT_EST_MAPPING=PRECISE", "FS=MRC", "CURRENCY=USD", "XLFILL=b")</f>
        <v/>
      </c>
      <c r="AN102" s="9" t="str">
        <f>_xll.BQL("CRM US Equity", "IS_SBC_ATT_TO_S_AND_M_PRETX/1M", "FPR=2022Y", "FPT=A", "FA_ACT_EST_DATA=E, EST_SOURCE=ACC", "ACT_EST_MAPPING=PRECISE", "FS=MRC", "CURRENCY=USD", "XLFILL=b")</f>
        <v/>
      </c>
      <c r="AO102" s="9" t="str">
        <f>_xll.BQL("CRM US Equity", "IS_SBC_ATT_TO_S_AND_M_PRETX/1M", "FPR=2022Y", "FPT=A", "FA_ACT_EST_DATA=E, EST_SOURCE=GSR", "ACT_EST_MAPPING=PRECISE", "FS=MRC", "CURRENCY=USD", "XLFILL=b")</f>
        <v/>
      </c>
      <c r="AP102" s="9" t="str">
        <f>_xll.BQL("CRM US Equity", "IS_SBC_ATT_TO_S_AND_M_PRETX/1M", "FPR=2022Y", "FPT=A", "FA_ACT_EST_DATA=E, EST_SOURCE=PSG", "ACT_EST_MAPPING=PRECISE", "FS=MRC", "CURRENCY=USD", "XLFILL=b")</f>
        <v/>
      </c>
      <c r="AQ102" s="9" t="str">
        <f>_xll.BQL("CRM US Equity", "IS_SBC_ATT_TO_S_AND_M_PRETX/1M", "FPR=2022Y", "FPT=A", "FA_ACT_EST_DATA=E, EST_SOURCE=DWI", "ACT_EST_MAPPING=PRECISE", "FS=MRC", "CURRENCY=USD", "XLFILL=b")</f>
        <v/>
      </c>
      <c r="AR102" s="9" t="str">
        <f>_xll.BQL("CRM US Equity", "IS_SBC_ATT_TO_S_AND_M_PRETX/1M", "FPR=2022Y", "FPT=A", "FA_ACT_EST_DATA=E, EST_SOURCE=RWB", "ACT_EST_MAPPING=PRECISE", "FS=MRC", "CURRENCY=USD", "XLFILL=b")</f>
        <v/>
      </c>
      <c r="AS102" s="9" t="str">
        <f>_xll.BQL("CRM US Equity", "IS_SBC_ATT_TO_S_AND_M_PRETX/1M", "FPR=2022Y", "FPT=A", "FA_ACT_EST_DATA=E, EST_SOURCE=ARG", "ACT_EST_MAPPING=PRECISE", "FS=MRC", "CURRENCY=USD", "XLFILL=b")</f>
        <v/>
      </c>
      <c r="AT102" s="9" t="str">
        <f>_xll.BQL("CRM US Equity", "IS_SBC_ATT_TO_S_AND_M_PRETX/1M", "FPR=2022Y", "FPT=A", "FA_ACT_EST_DATA=E, EST_SOURCE=CTI", "ACT_EST_MAPPING=PRECISE", "FS=MRC", "CURRENCY=USD", "XLFILL=b")</f>
        <v/>
      </c>
      <c r="AU102" s="9" t="str">
        <f>_xll.BQL("CRM US Equity", "IS_SBC_ATT_TO_S_AND_M_PRETX/1M", "FPR=2022Y", "FPT=A", "FA_ACT_EST_DATA=E, EST_SOURCE=WFT", "ACT_EST_MAPPING=PRECISE", "FS=MRC", "CURRENCY=USD", "XLFILL=b")</f>
        <v/>
      </c>
      <c r="AV102" s="9" t="str">
        <f>_xll.BQL("CRM US Equity", "IS_SBC_ATT_TO_S_AND_M_PRETX/1M", "FPR=2022Y", "FPT=A", "FA_ACT_EST_DATA=E, EST_SOURCE=PJE", "ACT_EST_MAPPING=PRECISE", "FS=MRC", "CURRENCY=USD", "XLFILL=b")</f>
        <v/>
      </c>
      <c r="AW102" s="9" t="str">
        <f>_xll.BQL("CRM US Equity", "IS_SBC_ATT_TO_S_AND_M_PRETX/1M", "FPR=2022Y", "FPT=A", "FA_ACT_EST_DATA=E, EST_SOURCE=SGE", "ACT_EST_MAPPING=PRECISE", "FS=MRC", "CURRENCY=USD", "XLFILL=b")</f>
        <v/>
      </c>
      <c r="AX102" s="9" t="str">
        <f>_xll.BQL("CRM US Equity", "IS_SBC_ATT_TO_S_AND_M_PRETX/1M", "FPR=2022Y", "FPT=A", "FA_ACT_EST_DATA=E, EST_SOURCE=MZS", "ACT_EST_MAPPING=PRECISE", "FS=MRC", "CURRENCY=USD", "XLFILL=b")</f>
        <v/>
      </c>
      <c r="AY102" s="9" t="str">
        <f>_xll.BQL("CRM US Equity", "IS_SBC_ATT_TO_S_AND_M_PRETX/1M", "FPR=2022Y", "FPT=A", "FA_ACT_EST_DATA=E, EST_SOURCE=RCP", "ACT_EST_MAPPING=PRECISE", "FS=MRC", "CURRENCY=USD", "XLFILL=b")</f>
        <v/>
      </c>
      <c r="AZ102" s="9" t="str">
        <f>_xll.BQL("CRM US Equity", "IS_SBC_ATT_TO_S_AND_M_PRETX/1M", "FPR=2022Y", "FPT=A", "FA_ACT_EST_DATA=E, EST_SOURCE=WFR", "ACT_EST_MAPPING=PRECISE", "FS=MRC", "CURRENCY=USD", "XLFILL=b")</f>
        <v/>
      </c>
      <c r="BA102" s="9" t="str">
        <f>_xll.BQL("CRM US Equity", "IS_SBC_ATT_TO_S_AND_M_PRETX/1M", "FPR=2022Y", "FPT=A", "FA_ACT_EST_DATA=E, EST_SOURCE=NIK", "ACT_EST_MAPPING=PRECISE", "FS=MRC", "CURRENCY=USD", "XLFILL=b")</f>
        <v/>
      </c>
      <c r="BB102" s="9" t="str">
        <f>_xll.BQL("CRM US Equity", "IS_SBC_ATT_TO_S_AND_M_PRETX/1M", "FPR=2022Y", "FPT=A", "FA_ACT_EST_DATA=E, EST_SOURCE=ARE", "ACT_EST_MAPPING=PRECISE", "FS=MRC", "CURRENCY=USD", "XLFILL=b")</f>
        <v/>
      </c>
      <c r="BC102" s="9" t="str">
        <f>_xll.BQL("CRM US Equity", "IS_SBC_ATT_TO_S_AND_M_PRETX/1M", "FPR=2022Y", "FPT=A", "FA_ACT_EST_DATA=E, EST_SOURCE=RED", "ACT_EST_MAPPING=PRECISE", "FS=MRC", "CURRENCY=USD", "XLFILL=b")</f>
        <v/>
      </c>
      <c r="BD102" s="9" t="str">
        <f>_xll.BQL("CRM US Equity", "IS_SBC_ATT_TO_S_AND_M_PRETX/1M", "FPR=2022Y", "FPT=A", "FA_ACT_EST_DATA=E, EST_SOURCE=DIR", "ACT_EST_MAPPING=PRECISE", "FS=MRC", "CURRENCY=USD", "XLFILL=b")</f>
        <v/>
      </c>
    </row>
    <row r="103" spans="1:56" x14ac:dyDescent="0.55000000000000004">
      <c r="A103" s="8" t="s">
        <v>147</v>
      </c>
      <c r="B103" s="5" t="s">
        <v>181</v>
      </c>
      <c r="C103" s="5" t="s">
        <v>149</v>
      </c>
      <c r="D103" s="5"/>
      <c r="E103" s="9">
        <f>_xll.BQL("CRM US Equity", "IS_SBC_ATT_TO_GENL_AND_ADMIN_PRETX/1M", "FPR=2022Y", "FPT=A", "FA_ACT_EST_DATA=E", "ACT_EST_MAPPING=PRECISE", "FS=MRC", "CURRENCY=USD", "XLFILL=b")</f>
        <v>383.00121990610404</v>
      </c>
      <c r="F103" s="9">
        <f>_xll.BQL("CRM US Equity", "CONTRIBUTOR_STATS(IS_SBC_ATT_TO_GENL_AND_ADMIN_PRETX, MIN)/1M", "FPR=2022Y", "FPT=A", "FA_ACT_EST_DATA=E", "ACT_EST_MAPPING=PRECISE", "FS=MRC", "CURRENCY=USD", "XLFILL=b")</f>
        <v>362.75184819587628</v>
      </c>
      <c r="G103" s="9">
        <f>_xll.BQL("CRM US Equity", "CONTRIBUTOR_STATS(IS_SBC_ATT_TO_GENL_AND_ADMIN_PRETX, MAX)/1M", "FPR=2022Y", "FPT=A", "FA_ACT_EST_DATA=E", "ACT_EST_MAPPING=PRECISE", "FS=MRC", "CURRENCY=USD", "XLFILL=b")</f>
        <v>398</v>
      </c>
      <c r="H103" s="9">
        <f>_xll.BQL("CRM US Equity", "CONTRIBUTOR_STATS(IS_SBC_ATT_TO_GENL_AND_ADMIN_PRETX, STD)/1M", "FPR=2022Y", "FPT=A", "FA_ACT_EST_DATA=E", "ACT_EST_MAPPING=PRECISE", "FS=MRC", "CURRENCY=USD", "XLFILL=b")</f>
        <v>10.8546789410144</v>
      </c>
      <c r="I103" s="9">
        <f>_xll.BQL("CRM US Equity", "CONTRIBUTOR_STATS(IS_SBC_ATT_TO_GENL_AND_ADMIN_PRETX, MEDIAN)/1M", "FPR=2022Y", "FPT=A", "FA_ACT_EST_DATA=E", "ACT_EST_MAPPING=PRECISE", "FS=MRC", "CURRENCY=USD", "XLFILL=b")</f>
        <v>386.01817552647782</v>
      </c>
      <c r="J103" s="9" t="str">
        <f>_xll.BQL("CRM US Equity", "IS_SBC_ATT_TO_GENL_AND_ADMIN_PRETX/1M", "FPR=2022Y", "FPT=A", "FA_ACT_EST_DATA=E, EST_SOURCE=CMPY", "ACT_EST_MAPPING=PRECISE", "FS=MRC", "CURRENCY=USD", "XLFILL=b")</f>
        <v/>
      </c>
      <c r="K103" s="9" t="str">
        <f>_xll.BQL("CRM US Equity", "IS_SBC_ATT_TO_GENL_AND_ADMIN_PRETX/1M", "FPR=2022Y", "FPT=A", "FA_ACT_EST_DATA=E, EST_SOURCE=WBL", "ACT_EST_MAPPING=PRECISE", "FS=MRC", "CURRENCY=USD", "XLFILL=b")</f>
        <v/>
      </c>
      <c r="L103" s="9" t="str">
        <f>_xll.BQL("CRM US Equity", "IS_SBC_ATT_TO_GENL_AND_ADMIN_PRETX/1M", "FPR=2022Y", "FPT=A", "FA_ACT_EST_DATA=E, EST_SOURCE=BMO", "ACT_EST_MAPPING=PRECISE", "FS=MRC", "CURRENCY=USD", "XLFILL=b")</f>
        <v/>
      </c>
      <c r="M103" s="9">
        <f>_xll.BQL("CRM US Equity", "IS_SBC_ATT_TO_GENL_AND_ADMIN_PRETX/1M", "FPR=2022Y", "FPT=A", "FA_ACT_EST_DATA=E, EST_SOURCE=BCA", "ACT_EST_MAPPING=PRECISE", "FS=MRC", "CURRENCY=USD", "XLFILL=b")</f>
        <v>388</v>
      </c>
      <c r="N103" s="9" t="str">
        <f>_xll.BQL("CRM US Equity", "IS_SBC_ATT_TO_GENL_AND_ADMIN_PRETX/1M", "FPR=2022Y", "FPT=A", "FA_ACT_EST_DATA=E, EST_SOURCE=SNR", "ACT_EST_MAPPING=PRECISE", "FS=MRC", "CURRENCY=USD", "XLFILL=b")</f>
        <v/>
      </c>
      <c r="O103" s="9">
        <f>_xll.BQL("CRM US Equity", "IS_SBC_ATT_TO_GENL_AND_ADMIN_PRETX/1M", "FPR=2022Y", "FPT=A", "FA_ACT_EST_DATA=E, EST_SOURCE=MSV", "ACT_EST_MAPPING=PRECISE", "FS=MRC", "CURRENCY=USD", "XLFILL=b")</f>
        <v>233.77578383031471</v>
      </c>
      <c r="P103" s="9">
        <f>_xll.BQL("CRM US Equity", "IS_SBC_ATT_TO_GENL_AND_ADMIN_PRETX/1M", "FPR=2022Y", "FPT=A", "FA_ACT_EST_DATA=E, EST_SOURCE=DBG", "ACT_EST_MAPPING=PRECISE", "FS=MRC", "CURRENCY=USD", "XLFILL=b")</f>
        <v>390</v>
      </c>
      <c r="Q103" s="9" t="str">
        <f>_xll.BQL("CRM US Equity", "IS_SBC_ATT_TO_GENL_AND_ADMIN_PRETX/1M", "FPR=2022Y", "FPT=A", "FA_ACT_EST_DATA=E, EST_SOURCE=NDH", "ACT_EST_MAPPING=PRECISE", "FS=MRC", "CURRENCY=USD", "XLFILL=b")</f>
        <v/>
      </c>
      <c r="R103" s="9" t="str">
        <f>_xll.BQL("CRM US Equity", "IS_SBC_ATT_TO_GENL_AND_ADMIN_PRETX/1M", "FPR=2022Y", "FPT=A", "FA_ACT_EST_DATA=E, EST_SOURCE=CAN", "ACT_EST_MAPPING=PRECISE", "FS=MRC", "CURRENCY=USD", "XLFILL=b")</f>
        <v/>
      </c>
      <c r="S103" s="9" t="str">
        <f>_xll.BQL("CRM US Equity", "IS_SBC_ATT_TO_GENL_AND_ADMIN_PRETX/1M", "FPR=2022Y", "FPT=A", "FA_ACT_EST_DATA=E, EST_SOURCE=SCB", "ACT_EST_MAPPING=PRECISE", "FS=MRC", "CURRENCY=USD", "XLFILL=b")</f>
        <v/>
      </c>
      <c r="T103" s="9">
        <f>_xll.BQL("CRM US Equity", "IS_SBC_ATT_TO_GENL_AND_ADMIN_PRETX/1M", "FPR=2022Y", "FPT=A", "FA_ACT_EST_DATA=E, EST_SOURCE=JMP", "ACT_EST_MAPPING=PRECISE", "FS=MRC", "CURRENCY=USD", "XLFILL=b")</f>
        <v>398</v>
      </c>
      <c r="U103" s="9" t="str">
        <f>_xll.BQL("CRM US Equity", "IS_SBC_ATT_TO_GENL_AND_ADMIN_PRETX/1M", "FPR=2022Y", "FPT=A", "FA_ACT_EST_DATA=E, EST_SOURCE=RJA", "ACT_EST_MAPPING=PRECISE", "FS=MRC", "CURRENCY=USD", "XLFILL=b")</f>
        <v/>
      </c>
      <c r="V103" s="9" t="str">
        <f>_xll.BQL("CRM US Equity", "IS_SBC_ATT_TO_GENL_AND_ADMIN_PRETX/1M", "FPR=2022Y", "FPT=A", "FA_ACT_EST_DATA=E, EST_SOURCE=OPY", "ACT_EST_MAPPING=PRECISE", "FS=MRC", "CURRENCY=USD", "XLFILL=b")</f>
        <v/>
      </c>
      <c r="W103" s="9" t="str">
        <f>_xll.BQL("CRM US Equity", "IS_SBC_ATT_TO_GENL_AND_ADMIN_PRETX/1M", "FPR=2022Y", "FPT=A", "FA_ACT_EST_DATA=E, EST_SOURCE=JPM", "ACT_EST_MAPPING=PRECISE", "FS=MRC", "CURRENCY=USD", "XLFILL=b")</f>
        <v/>
      </c>
      <c r="X103" s="9">
        <f>_xll.BQL("CRM US Equity", "IS_SBC_ATT_TO_GENL_AND_ADMIN_PRETX/1M", "FPR=2022Y", "FPT=A", "FA_ACT_EST_DATA=E, EST_SOURCE=FBC", "ACT_EST_MAPPING=PRECISE", "FS=MRC", "CURRENCY=USD", "XLFILL=b")</f>
        <v>361.04549999999989</v>
      </c>
      <c r="Y103" s="9" t="str">
        <f>_xll.BQL("CRM US Equity", "IS_SBC_ATT_TO_GENL_AND_ADMIN_PRETX/1M", "FPR=2022Y", "FPT=A", "FA_ACT_EST_DATA=E, EST_SOURCE=WMS", "ACT_EST_MAPPING=PRECISE", "FS=MRC", "CURRENCY=USD", "XLFILL=b")</f>
        <v/>
      </c>
      <c r="Z103" s="9">
        <f>_xll.BQL("CRM US Equity", "IS_SBC_ATT_TO_GENL_AND_ADMIN_PRETX/1M", "FPR=2022Y", "FPT=A", "FA_ACT_EST_DATA=E, EST_SOURCE=KEY", "ACT_EST_MAPPING=PRECISE", "FS=MRC", "CURRENCY=USD", "XLFILL=b")</f>
        <v>368.42114465536281</v>
      </c>
      <c r="AA103" s="9" t="str">
        <f>_xll.BQL("CRM US Equity", "IS_SBC_ATT_TO_GENL_AND_ADMIN_PRETX/1M", "FPR=2022Y", "FPT=A", "FA_ACT_EST_DATA=E, EST_SOURCE=LCM", "ACT_EST_MAPPING=PRECISE", "FS=MRC", "CURRENCY=USD", "XLFILL=b")</f>
        <v/>
      </c>
      <c r="AB103" s="9" t="str">
        <f>_xll.BQL("CRM US Equity", "IS_SBC_ATT_TO_GENL_AND_ADMIN_PRETX/1M", "FPR=2022Y", "FPT=A", "FA_ACT_EST_DATA=E, EST_SOURCE=CWN", "ACT_EST_MAPPING=PRECISE", "FS=MRC", "CURRENCY=USD", "XLFILL=b")</f>
        <v/>
      </c>
      <c r="AC103" s="9" t="str">
        <f>_xll.BQL("CRM US Equity", "IS_SBC_ATT_TO_GENL_AND_ADMIN_PRETX/1M", "FPR=2022Y", "FPT=A", "FA_ACT_EST_DATA=E, EST_SOURCE=BNS", "ACT_EST_MAPPING=PRECISE", "FS=MRC", "CURRENCY=USD", "XLFILL=b")</f>
        <v/>
      </c>
      <c r="AD103" s="9" t="str">
        <f>_xll.BQL("CRM US Equity", "IS_SBC_ATT_TO_GENL_AND_ADMIN_PRETX/1M", "FPR=2022Y", "FPT=A", "FA_ACT_EST_DATA=E, EST_SOURCE=BAM", "ACT_EST_MAPPING=PRECISE", "FS=MRC", "CURRENCY=USD", "XLFILL=b")</f>
        <v/>
      </c>
      <c r="AE103" s="9" t="str">
        <f>_xll.BQL("CRM US Equity", "IS_SBC_ATT_TO_GENL_AND_ADMIN_PRETX/1M", "FPR=2022Y", "FPT=A", "FA_ACT_EST_DATA=E, EST_SOURCE=RBC", "ACT_EST_MAPPING=PRECISE", "FS=MRC", "CURRENCY=USD", "XLFILL=b")</f>
        <v/>
      </c>
      <c r="AF103" s="9" t="str">
        <f>_xll.BQL("CRM US Equity", "IS_SBC_ATT_TO_GENL_AND_ADMIN_PRETX/1M", "FPR=2022Y", "FPT=A", "FA_ACT_EST_DATA=E, EST_SOURCE=UBS", "ACT_EST_MAPPING=PRECISE", "FS=MRC", "CURRENCY=USD", "XLFILL=b")</f>
        <v/>
      </c>
      <c r="AG103" s="9" t="str">
        <f>_xll.BQL("CRM US Equity", "IS_SBC_ATT_TO_GENL_AND_ADMIN_PRETX/1M", "FPR=2022Y", "FPT=A", "FA_ACT_EST_DATA=E, EST_SOURCE=RHR", "ACT_EST_MAPPING=PRECISE", "FS=MRC", "CURRENCY=USD", "XLFILL=b")</f>
        <v/>
      </c>
      <c r="AH103" s="9" t="str">
        <f>_xll.BQL("CRM US Equity", "IS_SBC_ATT_TO_GENL_AND_ADMIN_PRETX/1M", "FPR=2022Y", "FPT=A", "FA_ACT_EST_DATA=E, EST_SOURCE=JEF", "ACT_EST_MAPPING=PRECISE", "FS=MRC", "CURRENCY=USD", "XLFILL=b")</f>
        <v/>
      </c>
      <c r="AI103" s="9" t="str">
        <f>_xll.BQL("CRM US Equity", "IS_SBC_ATT_TO_GENL_AND_ADMIN_PRETX/1M", "FPR=2022Y", "FPT=A", "FA_ACT_EST_DATA=E, EST_SOURCE=ATL", "ACT_EST_MAPPING=PRECISE", "FS=MRC", "CURRENCY=USD", "XLFILL=b")</f>
        <v/>
      </c>
      <c r="AJ103" s="9" t="str">
        <f>_xll.BQL("CRM US Equity", "IS_SBC_ATT_TO_GENL_AND_ADMIN_PRETX/1M", "FPR=2022Y", "FPT=A", "FA_ACT_EST_DATA=E, EST_SOURCE=MAC", "ACT_EST_MAPPING=PRECISE", "FS=MRC", "CURRENCY=USD", "XLFILL=b")</f>
        <v/>
      </c>
      <c r="AK103" s="9" t="str">
        <f>_xll.BQL("CRM US Equity", "IS_SBC_ATT_TO_GENL_AND_ADMIN_PRETX/1M", "FPR=2022Y", "FPT=A", "FA_ACT_EST_DATA=E, EST_SOURCE=EVR", "ACT_EST_MAPPING=PRECISE", "FS=MRC", "CURRENCY=USD", "XLFILL=b")</f>
        <v/>
      </c>
      <c r="AL103" s="9" t="str">
        <f>_xll.BQL("CRM US Equity", "IS_SBC_ATT_TO_GENL_AND_ADMIN_PRETX/1M", "FPR=2022Y", "FPT=A", "FA_ACT_EST_DATA=E, EST_SOURCE=MSR", "ACT_EST_MAPPING=PRECISE", "FS=MRC", "CURRENCY=USD", "XLFILL=b")</f>
        <v/>
      </c>
      <c r="AM103" s="9" t="str">
        <f>_xll.BQL("CRM US Equity", "IS_SBC_ATT_TO_GENL_AND_ADMIN_PRETX/1M", "FPR=2022Y", "FPT=A", "FA_ACT_EST_DATA=E, EST_SOURCE=KGI", "ACT_EST_MAPPING=PRECISE", "FS=MRC", "CURRENCY=USD", "XLFILL=b")</f>
        <v/>
      </c>
      <c r="AN103" s="9" t="str">
        <f>_xll.BQL("CRM US Equity", "IS_SBC_ATT_TO_GENL_AND_ADMIN_PRETX/1M", "FPR=2022Y", "FPT=A", "FA_ACT_EST_DATA=E, EST_SOURCE=ACC", "ACT_EST_MAPPING=PRECISE", "FS=MRC", "CURRENCY=USD", "XLFILL=b")</f>
        <v/>
      </c>
      <c r="AO103" s="9" t="str">
        <f>_xll.BQL("CRM US Equity", "IS_SBC_ATT_TO_GENL_AND_ADMIN_PRETX/1M", "FPR=2022Y", "FPT=A", "FA_ACT_EST_DATA=E, EST_SOURCE=GSR", "ACT_EST_MAPPING=PRECISE", "FS=MRC", "CURRENCY=USD", "XLFILL=b")</f>
        <v/>
      </c>
      <c r="AP103" s="9" t="str">
        <f>_xll.BQL("CRM US Equity", "IS_SBC_ATT_TO_GENL_AND_ADMIN_PRETX/1M", "FPR=2022Y", "FPT=A", "FA_ACT_EST_DATA=E, EST_SOURCE=PSG", "ACT_EST_MAPPING=PRECISE", "FS=MRC", "CURRENCY=USD", "XLFILL=b")</f>
        <v/>
      </c>
      <c r="AQ103" s="9" t="str">
        <f>_xll.BQL("CRM US Equity", "IS_SBC_ATT_TO_GENL_AND_ADMIN_PRETX/1M", "FPR=2022Y", "FPT=A", "FA_ACT_EST_DATA=E, EST_SOURCE=DWI", "ACT_EST_MAPPING=PRECISE", "FS=MRC", "CURRENCY=USD", "XLFILL=b")</f>
        <v/>
      </c>
      <c r="AR103" s="9" t="str">
        <f>_xll.BQL("CRM US Equity", "IS_SBC_ATT_TO_GENL_AND_ADMIN_PRETX/1M", "FPR=2022Y", "FPT=A", "FA_ACT_EST_DATA=E, EST_SOURCE=RWB", "ACT_EST_MAPPING=PRECISE", "FS=MRC", "CURRENCY=USD", "XLFILL=b")</f>
        <v/>
      </c>
      <c r="AS103" s="9" t="str">
        <f>_xll.BQL("CRM US Equity", "IS_SBC_ATT_TO_GENL_AND_ADMIN_PRETX/1M", "FPR=2022Y", "FPT=A", "FA_ACT_EST_DATA=E, EST_SOURCE=ARG", "ACT_EST_MAPPING=PRECISE", "FS=MRC", "CURRENCY=USD", "XLFILL=b")</f>
        <v/>
      </c>
      <c r="AT103" s="9" t="str">
        <f>_xll.BQL("CRM US Equity", "IS_SBC_ATT_TO_GENL_AND_ADMIN_PRETX/1M", "FPR=2022Y", "FPT=A", "FA_ACT_EST_DATA=E, EST_SOURCE=CTI", "ACT_EST_MAPPING=PRECISE", "FS=MRC", "CURRENCY=USD", "XLFILL=b")</f>
        <v/>
      </c>
      <c r="AU103" s="9" t="str">
        <f>_xll.BQL("CRM US Equity", "IS_SBC_ATT_TO_GENL_AND_ADMIN_PRETX/1M", "FPR=2022Y", "FPT=A", "FA_ACT_EST_DATA=E, EST_SOURCE=WFT", "ACT_EST_MAPPING=PRECISE", "FS=MRC", "CURRENCY=USD", "XLFILL=b")</f>
        <v/>
      </c>
      <c r="AV103" s="9" t="str">
        <f>_xll.BQL("CRM US Equity", "IS_SBC_ATT_TO_GENL_AND_ADMIN_PRETX/1M", "FPR=2022Y", "FPT=A", "FA_ACT_EST_DATA=E, EST_SOURCE=PJE", "ACT_EST_MAPPING=PRECISE", "FS=MRC", "CURRENCY=USD", "XLFILL=b")</f>
        <v/>
      </c>
      <c r="AW103" s="9" t="str">
        <f>_xll.BQL("CRM US Equity", "IS_SBC_ATT_TO_GENL_AND_ADMIN_PRETX/1M", "FPR=2022Y", "FPT=A", "FA_ACT_EST_DATA=E, EST_SOURCE=SGE", "ACT_EST_MAPPING=PRECISE", "FS=MRC", "CURRENCY=USD", "XLFILL=b")</f>
        <v/>
      </c>
      <c r="AX103" s="9" t="str">
        <f>_xll.BQL("CRM US Equity", "IS_SBC_ATT_TO_GENL_AND_ADMIN_PRETX/1M", "FPR=2022Y", "FPT=A", "FA_ACT_EST_DATA=E, EST_SOURCE=MZS", "ACT_EST_MAPPING=PRECISE", "FS=MRC", "CURRENCY=USD", "XLFILL=b")</f>
        <v/>
      </c>
      <c r="AY103" s="9" t="str">
        <f>_xll.BQL("CRM US Equity", "IS_SBC_ATT_TO_GENL_AND_ADMIN_PRETX/1M", "FPR=2022Y", "FPT=A", "FA_ACT_EST_DATA=E, EST_SOURCE=RCP", "ACT_EST_MAPPING=PRECISE", "FS=MRC", "CURRENCY=USD", "XLFILL=b")</f>
        <v/>
      </c>
      <c r="AZ103" s="9" t="str">
        <f>_xll.BQL("CRM US Equity", "IS_SBC_ATT_TO_GENL_AND_ADMIN_PRETX/1M", "FPR=2022Y", "FPT=A", "FA_ACT_EST_DATA=E, EST_SOURCE=WFR", "ACT_EST_MAPPING=PRECISE", "FS=MRC", "CURRENCY=USD", "XLFILL=b")</f>
        <v/>
      </c>
      <c r="BA103" s="9" t="str">
        <f>_xll.BQL("CRM US Equity", "IS_SBC_ATT_TO_GENL_AND_ADMIN_PRETX/1M", "FPR=2022Y", "FPT=A", "FA_ACT_EST_DATA=E, EST_SOURCE=NIK", "ACT_EST_MAPPING=PRECISE", "FS=MRC", "CURRENCY=USD", "XLFILL=b")</f>
        <v/>
      </c>
      <c r="BB103" s="9" t="str">
        <f>_xll.BQL("CRM US Equity", "IS_SBC_ATT_TO_GENL_AND_ADMIN_PRETX/1M", "FPR=2022Y", "FPT=A", "FA_ACT_EST_DATA=E, EST_SOURCE=ARE", "ACT_EST_MAPPING=PRECISE", "FS=MRC", "CURRENCY=USD", "XLFILL=b")</f>
        <v/>
      </c>
      <c r="BC103" s="9" t="str">
        <f>_xll.BQL("CRM US Equity", "IS_SBC_ATT_TO_GENL_AND_ADMIN_PRETX/1M", "FPR=2022Y", "FPT=A", "FA_ACT_EST_DATA=E, EST_SOURCE=RED", "ACT_EST_MAPPING=PRECISE", "FS=MRC", "CURRENCY=USD", "XLFILL=b")</f>
        <v/>
      </c>
      <c r="BD103" s="9" t="str">
        <f>_xll.BQL("CRM US Equity", "IS_SBC_ATT_TO_GENL_AND_ADMIN_PRETX/1M", "FPR=2022Y", "FPT=A", "FA_ACT_EST_DATA=E, EST_SOURCE=DIR", "ACT_EST_MAPPING=PRECISE", "FS=MRC", "CURRENCY=USD", "XLFILL=b")</f>
        <v/>
      </c>
    </row>
    <row r="104" spans="1:56" x14ac:dyDescent="0.55000000000000004">
      <c r="A104" s="8" t="s">
        <v>109</v>
      </c>
      <c r="B104" s="5" t="s">
        <v>110</v>
      </c>
      <c r="C104" s="5" t="s">
        <v>111</v>
      </c>
      <c r="D104" s="5"/>
      <c r="E104" s="9">
        <f>_xll.BQL("CRM US Equity", "IS_AMORT_OF_TOT_INTANG_PRETX/1M", "FPR=2022Y", "FPT=A", "FA_ACT_EST_DATA=E", "ACT_EST_MAPPING=PRECISE", "FS=MRC", "CURRENCY=USD", "XLFILL=b")</f>
        <v>1599.4896765333331</v>
      </c>
      <c r="F104" s="9">
        <f>_xll.BQL("CRM US Equity", "CONTRIBUTOR_STATS(IS_AMORT_OF_TOT_INTANG_PRETX, MIN)/1M", "FPR=2022Y", "FPT=A", "FA_ACT_EST_DATA=E", "ACT_EST_MAPPING=PRECISE", "FS=MRC", "CURRENCY=USD", "XLFILL=b")</f>
        <v>1242</v>
      </c>
      <c r="G104" s="9">
        <f>_xll.BQL("CRM US Equity", "CONTRIBUTOR_STATS(IS_AMORT_OF_TOT_INTANG_PRETX, MAX)/1M", "FPR=2022Y", "FPT=A", "FA_ACT_EST_DATA=E", "ACT_EST_MAPPING=PRECISE", "FS=MRC", "CURRENCY=USD", "XLFILL=b")</f>
        <v>1665</v>
      </c>
      <c r="H104" s="9">
        <f>_xll.BQL("CRM US Equity", "CONTRIBUTOR_STATS(IS_AMORT_OF_TOT_INTANG_PRETX, STD)/1M", "FPR=2022Y", "FPT=A", "FA_ACT_EST_DATA=E", "ACT_EST_MAPPING=PRECISE", "FS=MRC", "CURRENCY=USD", "XLFILL=b")</f>
        <v>100.9029003837034</v>
      </c>
      <c r="I104" s="9">
        <f>_xll.BQL("CRM US Equity", "CONTRIBUTOR_STATS(IS_AMORT_OF_TOT_INTANG_PRETX, MEDIAN)/1M", "FPR=2022Y", "FPT=A", "FA_ACT_EST_DATA=E", "ACT_EST_MAPPING=PRECISE", "FS=MRC", "CURRENCY=USD", "XLFILL=b")</f>
        <v>1622</v>
      </c>
      <c r="J104" s="9" t="str">
        <f>_xll.BQL("CRM US Equity", "IS_AMORT_OF_TOT_INTANG_PRETX/1M", "FPR=2022Y", "FPT=A", "FA_ACT_EST_DATA=E, EST_SOURCE=CMPY", "ACT_EST_MAPPING=PRECISE", "FS=MRC", "CURRENCY=USD", "XLFILL=b")</f>
        <v/>
      </c>
      <c r="K104" s="9">
        <f>_xll.BQL("CRM US Equity", "IS_AMORT_OF_TOT_INTANG_PRETX/1M", "FPR=2022Y", "FPT=A", "FA_ACT_EST_DATA=E, EST_SOURCE=WBL", "ACT_EST_MAPPING=PRECISE", "FS=MRC", "CURRENCY=USD", "XLFILL=b")</f>
        <v>1630</v>
      </c>
      <c r="L104" s="9">
        <f>_xll.BQL("CRM US Equity", "IS_AMORT_OF_TOT_INTANG_PRETX/1M", "FPR=2022Y", "FPT=A", "FA_ACT_EST_DATA=E, EST_SOURCE=BMO", "ACT_EST_MAPPING=PRECISE", "FS=MRC", "CURRENCY=USD", "XLFILL=b")</f>
        <v>1657.4255000000001</v>
      </c>
      <c r="M104" s="9">
        <f>_xll.BQL("CRM US Equity", "IS_AMORT_OF_TOT_INTANG_PRETX/1M", "FPR=2022Y", "FPT=A", "FA_ACT_EST_DATA=E, EST_SOURCE=BCA", "ACT_EST_MAPPING=PRECISE", "FS=MRC", "CURRENCY=USD", "XLFILL=b")</f>
        <v>1612</v>
      </c>
      <c r="N104" s="9">
        <f>_xll.BQL("CRM US Equity", "IS_AMORT_OF_TOT_INTANG_PRETX/1M", "FPR=2022Y", "FPT=A", "FA_ACT_EST_DATA=E, EST_SOURCE=SNR", "ACT_EST_MAPPING=PRECISE", "FS=MRC", "CURRENCY=USD", "XLFILL=b")</f>
        <v>1612</v>
      </c>
      <c r="O104" s="9">
        <f>_xll.BQL("CRM US Equity", "IS_AMORT_OF_TOT_INTANG_PRETX/1M", "FPR=2022Y", "FPT=A", "FA_ACT_EST_DATA=E, EST_SOURCE=MSV", "ACT_EST_MAPPING=PRECISE", "FS=MRC", "CURRENCY=USD", "XLFILL=b")</f>
        <v>351.38018901140953</v>
      </c>
      <c r="P104" s="9">
        <f>_xll.BQL("CRM US Equity", "IS_AMORT_OF_TOT_INTANG_PRETX/1M", "FPR=2022Y", "FPT=A", "FA_ACT_EST_DATA=E, EST_SOURCE=DBG", "ACT_EST_MAPPING=PRECISE", "FS=MRC", "CURRENCY=USD", "XLFILL=b")</f>
        <v>1624</v>
      </c>
      <c r="Q104" s="9">
        <f>_xll.BQL("CRM US Equity", "IS_AMORT_OF_TOT_INTANG_PRETX/1M", "FPR=2022Y", "FPT=A", "FA_ACT_EST_DATA=E, EST_SOURCE=NDH", "ACT_EST_MAPPING=PRECISE", "FS=MRC", "CURRENCY=USD", "XLFILL=b")</f>
        <v>1665</v>
      </c>
      <c r="R104" s="9" t="str">
        <f>_xll.BQL("CRM US Equity", "IS_AMORT_OF_TOT_INTANG_PRETX/1M", "FPR=2022Y", "FPT=A", "FA_ACT_EST_DATA=E, EST_SOURCE=CAN", "ACT_EST_MAPPING=PRECISE", "FS=MRC", "CURRENCY=USD", "XLFILL=b")</f>
        <v/>
      </c>
      <c r="S104" s="9">
        <f>_xll.BQL("CRM US Equity", "IS_AMORT_OF_TOT_INTANG_PRETX/1M", "FPR=2022Y", "FPT=A", "FA_ACT_EST_DATA=E, EST_SOURCE=SCB", "ACT_EST_MAPPING=PRECISE", "FS=MRC", "CURRENCY=USD", "XLFILL=b")</f>
        <v>1242</v>
      </c>
      <c r="T104" s="9">
        <f>_xll.BQL("CRM US Equity", "IS_AMORT_OF_TOT_INTANG_PRETX/1M", "FPR=2022Y", "FPT=A", "FA_ACT_EST_DATA=E, EST_SOURCE=JMP", "ACT_EST_MAPPING=PRECISE", "FS=MRC", "CURRENCY=USD", "XLFILL=b")</f>
        <v>1625</v>
      </c>
      <c r="U104" s="9">
        <f>_xll.BQL("CRM US Equity", "IS_AMORT_OF_TOT_INTANG_PRETX/1M", "FPR=2022Y", "FPT=A", "FA_ACT_EST_DATA=E, EST_SOURCE=RJA", "ACT_EST_MAPPING=PRECISE", "FS=MRC", "CURRENCY=USD", "XLFILL=b")</f>
        <v>1621.5</v>
      </c>
      <c r="V104" s="9">
        <f>_xll.BQL("CRM US Equity", "IS_AMORT_OF_TOT_INTANG_PRETX/1M", "FPR=2022Y", "FPT=A", "FA_ACT_EST_DATA=E, EST_SOURCE=OPY", "ACT_EST_MAPPING=PRECISE", "FS=MRC", "CURRENCY=USD", "XLFILL=b")</f>
        <v>1635</v>
      </c>
      <c r="W104" s="9">
        <f>_xll.BQL("CRM US Equity", "IS_AMORT_OF_TOT_INTANG_PRETX/1M", "FPR=2022Y", "FPT=A", "FA_ACT_EST_DATA=E, EST_SOURCE=JPM", "ACT_EST_MAPPING=PRECISE", "FS=MRC", "CURRENCY=USD", "XLFILL=b")</f>
        <v>1617.92</v>
      </c>
      <c r="X104" s="9">
        <f>_xll.BQL("CRM US Equity", "IS_AMORT_OF_TOT_INTANG_PRETX/1M", "FPR=2022Y", "FPT=A", "FA_ACT_EST_DATA=E, EST_SOURCE=FBC", "ACT_EST_MAPPING=PRECISE", "FS=MRC", "CURRENCY=USD", "XLFILL=b")</f>
        <v>1628.09</v>
      </c>
      <c r="Y104" s="9">
        <f>_xll.BQL("CRM US Equity", "IS_AMORT_OF_TOT_INTANG_PRETX/1M", "FPR=2022Y", "FPT=A", "FA_ACT_EST_DATA=E, EST_SOURCE=WMS", "ACT_EST_MAPPING=PRECISE", "FS=MRC", "CURRENCY=USD", "XLFILL=b")</f>
        <v>1563</v>
      </c>
      <c r="Z104" s="9">
        <f>_xll.BQL("CRM US Equity", "IS_AMORT_OF_TOT_INTANG_PRETX/1M", "FPR=2022Y", "FPT=A", "FA_ACT_EST_DATA=E, EST_SOURCE=KEY", "ACT_EST_MAPPING=PRECISE", "FS=MRC", "CURRENCY=USD", "XLFILL=b")</f>
        <v>1606.6462815</v>
      </c>
      <c r="AA104" s="9" t="str">
        <f>_xll.BQL("CRM US Equity", "IS_AMORT_OF_TOT_INTANG_PRETX/1M", "FPR=2022Y", "FPT=A", "FA_ACT_EST_DATA=E, EST_SOURCE=LCM", "ACT_EST_MAPPING=PRECISE", "FS=MRC", "CURRENCY=USD", "XLFILL=b")</f>
        <v/>
      </c>
      <c r="AB104" s="9" t="str">
        <f>_xll.BQL("CRM US Equity", "IS_AMORT_OF_TOT_INTANG_PRETX/1M", "FPR=2022Y", "FPT=A", "FA_ACT_EST_DATA=E, EST_SOURCE=CWN", "ACT_EST_MAPPING=PRECISE", "FS=MRC", "CURRENCY=USD", "XLFILL=b")</f>
        <v/>
      </c>
      <c r="AC104" s="9" t="str">
        <f>_xll.BQL("CRM US Equity", "IS_AMORT_OF_TOT_INTANG_PRETX/1M", "FPR=2022Y", "FPT=A", "FA_ACT_EST_DATA=E, EST_SOURCE=BNS", "ACT_EST_MAPPING=PRECISE", "FS=MRC", "CURRENCY=USD", "XLFILL=b")</f>
        <v/>
      </c>
      <c r="AD104" s="9" t="str">
        <f>_xll.BQL("CRM US Equity", "IS_AMORT_OF_TOT_INTANG_PRETX/1M", "FPR=2022Y", "FPT=A", "FA_ACT_EST_DATA=E, EST_SOURCE=BAM", "ACT_EST_MAPPING=PRECISE", "FS=MRC", "CURRENCY=USD", "XLFILL=b")</f>
        <v/>
      </c>
      <c r="AE104" s="9" t="str">
        <f>_xll.BQL("CRM US Equity", "IS_AMORT_OF_TOT_INTANG_PRETX/1M", "FPR=2022Y", "FPT=A", "FA_ACT_EST_DATA=E, EST_SOURCE=RBC", "ACT_EST_MAPPING=PRECISE", "FS=MRC", "CURRENCY=USD", "XLFILL=b")</f>
        <v/>
      </c>
      <c r="AF104" s="9" t="str">
        <f>_xll.BQL("CRM US Equity", "IS_AMORT_OF_TOT_INTANG_PRETX/1M", "FPR=2022Y", "FPT=A", "FA_ACT_EST_DATA=E, EST_SOURCE=UBS", "ACT_EST_MAPPING=PRECISE", "FS=MRC", "CURRENCY=USD", "XLFILL=b")</f>
        <v/>
      </c>
      <c r="AG104" s="9">
        <f>_xll.BQL("CRM US Equity", "IS_AMORT_OF_TOT_INTANG_PRETX/1M", "FPR=2022Y", "FPT=A", "FA_ACT_EST_DATA=E, EST_SOURCE=RHR", "ACT_EST_MAPPING=PRECISE", "FS=MRC", "CURRENCY=USD", "XLFILL=b")</f>
        <v>1485</v>
      </c>
      <c r="AH104" s="9" t="str">
        <f>_xll.BQL("CRM US Equity", "IS_AMORT_OF_TOT_INTANG_PRETX/1M", "FPR=2022Y", "FPT=A", "FA_ACT_EST_DATA=E, EST_SOURCE=JEF", "ACT_EST_MAPPING=PRECISE", "FS=MRC", "CURRENCY=USD", "XLFILL=b")</f>
        <v/>
      </c>
      <c r="AI104" s="9">
        <f>_xll.BQL("CRM US Equity", "IS_AMORT_OF_TOT_INTANG_PRETX/1M", "FPR=2022Y", "FPT=A", "FA_ACT_EST_DATA=E, EST_SOURCE=ATL", "ACT_EST_MAPPING=PRECISE", "FS=MRC", "CURRENCY=USD", "XLFILL=b")</f>
        <v>1323.4355</v>
      </c>
      <c r="AJ104" s="9" t="str">
        <f>_xll.BQL("CRM US Equity", "IS_AMORT_OF_TOT_INTANG_PRETX/1M", "FPR=2022Y", "FPT=A", "FA_ACT_EST_DATA=E, EST_SOURCE=MAC", "ACT_EST_MAPPING=PRECISE", "FS=MRC", "CURRENCY=USD", "XLFILL=b")</f>
        <v/>
      </c>
      <c r="AK104" s="9" t="str">
        <f>_xll.BQL("CRM US Equity", "IS_AMORT_OF_TOT_INTANG_PRETX/1M", "FPR=2022Y", "FPT=A", "FA_ACT_EST_DATA=E, EST_SOURCE=EVR", "ACT_EST_MAPPING=PRECISE", "FS=MRC", "CURRENCY=USD", "XLFILL=b")</f>
        <v/>
      </c>
      <c r="AL104" s="9" t="str">
        <f>_xll.BQL("CRM US Equity", "IS_AMORT_OF_TOT_INTANG_PRETX/1M", "FPR=2022Y", "FPT=A", "FA_ACT_EST_DATA=E, EST_SOURCE=MSR", "ACT_EST_MAPPING=PRECISE", "FS=MRC", "CURRENCY=USD", "XLFILL=b")</f>
        <v/>
      </c>
      <c r="AM104" s="9" t="str">
        <f>_xll.BQL("CRM US Equity", "IS_AMORT_OF_TOT_INTANG_PRETX/1M", "FPR=2022Y", "FPT=A", "FA_ACT_EST_DATA=E, EST_SOURCE=KGI", "ACT_EST_MAPPING=PRECISE", "FS=MRC", "CURRENCY=USD", "XLFILL=b")</f>
        <v/>
      </c>
      <c r="AN104" s="9" t="str">
        <f>_xll.BQL("CRM US Equity", "IS_AMORT_OF_TOT_INTANG_PRETX/1M", "FPR=2022Y", "FPT=A", "FA_ACT_EST_DATA=E, EST_SOURCE=ACC", "ACT_EST_MAPPING=PRECISE", "FS=MRC", "CURRENCY=USD", "XLFILL=b")</f>
        <v/>
      </c>
      <c r="AO104" s="9" t="str">
        <f>_xll.BQL("CRM US Equity", "IS_AMORT_OF_TOT_INTANG_PRETX/1M", "FPR=2022Y", "FPT=A", "FA_ACT_EST_DATA=E, EST_SOURCE=GSR", "ACT_EST_MAPPING=PRECISE", "FS=MRC", "CURRENCY=USD", "XLFILL=b")</f>
        <v/>
      </c>
      <c r="AP104" s="9" t="str">
        <f>_xll.BQL("CRM US Equity", "IS_AMORT_OF_TOT_INTANG_PRETX/1M", "FPR=2022Y", "FPT=A", "FA_ACT_EST_DATA=E, EST_SOURCE=PSG", "ACT_EST_MAPPING=PRECISE", "FS=MRC", "CURRENCY=USD", "XLFILL=b")</f>
        <v/>
      </c>
      <c r="AQ104" s="9" t="str">
        <f>_xll.BQL("CRM US Equity", "IS_AMORT_OF_TOT_INTANG_PRETX/1M", "FPR=2022Y", "FPT=A", "FA_ACT_EST_DATA=E, EST_SOURCE=DWI", "ACT_EST_MAPPING=PRECISE", "FS=MRC", "CURRENCY=USD", "XLFILL=b")</f>
        <v/>
      </c>
      <c r="AR104" s="9" t="str">
        <f>_xll.BQL("CRM US Equity", "IS_AMORT_OF_TOT_INTANG_PRETX/1M", "FPR=2022Y", "FPT=A", "FA_ACT_EST_DATA=E, EST_SOURCE=RWB", "ACT_EST_MAPPING=PRECISE", "FS=MRC", "CURRENCY=USD", "XLFILL=b")</f>
        <v/>
      </c>
      <c r="AS104" s="9" t="str">
        <f>_xll.BQL("CRM US Equity", "IS_AMORT_OF_TOT_INTANG_PRETX/1M", "FPR=2022Y", "FPT=A", "FA_ACT_EST_DATA=E, EST_SOURCE=ARG", "ACT_EST_MAPPING=PRECISE", "FS=MRC", "CURRENCY=USD", "XLFILL=b")</f>
        <v/>
      </c>
      <c r="AT104" s="9" t="str">
        <f>_xll.BQL("CRM US Equity", "IS_AMORT_OF_TOT_INTANG_PRETX/1M", "FPR=2022Y", "FPT=A", "FA_ACT_EST_DATA=E, EST_SOURCE=CTI", "ACT_EST_MAPPING=PRECISE", "FS=MRC", "CURRENCY=USD", "XLFILL=b")</f>
        <v/>
      </c>
      <c r="AU104" s="9" t="str">
        <f>_xll.BQL("CRM US Equity", "IS_AMORT_OF_TOT_INTANG_PRETX/1M", "FPR=2022Y", "FPT=A", "FA_ACT_EST_DATA=E, EST_SOURCE=WFT", "ACT_EST_MAPPING=PRECISE", "FS=MRC", "CURRENCY=USD", "XLFILL=b")</f>
        <v/>
      </c>
      <c r="AV104" s="9" t="str">
        <f>_xll.BQL("CRM US Equity", "IS_AMORT_OF_TOT_INTANG_PRETX/1M", "FPR=2022Y", "FPT=A", "FA_ACT_EST_DATA=E, EST_SOURCE=PJE", "ACT_EST_MAPPING=PRECISE", "FS=MRC", "CURRENCY=USD", "XLFILL=b")</f>
        <v/>
      </c>
      <c r="AW104" s="9" t="str">
        <f>_xll.BQL("CRM US Equity", "IS_AMORT_OF_TOT_INTANG_PRETX/1M", "FPR=2022Y", "FPT=A", "FA_ACT_EST_DATA=E, EST_SOURCE=SGE", "ACT_EST_MAPPING=PRECISE", "FS=MRC", "CURRENCY=USD", "XLFILL=b")</f>
        <v/>
      </c>
      <c r="AX104" s="9" t="str">
        <f>_xll.BQL("CRM US Equity", "IS_AMORT_OF_TOT_INTANG_PRETX/1M", "FPR=2022Y", "FPT=A", "FA_ACT_EST_DATA=E, EST_SOURCE=MZS", "ACT_EST_MAPPING=PRECISE", "FS=MRC", "CURRENCY=USD", "XLFILL=b")</f>
        <v/>
      </c>
      <c r="AY104" s="9" t="str">
        <f>_xll.BQL("CRM US Equity", "IS_AMORT_OF_TOT_INTANG_PRETX/1M", "FPR=2022Y", "FPT=A", "FA_ACT_EST_DATA=E, EST_SOURCE=RCP", "ACT_EST_MAPPING=PRECISE", "FS=MRC", "CURRENCY=USD", "XLFILL=b")</f>
        <v/>
      </c>
      <c r="AZ104" s="9" t="str">
        <f>_xll.BQL("CRM US Equity", "IS_AMORT_OF_TOT_INTANG_PRETX/1M", "FPR=2022Y", "FPT=A", "FA_ACT_EST_DATA=E, EST_SOURCE=WFR", "ACT_EST_MAPPING=PRECISE", "FS=MRC", "CURRENCY=USD", "XLFILL=b")</f>
        <v/>
      </c>
      <c r="BA104" s="9" t="str">
        <f>_xll.BQL("CRM US Equity", "IS_AMORT_OF_TOT_INTANG_PRETX/1M", "FPR=2022Y", "FPT=A", "FA_ACT_EST_DATA=E, EST_SOURCE=NIK", "ACT_EST_MAPPING=PRECISE", "FS=MRC", "CURRENCY=USD", "XLFILL=b")</f>
        <v/>
      </c>
      <c r="BB104" s="9" t="str">
        <f>_xll.BQL("CRM US Equity", "IS_AMORT_OF_TOT_INTANG_PRETX/1M", "FPR=2022Y", "FPT=A", "FA_ACT_EST_DATA=E, EST_SOURCE=ARE", "ACT_EST_MAPPING=PRECISE", "FS=MRC", "CURRENCY=USD", "XLFILL=b")</f>
        <v/>
      </c>
      <c r="BC104" s="9" t="str">
        <f>_xll.BQL("CRM US Equity", "IS_AMORT_OF_TOT_INTANG_PRETX/1M", "FPR=2022Y", "FPT=A", "FA_ACT_EST_DATA=E, EST_SOURCE=RED", "ACT_EST_MAPPING=PRECISE", "FS=MRC", "CURRENCY=USD", "XLFILL=b")</f>
        <v/>
      </c>
      <c r="BD104" s="9" t="str">
        <f>_xll.BQL("CRM US Equity", "IS_AMORT_OF_TOT_INTANG_PRETX/1M", "FPR=2022Y", "FPT=A", "FA_ACT_EST_DATA=E, EST_SOURCE=DIR", "ACT_EST_MAPPING=PRECISE", "FS=MRC", "CURRENCY=USD", "XLFILL=b")</f>
        <v/>
      </c>
    </row>
    <row r="105" spans="1:56" x14ac:dyDescent="0.55000000000000004">
      <c r="A105" s="8" t="s">
        <v>177</v>
      </c>
      <c r="B105" s="5" t="s">
        <v>182</v>
      </c>
      <c r="C105" s="5" t="s">
        <v>74</v>
      </c>
      <c r="D105" s="5"/>
      <c r="E105" s="9">
        <f>_xll.BQL("CRM US Equity", "IS_AMORT_ACQD_INTANGIBLES_COGS/1M", "FPR=2022Y", "FPT=A", "FA_ACT_EST_DATA=E", "ACT_EST_MAPPING=PRECISE", "FS=MRC", "CURRENCY=USD", "XLFILL=b")</f>
        <v>901.76661291076107</v>
      </c>
      <c r="F105" s="9">
        <f>_xll.BQL("CRM US Equity", "CONTRIBUTOR_STATS(IS_AMORT_ACQD_INTANGIBLES_COGS, MIN)/1M", "FPR=2022Y", "FPT=A", "FA_ACT_EST_DATA=E", "ACT_EST_MAPPING=PRECISE", "FS=MRC", "CURRENCY=USD", "XLFILL=b")</f>
        <v>841.00620000000004</v>
      </c>
      <c r="G105" s="9">
        <f>_xll.BQL("CRM US Equity", "CONTRIBUTOR_STATS(IS_AMORT_ACQD_INTANGIBLES_COGS, MAX)/1M", "FPR=2022Y", "FPT=A", "FA_ACT_EST_DATA=E", "ACT_EST_MAPPING=PRECISE", "FS=MRC", "CURRENCY=USD", "XLFILL=b")</f>
        <v>945.4373333333333</v>
      </c>
      <c r="H105" s="9">
        <f>_xll.BQL("CRM US Equity", "CONTRIBUTOR_STATS(IS_AMORT_ACQD_INTANGIBLES_COGS, STD)/1M", "FPR=2022Y", "FPT=A", "FA_ACT_EST_DATA=E", "ACT_EST_MAPPING=PRECISE", "FS=MRC", "CURRENCY=USD", "XLFILL=b")</f>
        <v>30.130027501280757</v>
      </c>
      <c r="I105" s="9">
        <f>_xll.BQL("CRM US Equity", "CONTRIBUTOR_STATS(IS_AMORT_ACQD_INTANGIBLES_COGS, MEDIAN)/1M", "FPR=2022Y", "FPT=A", "FA_ACT_EST_DATA=E", "ACT_EST_MAPPING=PRECISE", "FS=MRC", "CURRENCY=USD", "XLFILL=b")</f>
        <v>901.23468497637793</v>
      </c>
      <c r="J105" s="9" t="str">
        <f>_xll.BQL("CRM US Equity", "IS_AMORT_ACQD_INTANGIBLES_COGS/1M", "FPR=2022Y", "FPT=A", "FA_ACT_EST_DATA=E, EST_SOURCE=CMPY", "ACT_EST_MAPPING=PRECISE", "FS=MRC", "CURRENCY=USD", "XLFILL=b")</f>
        <v/>
      </c>
      <c r="K105" s="9" t="str">
        <f>_xll.BQL("CRM US Equity", "IS_AMORT_ACQD_INTANGIBLES_COGS/1M", "FPR=2022Y", "FPT=A", "FA_ACT_EST_DATA=E, EST_SOURCE=WBL", "ACT_EST_MAPPING=PRECISE", "FS=MRC", "CURRENCY=USD", "XLFILL=b")</f>
        <v/>
      </c>
      <c r="L105" s="9" t="str">
        <f>_xll.BQL("CRM US Equity", "IS_AMORT_ACQD_INTANGIBLES_COGS/1M", "FPR=2022Y", "FPT=A", "FA_ACT_EST_DATA=E, EST_SOURCE=BMO", "ACT_EST_MAPPING=PRECISE", "FS=MRC", "CURRENCY=USD", "XLFILL=b")</f>
        <v/>
      </c>
      <c r="M105" s="9">
        <f>_xll.BQL("CRM US Equity", "IS_AMORT_ACQD_INTANGIBLES_COGS/1M", "FPR=2022Y", "FPT=A", "FA_ACT_EST_DATA=E, EST_SOURCE=BCA", "ACT_EST_MAPPING=PRECISE", "FS=MRC", "CURRENCY=USD", "XLFILL=b")</f>
        <v>896</v>
      </c>
      <c r="N105" s="9" t="str">
        <f>_xll.BQL("CRM US Equity", "IS_AMORT_ACQD_INTANGIBLES_COGS/1M", "FPR=2022Y", "FPT=A", "FA_ACT_EST_DATA=E, EST_SOURCE=SNR", "ACT_EST_MAPPING=PRECISE", "FS=MRC", "CURRENCY=USD", "XLFILL=b")</f>
        <v/>
      </c>
      <c r="O105" s="9">
        <f>_xll.BQL("CRM US Equity", "IS_AMORT_ACQD_INTANGIBLES_COGS/1M", "FPR=2022Y", "FPT=A", "FA_ACT_EST_DATA=E, EST_SOURCE=MSV", "ACT_EST_MAPPING=PRECISE", "FS=MRC", "CURRENCY=USD", "XLFILL=b")</f>
        <v>919</v>
      </c>
      <c r="P105" s="9">
        <f>_xll.BQL("CRM US Equity", "IS_AMORT_ACQD_INTANGIBLES_COGS/1M", "FPR=2022Y", "FPT=A", "FA_ACT_EST_DATA=E, EST_SOURCE=DBG", "ACT_EST_MAPPING=PRECISE", "FS=MRC", "CURRENCY=USD", "XLFILL=b")</f>
        <v>919.22</v>
      </c>
      <c r="Q105" s="9" t="str">
        <f>_xll.BQL("CRM US Equity", "IS_AMORT_ACQD_INTANGIBLES_COGS/1M", "FPR=2022Y", "FPT=A", "FA_ACT_EST_DATA=E, EST_SOURCE=NDH", "ACT_EST_MAPPING=PRECISE", "FS=MRC", "CURRENCY=USD", "XLFILL=b")</f>
        <v/>
      </c>
      <c r="R105" s="9" t="str">
        <f>_xll.BQL("CRM US Equity", "IS_AMORT_ACQD_INTANGIBLES_COGS/1M", "FPR=2022Y", "FPT=A", "FA_ACT_EST_DATA=E, EST_SOURCE=CAN", "ACT_EST_MAPPING=PRECISE", "FS=MRC", "CURRENCY=USD", "XLFILL=b")</f>
        <v/>
      </c>
      <c r="S105" s="9" t="str">
        <f>_xll.BQL("CRM US Equity", "IS_AMORT_ACQD_INTANGIBLES_COGS/1M", "FPR=2022Y", "FPT=A", "FA_ACT_EST_DATA=E, EST_SOURCE=SCB", "ACT_EST_MAPPING=PRECISE", "FS=MRC", "CURRENCY=USD", "XLFILL=b")</f>
        <v/>
      </c>
      <c r="T105" s="9" t="str">
        <f>_xll.BQL("CRM US Equity", "IS_AMORT_ACQD_INTANGIBLES_COGS/1M", "FPR=2022Y", "FPT=A", "FA_ACT_EST_DATA=E, EST_SOURCE=JMP", "ACT_EST_MAPPING=PRECISE", "FS=MRC", "CURRENCY=USD", "XLFILL=b")</f>
        <v/>
      </c>
      <c r="U105" s="9" t="str">
        <f>_xll.BQL("CRM US Equity", "IS_AMORT_ACQD_INTANGIBLES_COGS/1M", "FPR=2022Y", "FPT=A", "FA_ACT_EST_DATA=E, EST_SOURCE=RJA", "ACT_EST_MAPPING=PRECISE", "FS=MRC", "CURRENCY=USD", "XLFILL=b")</f>
        <v/>
      </c>
      <c r="V105" s="9" t="str">
        <f>_xll.BQL("CRM US Equity", "IS_AMORT_ACQD_INTANGIBLES_COGS/1M", "FPR=2022Y", "FPT=A", "FA_ACT_EST_DATA=E, EST_SOURCE=OPY", "ACT_EST_MAPPING=PRECISE", "FS=MRC", "CURRENCY=USD", "XLFILL=b")</f>
        <v/>
      </c>
      <c r="W105" s="9" t="str">
        <f>_xll.BQL("CRM US Equity", "IS_AMORT_ACQD_INTANGIBLES_COGS/1M", "FPR=2022Y", "FPT=A", "FA_ACT_EST_DATA=E, EST_SOURCE=JPM", "ACT_EST_MAPPING=PRECISE", "FS=MRC", "CURRENCY=USD", "XLFILL=b")</f>
        <v/>
      </c>
      <c r="X105" s="9">
        <f>_xll.BQL("CRM US Equity", "IS_AMORT_ACQD_INTANGIBLES_COGS/1M", "FPR=2022Y", "FPT=A", "FA_ACT_EST_DATA=E, EST_SOURCE=FBC", "ACT_EST_MAPPING=PRECISE", "FS=MRC", "CURRENCY=USD", "XLFILL=b")</f>
        <v>940.96727272727276</v>
      </c>
      <c r="Y105" s="9">
        <f>_xll.BQL("CRM US Equity", "IS_AMORT_ACQD_INTANGIBLES_COGS/1M", "FPR=2022Y", "FPT=A", "FA_ACT_EST_DATA=E, EST_SOURCE=WMS", "ACT_EST_MAPPING=PRECISE", "FS=MRC", "CURRENCY=USD", "XLFILL=b")</f>
        <v>672</v>
      </c>
      <c r="Z105" s="9">
        <f>_xll.BQL("CRM US Equity", "IS_AMORT_ACQD_INTANGIBLES_COGS/1M", "FPR=2022Y", "FPT=A", "FA_ACT_EST_DATA=E, EST_SOURCE=KEY", "ACT_EST_MAPPING=PRECISE", "FS=MRC", "CURRENCY=USD", "XLFILL=b")</f>
        <v>928.59848211912231</v>
      </c>
      <c r="AA105" s="9" t="str">
        <f>_xll.BQL("CRM US Equity", "IS_AMORT_ACQD_INTANGIBLES_COGS/1M", "FPR=2022Y", "FPT=A", "FA_ACT_EST_DATA=E, EST_SOURCE=LCM", "ACT_EST_MAPPING=PRECISE", "FS=MRC", "CURRENCY=USD", "XLFILL=b")</f>
        <v/>
      </c>
      <c r="AB105" s="9" t="str">
        <f>_xll.BQL("CRM US Equity", "IS_AMORT_ACQD_INTANGIBLES_COGS/1M", "FPR=2022Y", "FPT=A", "FA_ACT_EST_DATA=E, EST_SOURCE=CWN", "ACT_EST_MAPPING=PRECISE", "FS=MRC", "CURRENCY=USD", "XLFILL=b")</f>
        <v/>
      </c>
      <c r="AC105" s="9" t="str">
        <f>_xll.BQL("CRM US Equity", "IS_AMORT_ACQD_INTANGIBLES_COGS/1M", "FPR=2022Y", "FPT=A", "FA_ACT_EST_DATA=E, EST_SOURCE=BNS", "ACT_EST_MAPPING=PRECISE", "FS=MRC", "CURRENCY=USD", "XLFILL=b")</f>
        <v/>
      </c>
      <c r="AD105" s="9" t="str">
        <f>_xll.BQL("CRM US Equity", "IS_AMORT_ACQD_INTANGIBLES_COGS/1M", "FPR=2022Y", "FPT=A", "FA_ACT_EST_DATA=E, EST_SOURCE=BAM", "ACT_EST_MAPPING=PRECISE", "FS=MRC", "CURRENCY=USD", "XLFILL=b")</f>
        <v/>
      </c>
      <c r="AE105" s="9" t="str">
        <f>_xll.BQL("CRM US Equity", "IS_AMORT_ACQD_INTANGIBLES_COGS/1M", "FPR=2022Y", "FPT=A", "FA_ACT_EST_DATA=E, EST_SOURCE=RBC", "ACT_EST_MAPPING=PRECISE", "FS=MRC", "CURRENCY=USD", "XLFILL=b")</f>
        <v/>
      </c>
      <c r="AF105" s="9" t="str">
        <f>_xll.BQL("CRM US Equity", "IS_AMORT_ACQD_INTANGIBLES_COGS/1M", "FPR=2022Y", "FPT=A", "FA_ACT_EST_DATA=E, EST_SOURCE=UBS", "ACT_EST_MAPPING=PRECISE", "FS=MRC", "CURRENCY=USD", "XLFILL=b")</f>
        <v/>
      </c>
      <c r="AG105" s="9" t="str">
        <f>_xll.BQL("CRM US Equity", "IS_AMORT_ACQD_INTANGIBLES_COGS/1M", "FPR=2022Y", "FPT=A", "FA_ACT_EST_DATA=E, EST_SOURCE=RHR", "ACT_EST_MAPPING=PRECISE", "FS=MRC", "CURRENCY=USD", "XLFILL=b")</f>
        <v/>
      </c>
      <c r="AH105" s="9" t="str">
        <f>_xll.BQL("CRM US Equity", "IS_AMORT_ACQD_INTANGIBLES_COGS/1M", "FPR=2022Y", "FPT=A", "FA_ACT_EST_DATA=E, EST_SOURCE=JEF", "ACT_EST_MAPPING=PRECISE", "FS=MRC", "CURRENCY=USD", "XLFILL=b")</f>
        <v/>
      </c>
      <c r="AI105" s="9" t="str">
        <f>_xll.BQL("CRM US Equity", "IS_AMORT_ACQD_INTANGIBLES_COGS/1M", "FPR=2022Y", "FPT=A", "FA_ACT_EST_DATA=E, EST_SOURCE=ATL", "ACT_EST_MAPPING=PRECISE", "FS=MRC", "CURRENCY=USD", "XLFILL=b")</f>
        <v/>
      </c>
      <c r="AJ105" s="9" t="str">
        <f>_xll.BQL("CRM US Equity", "IS_AMORT_ACQD_INTANGIBLES_COGS/1M", "FPR=2022Y", "FPT=A", "FA_ACT_EST_DATA=E, EST_SOURCE=MAC", "ACT_EST_MAPPING=PRECISE", "FS=MRC", "CURRENCY=USD", "XLFILL=b")</f>
        <v/>
      </c>
      <c r="AK105" s="9" t="str">
        <f>_xll.BQL("CRM US Equity", "IS_AMORT_ACQD_INTANGIBLES_COGS/1M", "FPR=2022Y", "FPT=A", "FA_ACT_EST_DATA=E, EST_SOURCE=EVR", "ACT_EST_MAPPING=PRECISE", "FS=MRC", "CURRENCY=USD", "XLFILL=b")</f>
        <v/>
      </c>
      <c r="AL105" s="9" t="str">
        <f>_xll.BQL("CRM US Equity", "IS_AMORT_ACQD_INTANGIBLES_COGS/1M", "FPR=2022Y", "FPT=A", "FA_ACT_EST_DATA=E, EST_SOURCE=MSR", "ACT_EST_MAPPING=PRECISE", "FS=MRC", "CURRENCY=USD", "XLFILL=b")</f>
        <v/>
      </c>
      <c r="AM105" s="9" t="str">
        <f>_xll.BQL("CRM US Equity", "IS_AMORT_ACQD_INTANGIBLES_COGS/1M", "FPR=2022Y", "FPT=A", "FA_ACT_EST_DATA=E, EST_SOURCE=KGI", "ACT_EST_MAPPING=PRECISE", "FS=MRC", "CURRENCY=USD", "XLFILL=b")</f>
        <v/>
      </c>
      <c r="AN105" s="9" t="str">
        <f>_xll.BQL("CRM US Equity", "IS_AMORT_ACQD_INTANGIBLES_COGS/1M", "FPR=2022Y", "FPT=A", "FA_ACT_EST_DATA=E, EST_SOURCE=ACC", "ACT_EST_MAPPING=PRECISE", "FS=MRC", "CURRENCY=USD", "XLFILL=b")</f>
        <v/>
      </c>
      <c r="AO105" s="9" t="str">
        <f>_xll.BQL("CRM US Equity", "IS_AMORT_ACQD_INTANGIBLES_COGS/1M", "FPR=2022Y", "FPT=A", "FA_ACT_EST_DATA=E, EST_SOURCE=GSR", "ACT_EST_MAPPING=PRECISE", "FS=MRC", "CURRENCY=USD", "XLFILL=b")</f>
        <v/>
      </c>
      <c r="AP105" s="9" t="str">
        <f>_xll.BQL("CRM US Equity", "IS_AMORT_ACQD_INTANGIBLES_COGS/1M", "FPR=2022Y", "FPT=A", "FA_ACT_EST_DATA=E, EST_SOURCE=PSG", "ACT_EST_MAPPING=PRECISE", "FS=MRC", "CURRENCY=USD", "XLFILL=b")</f>
        <v/>
      </c>
      <c r="AQ105" s="9" t="str">
        <f>_xll.BQL("CRM US Equity", "IS_AMORT_ACQD_INTANGIBLES_COGS/1M", "FPR=2022Y", "FPT=A", "FA_ACT_EST_DATA=E, EST_SOURCE=DWI", "ACT_EST_MAPPING=PRECISE", "FS=MRC", "CURRENCY=USD", "XLFILL=b")</f>
        <v/>
      </c>
      <c r="AR105" s="9" t="str">
        <f>_xll.BQL("CRM US Equity", "IS_AMORT_ACQD_INTANGIBLES_COGS/1M", "FPR=2022Y", "FPT=A", "FA_ACT_EST_DATA=E, EST_SOURCE=RWB", "ACT_EST_MAPPING=PRECISE", "FS=MRC", "CURRENCY=USD", "XLFILL=b")</f>
        <v/>
      </c>
      <c r="AS105" s="9" t="str">
        <f>_xll.BQL("CRM US Equity", "IS_AMORT_ACQD_INTANGIBLES_COGS/1M", "FPR=2022Y", "FPT=A", "FA_ACT_EST_DATA=E, EST_SOURCE=ARG", "ACT_EST_MAPPING=PRECISE", "FS=MRC", "CURRENCY=USD", "XLFILL=b")</f>
        <v/>
      </c>
      <c r="AT105" s="9" t="str">
        <f>_xll.BQL("CRM US Equity", "IS_AMORT_ACQD_INTANGIBLES_COGS/1M", "FPR=2022Y", "FPT=A", "FA_ACT_EST_DATA=E, EST_SOURCE=CTI", "ACT_EST_MAPPING=PRECISE", "FS=MRC", "CURRENCY=USD", "XLFILL=b")</f>
        <v/>
      </c>
      <c r="AU105" s="9" t="str">
        <f>_xll.BQL("CRM US Equity", "IS_AMORT_ACQD_INTANGIBLES_COGS/1M", "FPR=2022Y", "FPT=A", "FA_ACT_EST_DATA=E, EST_SOURCE=WFT", "ACT_EST_MAPPING=PRECISE", "FS=MRC", "CURRENCY=USD", "XLFILL=b")</f>
        <v/>
      </c>
      <c r="AV105" s="9" t="str">
        <f>_xll.BQL("CRM US Equity", "IS_AMORT_ACQD_INTANGIBLES_COGS/1M", "FPR=2022Y", "FPT=A", "FA_ACT_EST_DATA=E, EST_SOURCE=PJE", "ACT_EST_MAPPING=PRECISE", "FS=MRC", "CURRENCY=USD", "XLFILL=b")</f>
        <v/>
      </c>
      <c r="AW105" s="9" t="str">
        <f>_xll.BQL("CRM US Equity", "IS_AMORT_ACQD_INTANGIBLES_COGS/1M", "FPR=2022Y", "FPT=A", "FA_ACT_EST_DATA=E, EST_SOURCE=SGE", "ACT_EST_MAPPING=PRECISE", "FS=MRC", "CURRENCY=USD", "XLFILL=b")</f>
        <v/>
      </c>
      <c r="AX105" s="9" t="str">
        <f>_xll.BQL("CRM US Equity", "IS_AMORT_ACQD_INTANGIBLES_COGS/1M", "FPR=2022Y", "FPT=A", "FA_ACT_EST_DATA=E, EST_SOURCE=MZS", "ACT_EST_MAPPING=PRECISE", "FS=MRC", "CURRENCY=USD", "XLFILL=b")</f>
        <v/>
      </c>
      <c r="AY105" s="9" t="str">
        <f>_xll.BQL("CRM US Equity", "IS_AMORT_ACQD_INTANGIBLES_COGS/1M", "FPR=2022Y", "FPT=A", "FA_ACT_EST_DATA=E, EST_SOURCE=RCP", "ACT_EST_MAPPING=PRECISE", "FS=MRC", "CURRENCY=USD", "XLFILL=b")</f>
        <v/>
      </c>
      <c r="AZ105" s="9" t="str">
        <f>_xll.BQL("CRM US Equity", "IS_AMORT_ACQD_INTANGIBLES_COGS/1M", "FPR=2022Y", "FPT=A", "FA_ACT_EST_DATA=E, EST_SOURCE=WFR", "ACT_EST_MAPPING=PRECISE", "FS=MRC", "CURRENCY=USD", "XLFILL=b")</f>
        <v/>
      </c>
      <c r="BA105" s="9" t="str">
        <f>_xll.BQL("CRM US Equity", "IS_AMORT_ACQD_INTANGIBLES_COGS/1M", "FPR=2022Y", "FPT=A", "FA_ACT_EST_DATA=E, EST_SOURCE=NIK", "ACT_EST_MAPPING=PRECISE", "FS=MRC", "CURRENCY=USD", "XLFILL=b")</f>
        <v/>
      </c>
      <c r="BB105" s="9" t="str">
        <f>_xll.BQL("CRM US Equity", "IS_AMORT_ACQD_INTANGIBLES_COGS/1M", "FPR=2022Y", "FPT=A", "FA_ACT_EST_DATA=E, EST_SOURCE=ARE", "ACT_EST_MAPPING=PRECISE", "FS=MRC", "CURRENCY=USD", "XLFILL=b")</f>
        <v/>
      </c>
      <c r="BC105" s="9" t="str">
        <f>_xll.BQL("CRM US Equity", "IS_AMORT_ACQD_INTANGIBLES_COGS/1M", "FPR=2022Y", "FPT=A", "FA_ACT_EST_DATA=E, EST_SOURCE=RED", "ACT_EST_MAPPING=PRECISE", "FS=MRC", "CURRENCY=USD", "XLFILL=b")</f>
        <v/>
      </c>
      <c r="BD105" s="9" t="str">
        <f>_xll.BQL("CRM US Equity", "IS_AMORT_ACQD_INTANGIBLES_COGS/1M", "FPR=2022Y", "FPT=A", "FA_ACT_EST_DATA=E, EST_SOURCE=DIR", "ACT_EST_MAPPING=PRECISE", "FS=MRC", "CURRENCY=USD", "XLFILL=b")</f>
        <v/>
      </c>
    </row>
    <row r="106" spans="1:56" x14ac:dyDescent="0.55000000000000004">
      <c r="A106" s="8" t="s">
        <v>144</v>
      </c>
      <c r="B106" s="5" t="s">
        <v>183</v>
      </c>
      <c r="C106" s="5" t="s">
        <v>146</v>
      </c>
      <c r="D106" s="5"/>
      <c r="E106" s="9">
        <f>_xll.BQL("CRM US Equity", "IS_AMORT_ACQD_INTANG_S_AND_M/1M", "FPR=2022Y", "FPT=A", "FA_ACT_EST_DATA=E", "ACT_EST_MAPPING=PRECISE", "FS=MRC", "CURRENCY=USD", "XLFILL=b")</f>
        <v>721.84903058923885</v>
      </c>
      <c r="F106" s="9">
        <f>_xll.BQL("CRM US Equity", "CONTRIBUTOR_STATS(IS_AMORT_ACQD_INTANG_S_AND_M, MIN)/1M", "FPR=2022Y", "FPT=A", "FA_ACT_EST_DATA=E", "ACT_EST_MAPPING=PRECISE", "FS=MRC", "CURRENCY=USD", "XLFILL=b")</f>
        <v>704.78</v>
      </c>
      <c r="G106" s="9">
        <f>_xll.BQL("CRM US Equity", "CONTRIBUTOR_STATS(IS_AMORT_ACQD_INTANG_S_AND_M, MAX)/1M", "FPR=2022Y", "FPT=A", "FA_ACT_EST_DATA=E", "ACT_EST_MAPPING=PRECISE", "FS=MRC", "CURRENCY=USD", "XLFILL=b")</f>
        <v>736.94036000000006</v>
      </c>
      <c r="H106" s="9">
        <f>_xll.BQL("CRM US Equity", "CONTRIBUTOR_STATS(IS_AMORT_ACQD_INTANG_S_AND_M, STD)/1M", "FPR=2022Y", "FPT=A", "FA_ACT_EST_DATA=E", "ACT_EST_MAPPING=PRECISE", "FS=MRC", "CURRENCY=USD", "XLFILL=b")</f>
        <v>10.975420668013872</v>
      </c>
      <c r="I106" s="9">
        <f>_xll.BQL("CRM US Equity", "CONTRIBUTOR_STATS(IS_AMORT_ACQD_INTANG_S_AND_M, MEDIAN)/1M", "FPR=2022Y", "FPT=A", "FA_ACT_EST_DATA=E", "ACT_EST_MAPPING=PRECISE", "FS=MRC", "CURRENCY=USD", "XLFILL=b")</f>
        <v>721</v>
      </c>
      <c r="J106" s="9" t="str">
        <f>_xll.BQL("CRM US Equity", "IS_AMORT_ACQD_INTANG_S_AND_M/1M", "FPR=2022Y", "FPT=A", "FA_ACT_EST_DATA=E, EST_SOURCE=CMPY", "ACT_EST_MAPPING=PRECISE", "FS=MRC", "CURRENCY=USD", "XLFILL=b")</f>
        <v/>
      </c>
      <c r="K106" s="9" t="str">
        <f>_xll.BQL("CRM US Equity", "IS_AMORT_ACQD_INTANG_S_AND_M/1M", "FPR=2022Y", "FPT=A", "FA_ACT_EST_DATA=E, EST_SOURCE=WBL", "ACT_EST_MAPPING=PRECISE", "FS=MRC", "CURRENCY=USD", "XLFILL=b")</f>
        <v/>
      </c>
      <c r="L106" s="9" t="str">
        <f>_xll.BQL("CRM US Equity", "IS_AMORT_ACQD_INTANG_S_AND_M/1M", "FPR=2022Y", "FPT=A", "FA_ACT_EST_DATA=E, EST_SOURCE=BMO", "ACT_EST_MAPPING=PRECISE", "FS=MRC", "CURRENCY=USD", "XLFILL=b")</f>
        <v/>
      </c>
      <c r="M106" s="9">
        <f>_xll.BQL("CRM US Equity", "IS_AMORT_ACQD_INTANG_S_AND_M/1M", "FPR=2022Y", "FPT=A", "FA_ACT_EST_DATA=E, EST_SOURCE=BCA", "ACT_EST_MAPPING=PRECISE", "FS=MRC", "CURRENCY=USD", "XLFILL=b")</f>
        <v>716</v>
      </c>
      <c r="N106" s="9" t="str">
        <f>_xll.BQL("CRM US Equity", "IS_AMORT_ACQD_INTANG_S_AND_M/1M", "FPR=2022Y", "FPT=A", "FA_ACT_EST_DATA=E, EST_SOURCE=SNR", "ACT_EST_MAPPING=PRECISE", "FS=MRC", "CURRENCY=USD", "XLFILL=b")</f>
        <v/>
      </c>
      <c r="O106" s="9">
        <f>_xll.BQL("CRM US Equity", "IS_AMORT_ACQD_INTANG_S_AND_M/1M", "FPR=2022Y", "FPT=A", "FA_ACT_EST_DATA=E, EST_SOURCE=MSV", "ACT_EST_MAPPING=PRECISE", "FS=MRC", "CURRENCY=USD", "XLFILL=b")</f>
        <v>721</v>
      </c>
      <c r="P106" s="9">
        <f>_xll.BQL("CRM US Equity", "IS_AMORT_ACQD_INTANG_S_AND_M/1M", "FPR=2022Y", "FPT=A", "FA_ACT_EST_DATA=E, EST_SOURCE=DBG", "ACT_EST_MAPPING=PRECISE", "FS=MRC", "CURRENCY=USD", "XLFILL=b")</f>
        <v>704.78</v>
      </c>
      <c r="Q106" s="9" t="str">
        <f>_xll.BQL("CRM US Equity", "IS_AMORT_ACQD_INTANG_S_AND_M/1M", "FPR=2022Y", "FPT=A", "FA_ACT_EST_DATA=E, EST_SOURCE=NDH", "ACT_EST_MAPPING=PRECISE", "FS=MRC", "CURRENCY=USD", "XLFILL=b")</f>
        <v/>
      </c>
      <c r="R106" s="9" t="str">
        <f>_xll.BQL("CRM US Equity", "IS_AMORT_ACQD_INTANG_S_AND_M/1M", "FPR=2022Y", "FPT=A", "FA_ACT_EST_DATA=E, EST_SOURCE=CAN", "ACT_EST_MAPPING=PRECISE", "FS=MRC", "CURRENCY=USD", "XLFILL=b")</f>
        <v/>
      </c>
      <c r="S106" s="9" t="str">
        <f>_xll.BQL("CRM US Equity", "IS_AMORT_ACQD_INTANG_S_AND_M/1M", "FPR=2022Y", "FPT=A", "FA_ACT_EST_DATA=E, EST_SOURCE=SCB", "ACT_EST_MAPPING=PRECISE", "FS=MRC", "CURRENCY=USD", "XLFILL=b")</f>
        <v/>
      </c>
      <c r="T106" s="9" t="str">
        <f>_xll.BQL("CRM US Equity", "IS_AMORT_ACQD_INTANG_S_AND_M/1M", "FPR=2022Y", "FPT=A", "FA_ACT_EST_DATA=E, EST_SOURCE=JMP", "ACT_EST_MAPPING=PRECISE", "FS=MRC", "CURRENCY=USD", "XLFILL=b")</f>
        <v/>
      </c>
      <c r="U106" s="9" t="str">
        <f>_xll.BQL("CRM US Equity", "IS_AMORT_ACQD_INTANG_S_AND_M/1M", "FPR=2022Y", "FPT=A", "FA_ACT_EST_DATA=E, EST_SOURCE=RJA", "ACT_EST_MAPPING=PRECISE", "FS=MRC", "CURRENCY=USD", "XLFILL=b")</f>
        <v/>
      </c>
      <c r="V106" s="9" t="str">
        <f>_xll.BQL("CRM US Equity", "IS_AMORT_ACQD_INTANG_S_AND_M/1M", "FPR=2022Y", "FPT=A", "FA_ACT_EST_DATA=E, EST_SOURCE=OPY", "ACT_EST_MAPPING=PRECISE", "FS=MRC", "CURRENCY=USD", "XLFILL=b")</f>
        <v/>
      </c>
      <c r="W106" s="9" t="str">
        <f>_xll.BQL("CRM US Equity", "IS_AMORT_ACQD_INTANG_S_AND_M/1M", "FPR=2022Y", "FPT=A", "FA_ACT_EST_DATA=E, EST_SOURCE=JPM", "ACT_EST_MAPPING=PRECISE", "FS=MRC", "CURRENCY=USD", "XLFILL=b")</f>
        <v/>
      </c>
      <c r="X106" s="9">
        <f>_xll.BQL("CRM US Equity", "IS_AMORT_ACQD_INTANG_S_AND_M/1M", "FPR=2022Y", "FPT=A", "FA_ACT_EST_DATA=E, EST_SOURCE=FBC", "ACT_EST_MAPPING=PRECISE", "FS=MRC", "CURRENCY=USD", "XLFILL=b")</f>
        <v>687.12272727272727</v>
      </c>
      <c r="Y106" s="9">
        <f>_xll.BQL("CRM US Equity", "IS_AMORT_ACQD_INTANG_S_AND_M/1M", "FPR=2022Y", "FPT=A", "FA_ACT_EST_DATA=E, EST_SOURCE=WMS", "ACT_EST_MAPPING=PRECISE", "FS=MRC", "CURRENCY=USD", "XLFILL=b")</f>
        <v>645</v>
      </c>
      <c r="Z106" s="9">
        <f>_xll.BQL("CRM US Equity", "IS_AMORT_ACQD_INTANG_S_AND_M/1M", "FPR=2022Y", "FPT=A", "FA_ACT_EST_DATA=E, EST_SOURCE=KEY", "ACT_EST_MAPPING=PRECISE", "FS=MRC", "CURRENCY=USD", "XLFILL=b")</f>
        <v>678.04779938087768</v>
      </c>
      <c r="AA106" s="9" t="str">
        <f>_xll.BQL("CRM US Equity", "IS_AMORT_ACQD_INTANG_S_AND_M/1M", "FPR=2022Y", "FPT=A", "FA_ACT_EST_DATA=E, EST_SOURCE=LCM", "ACT_EST_MAPPING=PRECISE", "FS=MRC", "CURRENCY=USD", "XLFILL=b")</f>
        <v/>
      </c>
      <c r="AB106" s="9" t="str">
        <f>_xll.BQL("CRM US Equity", "IS_AMORT_ACQD_INTANG_S_AND_M/1M", "FPR=2022Y", "FPT=A", "FA_ACT_EST_DATA=E, EST_SOURCE=CWN", "ACT_EST_MAPPING=PRECISE", "FS=MRC", "CURRENCY=USD", "XLFILL=b")</f>
        <v/>
      </c>
      <c r="AC106" s="9" t="str">
        <f>_xll.BQL("CRM US Equity", "IS_AMORT_ACQD_INTANG_S_AND_M/1M", "FPR=2022Y", "FPT=A", "FA_ACT_EST_DATA=E, EST_SOURCE=BNS", "ACT_EST_MAPPING=PRECISE", "FS=MRC", "CURRENCY=USD", "XLFILL=b")</f>
        <v/>
      </c>
      <c r="AD106" s="9" t="str">
        <f>_xll.BQL("CRM US Equity", "IS_AMORT_ACQD_INTANG_S_AND_M/1M", "FPR=2022Y", "FPT=A", "FA_ACT_EST_DATA=E, EST_SOURCE=BAM", "ACT_EST_MAPPING=PRECISE", "FS=MRC", "CURRENCY=USD", "XLFILL=b")</f>
        <v/>
      </c>
      <c r="AE106" s="9" t="str">
        <f>_xll.BQL("CRM US Equity", "IS_AMORT_ACQD_INTANG_S_AND_M/1M", "FPR=2022Y", "FPT=A", "FA_ACT_EST_DATA=E, EST_SOURCE=RBC", "ACT_EST_MAPPING=PRECISE", "FS=MRC", "CURRENCY=USD", "XLFILL=b")</f>
        <v/>
      </c>
      <c r="AF106" s="9" t="str">
        <f>_xll.BQL("CRM US Equity", "IS_AMORT_ACQD_INTANG_S_AND_M/1M", "FPR=2022Y", "FPT=A", "FA_ACT_EST_DATA=E, EST_SOURCE=UBS", "ACT_EST_MAPPING=PRECISE", "FS=MRC", "CURRENCY=USD", "XLFILL=b")</f>
        <v/>
      </c>
      <c r="AG106" s="9" t="str">
        <f>_xll.BQL("CRM US Equity", "IS_AMORT_ACQD_INTANG_S_AND_M/1M", "FPR=2022Y", "FPT=A", "FA_ACT_EST_DATA=E, EST_SOURCE=RHR", "ACT_EST_MAPPING=PRECISE", "FS=MRC", "CURRENCY=USD", "XLFILL=b")</f>
        <v/>
      </c>
      <c r="AH106" s="9" t="str">
        <f>_xll.BQL("CRM US Equity", "IS_AMORT_ACQD_INTANG_S_AND_M/1M", "FPR=2022Y", "FPT=A", "FA_ACT_EST_DATA=E, EST_SOURCE=JEF", "ACT_EST_MAPPING=PRECISE", "FS=MRC", "CURRENCY=USD", "XLFILL=b")</f>
        <v/>
      </c>
      <c r="AI106" s="9" t="str">
        <f>_xll.BQL("CRM US Equity", "IS_AMORT_ACQD_INTANG_S_AND_M/1M", "FPR=2022Y", "FPT=A", "FA_ACT_EST_DATA=E, EST_SOURCE=ATL", "ACT_EST_MAPPING=PRECISE", "FS=MRC", "CURRENCY=USD", "XLFILL=b")</f>
        <v/>
      </c>
      <c r="AJ106" s="9" t="str">
        <f>_xll.BQL("CRM US Equity", "IS_AMORT_ACQD_INTANG_S_AND_M/1M", "FPR=2022Y", "FPT=A", "FA_ACT_EST_DATA=E, EST_SOURCE=MAC", "ACT_EST_MAPPING=PRECISE", "FS=MRC", "CURRENCY=USD", "XLFILL=b")</f>
        <v/>
      </c>
      <c r="AK106" s="9" t="str">
        <f>_xll.BQL("CRM US Equity", "IS_AMORT_ACQD_INTANG_S_AND_M/1M", "FPR=2022Y", "FPT=A", "FA_ACT_EST_DATA=E, EST_SOURCE=EVR", "ACT_EST_MAPPING=PRECISE", "FS=MRC", "CURRENCY=USD", "XLFILL=b")</f>
        <v/>
      </c>
      <c r="AL106" s="9" t="str">
        <f>_xll.BQL("CRM US Equity", "IS_AMORT_ACQD_INTANG_S_AND_M/1M", "FPR=2022Y", "FPT=A", "FA_ACT_EST_DATA=E, EST_SOURCE=MSR", "ACT_EST_MAPPING=PRECISE", "FS=MRC", "CURRENCY=USD", "XLFILL=b")</f>
        <v/>
      </c>
      <c r="AM106" s="9" t="str">
        <f>_xll.BQL("CRM US Equity", "IS_AMORT_ACQD_INTANG_S_AND_M/1M", "FPR=2022Y", "FPT=A", "FA_ACT_EST_DATA=E, EST_SOURCE=KGI", "ACT_EST_MAPPING=PRECISE", "FS=MRC", "CURRENCY=USD", "XLFILL=b")</f>
        <v/>
      </c>
      <c r="AN106" s="9" t="str">
        <f>_xll.BQL("CRM US Equity", "IS_AMORT_ACQD_INTANG_S_AND_M/1M", "FPR=2022Y", "FPT=A", "FA_ACT_EST_DATA=E, EST_SOURCE=ACC", "ACT_EST_MAPPING=PRECISE", "FS=MRC", "CURRENCY=USD", "XLFILL=b")</f>
        <v/>
      </c>
      <c r="AO106" s="9" t="str">
        <f>_xll.BQL("CRM US Equity", "IS_AMORT_ACQD_INTANG_S_AND_M/1M", "FPR=2022Y", "FPT=A", "FA_ACT_EST_DATA=E, EST_SOURCE=GSR", "ACT_EST_MAPPING=PRECISE", "FS=MRC", "CURRENCY=USD", "XLFILL=b")</f>
        <v/>
      </c>
      <c r="AP106" s="9" t="str">
        <f>_xll.BQL("CRM US Equity", "IS_AMORT_ACQD_INTANG_S_AND_M/1M", "FPR=2022Y", "FPT=A", "FA_ACT_EST_DATA=E, EST_SOURCE=PSG", "ACT_EST_MAPPING=PRECISE", "FS=MRC", "CURRENCY=USD", "XLFILL=b")</f>
        <v/>
      </c>
      <c r="AQ106" s="9" t="str">
        <f>_xll.BQL("CRM US Equity", "IS_AMORT_ACQD_INTANG_S_AND_M/1M", "FPR=2022Y", "FPT=A", "FA_ACT_EST_DATA=E, EST_SOURCE=DWI", "ACT_EST_MAPPING=PRECISE", "FS=MRC", "CURRENCY=USD", "XLFILL=b")</f>
        <v/>
      </c>
      <c r="AR106" s="9" t="str">
        <f>_xll.BQL("CRM US Equity", "IS_AMORT_ACQD_INTANG_S_AND_M/1M", "FPR=2022Y", "FPT=A", "FA_ACT_EST_DATA=E, EST_SOURCE=RWB", "ACT_EST_MAPPING=PRECISE", "FS=MRC", "CURRENCY=USD", "XLFILL=b")</f>
        <v/>
      </c>
      <c r="AS106" s="9" t="str">
        <f>_xll.BQL("CRM US Equity", "IS_AMORT_ACQD_INTANG_S_AND_M/1M", "FPR=2022Y", "FPT=A", "FA_ACT_EST_DATA=E, EST_SOURCE=ARG", "ACT_EST_MAPPING=PRECISE", "FS=MRC", "CURRENCY=USD", "XLFILL=b")</f>
        <v/>
      </c>
      <c r="AT106" s="9" t="str">
        <f>_xll.BQL("CRM US Equity", "IS_AMORT_ACQD_INTANG_S_AND_M/1M", "FPR=2022Y", "FPT=A", "FA_ACT_EST_DATA=E, EST_SOURCE=CTI", "ACT_EST_MAPPING=PRECISE", "FS=MRC", "CURRENCY=USD", "XLFILL=b")</f>
        <v/>
      </c>
      <c r="AU106" s="9" t="str">
        <f>_xll.BQL("CRM US Equity", "IS_AMORT_ACQD_INTANG_S_AND_M/1M", "FPR=2022Y", "FPT=A", "FA_ACT_EST_DATA=E, EST_SOURCE=WFT", "ACT_EST_MAPPING=PRECISE", "FS=MRC", "CURRENCY=USD", "XLFILL=b")</f>
        <v/>
      </c>
      <c r="AV106" s="9" t="str">
        <f>_xll.BQL("CRM US Equity", "IS_AMORT_ACQD_INTANG_S_AND_M/1M", "FPR=2022Y", "FPT=A", "FA_ACT_EST_DATA=E, EST_SOURCE=PJE", "ACT_EST_MAPPING=PRECISE", "FS=MRC", "CURRENCY=USD", "XLFILL=b")</f>
        <v/>
      </c>
      <c r="AW106" s="9" t="str">
        <f>_xll.BQL("CRM US Equity", "IS_AMORT_ACQD_INTANG_S_AND_M/1M", "FPR=2022Y", "FPT=A", "FA_ACT_EST_DATA=E, EST_SOURCE=SGE", "ACT_EST_MAPPING=PRECISE", "FS=MRC", "CURRENCY=USD", "XLFILL=b")</f>
        <v/>
      </c>
      <c r="AX106" s="9" t="str">
        <f>_xll.BQL("CRM US Equity", "IS_AMORT_ACQD_INTANG_S_AND_M/1M", "FPR=2022Y", "FPT=A", "FA_ACT_EST_DATA=E, EST_SOURCE=MZS", "ACT_EST_MAPPING=PRECISE", "FS=MRC", "CURRENCY=USD", "XLFILL=b")</f>
        <v/>
      </c>
      <c r="AY106" s="9" t="str">
        <f>_xll.BQL("CRM US Equity", "IS_AMORT_ACQD_INTANG_S_AND_M/1M", "FPR=2022Y", "FPT=A", "FA_ACT_EST_DATA=E, EST_SOURCE=RCP", "ACT_EST_MAPPING=PRECISE", "FS=MRC", "CURRENCY=USD", "XLFILL=b")</f>
        <v/>
      </c>
      <c r="AZ106" s="9" t="str">
        <f>_xll.BQL("CRM US Equity", "IS_AMORT_ACQD_INTANG_S_AND_M/1M", "FPR=2022Y", "FPT=A", "FA_ACT_EST_DATA=E, EST_SOURCE=WFR", "ACT_EST_MAPPING=PRECISE", "FS=MRC", "CURRENCY=USD", "XLFILL=b")</f>
        <v/>
      </c>
      <c r="BA106" s="9" t="str">
        <f>_xll.BQL("CRM US Equity", "IS_AMORT_ACQD_INTANG_S_AND_M/1M", "FPR=2022Y", "FPT=A", "FA_ACT_EST_DATA=E, EST_SOURCE=NIK", "ACT_EST_MAPPING=PRECISE", "FS=MRC", "CURRENCY=USD", "XLFILL=b")</f>
        <v/>
      </c>
      <c r="BB106" s="9" t="str">
        <f>_xll.BQL("CRM US Equity", "IS_AMORT_ACQD_INTANG_S_AND_M/1M", "FPR=2022Y", "FPT=A", "FA_ACT_EST_DATA=E, EST_SOURCE=ARE", "ACT_EST_MAPPING=PRECISE", "FS=MRC", "CURRENCY=USD", "XLFILL=b")</f>
        <v/>
      </c>
      <c r="BC106" s="9" t="str">
        <f>_xll.BQL("CRM US Equity", "IS_AMORT_ACQD_INTANG_S_AND_M/1M", "FPR=2022Y", "FPT=A", "FA_ACT_EST_DATA=E, EST_SOURCE=RED", "ACT_EST_MAPPING=PRECISE", "FS=MRC", "CURRENCY=USD", "XLFILL=b")</f>
        <v/>
      </c>
      <c r="BD106" s="9" t="str">
        <f>_xll.BQL("CRM US Equity", "IS_AMORT_ACQD_INTANG_S_AND_M/1M", "FPR=2022Y", "FPT=A", "FA_ACT_EST_DATA=E, EST_SOURCE=DIR", "ACT_EST_MAPPING=PRECISE", "FS=MRC", "CURRENCY=USD", "XLFILL=b")</f>
        <v/>
      </c>
    </row>
    <row r="107" spans="1:56" x14ac:dyDescent="0.55000000000000004">
      <c r="A107" s="8" t="s">
        <v>26</v>
      </c>
      <c r="B107" s="5"/>
      <c r="C107" s="5"/>
      <c r="D107" s="5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</row>
    <row r="108" spans="1:56" x14ac:dyDescent="0.55000000000000004">
      <c r="A108" s="8" t="s">
        <v>184</v>
      </c>
      <c r="B108" s="5"/>
      <c r="C108" s="5" t="s">
        <v>185</v>
      </c>
      <c r="D108" s="5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</row>
    <row r="109" spans="1:56" x14ac:dyDescent="0.55000000000000004">
      <c r="A109" s="8" t="s">
        <v>186</v>
      </c>
      <c r="B109" s="5"/>
      <c r="C109" s="5" t="s">
        <v>187</v>
      </c>
      <c r="D109" s="5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</row>
    <row r="110" spans="1:56" x14ac:dyDescent="0.55000000000000004">
      <c r="A110" s="8" t="s">
        <v>188</v>
      </c>
      <c r="B110" s="5" t="s">
        <v>189</v>
      </c>
      <c r="C110" s="5" t="s">
        <v>190</v>
      </c>
      <c r="D110" s="5"/>
      <c r="E110" s="9">
        <f>_xll.BQL("CRM US Equity", "BS_CUR_ASSET_REPORT/1M", "FPR=2022Y", "FPT=A", "FA_ACT_EST_DATA=E", "ACT_EST_MAPPING=PRECISE", "FS=MRC", "CURRENCY=USD", "XLFILL=b")</f>
        <v>23604.049497807799</v>
      </c>
      <c r="F110" s="9">
        <f>_xll.BQL("CRM US Equity", "CONTRIBUTOR_STATS(BS_CUR_ASSET_REPORT, MIN)/1M", "FPR=2022Y", "FPT=A", "FA_ACT_EST_DATA=E", "ACT_EST_MAPPING=PRECISE", "FS=MRC", "CURRENCY=USD", "XLFILL=b")</f>
        <v>19862.929349366728</v>
      </c>
      <c r="G110" s="9">
        <f>_xll.BQL("CRM US Equity", "CONTRIBUTOR_STATS(BS_CUR_ASSET_REPORT, MAX)/1M", "FPR=2022Y", "FPT=A", "FA_ACT_EST_DATA=E", "ACT_EST_MAPPING=PRECISE", "FS=MRC", "CURRENCY=USD", "XLFILL=b")</f>
        <v>30616.198705790281</v>
      </c>
      <c r="H110" s="9">
        <f>_xll.BQL("CRM US Equity", "CONTRIBUTOR_STATS(BS_CUR_ASSET_REPORT, STD)/1M", "FPR=2022Y", "FPT=A", "FA_ACT_EST_DATA=E", "ACT_EST_MAPPING=PRECISE", "FS=MRC", "CURRENCY=USD", "XLFILL=b")</f>
        <v>2467.7017018614451</v>
      </c>
      <c r="I110" s="9">
        <f>_xll.BQL("CRM US Equity", "CONTRIBUTOR_STATS(BS_CUR_ASSET_REPORT, MEDIAN)/1M", "FPR=2022Y", "FPT=A", "FA_ACT_EST_DATA=E", "ACT_EST_MAPPING=PRECISE", "FS=MRC", "CURRENCY=USD", "XLFILL=b")</f>
        <v>23428.928556752911</v>
      </c>
      <c r="J110" s="9" t="str">
        <f>_xll.BQL("CRM US Equity", "BS_CUR_ASSET_REPORT/1M", "FPR=2022Y", "FPT=A", "FA_ACT_EST_DATA=E, EST_SOURCE=CMPY", "ACT_EST_MAPPING=PRECISE", "FS=MRC", "CURRENCY=USD", "XLFILL=b")</f>
        <v/>
      </c>
      <c r="K110" s="9" t="str">
        <f>_xll.BQL("CRM US Equity", "BS_CUR_ASSET_REPORT/1M", "FPR=2022Y", "FPT=A", "FA_ACT_EST_DATA=E, EST_SOURCE=WBL", "ACT_EST_MAPPING=PRECISE", "FS=MRC", "CURRENCY=USD", "XLFILL=b")</f>
        <v/>
      </c>
      <c r="L110" s="9" t="str">
        <f>_xll.BQL("CRM US Equity", "BS_CUR_ASSET_REPORT/1M", "FPR=2022Y", "FPT=A", "FA_ACT_EST_DATA=E, EST_SOURCE=BMO", "ACT_EST_MAPPING=PRECISE", "FS=MRC", "CURRENCY=USD", "XLFILL=b")</f>
        <v/>
      </c>
      <c r="M110" s="9">
        <f>_xll.BQL("CRM US Equity", "BS_CUR_ASSET_REPORT/1M", "FPR=2022Y", "FPT=A", "FA_ACT_EST_DATA=E, EST_SOURCE=BCA", "ACT_EST_MAPPING=PRECISE", "FS=MRC", "CURRENCY=USD", "XLFILL=b")</f>
        <v>23479.968883249141</v>
      </c>
      <c r="N110" s="9" t="str">
        <f>_xll.BQL("CRM US Equity", "BS_CUR_ASSET_REPORT/1M", "FPR=2022Y", "FPT=A", "FA_ACT_EST_DATA=E, EST_SOURCE=SNR", "ACT_EST_MAPPING=PRECISE", "FS=MRC", "CURRENCY=USD", "XLFILL=b")</f>
        <v/>
      </c>
      <c r="O110" s="9">
        <f>_xll.BQL("CRM US Equity", "BS_CUR_ASSET_REPORT/1M", "FPR=2022Y", "FPT=A", "FA_ACT_EST_DATA=E, EST_SOURCE=MSV", "ACT_EST_MAPPING=PRECISE", "FS=MRC", "CURRENCY=USD", "XLFILL=b")</f>
        <v>19862.929349366728</v>
      </c>
      <c r="P110" s="9">
        <f>_xll.BQL("CRM US Equity", "BS_CUR_ASSET_REPORT/1M", "FPR=2022Y", "FPT=A", "FA_ACT_EST_DATA=E, EST_SOURCE=DBG", "ACT_EST_MAPPING=PRECISE", "FS=MRC", "CURRENCY=USD", "XLFILL=b")</f>
        <v>22360.649085464749</v>
      </c>
      <c r="Q110" s="9">
        <f>_xll.BQL("CRM US Equity", "BS_CUR_ASSET_REPORT/1M", "FPR=2022Y", "FPT=A", "FA_ACT_EST_DATA=E, EST_SOURCE=NDH", "ACT_EST_MAPPING=PRECISE", "FS=MRC", "CURRENCY=USD", "XLFILL=b")</f>
        <v>24338.92715</v>
      </c>
      <c r="R110" s="9" t="str">
        <f>_xll.BQL("CRM US Equity", "BS_CUR_ASSET_REPORT/1M", "FPR=2022Y", "FPT=A", "FA_ACT_EST_DATA=E, EST_SOURCE=CAN", "ACT_EST_MAPPING=PRECISE", "FS=MRC", "CURRENCY=USD", "XLFILL=b")</f>
        <v/>
      </c>
      <c r="S110" s="9" t="str">
        <f>_xll.BQL("CRM US Equity", "BS_CUR_ASSET_REPORT/1M", "FPR=2022Y", "FPT=A", "FA_ACT_EST_DATA=E, EST_SOURCE=SCB", "ACT_EST_MAPPING=PRECISE", "FS=MRC", "CURRENCY=USD", "XLFILL=b")</f>
        <v/>
      </c>
      <c r="T110" s="9" t="str">
        <f>_xll.BQL("CRM US Equity", "BS_CUR_ASSET_REPORT/1M", "FPR=2022Y", "FPT=A", "FA_ACT_EST_DATA=E, EST_SOURCE=JMP", "ACT_EST_MAPPING=PRECISE", "FS=MRC", "CURRENCY=USD", "XLFILL=b")</f>
        <v/>
      </c>
      <c r="U110" s="9" t="str">
        <f>_xll.BQL("CRM US Equity", "BS_CUR_ASSET_REPORT/1M", "FPR=2022Y", "FPT=A", "FA_ACT_EST_DATA=E, EST_SOURCE=RJA", "ACT_EST_MAPPING=PRECISE", "FS=MRC", "CURRENCY=USD", "XLFILL=b")</f>
        <v/>
      </c>
      <c r="V110" s="9" t="str">
        <f>_xll.BQL("CRM US Equity", "BS_CUR_ASSET_REPORT/1M", "FPR=2022Y", "FPT=A", "FA_ACT_EST_DATA=E, EST_SOURCE=OPY", "ACT_EST_MAPPING=PRECISE", "FS=MRC", "CURRENCY=USD", "XLFILL=b")</f>
        <v/>
      </c>
      <c r="W110" s="9" t="str">
        <f>_xll.BQL("CRM US Equity", "BS_CUR_ASSET_REPORT/1M", "FPR=2022Y", "FPT=A", "FA_ACT_EST_DATA=E, EST_SOURCE=JPM", "ACT_EST_MAPPING=PRECISE", "FS=MRC", "CURRENCY=USD", "XLFILL=b")</f>
        <v/>
      </c>
      <c r="X110" s="9">
        <f>_xll.BQL("CRM US Equity", "BS_CUR_ASSET_REPORT/1M", "FPR=2022Y", "FPT=A", "FA_ACT_EST_DATA=E, EST_SOURCE=FBC", "ACT_EST_MAPPING=PRECISE", "FS=MRC", "CURRENCY=USD", "XLFILL=b")</f>
        <v>22400.162499030732</v>
      </c>
      <c r="Y110" s="9" t="str">
        <f>_xll.BQL("CRM US Equity", "BS_CUR_ASSET_REPORT/1M", "FPR=2022Y", "FPT=A", "FA_ACT_EST_DATA=E, EST_SOURCE=WMS", "ACT_EST_MAPPING=PRECISE", "FS=MRC", "CURRENCY=USD", "XLFILL=b")</f>
        <v/>
      </c>
      <c r="Z110" s="9">
        <f>_xll.BQL("CRM US Equity", "BS_CUR_ASSET_REPORT/1M", "FPR=2022Y", "FPT=A", "FA_ACT_EST_DATA=E, EST_SOURCE=KEY", "ACT_EST_MAPPING=PRECISE", "FS=MRC", "CURRENCY=USD", "XLFILL=b")</f>
        <v>22887.999146020662</v>
      </c>
      <c r="AA110" s="9" t="str">
        <f>_xll.BQL("CRM US Equity", "BS_CUR_ASSET_REPORT/1M", "FPR=2022Y", "FPT=A", "FA_ACT_EST_DATA=E, EST_SOURCE=LCM", "ACT_EST_MAPPING=PRECISE", "FS=MRC", "CURRENCY=USD", "XLFILL=b")</f>
        <v/>
      </c>
      <c r="AB110" s="9" t="str">
        <f>_xll.BQL("CRM US Equity", "BS_CUR_ASSET_REPORT/1M", "FPR=2022Y", "FPT=A", "FA_ACT_EST_DATA=E, EST_SOURCE=CWN", "ACT_EST_MAPPING=PRECISE", "FS=MRC", "CURRENCY=USD", "XLFILL=b")</f>
        <v/>
      </c>
      <c r="AC110" s="9" t="str">
        <f>_xll.BQL("CRM US Equity", "BS_CUR_ASSET_REPORT/1M", "FPR=2022Y", "FPT=A", "FA_ACT_EST_DATA=E, EST_SOURCE=BNS", "ACT_EST_MAPPING=PRECISE", "FS=MRC", "CURRENCY=USD", "XLFILL=b")</f>
        <v/>
      </c>
      <c r="AD110" s="9" t="str">
        <f>_xll.BQL("CRM US Equity", "BS_CUR_ASSET_REPORT/1M", "FPR=2022Y", "FPT=A", "FA_ACT_EST_DATA=E, EST_SOURCE=BAM", "ACT_EST_MAPPING=PRECISE", "FS=MRC", "CURRENCY=USD", "XLFILL=b")</f>
        <v/>
      </c>
      <c r="AE110" s="9" t="str">
        <f>_xll.BQL("CRM US Equity", "BS_CUR_ASSET_REPORT/1M", "FPR=2022Y", "FPT=A", "FA_ACT_EST_DATA=E, EST_SOURCE=RBC", "ACT_EST_MAPPING=PRECISE", "FS=MRC", "CURRENCY=USD", "XLFILL=b")</f>
        <v/>
      </c>
      <c r="AF110" s="9" t="str">
        <f>_xll.BQL("CRM US Equity", "BS_CUR_ASSET_REPORT/1M", "FPR=2022Y", "FPT=A", "FA_ACT_EST_DATA=E, EST_SOURCE=UBS", "ACT_EST_MAPPING=PRECISE", "FS=MRC", "CURRENCY=USD", "XLFILL=b")</f>
        <v/>
      </c>
      <c r="AG110" s="9" t="str">
        <f>_xll.BQL("CRM US Equity", "BS_CUR_ASSET_REPORT/1M", "FPR=2022Y", "FPT=A", "FA_ACT_EST_DATA=E, EST_SOURCE=RHR", "ACT_EST_MAPPING=PRECISE", "FS=MRC", "CURRENCY=USD", "XLFILL=b")</f>
        <v/>
      </c>
      <c r="AH110" s="9" t="str">
        <f>_xll.BQL("CRM US Equity", "BS_CUR_ASSET_REPORT/1M", "FPR=2022Y", "FPT=A", "FA_ACT_EST_DATA=E, EST_SOURCE=JEF", "ACT_EST_MAPPING=PRECISE", "FS=MRC", "CURRENCY=USD", "XLFILL=b")</f>
        <v/>
      </c>
      <c r="AI110" s="9" t="str">
        <f>_xll.BQL("CRM US Equity", "BS_CUR_ASSET_REPORT/1M", "FPR=2022Y", "FPT=A", "FA_ACT_EST_DATA=E, EST_SOURCE=ATL", "ACT_EST_MAPPING=PRECISE", "FS=MRC", "CURRENCY=USD", "XLFILL=b")</f>
        <v/>
      </c>
      <c r="AJ110" s="9" t="str">
        <f>_xll.BQL("CRM US Equity", "BS_CUR_ASSET_REPORT/1M", "FPR=2022Y", "FPT=A", "FA_ACT_EST_DATA=E, EST_SOURCE=MAC", "ACT_EST_MAPPING=PRECISE", "FS=MRC", "CURRENCY=USD", "XLFILL=b")</f>
        <v/>
      </c>
      <c r="AK110" s="9" t="str">
        <f>_xll.BQL("CRM US Equity", "BS_CUR_ASSET_REPORT/1M", "FPR=2022Y", "FPT=A", "FA_ACT_EST_DATA=E, EST_SOURCE=EVR", "ACT_EST_MAPPING=PRECISE", "FS=MRC", "CURRENCY=USD", "XLFILL=b")</f>
        <v/>
      </c>
      <c r="AL110" s="9" t="str">
        <f>_xll.BQL("CRM US Equity", "BS_CUR_ASSET_REPORT/1M", "FPR=2022Y", "FPT=A", "FA_ACT_EST_DATA=E, EST_SOURCE=MSR", "ACT_EST_MAPPING=PRECISE", "FS=MRC", "CURRENCY=USD", "XLFILL=b")</f>
        <v/>
      </c>
      <c r="AM110" s="9" t="str">
        <f>_xll.BQL("CRM US Equity", "BS_CUR_ASSET_REPORT/1M", "FPR=2022Y", "FPT=A", "FA_ACT_EST_DATA=E, EST_SOURCE=KGI", "ACT_EST_MAPPING=PRECISE", "FS=MRC", "CURRENCY=USD", "XLFILL=b")</f>
        <v/>
      </c>
      <c r="AN110" s="9" t="str">
        <f>_xll.BQL("CRM US Equity", "BS_CUR_ASSET_REPORT/1M", "FPR=2022Y", "FPT=A", "FA_ACT_EST_DATA=E, EST_SOURCE=ACC", "ACT_EST_MAPPING=PRECISE", "FS=MRC", "CURRENCY=USD", "XLFILL=b")</f>
        <v/>
      </c>
      <c r="AO110" s="9" t="str">
        <f>_xll.BQL("CRM US Equity", "BS_CUR_ASSET_REPORT/1M", "FPR=2022Y", "FPT=A", "FA_ACT_EST_DATA=E, EST_SOURCE=GSR", "ACT_EST_MAPPING=PRECISE", "FS=MRC", "CURRENCY=USD", "XLFILL=b")</f>
        <v/>
      </c>
      <c r="AP110" s="9" t="str">
        <f>_xll.BQL("CRM US Equity", "BS_CUR_ASSET_REPORT/1M", "FPR=2022Y", "FPT=A", "FA_ACT_EST_DATA=E, EST_SOURCE=PSG", "ACT_EST_MAPPING=PRECISE", "FS=MRC", "CURRENCY=USD", "XLFILL=b")</f>
        <v/>
      </c>
      <c r="AQ110" s="9" t="str">
        <f>_xll.BQL("CRM US Equity", "BS_CUR_ASSET_REPORT/1M", "FPR=2022Y", "FPT=A", "FA_ACT_EST_DATA=E, EST_SOURCE=DWI", "ACT_EST_MAPPING=PRECISE", "FS=MRC", "CURRENCY=USD", "XLFILL=b")</f>
        <v/>
      </c>
      <c r="AR110" s="9" t="str">
        <f>_xll.BQL("CRM US Equity", "BS_CUR_ASSET_REPORT/1M", "FPR=2022Y", "FPT=A", "FA_ACT_EST_DATA=E, EST_SOURCE=RWB", "ACT_EST_MAPPING=PRECISE", "FS=MRC", "CURRENCY=USD", "XLFILL=b")</f>
        <v/>
      </c>
      <c r="AS110" s="9" t="str">
        <f>_xll.BQL("CRM US Equity", "BS_CUR_ASSET_REPORT/1M", "FPR=2022Y", "FPT=A", "FA_ACT_EST_DATA=E, EST_SOURCE=ARG", "ACT_EST_MAPPING=PRECISE", "FS=MRC", "CURRENCY=USD", "XLFILL=b")</f>
        <v/>
      </c>
      <c r="AT110" s="9" t="str">
        <f>_xll.BQL("CRM US Equity", "BS_CUR_ASSET_REPORT/1M", "FPR=2022Y", "FPT=A", "FA_ACT_EST_DATA=E, EST_SOURCE=CTI", "ACT_EST_MAPPING=PRECISE", "FS=MRC", "CURRENCY=USD", "XLFILL=b")</f>
        <v/>
      </c>
      <c r="AU110" s="9" t="str">
        <f>_xll.BQL("CRM US Equity", "BS_CUR_ASSET_REPORT/1M", "FPR=2022Y", "FPT=A", "FA_ACT_EST_DATA=E, EST_SOURCE=WFT", "ACT_EST_MAPPING=PRECISE", "FS=MRC", "CURRENCY=USD", "XLFILL=b")</f>
        <v/>
      </c>
      <c r="AV110" s="9" t="str">
        <f>_xll.BQL("CRM US Equity", "BS_CUR_ASSET_REPORT/1M", "FPR=2022Y", "FPT=A", "FA_ACT_EST_DATA=E, EST_SOURCE=PJE", "ACT_EST_MAPPING=PRECISE", "FS=MRC", "CURRENCY=USD", "XLFILL=b")</f>
        <v/>
      </c>
      <c r="AW110" s="9" t="str">
        <f>_xll.BQL("CRM US Equity", "BS_CUR_ASSET_REPORT/1M", "FPR=2022Y", "FPT=A", "FA_ACT_EST_DATA=E, EST_SOURCE=SGE", "ACT_EST_MAPPING=PRECISE", "FS=MRC", "CURRENCY=USD", "XLFILL=b")</f>
        <v/>
      </c>
      <c r="AX110" s="9" t="str">
        <f>_xll.BQL("CRM US Equity", "BS_CUR_ASSET_REPORT/1M", "FPR=2022Y", "FPT=A", "FA_ACT_EST_DATA=E, EST_SOURCE=MZS", "ACT_EST_MAPPING=PRECISE", "FS=MRC", "CURRENCY=USD", "XLFILL=b")</f>
        <v/>
      </c>
      <c r="AY110" s="9" t="str">
        <f>_xll.BQL("CRM US Equity", "BS_CUR_ASSET_REPORT/1M", "FPR=2022Y", "FPT=A", "FA_ACT_EST_DATA=E, EST_SOURCE=RCP", "ACT_EST_MAPPING=PRECISE", "FS=MRC", "CURRENCY=USD", "XLFILL=b")</f>
        <v/>
      </c>
      <c r="AZ110" s="9" t="str">
        <f>_xll.BQL("CRM US Equity", "BS_CUR_ASSET_REPORT/1M", "FPR=2022Y", "FPT=A", "FA_ACT_EST_DATA=E, EST_SOURCE=WFR", "ACT_EST_MAPPING=PRECISE", "FS=MRC", "CURRENCY=USD", "XLFILL=b")</f>
        <v/>
      </c>
      <c r="BA110" s="9" t="str">
        <f>_xll.BQL("CRM US Equity", "BS_CUR_ASSET_REPORT/1M", "FPR=2022Y", "FPT=A", "FA_ACT_EST_DATA=E, EST_SOURCE=NIK", "ACT_EST_MAPPING=PRECISE", "FS=MRC", "CURRENCY=USD", "XLFILL=b")</f>
        <v/>
      </c>
      <c r="BB110" s="9" t="str">
        <f>_xll.BQL("CRM US Equity", "BS_CUR_ASSET_REPORT/1M", "FPR=2022Y", "FPT=A", "FA_ACT_EST_DATA=E, EST_SOURCE=ARE", "ACT_EST_MAPPING=PRECISE", "FS=MRC", "CURRENCY=USD", "XLFILL=b")</f>
        <v/>
      </c>
      <c r="BC110" s="9" t="str">
        <f>_xll.BQL("CRM US Equity", "BS_CUR_ASSET_REPORT/1M", "FPR=2022Y", "FPT=A", "FA_ACT_EST_DATA=E, EST_SOURCE=RED", "ACT_EST_MAPPING=PRECISE", "FS=MRC", "CURRENCY=USD", "XLFILL=b")</f>
        <v/>
      </c>
      <c r="BD110" s="9" t="str">
        <f>_xll.BQL("CRM US Equity", "BS_CUR_ASSET_REPORT/1M", "FPR=2022Y", "FPT=A", "FA_ACT_EST_DATA=E, EST_SOURCE=DIR", "ACT_EST_MAPPING=PRECISE", "FS=MRC", "CURRENCY=USD", "XLFILL=b")</f>
        <v/>
      </c>
    </row>
    <row r="111" spans="1:56" x14ac:dyDescent="0.55000000000000004">
      <c r="A111" s="8" t="s">
        <v>191</v>
      </c>
      <c r="B111" s="5" t="s">
        <v>192</v>
      </c>
      <c r="C111" s="5" t="s">
        <v>193</v>
      </c>
      <c r="D111" s="5"/>
      <c r="E111" s="9">
        <f>_xll.BQL("CRM US Equity", "BS_CASH_CASH_EQUIVALENTS_AND_STI/1M", "FPR=2022Y", "FPT=A", "FA_ACT_EST_DATA=E", "ACT_EST_MAPPING=PRECISE", "FS=MRC", "CURRENCY=USD", "XLFILL=b")</f>
        <v>11387.86878864053</v>
      </c>
      <c r="F111" s="9">
        <f>_xll.BQL("CRM US Equity", "CONTRIBUTOR_STATS(BS_CASH_CASH_EQUIVALENTS_AND_STI, MIN)/1M", "FPR=2022Y", "FPT=A", "FA_ACT_EST_DATA=E", "ACT_EST_MAPPING=PRECISE", "FS=MRC", "CURRENCY=USD", "XLFILL=b")</f>
        <v>10818.504903174999</v>
      </c>
      <c r="G111" s="9">
        <f>_xll.BQL("CRM US Equity", "CONTRIBUTOR_STATS(BS_CASH_CASH_EQUIVALENTS_AND_STI, MAX)/1M", "FPR=2022Y", "FPT=A", "FA_ACT_EST_DATA=E", "ACT_EST_MAPPING=PRECISE", "FS=MRC", "CURRENCY=USD", "XLFILL=b")</f>
        <v>12482.629150000001</v>
      </c>
      <c r="H111" s="9">
        <f>_xll.BQL("CRM US Equity", "CONTRIBUTOR_STATS(BS_CASH_CASH_EQUIVALENTS_AND_STI, STD)/1M", "FPR=2022Y", "FPT=A", "FA_ACT_EST_DATA=E", "ACT_EST_MAPPING=PRECISE", "FS=MRC", "CURRENCY=USD", "XLFILL=b")</f>
        <v>948.34512171416407</v>
      </c>
      <c r="I111" s="9">
        <f>_xll.BQL("CRM US Equity", "CONTRIBUTOR_STATS(BS_CASH_CASH_EQUIVALENTS_AND_STI, MEDIAN)/1M", "FPR=2022Y", "FPT=A", "FA_ACT_EST_DATA=E", "ACT_EST_MAPPING=PRECISE", "FS=MRC", "CURRENCY=USD", "XLFILL=b")</f>
        <v>10862.47231274658</v>
      </c>
      <c r="J111" s="9" t="str">
        <f>_xll.BQL("CRM US Equity", "BS_CASH_CASH_EQUIVALENTS_AND_STI/1M", "FPR=2022Y", "FPT=A", "FA_ACT_EST_DATA=E, EST_SOURCE=CMPY", "ACT_EST_MAPPING=PRECISE", "FS=MRC", "CURRENCY=USD", "XLFILL=b")</f>
        <v/>
      </c>
      <c r="K111" s="9" t="str">
        <f>_xll.BQL("CRM US Equity", "BS_CASH_CASH_EQUIVALENTS_AND_STI/1M", "FPR=2022Y", "FPT=A", "FA_ACT_EST_DATA=E, EST_SOURCE=WBL", "ACT_EST_MAPPING=PRECISE", "FS=MRC", "CURRENCY=USD", "XLFILL=b")</f>
        <v/>
      </c>
      <c r="L111" s="9" t="str">
        <f>_xll.BQL("CRM US Equity", "BS_CASH_CASH_EQUIVALENTS_AND_STI/1M", "FPR=2022Y", "FPT=A", "FA_ACT_EST_DATA=E, EST_SOURCE=BMO", "ACT_EST_MAPPING=PRECISE", "FS=MRC", "CURRENCY=USD", "XLFILL=b")</f>
        <v/>
      </c>
      <c r="M111" s="9" t="str">
        <f>_xll.BQL("CRM US Equity", "BS_CASH_CASH_EQUIVALENTS_AND_STI/1M", "FPR=2022Y", "FPT=A", "FA_ACT_EST_DATA=E, EST_SOURCE=BCA", "ACT_EST_MAPPING=PRECISE", "FS=MRC", "CURRENCY=USD", "XLFILL=b")</f>
        <v/>
      </c>
      <c r="N111" s="9" t="str">
        <f>_xll.BQL("CRM US Equity", "BS_CASH_CASH_EQUIVALENTS_AND_STI/1M", "FPR=2022Y", "FPT=A", "FA_ACT_EST_DATA=E, EST_SOURCE=SNR", "ACT_EST_MAPPING=PRECISE", "FS=MRC", "CURRENCY=USD", "XLFILL=b")</f>
        <v/>
      </c>
      <c r="O111" s="9" t="str">
        <f>_xll.BQL("CRM US Equity", "BS_CASH_CASH_EQUIVALENTS_AND_STI/1M", "FPR=2022Y", "FPT=A", "FA_ACT_EST_DATA=E, EST_SOURCE=MSV", "ACT_EST_MAPPING=PRECISE", "FS=MRC", "CURRENCY=USD", "XLFILL=b")</f>
        <v/>
      </c>
      <c r="P111" s="9" t="str">
        <f>_xll.BQL("CRM US Equity", "BS_CASH_CASH_EQUIVALENTS_AND_STI/1M", "FPR=2022Y", "FPT=A", "FA_ACT_EST_DATA=E, EST_SOURCE=DBG", "ACT_EST_MAPPING=PRECISE", "FS=MRC", "CURRENCY=USD", "XLFILL=b")</f>
        <v/>
      </c>
      <c r="Q111" s="9">
        <f>_xll.BQL("CRM US Equity", "BS_CASH_CASH_EQUIVALENTS_AND_STI/1M", "FPR=2022Y", "FPT=A", "FA_ACT_EST_DATA=E, EST_SOURCE=NDH", "ACT_EST_MAPPING=PRECISE", "FS=MRC", "CURRENCY=USD", "XLFILL=b")</f>
        <v>12482.629150000001</v>
      </c>
      <c r="R111" s="9" t="str">
        <f>_xll.BQL("CRM US Equity", "BS_CASH_CASH_EQUIVALENTS_AND_STI/1M", "FPR=2022Y", "FPT=A", "FA_ACT_EST_DATA=E, EST_SOURCE=CAN", "ACT_EST_MAPPING=PRECISE", "FS=MRC", "CURRENCY=USD", "XLFILL=b")</f>
        <v/>
      </c>
      <c r="S111" s="9" t="str">
        <f>_xll.BQL("CRM US Equity", "BS_CASH_CASH_EQUIVALENTS_AND_STI/1M", "FPR=2022Y", "FPT=A", "FA_ACT_EST_DATA=E, EST_SOURCE=SCB", "ACT_EST_MAPPING=PRECISE", "FS=MRC", "CURRENCY=USD", "XLFILL=b")</f>
        <v/>
      </c>
      <c r="T111" s="9" t="str">
        <f>_xll.BQL("CRM US Equity", "BS_CASH_CASH_EQUIVALENTS_AND_STI/1M", "FPR=2022Y", "FPT=A", "FA_ACT_EST_DATA=E, EST_SOURCE=JMP", "ACT_EST_MAPPING=PRECISE", "FS=MRC", "CURRENCY=USD", "XLFILL=b")</f>
        <v/>
      </c>
      <c r="U111" s="9" t="str">
        <f>_xll.BQL("CRM US Equity", "BS_CASH_CASH_EQUIVALENTS_AND_STI/1M", "FPR=2022Y", "FPT=A", "FA_ACT_EST_DATA=E, EST_SOURCE=RJA", "ACT_EST_MAPPING=PRECISE", "FS=MRC", "CURRENCY=USD", "XLFILL=b")</f>
        <v/>
      </c>
      <c r="V111" s="9" t="str">
        <f>_xll.BQL("CRM US Equity", "BS_CASH_CASH_EQUIVALENTS_AND_STI/1M", "FPR=2022Y", "FPT=A", "FA_ACT_EST_DATA=E, EST_SOURCE=OPY", "ACT_EST_MAPPING=PRECISE", "FS=MRC", "CURRENCY=USD", "XLFILL=b")</f>
        <v/>
      </c>
      <c r="W111" s="9" t="str">
        <f>_xll.BQL("CRM US Equity", "BS_CASH_CASH_EQUIVALENTS_AND_STI/1M", "FPR=2022Y", "FPT=A", "FA_ACT_EST_DATA=E, EST_SOURCE=JPM", "ACT_EST_MAPPING=PRECISE", "FS=MRC", "CURRENCY=USD", "XLFILL=b")</f>
        <v/>
      </c>
      <c r="X111" s="9">
        <f>_xll.BQL("CRM US Equity", "BS_CASH_CASH_EQUIVALENTS_AND_STI/1M", "FPR=2022Y", "FPT=A", "FA_ACT_EST_DATA=E, EST_SOURCE=FBC", "ACT_EST_MAPPING=PRECISE", "FS=MRC", "CURRENCY=USD", "XLFILL=b")</f>
        <v>11087.45667126588</v>
      </c>
      <c r="Y111" s="9">
        <f>_xll.BQL("CRM US Equity", "BS_CASH_CASH_EQUIVALENTS_AND_STI/1M", "FPR=2022Y", "FPT=A", "FA_ACT_EST_DATA=E, EST_SOURCE=WMS", "ACT_EST_MAPPING=PRECISE", "FS=MRC", "CURRENCY=USD", "XLFILL=b")</f>
        <v>20682.094814150361</v>
      </c>
      <c r="Z111" s="9">
        <f>_xll.BQL("CRM US Equity", "BS_CASH_CASH_EQUIVALENTS_AND_STI/1M", "FPR=2022Y", "FPT=A", "FA_ACT_EST_DATA=E, EST_SOURCE=KEY", "ACT_EST_MAPPING=PRECISE", "FS=MRC", "CURRENCY=USD", "XLFILL=b")</f>
        <v>11192.494451247891</v>
      </c>
      <c r="AA111" s="9" t="str">
        <f>_xll.BQL("CRM US Equity", "BS_CASH_CASH_EQUIVALENTS_AND_STI/1M", "FPR=2022Y", "FPT=A", "FA_ACT_EST_DATA=E, EST_SOURCE=LCM", "ACT_EST_MAPPING=PRECISE", "FS=MRC", "CURRENCY=USD", "XLFILL=b")</f>
        <v/>
      </c>
      <c r="AB111" s="9" t="str">
        <f>_xll.BQL("CRM US Equity", "BS_CASH_CASH_EQUIVALENTS_AND_STI/1M", "FPR=2022Y", "FPT=A", "FA_ACT_EST_DATA=E, EST_SOURCE=CWN", "ACT_EST_MAPPING=PRECISE", "FS=MRC", "CURRENCY=USD", "XLFILL=b")</f>
        <v/>
      </c>
      <c r="AC111" s="9" t="str">
        <f>_xll.BQL("CRM US Equity", "BS_CASH_CASH_EQUIVALENTS_AND_STI/1M", "FPR=2022Y", "FPT=A", "FA_ACT_EST_DATA=E, EST_SOURCE=BNS", "ACT_EST_MAPPING=PRECISE", "FS=MRC", "CURRENCY=USD", "XLFILL=b")</f>
        <v/>
      </c>
      <c r="AD111" s="9" t="str">
        <f>_xll.BQL("CRM US Equity", "BS_CASH_CASH_EQUIVALENTS_AND_STI/1M", "FPR=2022Y", "FPT=A", "FA_ACT_EST_DATA=E, EST_SOURCE=BAM", "ACT_EST_MAPPING=PRECISE", "FS=MRC", "CURRENCY=USD", "XLFILL=b")</f>
        <v/>
      </c>
      <c r="AE111" s="9" t="str">
        <f>_xll.BQL("CRM US Equity", "BS_CASH_CASH_EQUIVALENTS_AND_STI/1M", "FPR=2022Y", "FPT=A", "FA_ACT_EST_DATA=E, EST_SOURCE=RBC", "ACT_EST_MAPPING=PRECISE", "FS=MRC", "CURRENCY=USD", "XLFILL=b")</f>
        <v/>
      </c>
      <c r="AF111" s="9" t="str">
        <f>_xll.BQL("CRM US Equity", "BS_CASH_CASH_EQUIVALENTS_AND_STI/1M", "FPR=2022Y", "FPT=A", "FA_ACT_EST_DATA=E, EST_SOURCE=UBS", "ACT_EST_MAPPING=PRECISE", "FS=MRC", "CURRENCY=USD", "XLFILL=b")</f>
        <v/>
      </c>
      <c r="AG111" s="9" t="str">
        <f>_xll.BQL("CRM US Equity", "BS_CASH_CASH_EQUIVALENTS_AND_STI/1M", "FPR=2022Y", "FPT=A", "FA_ACT_EST_DATA=E, EST_SOURCE=RHR", "ACT_EST_MAPPING=PRECISE", "FS=MRC", "CURRENCY=USD", "XLFILL=b")</f>
        <v/>
      </c>
      <c r="AH111" s="9" t="str">
        <f>_xll.BQL("CRM US Equity", "BS_CASH_CASH_EQUIVALENTS_AND_STI/1M", "FPR=2022Y", "FPT=A", "FA_ACT_EST_DATA=E, EST_SOURCE=JEF", "ACT_EST_MAPPING=PRECISE", "FS=MRC", "CURRENCY=USD", "XLFILL=b")</f>
        <v/>
      </c>
      <c r="AI111" s="9" t="str">
        <f>_xll.BQL("CRM US Equity", "BS_CASH_CASH_EQUIVALENTS_AND_STI/1M", "FPR=2022Y", "FPT=A", "FA_ACT_EST_DATA=E, EST_SOURCE=ATL", "ACT_EST_MAPPING=PRECISE", "FS=MRC", "CURRENCY=USD", "XLFILL=b")</f>
        <v/>
      </c>
      <c r="AJ111" s="9" t="str">
        <f>_xll.BQL("CRM US Equity", "BS_CASH_CASH_EQUIVALENTS_AND_STI/1M", "FPR=2022Y", "FPT=A", "FA_ACT_EST_DATA=E, EST_SOURCE=MAC", "ACT_EST_MAPPING=PRECISE", "FS=MRC", "CURRENCY=USD", "XLFILL=b")</f>
        <v/>
      </c>
      <c r="AK111" s="9" t="str">
        <f>_xll.BQL("CRM US Equity", "BS_CASH_CASH_EQUIVALENTS_AND_STI/1M", "FPR=2022Y", "FPT=A", "FA_ACT_EST_DATA=E, EST_SOURCE=EVR", "ACT_EST_MAPPING=PRECISE", "FS=MRC", "CURRENCY=USD", "XLFILL=b")</f>
        <v/>
      </c>
      <c r="AL111" s="9" t="str">
        <f>_xll.BQL("CRM US Equity", "BS_CASH_CASH_EQUIVALENTS_AND_STI/1M", "FPR=2022Y", "FPT=A", "FA_ACT_EST_DATA=E, EST_SOURCE=MSR", "ACT_EST_MAPPING=PRECISE", "FS=MRC", "CURRENCY=USD", "XLFILL=b")</f>
        <v/>
      </c>
      <c r="AM111" s="9" t="str">
        <f>_xll.BQL("CRM US Equity", "BS_CASH_CASH_EQUIVALENTS_AND_STI/1M", "FPR=2022Y", "FPT=A", "FA_ACT_EST_DATA=E, EST_SOURCE=KGI", "ACT_EST_MAPPING=PRECISE", "FS=MRC", "CURRENCY=USD", "XLFILL=b")</f>
        <v/>
      </c>
      <c r="AN111" s="9" t="str">
        <f>_xll.BQL("CRM US Equity", "BS_CASH_CASH_EQUIVALENTS_AND_STI/1M", "FPR=2022Y", "FPT=A", "FA_ACT_EST_DATA=E, EST_SOURCE=ACC", "ACT_EST_MAPPING=PRECISE", "FS=MRC", "CURRENCY=USD", "XLFILL=b")</f>
        <v/>
      </c>
      <c r="AO111" s="9" t="str">
        <f>_xll.BQL("CRM US Equity", "BS_CASH_CASH_EQUIVALENTS_AND_STI/1M", "FPR=2022Y", "FPT=A", "FA_ACT_EST_DATA=E, EST_SOURCE=GSR", "ACT_EST_MAPPING=PRECISE", "FS=MRC", "CURRENCY=USD", "XLFILL=b")</f>
        <v/>
      </c>
      <c r="AP111" s="9" t="str">
        <f>_xll.BQL("CRM US Equity", "BS_CASH_CASH_EQUIVALENTS_AND_STI/1M", "FPR=2022Y", "FPT=A", "FA_ACT_EST_DATA=E, EST_SOURCE=PSG", "ACT_EST_MAPPING=PRECISE", "FS=MRC", "CURRENCY=USD", "XLFILL=b")</f>
        <v/>
      </c>
      <c r="AQ111" s="9" t="str">
        <f>_xll.BQL("CRM US Equity", "BS_CASH_CASH_EQUIVALENTS_AND_STI/1M", "FPR=2022Y", "FPT=A", "FA_ACT_EST_DATA=E, EST_SOURCE=DWI", "ACT_EST_MAPPING=PRECISE", "FS=MRC", "CURRENCY=USD", "XLFILL=b")</f>
        <v/>
      </c>
      <c r="AR111" s="9" t="str">
        <f>_xll.BQL("CRM US Equity", "BS_CASH_CASH_EQUIVALENTS_AND_STI/1M", "FPR=2022Y", "FPT=A", "FA_ACT_EST_DATA=E, EST_SOURCE=RWB", "ACT_EST_MAPPING=PRECISE", "FS=MRC", "CURRENCY=USD", "XLFILL=b")</f>
        <v/>
      </c>
      <c r="AS111" s="9" t="str">
        <f>_xll.BQL("CRM US Equity", "BS_CASH_CASH_EQUIVALENTS_AND_STI/1M", "FPR=2022Y", "FPT=A", "FA_ACT_EST_DATA=E, EST_SOURCE=ARG", "ACT_EST_MAPPING=PRECISE", "FS=MRC", "CURRENCY=USD", "XLFILL=b")</f>
        <v/>
      </c>
      <c r="AT111" s="9" t="str">
        <f>_xll.BQL("CRM US Equity", "BS_CASH_CASH_EQUIVALENTS_AND_STI/1M", "FPR=2022Y", "FPT=A", "FA_ACT_EST_DATA=E, EST_SOURCE=CTI", "ACT_EST_MAPPING=PRECISE", "FS=MRC", "CURRENCY=USD", "XLFILL=b")</f>
        <v/>
      </c>
      <c r="AU111" s="9" t="str">
        <f>_xll.BQL("CRM US Equity", "BS_CASH_CASH_EQUIVALENTS_AND_STI/1M", "FPR=2022Y", "FPT=A", "FA_ACT_EST_DATA=E, EST_SOURCE=WFT", "ACT_EST_MAPPING=PRECISE", "FS=MRC", "CURRENCY=USD", "XLFILL=b")</f>
        <v/>
      </c>
      <c r="AV111" s="9" t="str">
        <f>_xll.BQL("CRM US Equity", "BS_CASH_CASH_EQUIVALENTS_AND_STI/1M", "FPR=2022Y", "FPT=A", "FA_ACT_EST_DATA=E, EST_SOURCE=PJE", "ACT_EST_MAPPING=PRECISE", "FS=MRC", "CURRENCY=USD", "XLFILL=b")</f>
        <v/>
      </c>
      <c r="AW111" s="9" t="str">
        <f>_xll.BQL("CRM US Equity", "BS_CASH_CASH_EQUIVALENTS_AND_STI/1M", "FPR=2022Y", "FPT=A", "FA_ACT_EST_DATA=E, EST_SOURCE=SGE", "ACT_EST_MAPPING=PRECISE", "FS=MRC", "CURRENCY=USD", "XLFILL=b")</f>
        <v/>
      </c>
      <c r="AX111" s="9" t="str">
        <f>_xll.BQL("CRM US Equity", "BS_CASH_CASH_EQUIVALENTS_AND_STI/1M", "FPR=2022Y", "FPT=A", "FA_ACT_EST_DATA=E, EST_SOURCE=MZS", "ACT_EST_MAPPING=PRECISE", "FS=MRC", "CURRENCY=USD", "XLFILL=b")</f>
        <v/>
      </c>
      <c r="AY111" s="9" t="str">
        <f>_xll.BQL("CRM US Equity", "BS_CASH_CASH_EQUIVALENTS_AND_STI/1M", "FPR=2022Y", "FPT=A", "FA_ACT_EST_DATA=E, EST_SOURCE=RCP", "ACT_EST_MAPPING=PRECISE", "FS=MRC", "CURRENCY=USD", "XLFILL=b")</f>
        <v/>
      </c>
      <c r="AZ111" s="9" t="str">
        <f>_xll.BQL("CRM US Equity", "BS_CASH_CASH_EQUIVALENTS_AND_STI/1M", "FPR=2022Y", "FPT=A", "FA_ACT_EST_DATA=E, EST_SOURCE=WFR", "ACT_EST_MAPPING=PRECISE", "FS=MRC", "CURRENCY=USD", "XLFILL=b")</f>
        <v/>
      </c>
      <c r="BA111" s="9" t="str">
        <f>_xll.BQL("CRM US Equity", "BS_CASH_CASH_EQUIVALENTS_AND_STI/1M", "FPR=2022Y", "FPT=A", "FA_ACT_EST_DATA=E, EST_SOURCE=NIK", "ACT_EST_MAPPING=PRECISE", "FS=MRC", "CURRENCY=USD", "XLFILL=b")</f>
        <v/>
      </c>
      <c r="BB111" s="9" t="str">
        <f>_xll.BQL("CRM US Equity", "BS_CASH_CASH_EQUIVALENTS_AND_STI/1M", "FPR=2022Y", "FPT=A", "FA_ACT_EST_DATA=E, EST_SOURCE=ARE", "ACT_EST_MAPPING=PRECISE", "FS=MRC", "CURRENCY=USD", "XLFILL=b")</f>
        <v/>
      </c>
      <c r="BC111" s="9" t="str">
        <f>_xll.BQL("CRM US Equity", "BS_CASH_CASH_EQUIVALENTS_AND_STI/1M", "FPR=2022Y", "FPT=A", "FA_ACT_EST_DATA=E, EST_SOURCE=RED", "ACT_EST_MAPPING=PRECISE", "FS=MRC", "CURRENCY=USD", "XLFILL=b")</f>
        <v/>
      </c>
      <c r="BD111" s="9" t="str">
        <f>_xll.BQL("CRM US Equity", "BS_CASH_CASH_EQUIVALENTS_AND_STI/1M", "FPR=2022Y", "FPT=A", "FA_ACT_EST_DATA=E, EST_SOURCE=DIR", "ACT_EST_MAPPING=PRECISE", "FS=MRC", "CURRENCY=USD", "XLFILL=b")</f>
        <v/>
      </c>
    </row>
    <row r="112" spans="1:56" x14ac:dyDescent="0.55000000000000004">
      <c r="A112" s="8" t="s">
        <v>194</v>
      </c>
      <c r="B112" s="5" t="s">
        <v>195</v>
      </c>
      <c r="C112" s="5" t="s">
        <v>196</v>
      </c>
      <c r="D112" s="5"/>
      <c r="E112" s="9">
        <f>_xll.BQL("CRM US Equity", "BS_CASH_NEAR_CASH_ITEM/1M", "FPR=2022Y", "FPT=A", "FA_ACT_EST_DATA=E", "ACT_EST_MAPPING=PRECISE", "FS=MRC", "CURRENCY=USD", "XLFILL=b")</f>
        <v>6406.4677409735523</v>
      </c>
      <c r="F112" s="9">
        <f>_xll.BQL("CRM US Equity", "CONTRIBUTOR_STATS(BS_CASH_NEAR_CASH_ITEM, MIN)/1M", "FPR=2022Y", "FPT=A", "FA_ACT_EST_DATA=E", "ACT_EST_MAPPING=PRECISE", "FS=MRC", "CURRENCY=USD", "XLFILL=b")</f>
        <v>6180.5049031750023</v>
      </c>
      <c r="G112" s="9">
        <f>_xll.BQL("CRM US Equity", "CONTRIBUTOR_STATS(BS_CASH_NEAR_CASH_ITEM, MAX)/1M", "FPR=2022Y", "FPT=A", "FA_ACT_EST_DATA=E", "ACT_EST_MAPPING=PRECISE", "FS=MRC", "CURRENCY=USD", "XLFILL=b")</f>
        <v>7844.6291499999998</v>
      </c>
      <c r="H112" s="9">
        <f>_xll.BQL("CRM US Equity", "CONTRIBUTOR_STATS(BS_CASH_NEAR_CASH_ITEM, STD)/1M", "FPR=2022Y", "FPT=A", "FA_ACT_EST_DATA=E", "ACT_EST_MAPPING=PRECISE", "FS=MRC", "CURRENCY=USD", "XLFILL=b")</f>
        <v>541.26162342755993</v>
      </c>
      <c r="I112" s="9">
        <f>_xll.BQL("CRM US Equity", "CONTRIBUTOR_STATS(BS_CASH_NEAR_CASH_ITEM, MEDIAN)/1M", "FPR=2022Y", "FPT=A", "FA_ACT_EST_DATA=E", "ACT_EST_MAPPING=PRECISE", "FS=MRC", "CURRENCY=USD", "XLFILL=b")</f>
        <v>6221.5710327355901</v>
      </c>
      <c r="J112" s="9" t="str">
        <f>_xll.BQL("CRM US Equity", "BS_CASH_NEAR_CASH_ITEM/1M", "FPR=2022Y", "FPT=A", "FA_ACT_EST_DATA=E, EST_SOURCE=CMPY", "ACT_EST_MAPPING=PRECISE", "FS=MRC", "CURRENCY=USD", "XLFILL=b")</f>
        <v/>
      </c>
      <c r="K112" s="9" t="str">
        <f>_xll.BQL("CRM US Equity", "BS_CASH_NEAR_CASH_ITEM/1M", "FPR=2022Y", "FPT=A", "FA_ACT_EST_DATA=E, EST_SOURCE=WBL", "ACT_EST_MAPPING=PRECISE", "FS=MRC", "CURRENCY=USD", "XLFILL=b")</f>
        <v/>
      </c>
      <c r="L112" s="9" t="str">
        <f>_xll.BQL("CRM US Equity", "BS_CASH_NEAR_CASH_ITEM/1M", "FPR=2022Y", "FPT=A", "FA_ACT_EST_DATA=E, EST_SOURCE=BMO", "ACT_EST_MAPPING=PRECISE", "FS=MRC", "CURRENCY=USD", "XLFILL=b")</f>
        <v/>
      </c>
      <c r="M112" s="9">
        <f>_xll.BQL("CRM US Equity", "BS_CASH_NEAR_CASH_ITEM/1M", "FPR=2022Y", "FPT=A", "FA_ACT_EST_DATA=E, EST_SOURCE=BCA", "ACT_EST_MAPPING=PRECISE", "FS=MRC", "CURRENCY=USD", "XLFILL=b")</f>
        <v>6191.6802100140158</v>
      </c>
      <c r="N112" s="9" t="str">
        <f>_xll.BQL("CRM US Equity", "BS_CASH_NEAR_CASH_ITEM/1M", "FPR=2022Y", "FPT=A", "FA_ACT_EST_DATA=E, EST_SOURCE=SNR", "ACT_EST_MAPPING=PRECISE", "FS=MRC", "CURRENCY=USD", "XLFILL=b")</f>
        <v/>
      </c>
      <c r="O112" s="9">
        <f>_xll.BQL("CRM US Equity", "BS_CASH_NEAR_CASH_ITEM/1M", "FPR=2022Y", "FPT=A", "FA_ACT_EST_DATA=E, EST_SOURCE=MSV", "ACT_EST_MAPPING=PRECISE", "FS=MRC", "CURRENCY=USD", "XLFILL=b")</f>
        <v>10040.899011798349</v>
      </c>
      <c r="P112" s="9">
        <f>_xll.BQL("CRM US Equity", "BS_CASH_NEAR_CASH_ITEM/1M", "FPR=2022Y", "FPT=A", "FA_ACT_EST_DATA=E, EST_SOURCE=DBG", "ACT_EST_MAPPING=PRECISE", "FS=MRC", "CURRENCY=USD", "XLFILL=b")</f>
        <v>6221.5710327355901</v>
      </c>
      <c r="Q112" s="9">
        <f>_xll.BQL("CRM US Equity", "BS_CASH_NEAR_CASH_ITEM/1M", "FPR=2022Y", "FPT=A", "FA_ACT_EST_DATA=E, EST_SOURCE=NDH", "ACT_EST_MAPPING=PRECISE", "FS=MRC", "CURRENCY=USD", "XLFILL=b")</f>
        <v>7844.6291499999998</v>
      </c>
      <c r="R112" s="9" t="str">
        <f>_xll.BQL("CRM US Equity", "BS_CASH_NEAR_CASH_ITEM/1M", "FPR=2022Y", "FPT=A", "FA_ACT_EST_DATA=E, EST_SOURCE=CAN", "ACT_EST_MAPPING=PRECISE", "FS=MRC", "CURRENCY=USD", "XLFILL=b")</f>
        <v/>
      </c>
      <c r="S112" s="9" t="str">
        <f>_xll.BQL("CRM US Equity", "BS_CASH_NEAR_CASH_ITEM/1M", "FPR=2022Y", "FPT=A", "FA_ACT_EST_DATA=E, EST_SOURCE=SCB", "ACT_EST_MAPPING=PRECISE", "FS=MRC", "CURRENCY=USD", "XLFILL=b")</f>
        <v/>
      </c>
      <c r="T112" s="9" t="str">
        <f>_xll.BQL("CRM US Equity", "BS_CASH_NEAR_CASH_ITEM/1M", "FPR=2022Y", "FPT=A", "FA_ACT_EST_DATA=E, EST_SOURCE=JMP", "ACT_EST_MAPPING=PRECISE", "FS=MRC", "CURRENCY=USD", "XLFILL=b")</f>
        <v/>
      </c>
      <c r="U112" s="9" t="str">
        <f>_xll.BQL("CRM US Equity", "BS_CASH_NEAR_CASH_ITEM/1M", "FPR=2022Y", "FPT=A", "FA_ACT_EST_DATA=E, EST_SOURCE=RJA", "ACT_EST_MAPPING=PRECISE", "FS=MRC", "CURRENCY=USD", "XLFILL=b")</f>
        <v/>
      </c>
      <c r="V112" s="9" t="str">
        <f>_xll.BQL("CRM US Equity", "BS_CASH_NEAR_CASH_ITEM/1M", "FPR=2022Y", "FPT=A", "FA_ACT_EST_DATA=E, EST_SOURCE=OPY", "ACT_EST_MAPPING=PRECISE", "FS=MRC", "CURRENCY=USD", "XLFILL=b")</f>
        <v/>
      </c>
      <c r="W112" s="9" t="str">
        <f>_xll.BQL("CRM US Equity", "BS_CASH_NEAR_CASH_ITEM/1M", "FPR=2022Y", "FPT=A", "FA_ACT_EST_DATA=E, EST_SOURCE=JPM", "ACT_EST_MAPPING=PRECISE", "FS=MRC", "CURRENCY=USD", "XLFILL=b")</f>
        <v/>
      </c>
      <c r="X112" s="9">
        <f>_xll.BQL("CRM US Equity", "BS_CASH_NEAR_CASH_ITEM/1M", "FPR=2022Y", "FPT=A", "FA_ACT_EST_DATA=E, EST_SOURCE=FBC", "ACT_EST_MAPPING=PRECISE", "FS=MRC", "CURRENCY=USD", "XLFILL=b")</f>
        <v>12028.51475716339</v>
      </c>
      <c r="Y112" s="9">
        <f>_xll.BQL("CRM US Equity", "BS_CASH_NEAR_CASH_ITEM/1M", "FPR=2022Y", "FPT=A", "FA_ACT_EST_DATA=E, EST_SOURCE=WMS", "ACT_EST_MAPPING=PRECISE", "FS=MRC", "CURRENCY=USD", "XLFILL=b")</f>
        <v>15118.43681415036</v>
      </c>
      <c r="Z112" s="9">
        <f>_xll.BQL("CRM US Equity", "BS_CASH_NEAR_CASH_ITEM/1M", "FPR=2022Y", "FPT=A", "FA_ACT_EST_DATA=E, EST_SOURCE=KEY", "ACT_EST_MAPPING=PRECISE", "FS=MRC", "CURRENCY=USD", "XLFILL=b")</f>
        <v>7841.494451247886</v>
      </c>
      <c r="AA112" s="9" t="str">
        <f>_xll.BQL("CRM US Equity", "BS_CASH_NEAR_CASH_ITEM/1M", "FPR=2022Y", "FPT=A", "FA_ACT_EST_DATA=E, EST_SOURCE=LCM", "ACT_EST_MAPPING=PRECISE", "FS=MRC", "CURRENCY=USD", "XLFILL=b")</f>
        <v/>
      </c>
      <c r="AB112" s="9" t="str">
        <f>_xll.BQL("CRM US Equity", "BS_CASH_NEAR_CASH_ITEM/1M", "FPR=2022Y", "FPT=A", "FA_ACT_EST_DATA=E, EST_SOURCE=CWN", "ACT_EST_MAPPING=PRECISE", "FS=MRC", "CURRENCY=USD", "XLFILL=b")</f>
        <v/>
      </c>
      <c r="AC112" s="9" t="str">
        <f>_xll.BQL("CRM US Equity", "BS_CASH_NEAR_CASH_ITEM/1M", "FPR=2022Y", "FPT=A", "FA_ACT_EST_DATA=E, EST_SOURCE=BNS", "ACT_EST_MAPPING=PRECISE", "FS=MRC", "CURRENCY=USD", "XLFILL=b")</f>
        <v/>
      </c>
      <c r="AD112" s="9" t="str">
        <f>_xll.BQL("CRM US Equity", "BS_CASH_NEAR_CASH_ITEM/1M", "FPR=2022Y", "FPT=A", "FA_ACT_EST_DATA=E, EST_SOURCE=BAM", "ACT_EST_MAPPING=PRECISE", "FS=MRC", "CURRENCY=USD", "XLFILL=b")</f>
        <v/>
      </c>
      <c r="AE112" s="9" t="str">
        <f>_xll.BQL("CRM US Equity", "BS_CASH_NEAR_CASH_ITEM/1M", "FPR=2022Y", "FPT=A", "FA_ACT_EST_DATA=E, EST_SOURCE=RBC", "ACT_EST_MAPPING=PRECISE", "FS=MRC", "CURRENCY=USD", "XLFILL=b")</f>
        <v/>
      </c>
      <c r="AF112" s="9" t="str">
        <f>_xll.BQL("CRM US Equity", "BS_CASH_NEAR_CASH_ITEM/1M", "FPR=2022Y", "FPT=A", "FA_ACT_EST_DATA=E, EST_SOURCE=UBS", "ACT_EST_MAPPING=PRECISE", "FS=MRC", "CURRENCY=USD", "XLFILL=b")</f>
        <v/>
      </c>
      <c r="AG112" s="9" t="str">
        <f>_xll.BQL("CRM US Equity", "BS_CASH_NEAR_CASH_ITEM/1M", "FPR=2022Y", "FPT=A", "FA_ACT_EST_DATA=E, EST_SOURCE=RHR", "ACT_EST_MAPPING=PRECISE", "FS=MRC", "CURRENCY=USD", "XLFILL=b")</f>
        <v/>
      </c>
      <c r="AH112" s="9" t="str">
        <f>_xll.BQL("CRM US Equity", "BS_CASH_NEAR_CASH_ITEM/1M", "FPR=2022Y", "FPT=A", "FA_ACT_EST_DATA=E, EST_SOURCE=JEF", "ACT_EST_MAPPING=PRECISE", "FS=MRC", "CURRENCY=USD", "XLFILL=b")</f>
        <v/>
      </c>
      <c r="AI112" s="9" t="str">
        <f>_xll.BQL("CRM US Equity", "BS_CASH_NEAR_CASH_ITEM/1M", "FPR=2022Y", "FPT=A", "FA_ACT_EST_DATA=E, EST_SOURCE=ATL", "ACT_EST_MAPPING=PRECISE", "FS=MRC", "CURRENCY=USD", "XLFILL=b")</f>
        <v/>
      </c>
      <c r="AJ112" s="9" t="str">
        <f>_xll.BQL("CRM US Equity", "BS_CASH_NEAR_CASH_ITEM/1M", "FPR=2022Y", "FPT=A", "FA_ACT_EST_DATA=E, EST_SOURCE=MAC", "ACT_EST_MAPPING=PRECISE", "FS=MRC", "CURRENCY=USD", "XLFILL=b")</f>
        <v/>
      </c>
      <c r="AK112" s="9" t="str">
        <f>_xll.BQL("CRM US Equity", "BS_CASH_NEAR_CASH_ITEM/1M", "FPR=2022Y", "FPT=A", "FA_ACT_EST_DATA=E, EST_SOURCE=EVR", "ACT_EST_MAPPING=PRECISE", "FS=MRC", "CURRENCY=USD", "XLFILL=b")</f>
        <v/>
      </c>
      <c r="AL112" s="9" t="str">
        <f>_xll.BQL("CRM US Equity", "BS_CASH_NEAR_CASH_ITEM/1M", "FPR=2022Y", "FPT=A", "FA_ACT_EST_DATA=E, EST_SOURCE=MSR", "ACT_EST_MAPPING=PRECISE", "FS=MRC", "CURRENCY=USD", "XLFILL=b")</f>
        <v/>
      </c>
      <c r="AM112" s="9" t="str">
        <f>_xll.BQL("CRM US Equity", "BS_CASH_NEAR_CASH_ITEM/1M", "FPR=2022Y", "FPT=A", "FA_ACT_EST_DATA=E, EST_SOURCE=KGI", "ACT_EST_MAPPING=PRECISE", "FS=MRC", "CURRENCY=USD", "XLFILL=b")</f>
        <v/>
      </c>
      <c r="AN112" s="9" t="str">
        <f>_xll.BQL("CRM US Equity", "BS_CASH_NEAR_CASH_ITEM/1M", "FPR=2022Y", "FPT=A", "FA_ACT_EST_DATA=E, EST_SOURCE=ACC", "ACT_EST_MAPPING=PRECISE", "FS=MRC", "CURRENCY=USD", "XLFILL=b")</f>
        <v/>
      </c>
      <c r="AO112" s="9" t="str">
        <f>_xll.BQL("CRM US Equity", "BS_CASH_NEAR_CASH_ITEM/1M", "FPR=2022Y", "FPT=A", "FA_ACT_EST_DATA=E, EST_SOURCE=GSR", "ACT_EST_MAPPING=PRECISE", "FS=MRC", "CURRENCY=USD", "XLFILL=b")</f>
        <v/>
      </c>
      <c r="AP112" s="9" t="str">
        <f>_xll.BQL("CRM US Equity", "BS_CASH_NEAR_CASH_ITEM/1M", "FPR=2022Y", "FPT=A", "FA_ACT_EST_DATA=E, EST_SOURCE=PSG", "ACT_EST_MAPPING=PRECISE", "FS=MRC", "CURRENCY=USD", "XLFILL=b")</f>
        <v/>
      </c>
      <c r="AQ112" s="9" t="str">
        <f>_xll.BQL("CRM US Equity", "BS_CASH_NEAR_CASH_ITEM/1M", "FPR=2022Y", "FPT=A", "FA_ACT_EST_DATA=E, EST_SOURCE=DWI", "ACT_EST_MAPPING=PRECISE", "FS=MRC", "CURRENCY=USD", "XLFILL=b")</f>
        <v/>
      </c>
      <c r="AR112" s="9" t="str">
        <f>_xll.BQL("CRM US Equity", "BS_CASH_NEAR_CASH_ITEM/1M", "FPR=2022Y", "FPT=A", "FA_ACT_EST_DATA=E, EST_SOURCE=RWB", "ACT_EST_MAPPING=PRECISE", "FS=MRC", "CURRENCY=USD", "XLFILL=b")</f>
        <v/>
      </c>
      <c r="AS112" s="9" t="str">
        <f>_xll.BQL("CRM US Equity", "BS_CASH_NEAR_CASH_ITEM/1M", "FPR=2022Y", "FPT=A", "FA_ACT_EST_DATA=E, EST_SOURCE=ARG", "ACT_EST_MAPPING=PRECISE", "FS=MRC", "CURRENCY=USD", "XLFILL=b")</f>
        <v/>
      </c>
      <c r="AT112" s="9" t="str">
        <f>_xll.BQL("CRM US Equity", "BS_CASH_NEAR_CASH_ITEM/1M", "FPR=2022Y", "FPT=A", "FA_ACT_EST_DATA=E, EST_SOURCE=CTI", "ACT_EST_MAPPING=PRECISE", "FS=MRC", "CURRENCY=USD", "XLFILL=b")</f>
        <v/>
      </c>
      <c r="AU112" s="9" t="str">
        <f>_xll.BQL("CRM US Equity", "BS_CASH_NEAR_CASH_ITEM/1M", "FPR=2022Y", "FPT=A", "FA_ACT_EST_DATA=E, EST_SOURCE=WFT", "ACT_EST_MAPPING=PRECISE", "FS=MRC", "CURRENCY=USD", "XLFILL=b")</f>
        <v/>
      </c>
      <c r="AV112" s="9" t="str">
        <f>_xll.BQL("CRM US Equity", "BS_CASH_NEAR_CASH_ITEM/1M", "FPR=2022Y", "FPT=A", "FA_ACT_EST_DATA=E, EST_SOURCE=PJE", "ACT_EST_MAPPING=PRECISE", "FS=MRC", "CURRENCY=USD", "XLFILL=b")</f>
        <v/>
      </c>
      <c r="AW112" s="9" t="str">
        <f>_xll.BQL("CRM US Equity", "BS_CASH_NEAR_CASH_ITEM/1M", "FPR=2022Y", "FPT=A", "FA_ACT_EST_DATA=E, EST_SOURCE=SGE", "ACT_EST_MAPPING=PRECISE", "FS=MRC", "CURRENCY=USD", "XLFILL=b")</f>
        <v/>
      </c>
      <c r="AX112" s="9" t="str">
        <f>_xll.BQL("CRM US Equity", "BS_CASH_NEAR_CASH_ITEM/1M", "FPR=2022Y", "FPT=A", "FA_ACT_EST_DATA=E, EST_SOURCE=MZS", "ACT_EST_MAPPING=PRECISE", "FS=MRC", "CURRENCY=USD", "XLFILL=b")</f>
        <v/>
      </c>
      <c r="AY112" s="9" t="str">
        <f>_xll.BQL("CRM US Equity", "BS_CASH_NEAR_CASH_ITEM/1M", "FPR=2022Y", "FPT=A", "FA_ACT_EST_DATA=E, EST_SOURCE=RCP", "ACT_EST_MAPPING=PRECISE", "FS=MRC", "CURRENCY=USD", "XLFILL=b")</f>
        <v/>
      </c>
      <c r="AZ112" s="9" t="str">
        <f>_xll.BQL("CRM US Equity", "BS_CASH_NEAR_CASH_ITEM/1M", "FPR=2022Y", "FPT=A", "FA_ACT_EST_DATA=E, EST_SOURCE=WFR", "ACT_EST_MAPPING=PRECISE", "FS=MRC", "CURRENCY=USD", "XLFILL=b")</f>
        <v/>
      </c>
      <c r="BA112" s="9" t="str">
        <f>_xll.BQL("CRM US Equity", "BS_CASH_NEAR_CASH_ITEM/1M", "FPR=2022Y", "FPT=A", "FA_ACT_EST_DATA=E, EST_SOURCE=NIK", "ACT_EST_MAPPING=PRECISE", "FS=MRC", "CURRENCY=USD", "XLFILL=b")</f>
        <v/>
      </c>
      <c r="BB112" s="9" t="str">
        <f>_xll.BQL("CRM US Equity", "BS_CASH_NEAR_CASH_ITEM/1M", "FPR=2022Y", "FPT=A", "FA_ACT_EST_DATA=E, EST_SOURCE=ARE", "ACT_EST_MAPPING=PRECISE", "FS=MRC", "CURRENCY=USD", "XLFILL=b")</f>
        <v/>
      </c>
      <c r="BC112" s="9" t="str">
        <f>_xll.BQL("CRM US Equity", "BS_CASH_NEAR_CASH_ITEM/1M", "FPR=2022Y", "FPT=A", "FA_ACT_EST_DATA=E, EST_SOURCE=RED", "ACT_EST_MAPPING=PRECISE", "FS=MRC", "CURRENCY=USD", "XLFILL=b")</f>
        <v/>
      </c>
      <c r="BD112" s="9" t="str">
        <f>_xll.BQL("CRM US Equity", "BS_CASH_NEAR_CASH_ITEM/1M", "FPR=2022Y", "FPT=A", "FA_ACT_EST_DATA=E, EST_SOURCE=DIR", "ACT_EST_MAPPING=PRECISE", "FS=MRC", "CURRENCY=USD", "XLFILL=b")</f>
        <v/>
      </c>
    </row>
    <row r="113" spans="1:56" x14ac:dyDescent="0.55000000000000004">
      <c r="A113" s="8" t="s">
        <v>197</v>
      </c>
      <c r="B113" s="5" t="s">
        <v>198</v>
      </c>
      <c r="C113" s="5" t="s">
        <v>199</v>
      </c>
      <c r="D113" s="5"/>
      <c r="E113" s="9">
        <f>_xll.BQL("CRM US Equity", "BS_MKT_SEC_OTHER_ST_INVEST/1M", "FPR=2022Y", "FPT=A", "FA_ACT_EST_DATA=E", "ACT_EST_MAPPING=PRECISE", "FS=MRC", "CURRENCY=USD", "XLFILL=b")</f>
        <v>4762.660346679967</v>
      </c>
      <c r="F113" s="9">
        <f>_xll.BQL("CRM US Equity", "CONTRIBUTOR_STATS(BS_MKT_SEC_OTHER_ST_INVEST, MIN)/1M", "FPR=2022Y", "FPT=A", "FA_ACT_EST_DATA=E", "ACT_EST_MAPPING=PRECISE", "FS=MRC", "CURRENCY=USD", "XLFILL=b")</f>
        <v>4638</v>
      </c>
      <c r="G113" s="9">
        <f>_xll.BQL("CRM US Equity", "CONTRIBUTOR_STATS(BS_MKT_SEC_OTHER_ST_INVEST, MAX)/1M", "FPR=2022Y", "FPT=A", "FA_ACT_EST_DATA=E", "ACT_EST_MAPPING=PRECISE", "FS=MRC", "CURRENCY=USD", "XLFILL=b")</f>
        <v>5771</v>
      </c>
      <c r="H113" s="9">
        <f>_xll.BQL("CRM US Equity", "CONTRIBUTOR_STATS(BS_MKT_SEC_OTHER_ST_INVEST, STD)/1M", "FPR=2022Y", "FPT=A", "FA_ACT_EST_DATA=E", "ACT_EST_MAPPING=PRECISE", "FS=MRC", "CURRENCY=USD", "XLFILL=b")</f>
        <v>341.98193262741148</v>
      </c>
      <c r="I113" s="9">
        <f>_xll.BQL("CRM US Equity", "CONTRIBUTOR_STATS(BS_MKT_SEC_OTHER_ST_INVEST, MEDIAN)/1M", "FPR=2022Y", "FPT=A", "FA_ACT_EST_DATA=E", "ACT_EST_MAPPING=PRECISE", "FS=MRC", "CURRENCY=USD", "XLFILL=b")</f>
        <v>4638</v>
      </c>
      <c r="J113" s="9" t="str">
        <f>_xll.BQL("CRM US Equity", "BS_MKT_SEC_OTHER_ST_INVEST/1M", "FPR=2022Y", "FPT=A", "FA_ACT_EST_DATA=E, EST_SOURCE=CMPY", "ACT_EST_MAPPING=PRECISE", "FS=MRC", "CURRENCY=USD", "XLFILL=b")</f>
        <v/>
      </c>
      <c r="K113" s="9" t="str">
        <f>_xll.BQL("CRM US Equity", "BS_MKT_SEC_OTHER_ST_INVEST/1M", "FPR=2022Y", "FPT=A", "FA_ACT_EST_DATA=E, EST_SOURCE=WBL", "ACT_EST_MAPPING=PRECISE", "FS=MRC", "CURRENCY=USD", "XLFILL=b")</f>
        <v/>
      </c>
      <c r="L113" s="9" t="str">
        <f>_xll.BQL("CRM US Equity", "BS_MKT_SEC_OTHER_ST_INVEST/1M", "FPR=2022Y", "FPT=A", "FA_ACT_EST_DATA=E, EST_SOURCE=BMO", "ACT_EST_MAPPING=PRECISE", "FS=MRC", "CURRENCY=USD", "XLFILL=b")</f>
        <v/>
      </c>
      <c r="M113" s="9">
        <f>_xll.BQL("CRM US Equity", "BS_MKT_SEC_OTHER_ST_INVEST/1M", "FPR=2022Y", "FPT=A", "FA_ACT_EST_DATA=E, EST_SOURCE=BCA", "ACT_EST_MAPPING=PRECISE", "FS=MRC", "CURRENCY=USD", "XLFILL=b")</f>
        <v>4638</v>
      </c>
      <c r="N113" s="9" t="str">
        <f>_xll.BQL("CRM US Equity", "BS_MKT_SEC_OTHER_ST_INVEST/1M", "FPR=2022Y", "FPT=A", "FA_ACT_EST_DATA=E, EST_SOURCE=SNR", "ACT_EST_MAPPING=PRECISE", "FS=MRC", "CURRENCY=USD", "XLFILL=b")</f>
        <v/>
      </c>
      <c r="O113" s="9">
        <f>_xll.BQL("CRM US Equity", "BS_MKT_SEC_OTHER_ST_INVEST/1M", "FPR=2022Y", "FPT=A", "FA_ACT_EST_DATA=E, EST_SOURCE=MSV", "ACT_EST_MAPPING=PRECISE", "FS=MRC", "CURRENCY=USD", "XLFILL=b")</f>
        <v>5771</v>
      </c>
      <c r="P113" s="9">
        <f>_xll.BQL("CRM US Equity", "BS_MKT_SEC_OTHER_ST_INVEST/1M", "FPR=2022Y", "FPT=A", "FA_ACT_EST_DATA=E, EST_SOURCE=DBG", "ACT_EST_MAPPING=PRECISE", "FS=MRC", "CURRENCY=USD", "XLFILL=b")</f>
        <v>4638</v>
      </c>
      <c r="Q113" s="9">
        <f>_xll.BQL("CRM US Equity", "BS_MKT_SEC_OTHER_ST_INVEST/1M", "FPR=2022Y", "FPT=A", "FA_ACT_EST_DATA=E, EST_SOURCE=NDH", "ACT_EST_MAPPING=PRECISE", "FS=MRC", "CURRENCY=USD", "XLFILL=b")</f>
        <v>4638</v>
      </c>
      <c r="R113" s="9" t="str">
        <f>_xll.BQL("CRM US Equity", "BS_MKT_SEC_OTHER_ST_INVEST/1M", "FPR=2022Y", "FPT=A", "FA_ACT_EST_DATA=E, EST_SOURCE=CAN", "ACT_EST_MAPPING=PRECISE", "FS=MRC", "CURRENCY=USD", "XLFILL=b")</f>
        <v/>
      </c>
      <c r="S113" s="9" t="str">
        <f>_xll.BQL("CRM US Equity", "BS_MKT_SEC_OTHER_ST_INVEST/1M", "FPR=2022Y", "FPT=A", "FA_ACT_EST_DATA=E, EST_SOURCE=SCB", "ACT_EST_MAPPING=PRECISE", "FS=MRC", "CURRENCY=USD", "XLFILL=b")</f>
        <v/>
      </c>
      <c r="T113" s="9" t="str">
        <f>_xll.BQL("CRM US Equity", "BS_MKT_SEC_OTHER_ST_INVEST/1M", "FPR=2022Y", "FPT=A", "FA_ACT_EST_DATA=E, EST_SOURCE=JMP", "ACT_EST_MAPPING=PRECISE", "FS=MRC", "CURRENCY=USD", "XLFILL=b")</f>
        <v/>
      </c>
      <c r="U113" s="9" t="str">
        <f>_xll.BQL("CRM US Equity", "BS_MKT_SEC_OTHER_ST_INVEST/1M", "FPR=2022Y", "FPT=A", "FA_ACT_EST_DATA=E, EST_SOURCE=RJA", "ACT_EST_MAPPING=PRECISE", "FS=MRC", "CURRENCY=USD", "XLFILL=b")</f>
        <v/>
      </c>
      <c r="V113" s="9" t="str">
        <f>_xll.BQL("CRM US Equity", "BS_MKT_SEC_OTHER_ST_INVEST/1M", "FPR=2022Y", "FPT=A", "FA_ACT_EST_DATA=E, EST_SOURCE=OPY", "ACT_EST_MAPPING=PRECISE", "FS=MRC", "CURRENCY=USD", "XLFILL=b")</f>
        <v/>
      </c>
      <c r="W113" s="9" t="str">
        <f>_xll.BQL("CRM US Equity", "BS_MKT_SEC_OTHER_ST_INVEST/1M", "FPR=2022Y", "FPT=A", "FA_ACT_EST_DATA=E, EST_SOURCE=JPM", "ACT_EST_MAPPING=PRECISE", "FS=MRC", "CURRENCY=USD", "XLFILL=b")</f>
        <v/>
      </c>
      <c r="X113" s="9">
        <f>_xll.BQL("CRM US Equity", "BS_MKT_SEC_OTHER_ST_INVEST/1M", "FPR=2022Y", "FPT=A", "FA_ACT_EST_DATA=E, EST_SOURCE=FBC", "ACT_EST_MAPPING=PRECISE", "FS=MRC", "CURRENCY=USD", "XLFILL=b")</f>
        <v>3351</v>
      </c>
      <c r="Y113" s="9" t="str">
        <f>_xll.BQL("CRM US Equity", "BS_MKT_SEC_OTHER_ST_INVEST/1M", "FPR=2022Y", "FPT=A", "FA_ACT_EST_DATA=E, EST_SOURCE=WMS", "ACT_EST_MAPPING=PRECISE", "FS=MRC", "CURRENCY=USD", "XLFILL=b")</f>
        <v/>
      </c>
      <c r="Z113" s="9">
        <f>_xll.BQL("CRM US Equity", "BS_MKT_SEC_OTHER_ST_INVEST/1M", "FPR=2022Y", "FPT=A", "FA_ACT_EST_DATA=E, EST_SOURCE=KEY", "ACT_EST_MAPPING=PRECISE", "FS=MRC", "CURRENCY=USD", "XLFILL=b")</f>
        <v>3351</v>
      </c>
      <c r="AA113" s="9" t="str">
        <f>_xll.BQL("CRM US Equity", "BS_MKT_SEC_OTHER_ST_INVEST/1M", "FPR=2022Y", "FPT=A", "FA_ACT_EST_DATA=E, EST_SOURCE=LCM", "ACT_EST_MAPPING=PRECISE", "FS=MRC", "CURRENCY=USD", "XLFILL=b")</f>
        <v/>
      </c>
      <c r="AB113" s="9" t="str">
        <f>_xll.BQL("CRM US Equity", "BS_MKT_SEC_OTHER_ST_INVEST/1M", "FPR=2022Y", "FPT=A", "FA_ACT_EST_DATA=E, EST_SOURCE=CWN", "ACT_EST_MAPPING=PRECISE", "FS=MRC", "CURRENCY=USD", "XLFILL=b")</f>
        <v/>
      </c>
      <c r="AC113" s="9" t="str">
        <f>_xll.BQL("CRM US Equity", "BS_MKT_SEC_OTHER_ST_INVEST/1M", "FPR=2022Y", "FPT=A", "FA_ACT_EST_DATA=E, EST_SOURCE=BNS", "ACT_EST_MAPPING=PRECISE", "FS=MRC", "CURRENCY=USD", "XLFILL=b")</f>
        <v/>
      </c>
      <c r="AD113" s="9" t="str">
        <f>_xll.BQL("CRM US Equity", "BS_MKT_SEC_OTHER_ST_INVEST/1M", "FPR=2022Y", "FPT=A", "FA_ACT_EST_DATA=E, EST_SOURCE=BAM", "ACT_EST_MAPPING=PRECISE", "FS=MRC", "CURRENCY=USD", "XLFILL=b")</f>
        <v/>
      </c>
      <c r="AE113" s="9" t="str">
        <f>_xll.BQL("CRM US Equity", "BS_MKT_SEC_OTHER_ST_INVEST/1M", "FPR=2022Y", "FPT=A", "FA_ACT_EST_DATA=E, EST_SOURCE=RBC", "ACT_EST_MAPPING=PRECISE", "FS=MRC", "CURRENCY=USD", "XLFILL=b")</f>
        <v/>
      </c>
      <c r="AF113" s="9" t="str">
        <f>_xll.BQL("CRM US Equity", "BS_MKT_SEC_OTHER_ST_INVEST/1M", "FPR=2022Y", "FPT=A", "FA_ACT_EST_DATA=E, EST_SOURCE=UBS", "ACT_EST_MAPPING=PRECISE", "FS=MRC", "CURRENCY=USD", "XLFILL=b")</f>
        <v/>
      </c>
      <c r="AG113" s="9" t="str">
        <f>_xll.BQL("CRM US Equity", "BS_MKT_SEC_OTHER_ST_INVEST/1M", "FPR=2022Y", "FPT=A", "FA_ACT_EST_DATA=E, EST_SOURCE=RHR", "ACT_EST_MAPPING=PRECISE", "FS=MRC", "CURRENCY=USD", "XLFILL=b")</f>
        <v/>
      </c>
      <c r="AH113" s="9" t="str">
        <f>_xll.BQL("CRM US Equity", "BS_MKT_SEC_OTHER_ST_INVEST/1M", "FPR=2022Y", "FPT=A", "FA_ACT_EST_DATA=E, EST_SOURCE=JEF", "ACT_EST_MAPPING=PRECISE", "FS=MRC", "CURRENCY=USD", "XLFILL=b")</f>
        <v/>
      </c>
      <c r="AI113" s="9" t="str">
        <f>_xll.BQL("CRM US Equity", "BS_MKT_SEC_OTHER_ST_INVEST/1M", "FPR=2022Y", "FPT=A", "FA_ACT_EST_DATA=E, EST_SOURCE=ATL", "ACT_EST_MAPPING=PRECISE", "FS=MRC", "CURRENCY=USD", "XLFILL=b")</f>
        <v/>
      </c>
      <c r="AJ113" s="9" t="str">
        <f>_xll.BQL("CRM US Equity", "BS_MKT_SEC_OTHER_ST_INVEST/1M", "FPR=2022Y", "FPT=A", "FA_ACT_EST_DATA=E, EST_SOURCE=MAC", "ACT_EST_MAPPING=PRECISE", "FS=MRC", "CURRENCY=USD", "XLFILL=b")</f>
        <v/>
      </c>
      <c r="AK113" s="9" t="str">
        <f>_xll.BQL("CRM US Equity", "BS_MKT_SEC_OTHER_ST_INVEST/1M", "FPR=2022Y", "FPT=A", "FA_ACT_EST_DATA=E, EST_SOURCE=EVR", "ACT_EST_MAPPING=PRECISE", "FS=MRC", "CURRENCY=USD", "XLFILL=b")</f>
        <v/>
      </c>
      <c r="AL113" s="9" t="str">
        <f>_xll.BQL("CRM US Equity", "BS_MKT_SEC_OTHER_ST_INVEST/1M", "FPR=2022Y", "FPT=A", "FA_ACT_EST_DATA=E, EST_SOURCE=MSR", "ACT_EST_MAPPING=PRECISE", "FS=MRC", "CURRENCY=USD", "XLFILL=b")</f>
        <v/>
      </c>
      <c r="AM113" s="9" t="str">
        <f>_xll.BQL("CRM US Equity", "BS_MKT_SEC_OTHER_ST_INVEST/1M", "FPR=2022Y", "FPT=A", "FA_ACT_EST_DATA=E, EST_SOURCE=KGI", "ACT_EST_MAPPING=PRECISE", "FS=MRC", "CURRENCY=USD", "XLFILL=b")</f>
        <v/>
      </c>
      <c r="AN113" s="9" t="str">
        <f>_xll.BQL("CRM US Equity", "BS_MKT_SEC_OTHER_ST_INVEST/1M", "FPR=2022Y", "FPT=A", "FA_ACT_EST_DATA=E, EST_SOURCE=ACC", "ACT_EST_MAPPING=PRECISE", "FS=MRC", "CURRENCY=USD", "XLFILL=b")</f>
        <v/>
      </c>
      <c r="AO113" s="9" t="str">
        <f>_xll.BQL("CRM US Equity", "BS_MKT_SEC_OTHER_ST_INVEST/1M", "FPR=2022Y", "FPT=A", "FA_ACT_EST_DATA=E, EST_SOURCE=GSR", "ACT_EST_MAPPING=PRECISE", "FS=MRC", "CURRENCY=USD", "XLFILL=b")</f>
        <v/>
      </c>
      <c r="AP113" s="9" t="str">
        <f>_xll.BQL("CRM US Equity", "BS_MKT_SEC_OTHER_ST_INVEST/1M", "FPR=2022Y", "FPT=A", "FA_ACT_EST_DATA=E, EST_SOURCE=PSG", "ACT_EST_MAPPING=PRECISE", "FS=MRC", "CURRENCY=USD", "XLFILL=b")</f>
        <v/>
      </c>
      <c r="AQ113" s="9" t="str">
        <f>_xll.BQL("CRM US Equity", "BS_MKT_SEC_OTHER_ST_INVEST/1M", "FPR=2022Y", "FPT=A", "FA_ACT_EST_DATA=E, EST_SOURCE=DWI", "ACT_EST_MAPPING=PRECISE", "FS=MRC", "CURRENCY=USD", "XLFILL=b")</f>
        <v/>
      </c>
      <c r="AR113" s="9" t="str">
        <f>_xll.BQL("CRM US Equity", "BS_MKT_SEC_OTHER_ST_INVEST/1M", "FPR=2022Y", "FPT=A", "FA_ACT_EST_DATA=E, EST_SOURCE=RWB", "ACT_EST_MAPPING=PRECISE", "FS=MRC", "CURRENCY=USD", "XLFILL=b")</f>
        <v/>
      </c>
      <c r="AS113" s="9" t="str">
        <f>_xll.BQL("CRM US Equity", "BS_MKT_SEC_OTHER_ST_INVEST/1M", "FPR=2022Y", "FPT=A", "FA_ACT_EST_DATA=E, EST_SOURCE=ARG", "ACT_EST_MAPPING=PRECISE", "FS=MRC", "CURRENCY=USD", "XLFILL=b")</f>
        <v/>
      </c>
      <c r="AT113" s="9" t="str">
        <f>_xll.BQL("CRM US Equity", "BS_MKT_SEC_OTHER_ST_INVEST/1M", "FPR=2022Y", "FPT=A", "FA_ACT_EST_DATA=E, EST_SOURCE=CTI", "ACT_EST_MAPPING=PRECISE", "FS=MRC", "CURRENCY=USD", "XLFILL=b")</f>
        <v/>
      </c>
      <c r="AU113" s="9" t="str">
        <f>_xll.BQL("CRM US Equity", "BS_MKT_SEC_OTHER_ST_INVEST/1M", "FPR=2022Y", "FPT=A", "FA_ACT_EST_DATA=E, EST_SOURCE=WFT", "ACT_EST_MAPPING=PRECISE", "FS=MRC", "CURRENCY=USD", "XLFILL=b")</f>
        <v/>
      </c>
      <c r="AV113" s="9" t="str">
        <f>_xll.BQL("CRM US Equity", "BS_MKT_SEC_OTHER_ST_INVEST/1M", "FPR=2022Y", "FPT=A", "FA_ACT_EST_DATA=E, EST_SOURCE=PJE", "ACT_EST_MAPPING=PRECISE", "FS=MRC", "CURRENCY=USD", "XLFILL=b")</f>
        <v/>
      </c>
      <c r="AW113" s="9" t="str">
        <f>_xll.BQL("CRM US Equity", "BS_MKT_SEC_OTHER_ST_INVEST/1M", "FPR=2022Y", "FPT=A", "FA_ACT_EST_DATA=E, EST_SOURCE=SGE", "ACT_EST_MAPPING=PRECISE", "FS=MRC", "CURRENCY=USD", "XLFILL=b")</f>
        <v/>
      </c>
      <c r="AX113" s="9" t="str">
        <f>_xll.BQL("CRM US Equity", "BS_MKT_SEC_OTHER_ST_INVEST/1M", "FPR=2022Y", "FPT=A", "FA_ACT_EST_DATA=E, EST_SOURCE=MZS", "ACT_EST_MAPPING=PRECISE", "FS=MRC", "CURRENCY=USD", "XLFILL=b")</f>
        <v/>
      </c>
      <c r="AY113" s="9" t="str">
        <f>_xll.BQL("CRM US Equity", "BS_MKT_SEC_OTHER_ST_INVEST/1M", "FPR=2022Y", "FPT=A", "FA_ACT_EST_DATA=E, EST_SOURCE=RCP", "ACT_EST_MAPPING=PRECISE", "FS=MRC", "CURRENCY=USD", "XLFILL=b")</f>
        <v/>
      </c>
      <c r="AZ113" s="9" t="str">
        <f>_xll.BQL("CRM US Equity", "BS_MKT_SEC_OTHER_ST_INVEST/1M", "FPR=2022Y", "FPT=A", "FA_ACT_EST_DATA=E, EST_SOURCE=WFR", "ACT_EST_MAPPING=PRECISE", "FS=MRC", "CURRENCY=USD", "XLFILL=b")</f>
        <v/>
      </c>
      <c r="BA113" s="9" t="str">
        <f>_xll.BQL("CRM US Equity", "BS_MKT_SEC_OTHER_ST_INVEST/1M", "FPR=2022Y", "FPT=A", "FA_ACT_EST_DATA=E, EST_SOURCE=NIK", "ACT_EST_MAPPING=PRECISE", "FS=MRC", "CURRENCY=USD", "XLFILL=b")</f>
        <v/>
      </c>
      <c r="BB113" s="9" t="str">
        <f>_xll.BQL("CRM US Equity", "BS_MKT_SEC_OTHER_ST_INVEST/1M", "FPR=2022Y", "FPT=A", "FA_ACT_EST_DATA=E, EST_SOURCE=ARE", "ACT_EST_MAPPING=PRECISE", "FS=MRC", "CURRENCY=USD", "XLFILL=b")</f>
        <v/>
      </c>
      <c r="BC113" s="9" t="str">
        <f>_xll.BQL("CRM US Equity", "BS_MKT_SEC_OTHER_ST_INVEST/1M", "FPR=2022Y", "FPT=A", "FA_ACT_EST_DATA=E, EST_SOURCE=RED", "ACT_EST_MAPPING=PRECISE", "FS=MRC", "CURRENCY=USD", "XLFILL=b")</f>
        <v/>
      </c>
      <c r="BD113" s="9" t="str">
        <f>_xll.BQL("CRM US Equity", "BS_MKT_SEC_OTHER_ST_INVEST/1M", "FPR=2022Y", "FPT=A", "FA_ACT_EST_DATA=E, EST_SOURCE=DIR", "ACT_EST_MAPPING=PRECISE", "FS=MRC", "CURRENCY=USD", "XLFILL=b")</f>
        <v/>
      </c>
    </row>
    <row r="114" spans="1:56" x14ac:dyDescent="0.55000000000000004">
      <c r="A114" s="8" t="s">
        <v>200</v>
      </c>
      <c r="B114" s="5" t="s">
        <v>201</v>
      </c>
      <c r="C114" s="5" t="s">
        <v>202</v>
      </c>
      <c r="D114" s="5"/>
      <c r="E114" s="9">
        <f>_xll.BQL("CRM US Equity", "BS_ACCTS_REC_EXCL_NOTES_REC/1M", "FPR=2022Y", "FPT=A", "FA_ACT_EST_DATA=E", "ACT_EST_MAPPING=PRECISE", "FS=MRC", "CURRENCY=USD", "XLFILL=b")</f>
        <v>9534.7543327863787</v>
      </c>
      <c r="F114" s="9">
        <f>_xll.BQL("CRM US Equity", "CONTRIBUTOR_STATS(BS_ACCTS_REC_EXCL_NOTES_REC, MIN)/1M", "FPR=2022Y", "FPT=A", "FA_ACT_EST_DATA=E", "ACT_EST_MAPPING=PRECISE", "FS=MRC", "CURRENCY=USD", "XLFILL=b")</f>
        <v>8846.040920674528</v>
      </c>
      <c r="G114" s="9">
        <f>_xll.BQL("CRM US Equity", "CONTRIBUTOR_STATS(BS_ACCTS_REC_EXCL_NOTES_REC, MAX)/1M", "FPR=2022Y", "FPT=A", "FA_ACT_EST_DATA=E", "ACT_EST_MAPPING=PRECISE", "FS=MRC", "CURRENCY=USD", "XLFILL=b")</f>
        <v>10247.183935999999</v>
      </c>
      <c r="H114" s="9">
        <f>_xll.BQL("CRM US Equity", "CONTRIBUTOR_STATS(BS_ACCTS_REC_EXCL_NOTES_REC, STD)/1M", "FPR=2022Y", "FPT=A", "FA_ACT_EST_DATA=E", "ACT_EST_MAPPING=PRECISE", "FS=MRC", "CURRENCY=USD", "XLFILL=b")</f>
        <v>387.85729365768049</v>
      </c>
      <c r="I114" s="9">
        <f>_xll.BQL("CRM US Equity", "CONTRIBUTOR_STATS(BS_ACCTS_REC_EXCL_NOTES_REC, MEDIAN)/1M", "FPR=2022Y", "FPT=A", "FA_ACT_EST_DATA=E", "ACT_EST_MAPPING=PRECISE", "FS=MRC", "CURRENCY=USD", "XLFILL=b")</f>
        <v>9471.1752178082206</v>
      </c>
      <c r="J114" s="9" t="str">
        <f>_xll.BQL("CRM US Equity", "BS_ACCTS_REC_EXCL_NOTES_REC/1M", "FPR=2022Y", "FPT=A", "FA_ACT_EST_DATA=E, EST_SOURCE=CMPY", "ACT_EST_MAPPING=PRECISE", "FS=MRC", "CURRENCY=USD", "XLFILL=b")</f>
        <v/>
      </c>
      <c r="K114" s="9" t="str">
        <f>_xll.BQL("CRM US Equity", "BS_ACCTS_REC_EXCL_NOTES_REC/1M", "FPR=2022Y", "FPT=A", "FA_ACT_EST_DATA=E, EST_SOURCE=WBL", "ACT_EST_MAPPING=PRECISE", "FS=MRC", "CURRENCY=USD", "XLFILL=b")</f>
        <v/>
      </c>
      <c r="L114" s="9" t="str">
        <f>_xll.BQL("CRM US Equity", "BS_ACCTS_REC_EXCL_NOTES_REC/1M", "FPR=2022Y", "FPT=A", "FA_ACT_EST_DATA=E, EST_SOURCE=BMO", "ACT_EST_MAPPING=PRECISE", "FS=MRC", "CURRENCY=USD", "XLFILL=b")</f>
        <v/>
      </c>
      <c r="M114" s="9">
        <f>_xll.BQL("CRM US Equity", "BS_ACCTS_REC_EXCL_NOTES_REC/1M", "FPR=2022Y", "FPT=A", "FA_ACT_EST_DATA=E, EST_SOURCE=BCA", "ACT_EST_MAPPING=PRECISE", "FS=MRC", "CURRENCY=USD", "XLFILL=b")</f>
        <v>10120.09274179915</v>
      </c>
      <c r="N114" s="9" t="str">
        <f>_xll.BQL("CRM US Equity", "BS_ACCTS_REC_EXCL_NOTES_REC/1M", "FPR=2022Y", "FPT=A", "FA_ACT_EST_DATA=E, EST_SOURCE=SNR", "ACT_EST_MAPPING=PRECISE", "FS=MRC", "CURRENCY=USD", "XLFILL=b")</f>
        <v/>
      </c>
      <c r="O114" s="9">
        <f>_xll.BQL("CRM US Equity", "BS_ACCTS_REC_EXCL_NOTES_REC/1M", "FPR=2022Y", "FPT=A", "FA_ACT_EST_DATA=E, EST_SOURCE=MSV", "ACT_EST_MAPPING=PRECISE", "FS=MRC", "CURRENCY=USD", "XLFILL=b")</f>
        <v>9544.0654356164378</v>
      </c>
      <c r="P114" s="9">
        <f>_xll.BQL("CRM US Equity", "BS_ACCTS_REC_EXCL_NOTES_REC/1M", "FPR=2022Y", "FPT=A", "FA_ACT_EST_DATA=E, EST_SOURCE=DBG", "ACT_EST_MAPPING=PRECISE", "FS=MRC", "CURRENCY=USD", "XLFILL=b")</f>
        <v>8846.040920674528</v>
      </c>
      <c r="Q114" s="9">
        <f>_xll.BQL("CRM US Equity", "BS_ACCTS_REC_EXCL_NOTES_REC/1M", "FPR=2022Y", "FPT=A", "FA_ACT_EST_DATA=E, EST_SOURCE=NDH", "ACT_EST_MAPPING=PRECISE", "FS=MRC", "CURRENCY=USD", "XLFILL=b")</f>
        <v>9398.2849999999999</v>
      </c>
      <c r="R114" s="9" t="str">
        <f>_xll.BQL("CRM US Equity", "BS_ACCTS_REC_EXCL_NOTES_REC/1M", "FPR=2022Y", "FPT=A", "FA_ACT_EST_DATA=E, EST_SOURCE=CAN", "ACT_EST_MAPPING=PRECISE", "FS=MRC", "CURRENCY=USD", "XLFILL=b")</f>
        <v/>
      </c>
      <c r="S114" s="9" t="str">
        <f>_xll.BQL("CRM US Equity", "BS_ACCTS_REC_EXCL_NOTES_REC/1M", "FPR=2022Y", "FPT=A", "FA_ACT_EST_DATA=E, EST_SOURCE=SCB", "ACT_EST_MAPPING=PRECISE", "FS=MRC", "CURRENCY=USD", "XLFILL=b")</f>
        <v/>
      </c>
      <c r="T114" s="9" t="str">
        <f>_xll.BQL("CRM US Equity", "BS_ACCTS_REC_EXCL_NOTES_REC/1M", "FPR=2022Y", "FPT=A", "FA_ACT_EST_DATA=E, EST_SOURCE=JMP", "ACT_EST_MAPPING=PRECISE", "FS=MRC", "CURRENCY=USD", "XLFILL=b")</f>
        <v/>
      </c>
      <c r="U114" s="9" t="str">
        <f>_xll.BQL("CRM US Equity", "BS_ACCTS_REC_EXCL_NOTES_REC/1M", "FPR=2022Y", "FPT=A", "FA_ACT_EST_DATA=E, EST_SOURCE=RJA", "ACT_EST_MAPPING=PRECISE", "FS=MRC", "CURRENCY=USD", "XLFILL=b")</f>
        <v/>
      </c>
      <c r="V114" s="9" t="str">
        <f>_xll.BQL("CRM US Equity", "BS_ACCTS_REC_EXCL_NOTES_REC/1M", "FPR=2022Y", "FPT=A", "FA_ACT_EST_DATA=E, EST_SOURCE=OPY", "ACT_EST_MAPPING=PRECISE", "FS=MRC", "CURRENCY=USD", "XLFILL=b")</f>
        <v/>
      </c>
      <c r="W114" s="9" t="str">
        <f>_xll.BQL("CRM US Equity", "BS_ACCTS_REC_EXCL_NOTES_REC/1M", "FPR=2022Y", "FPT=A", "FA_ACT_EST_DATA=E, EST_SOURCE=JPM", "ACT_EST_MAPPING=PRECISE", "FS=MRC", "CURRENCY=USD", "XLFILL=b")</f>
        <v/>
      </c>
      <c r="X114" s="9">
        <f>_xll.BQL("CRM US Equity", "BS_ACCTS_REC_EXCL_NOTES_REC/1M", "FPR=2022Y", "FPT=A", "FA_ACT_EST_DATA=E, EST_SOURCE=FBC", "ACT_EST_MAPPING=PRECISE", "FS=MRC", "CURRENCY=USD", "XLFILL=b")</f>
        <v>9215.6425944188759</v>
      </c>
      <c r="Y114" s="9" t="str">
        <f>_xll.BQL("CRM US Equity", "BS_ACCTS_REC_EXCL_NOTES_REC/1M", "FPR=2022Y", "FPT=A", "FA_ACT_EST_DATA=E, EST_SOURCE=WMS", "ACT_EST_MAPPING=PRECISE", "FS=MRC", "CURRENCY=USD", "XLFILL=b")</f>
        <v/>
      </c>
      <c r="Z114" s="9">
        <f>_xll.BQL("CRM US Equity", "BS_ACCTS_REC_EXCL_NOTES_REC/1M", "FPR=2022Y", "FPT=A", "FA_ACT_EST_DATA=E, EST_SOURCE=KEY", "ACT_EST_MAPPING=PRECISE", "FS=MRC", "CURRENCY=USD", "XLFILL=b")</f>
        <v>9054.4058566378662</v>
      </c>
      <c r="AA114" s="9" t="str">
        <f>_xll.BQL("CRM US Equity", "BS_ACCTS_REC_EXCL_NOTES_REC/1M", "FPR=2022Y", "FPT=A", "FA_ACT_EST_DATA=E, EST_SOURCE=LCM", "ACT_EST_MAPPING=PRECISE", "FS=MRC", "CURRENCY=USD", "XLFILL=b")</f>
        <v/>
      </c>
      <c r="AB114" s="9" t="str">
        <f>_xll.BQL("CRM US Equity", "BS_ACCTS_REC_EXCL_NOTES_REC/1M", "FPR=2022Y", "FPT=A", "FA_ACT_EST_DATA=E, EST_SOURCE=CWN", "ACT_EST_MAPPING=PRECISE", "FS=MRC", "CURRENCY=USD", "XLFILL=b")</f>
        <v/>
      </c>
      <c r="AC114" s="9" t="str">
        <f>_xll.BQL("CRM US Equity", "BS_ACCTS_REC_EXCL_NOTES_REC/1M", "FPR=2022Y", "FPT=A", "FA_ACT_EST_DATA=E, EST_SOURCE=BNS", "ACT_EST_MAPPING=PRECISE", "FS=MRC", "CURRENCY=USD", "XLFILL=b")</f>
        <v/>
      </c>
      <c r="AD114" s="9" t="str">
        <f>_xll.BQL("CRM US Equity", "BS_ACCTS_REC_EXCL_NOTES_REC/1M", "FPR=2022Y", "FPT=A", "FA_ACT_EST_DATA=E, EST_SOURCE=BAM", "ACT_EST_MAPPING=PRECISE", "FS=MRC", "CURRENCY=USD", "XLFILL=b")</f>
        <v/>
      </c>
      <c r="AE114" s="9" t="str">
        <f>_xll.BQL("CRM US Equity", "BS_ACCTS_REC_EXCL_NOTES_REC/1M", "FPR=2022Y", "FPT=A", "FA_ACT_EST_DATA=E, EST_SOURCE=RBC", "ACT_EST_MAPPING=PRECISE", "FS=MRC", "CURRENCY=USD", "XLFILL=b")</f>
        <v/>
      </c>
      <c r="AF114" s="9" t="str">
        <f>_xll.BQL("CRM US Equity", "BS_ACCTS_REC_EXCL_NOTES_REC/1M", "FPR=2022Y", "FPT=A", "FA_ACT_EST_DATA=E, EST_SOURCE=UBS", "ACT_EST_MAPPING=PRECISE", "FS=MRC", "CURRENCY=USD", "XLFILL=b")</f>
        <v/>
      </c>
      <c r="AG114" s="9" t="str">
        <f>_xll.BQL("CRM US Equity", "BS_ACCTS_REC_EXCL_NOTES_REC/1M", "FPR=2022Y", "FPT=A", "FA_ACT_EST_DATA=E, EST_SOURCE=RHR", "ACT_EST_MAPPING=PRECISE", "FS=MRC", "CURRENCY=USD", "XLFILL=b")</f>
        <v/>
      </c>
      <c r="AH114" s="9" t="str">
        <f>_xll.BQL("CRM US Equity", "BS_ACCTS_REC_EXCL_NOTES_REC/1M", "FPR=2022Y", "FPT=A", "FA_ACT_EST_DATA=E, EST_SOURCE=JEF", "ACT_EST_MAPPING=PRECISE", "FS=MRC", "CURRENCY=USD", "XLFILL=b")</f>
        <v/>
      </c>
      <c r="AI114" s="9" t="str">
        <f>_xll.BQL("CRM US Equity", "BS_ACCTS_REC_EXCL_NOTES_REC/1M", "FPR=2022Y", "FPT=A", "FA_ACT_EST_DATA=E, EST_SOURCE=ATL", "ACT_EST_MAPPING=PRECISE", "FS=MRC", "CURRENCY=USD", "XLFILL=b")</f>
        <v/>
      </c>
      <c r="AJ114" s="9" t="str">
        <f>_xll.BQL("CRM US Equity", "BS_ACCTS_REC_EXCL_NOTES_REC/1M", "FPR=2022Y", "FPT=A", "FA_ACT_EST_DATA=E, EST_SOURCE=MAC", "ACT_EST_MAPPING=PRECISE", "FS=MRC", "CURRENCY=USD", "XLFILL=b")</f>
        <v/>
      </c>
      <c r="AK114" s="9" t="str">
        <f>_xll.BQL("CRM US Equity", "BS_ACCTS_REC_EXCL_NOTES_REC/1M", "FPR=2022Y", "FPT=A", "FA_ACT_EST_DATA=E, EST_SOURCE=EVR", "ACT_EST_MAPPING=PRECISE", "FS=MRC", "CURRENCY=USD", "XLFILL=b")</f>
        <v/>
      </c>
      <c r="AL114" s="9" t="str">
        <f>_xll.BQL("CRM US Equity", "BS_ACCTS_REC_EXCL_NOTES_REC/1M", "FPR=2022Y", "FPT=A", "FA_ACT_EST_DATA=E, EST_SOURCE=MSR", "ACT_EST_MAPPING=PRECISE", "FS=MRC", "CURRENCY=USD", "XLFILL=b")</f>
        <v/>
      </c>
      <c r="AM114" s="9" t="str">
        <f>_xll.BQL("CRM US Equity", "BS_ACCTS_REC_EXCL_NOTES_REC/1M", "FPR=2022Y", "FPT=A", "FA_ACT_EST_DATA=E, EST_SOURCE=KGI", "ACT_EST_MAPPING=PRECISE", "FS=MRC", "CURRENCY=USD", "XLFILL=b")</f>
        <v/>
      </c>
      <c r="AN114" s="9" t="str">
        <f>_xll.BQL("CRM US Equity", "BS_ACCTS_REC_EXCL_NOTES_REC/1M", "FPR=2022Y", "FPT=A", "FA_ACT_EST_DATA=E, EST_SOURCE=ACC", "ACT_EST_MAPPING=PRECISE", "FS=MRC", "CURRENCY=USD", "XLFILL=b")</f>
        <v/>
      </c>
      <c r="AO114" s="9" t="str">
        <f>_xll.BQL("CRM US Equity", "BS_ACCTS_REC_EXCL_NOTES_REC/1M", "FPR=2022Y", "FPT=A", "FA_ACT_EST_DATA=E, EST_SOURCE=GSR", "ACT_EST_MAPPING=PRECISE", "FS=MRC", "CURRENCY=USD", "XLFILL=b")</f>
        <v/>
      </c>
      <c r="AP114" s="9" t="str">
        <f>_xll.BQL("CRM US Equity", "BS_ACCTS_REC_EXCL_NOTES_REC/1M", "FPR=2022Y", "FPT=A", "FA_ACT_EST_DATA=E, EST_SOURCE=PSG", "ACT_EST_MAPPING=PRECISE", "FS=MRC", "CURRENCY=USD", "XLFILL=b")</f>
        <v/>
      </c>
      <c r="AQ114" s="9" t="str">
        <f>_xll.BQL("CRM US Equity", "BS_ACCTS_REC_EXCL_NOTES_REC/1M", "FPR=2022Y", "FPT=A", "FA_ACT_EST_DATA=E, EST_SOURCE=DWI", "ACT_EST_MAPPING=PRECISE", "FS=MRC", "CURRENCY=USD", "XLFILL=b")</f>
        <v/>
      </c>
      <c r="AR114" s="9" t="str">
        <f>_xll.BQL("CRM US Equity", "BS_ACCTS_REC_EXCL_NOTES_REC/1M", "FPR=2022Y", "FPT=A", "FA_ACT_EST_DATA=E, EST_SOURCE=RWB", "ACT_EST_MAPPING=PRECISE", "FS=MRC", "CURRENCY=USD", "XLFILL=b")</f>
        <v/>
      </c>
      <c r="AS114" s="9" t="str">
        <f>_xll.BQL("CRM US Equity", "BS_ACCTS_REC_EXCL_NOTES_REC/1M", "FPR=2022Y", "FPT=A", "FA_ACT_EST_DATA=E, EST_SOURCE=ARG", "ACT_EST_MAPPING=PRECISE", "FS=MRC", "CURRENCY=USD", "XLFILL=b")</f>
        <v/>
      </c>
      <c r="AT114" s="9" t="str">
        <f>_xll.BQL("CRM US Equity", "BS_ACCTS_REC_EXCL_NOTES_REC/1M", "FPR=2022Y", "FPT=A", "FA_ACT_EST_DATA=E, EST_SOURCE=CTI", "ACT_EST_MAPPING=PRECISE", "FS=MRC", "CURRENCY=USD", "XLFILL=b")</f>
        <v/>
      </c>
      <c r="AU114" s="9" t="str">
        <f>_xll.BQL("CRM US Equity", "BS_ACCTS_REC_EXCL_NOTES_REC/1M", "FPR=2022Y", "FPT=A", "FA_ACT_EST_DATA=E, EST_SOURCE=WFT", "ACT_EST_MAPPING=PRECISE", "FS=MRC", "CURRENCY=USD", "XLFILL=b")</f>
        <v/>
      </c>
      <c r="AV114" s="9" t="str">
        <f>_xll.BQL("CRM US Equity", "BS_ACCTS_REC_EXCL_NOTES_REC/1M", "FPR=2022Y", "FPT=A", "FA_ACT_EST_DATA=E, EST_SOURCE=PJE", "ACT_EST_MAPPING=PRECISE", "FS=MRC", "CURRENCY=USD", "XLFILL=b")</f>
        <v/>
      </c>
      <c r="AW114" s="9" t="str">
        <f>_xll.BQL("CRM US Equity", "BS_ACCTS_REC_EXCL_NOTES_REC/1M", "FPR=2022Y", "FPT=A", "FA_ACT_EST_DATA=E, EST_SOURCE=SGE", "ACT_EST_MAPPING=PRECISE", "FS=MRC", "CURRENCY=USD", "XLFILL=b")</f>
        <v/>
      </c>
      <c r="AX114" s="9" t="str">
        <f>_xll.BQL("CRM US Equity", "BS_ACCTS_REC_EXCL_NOTES_REC/1M", "FPR=2022Y", "FPT=A", "FA_ACT_EST_DATA=E, EST_SOURCE=MZS", "ACT_EST_MAPPING=PRECISE", "FS=MRC", "CURRENCY=USD", "XLFILL=b")</f>
        <v/>
      </c>
      <c r="AY114" s="9" t="str">
        <f>_xll.BQL("CRM US Equity", "BS_ACCTS_REC_EXCL_NOTES_REC/1M", "FPR=2022Y", "FPT=A", "FA_ACT_EST_DATA=E, EST_SOURCE=RCP", "ACT_EST_MAPPING=PRECISE", "FS=MRC", "CURRENCY=USD", "XLFILL=b")</f>
        <v/>
      </c>
      <c r="AZ114" s="9" t="str">
        <f>_xll.BQL("CRM US Equity", "BS_ACCTS_REC_EXCL_NOTES_REC/1M", "FPR=2022Y", "FPT=A", "FA_ACT_EST_DATA=E, EST_SOURCE=WFR", "ACT_EST_MAPPING=PRECISE", "FS=MRC", "CURRENCY=USD", "XLFILL=b")</f>
        <v/>
      </c>
      <c r="BA114" s="9" t="str">
        <f>_xll.BQL("CRM US Equity", "BS_ACCTS_REC_EXCL_NOTES_REC/1M", "FPR=2022Y", "FPT=A", "FA_ACT_EST_DATA=E, EST_SOURCE=NIK", "ACT_EST_MAPPING=PRECISE", "FS=MRC", "CURRENCY=USD", "XLFILL=b")</f>
        <v/>
      </c>
      <c r="BB114" s="9" t="str">
        <f>_xll.BQL("CRM US Equity", "BS_ACCTS_REC_EXCL_NOTES_REC/1M", "FPR=2022Y", "FPT=A", "FA_ACT_EST_DATA=E, EST_SOURCE=ARE", "ACT_EST_MAPPING=PRECISE", "FS=MRC", "CURRENCY=USD", "XLFILL=b")</f>
        <v/>
      </c>
      <c r="BC114" s="9" t="str">
        <f>_xll.BQL("CRM US Equity", "BS_ACCTS_REC_EXCL_NOTES_REC/1M", "FPR=2022Y", "FPT=A", "FA_ACT_EST_DATA=E, EST_SOURCE=RED", "ACT_EST_MAPPING=PRECISE", "FS=MRC", "CURRENCY=USD", "XLFILL=b")</f>
        <v/>
      </c>
      <c r="BD114" s="9" t="str">
        <f>_xll.BQL("CRM US Equity", "BS_ACCTS_REC_EXCL_NOTES_REC/1M", "FPR=2022Y", "FPT=A", "FA_ACT_EST_DATA=E, EST_SOURCE=DIR", "ACT_EST_MAPPING=PRECISE", "FS=MRC", "CURRENCY=USD", "XLFILL=b")</f>
        <v/>
      </c>
    </row>
    <row r="115" spans="1:56" x14ac:dyDescent="0.55000000000000004">
      <c r="A115" s="8" t="s">
        <v>203</v>
      </c>
      <c r="B115" s="5" t="s">
        <v>204</v>
      </c>
      <c r="C115" s="5" t="s">
        <v>205</v>
      </c>
      <c r="D115" s="5"/>
      <c r="E115" s="9">
        <f>_xll.BQL("CRM US Equity", "CB_BS_OTHER_CURRENT_ASSETS/1M", "FPR=2022Y", "FPT=A", "FA_ACT_EST_DATA=E", "ACT_EST_MAPPING=PRECISE", "FS=MRC", "CURRENCY=USD", "XLFILL=b")</f>
        <v>1414.036431874305</v>
      </c>
      <c r="F115" s="9">
        <f>_xll.BQL("CRM US Equity", "CONTRIBUTOR_STATS(CB_BS_OTHER_CURRENT_ASSETS, MIN)/1M", "FPR=2022Y", "FPT=A", "FA_ACT_EST_DATA=E", "ACT_EST_MAPPING=PRECISE", "FS=MRC", "CURRENCY=USD", "XLFILL=b")</f>
        <v>1228.8322499999999</v>
      </c>
      <c r="G115" s="9">
        <f>_xll.BQL("CRM US Equity", "CONTRIBUTOR_STATS(CB_BS_OTHER_CURRENT_ASSETS, MAX)/1M", "FPR=2022Y", "FPT=A", "FA_ACT_EST_DATA=E", "ACT_EST_MAPPING=PRECISE", "FS=MRC", "CURRENCY=USD", "XLFILL=b")</f>
        <v>1836</v>
      </c>
      <c r="H115" s="9">
        <f>_xll.BQL("CRM US Equity", "CONTRIBUTOR_STATS(CB_BS_OTHER_CURRENT_ASSETS, STD)/1M", "FPR=2022Y", "FPT=A", "FA_ACT_EST_DATA=E", "ACT_EST_MAPPING=PRECISE", "FS=MRC", "CURRENCY=USD", "XLFILL=b")</f>
        <v>154.1238068221692</v>
      </c>
      <c r="I115" s="9">
        <f>_xll.BQL("CRM US Equity", "CONTRIBUTOR_STATS(CB_BS_OTHER_CURRENT_ASSETS, MEDIAN)/1M", "FPR=2022Y", "FPT=A", "FA_ACT_EST_DATA=E", "ACT_EST_MAPPING=PRECISE", "FS=MRC", "CURRENCY=USD", "XLFILL=b")</f>
        <v>1390.5459314359641</v>
      </c>
      <c r="J115" s="9" t="str">
        <f>_xll.BQL("CRM US Equity", "CB_BS_OTHER_CURRENT_ASSETS/1M", "FPR=2022Y", "FPT=A", "FA_ACT_EST_DATA=E, EST_SOURCE=CMPY", "ACT_EST_MAPPING=PRECISE", "FS=MRC", "CURRENCY=USD", "XLFILL=b")</f>
        <v/>
      </c>
      <c r="K115" s="9" t="str">
        <f>_xll.BQL("CRM US Equity", "CB_BS_OTHER_CURRENT_ASSETS/1M", "FPR=2022Y", "FPT=A", "FA_ACT_EST_DATA=E, EST_SOURCE=WBL", "ACT_EST_MAPPING=PRECISE", "FS=MRC", "CURRENCY=USD", "XLFILL=b")</f>
        <v/>
      </c>
      <c r="L115" s="9" t="str">
        <f>_xll.BQL("CRM US Equity", "CB_BS_OTHER_CURRENT_ASSETS/1M", "FPR=2022Y", "FPT=A", "FA_ACT_EST_DATA=E, EST_SOURCE=BMO", "ACT_EST_MAPPING=PRECISE", "FS=MRC", "CURRENCY=USD", "XLFILL=b")</f>
        <v/>
      </c>
      <c r="M115" s="9">
        <f>_xll.BQL("CRM US Equity", "CB_BS_OTHER_CURRENT_ASSETS/1M", "FPR=2022Y", "FPT=A", "FA_ACT_EST_DATA=E, EST_SOURCE=BCA", "ACT_EST_MAPPING=PRECISE", "FS=MRC", "CURRENCY=USD", "XLFILL=b")</f>
        <v>1390.5459314359641</v>
      </c>
      <c r="N115" s="9" t="str">
        <f>_xll.BQL("CRM US Equity", "CB_BS_OTHER_CURRENT_ASSETS/1M", "FPR=2022Y", "FPT=A", "FA_ACT_EST_DATA=E, EST_SOURCE=SNR", "ACT_EST_MAPPING=PRECISE", "FS=MRC", "CURRENCY=USD", "XLFILL=b")</f>
        <v/>
      </c>
      <c r="O115" s="9" t="str">
        <f>_xll.BQL("CRM US Equity", "CB_BS_OTHER_CURRENT_ASSETS/1M", "FPR=2022Y", "FPT=A", "FA_ACT_EST_DATA=E, EST_SOURCE=MSV", "ACT_EST_MAPPING=PRECISE", "FS=MRC", "CURRENCY=USD", "XLFILL=b")</f>
        <v/>
      </c>
      <c r="P115" s="9">
        <f>_xll.BQL("CRM US Equity", "CB_BS_OTHER_CURRENT_ASSETS/1M", "FPR=2022Y", "FPT=A", "FA_ACT_EST_DATA=E, EST_SOURCE=DBG", "ACT_EST_MAPPING=PRECISE", "FS=MRC", "CURRENCY=USD", "XLFILL=b")</f>
        <v>1350.037132054631</v>
      </c>
      <c r="Q115" s="9">
        <f>_xll.BQL("CRM US Equity", "CB_BS_OTHER_CURRENT_ASSETS/1M", "FPR=2022Y", "FPT=A", "FA_ACT_EST_DATA=E, EST_SOURCE=NDH", "ACT_EST_MAPPING=PRECISE", "FS=MRC", "CURRENCY=USD", "XLFILL=b")</f>
        <v>1445.89</v>
      </c>
      <c r="R115" s="9" t="str">
        <f>_xll.BQL("CRM US Equity", "CB_BS_OTHER_CURRENT_ASSETS/1M", "FPR=2022Y", "FPT=A", "FA_ACT_EST_DATA=E, EST_SOURCE=CAN", "ACT_EST_MAPPING=PRECISE", "FS=MRC", "CURRENCY=USD", "XLFILL=b")</f>
        <v/>
      </c>
      <c r="S115" s="9" t="str">
        <f>_xll.BQL("CRM US Equity", "CB_BS_OTHER_CURRENT_ASSETS/1M", "FPR=2022Y", "FPT=A", "FA_ACT_EST_DATA=E, EST_SOURCE=SCB", "ACT_EST_MAPPING=PRECISE", "FS=MRC", "CURRENCY=USD", "XLFILL=b")</f>
        <v/>
      </c>
      <c r="T115" s="9" t="str">
        <f>_xll.BQL("CRM US Equity", "CB_BS_OTHER_CURRENT_ASSETS/1M", "FPR=2022Y", "FPT=A", "FA_ACT_EST_DATA=E, EST_SOURCE=JMP", "ACT_EST_MAPPING=PRECISE", "FS=MRC", "CURRENCY=USD", "XLFILL=b")</f>
        <v/>
      </c>
      <c r="U115" s="9" t="str">
        <f>_xll.BQL("CRM US Equity", "CB_BS_OTHER_CURRENT_ASSETS/1M", "FPR=2022Y", "FPT=A", "FA_ACT_EST_DATA=E, EST_SOURCE=RJA", "ACT_EST_MAPPING=PRECISE", "FS=MRC", "CURRENCY=USD", "XLFILL=b")</f>
        <v/>
      </c>
      <c r="V115" s="9" t="str">
        <f>_xll.BQL("CRM US Equity", "CB_BS_OTHER_CURRENT_ASSETS/1M", "FPR=2022Y", "FPT=A", "FA_ACT_EST_DATA=E, EST_SOURCE=OPY", "ACT_EST_MAPPING=PRECISE", "FS=MRC", "CURRENCY=USD", "XLFILL=b")</f>
        <v/>
      </c>
      <c r="W115" s="9" t="str">
        <f>_xll.BQL("CRM US Equity", "CB_BS_OTHER_CURRENT_ASSETS/1M", "FPR=2022Y", "FPT=A", "FA_ACT_EST_DATA=E, EST_SOURCE=JPM", "ACT_EST_MAPPING=PRECISE", "FS=MRC", "CURRENCY=USD", "XLFILL=b")</f>
        <v/>
      </c>
      <c r="X115" s="9">
        <f>_xll.BQL("CRM US Equity", "CB_BS_OTHER_CURRENT_ASSETS/1M", "FPR=2022Y", "FPT=A", "FA_ACT_EST_DATA=E, EST_SOURCE=FBC", "ACT_EST_MAPPING=PRECISE", "FS=MRC", "CURRENCY=USD", "XLFILL=b")</f>
        <v>1349.7163567660241</v>
      </c>
      <c r="Y115" s="9" t="str">
        <f>_xll.BQL("CRM US Equity", "CB_BS_OTHER_CURRENT_ASSETS/1M", "FPR=2022Y", "FPT=A", "FA_ACT_EST_DATA=E, EST_SOURCE=WMS", "ACT_EST_MAPPING=PRECISE", "FS=MRC", "CURRENCY=USD", "XLFILL=b")</f>
        <v/>
      </c>
      <c r="Z115" s="9">
        <f>_xll.BQL("CRM US Equity", "CB_BS_OTHER_CURRENT_ASSETS/1M", "FPR=2022Y", "FPT=A", "FA_ACT_EST_DATA=E, EST_SOURCE=KEY", "ACT_EST_MAPPING=PRECISE", "FS=MRC", "CURRENCY=USD", "XLFILL=b")</f>
        <v>1560.3136634869038</v>
      </c>
      <c r="AA115" s="9" t="str">
        <f>_xll.BQL("CRM US Equity", "CB_BS_OTHER_CURRENT_ASSETS/1M", "FPR=2022Y", "FPT=A", "FA_ACT_EST_DATA=E, EST_SOURCE=LCM", "ACT_EST_MAPPING=PRECISE", "FS=MRC", "CURRENCY=USD", "XLFILL=b")</f>
        <v/>
      </c>
      <c r="AB115" s="9" t="str">
        <f>_xll.BQL("CRM US Equity", "CB_BS_OTHER_CURRENT_ASSETS/1M", "FPR=2022Y", "FPT=A", "FA_ACT_EST_DATA=E, EST_SOURCE=CWN", "ACT_EST_MAPPING=PRECISE", "FS=MRC", "CURRENCY=USD", "XLFILL=b")</f>
        <v/>
      </c>
      <c r="AC115" s="9" t="str">
        <f>_xll.BQL("CRM US Equity", "CB_BS_OTHER_CURRENT_ASSETS/1M", "FPR=2022Y", "FPT=A", "FA_ACT_EST_DATA=E, EST_SOURCE=BNS", "ACT_EST_MAPPING=PRECISE", "FS=MRC", "CURRENCY=USD", "XLFILL=b")</f>
        <v/>
      </c>
      <c r="AD115" s="9" t="str">
        <f>_xll.BQL("CRM US Equity", "CB_BS_OTHER_CURRENT_ASSETS/1M", "FPR=2022Y", "FPT=A", "FA_ACT_EST_DATA=E, EST_SOURCE=BAM", "ACT_EST_MAPPING=PRECISE", "FS=MRC", "CURRENCY=USD", "XLFILL=b")</f>
        <v/>
      </c>
      <c r="AE115" s="9" t="str">
        <f>_xll.BQL("CRM US Equity", "CB_BS_OTHER_CURRENT_ASSETS/1M", "FPR=2022Y", "FPT=A", "FA_ACT_EST_DATA=E, EST_SOURCE=RBC", "ACT_EST_MAPPING=PRECISE", "FS=MRC", "CURRENCY=USD", "XLFILL=b")</f>
        <v/>
      </c>
      <c r="AF115" s="9" t="str">
        <f>_xll.BQL("CRM US Equity", "CB_BS_OTHER_CURRENT_ASSETS/1M", "FPR=2022Y", "FPT=A", "FA_ACT_EST_DATA=E, EST_SOURCE=UBS", "ACT_EST_MAPPING=PRECISE", "FS=MRC", "CURRENCY=USD", "XLFILL=b")</f>
        <v/>
      </c>
      <c r="AG115" s="9" t="str">
        <f>_xll.BQL("CRM US Equity", "CB_BS_OTHER_CURRENT_ASSETS/1M", "FPR=2022Y", "FPT=A", "FA_ACT_EST_DATA=E, EST_SOURCE=RHR", "ACT_EST_MAPPING=PRECISE", "FS=MRC", "CURRENCY=USD", "XLFILL=b")</f>
        <v/>
      </c>
      <c r="AH115" s="9" t="str">
        <f>_xll.BQL("CRM US Equity", "CB_BS_OTHER_CURRENT_ASSETS/1M", "FPR=2022Y", "FPT=A", "FA_ACT_EST_DATA=E, EST_SOURCE=JEF", "ACT_EST_MAPPING=PRECISE", "FS=MRC", "CURRENCY=USD", "XLFILL=b")</f>
        <v/>
      </c>
      <c r="AI115" s="9" t="str">
        <f>_xll.BQL("CRM US Equity", "CB_BS_OTHER_CURRENT_ASSETS/1M", "FPR=2022Y", "FPT=A", "FA_ACT_EST_DATA=E, EST_SOURCE=ATL", "ACT_EST_MAPPING=PRECISE", "FS=MRC", "CURRENCY=USD", "XLFILL=b")</f>
        <v/>
      </c>
      <c r="AJ115" s="9" t="str">
        <f>_xll.BQL("CRM US Equity", "CB_BS_OTHER_CURRENT_ASSETS/1M", "FPR=2022Y", "FPT=A", "FA_ACT_EST_DATA=E, EST_SOURCE=MAC", "ACT_EST_MAPPING=PRECISE", "FS=MRC", "CURRENCY=USD", "XLFILL=b")</f>
        <v/>
      </c>
      <c r="AK115" s="9" t="str">
        <f>_xll.BQL("CRM US Equity", "CB_BS_OTHER_CURRENT_ASSETS/1M", "FPR=2022Y", "FPT=A", "FA_ACT_EST_DATA=E, EST_SOURCE=EVR", "ACT_EST_MAPPING=PRECISE", "FS=MRC", "CURRENCY=USD", "XLFILL=b")</f>
        <v/>
      </c>
      <c r="AL115" s="9" t="str">
        <f>_xll.BQL("CRM US Equity", "CB_BS_OTHER_CURRENT_ASSETS/1M", "FPR=2022Y", "FPT=A", "FA_ACT_EST_DATA=E, EST_SOURCE=MSR", "ACT_EST_MAPPING=PRECISE", "FS=MRC", "CURRENCY=USD", "XLFILL=b")</f>
        <v/>
      </c>
      <c r="AM115" s="9" t="str">
        <f>_xll.BQL("CRM US Equity", "CB_BS_OTHER_CURRENT_ASSETS/1M", "FPR=2022Y", "FPT=A", "FA_ACT_EST_DATA=E, EST_SOURCE=KGI", "ACT_EST_MAPPING=PRECISE", "FS=MRC", "CURRENCY=USD", "XLFILL=b")</f>
        <v/>
      </c>
      <c r="AN115" s="9" t="str">
        <f>_xll.BQL("CRM US Equity", "CB_BS_OTHER_CURRENT_ASSETS/1M", "FPR=2022Y", "FPT=A", "FA_ACT_EST_DATA=E, EST_SOURCE=ACC", "ACT_EST_MAPPING=PRECISE", "FS=MRC", "CURRENCY=USD", "XLFILL=b")</f>
        <v/>
      </c>
      <c r="AO115" s="9" t="str">
        <f>_xll.BQL("CRM US Equity", "CB_BS_OTHER_CURRENT_ASSETS/1M", "FPR=2022Y", "FPT=A", "FA_ACT_EST_DATA=E, EST_SOURCE=GSR", "ACT_EST_MAPPING=PRECISE", "FS=MRC", "CURRENCY=USD", "XLFILL=b")</f>
        <v/>
      </c>
      <c r="AP115" s="9" t="str">
        <f>_xll.BQL("CRM US Equity", "CB_BS_OTHER_CURRENT_ASSETS/1M", "FPR=2022Y", "FPT=A", "FA_ACT_EST_DATA=E, EST_SOURCE=PSG", "ACT_EST_MAPPING=PRECISE", "FS=MRC", "CURRENCY=USD", "XLFILL=b")</f>
        <v/>
      </c>
      <c r="AQ115" s="9" t="str">
        <f>_xll.BQL("CRM US Equity", "CB_BS_OTHER_CURRENT_ASSETS/1M", "FPR=2022Y", "FPT=A", "FA_ACT_EST_DATA=E, EST_SOURCE=DWI", "ACT_EST_MAPPING=PRECISE", "FS=MRC", "CURRENCY=USD", "XLFILL=b")</f>
        <v/>
      </c>
      <c r="AR115" s="9" t="str">
        <f>_xll.BQL("CRM US Equity", "CB_BS_OTHER_CURRENT_ASSETS/1M", "FPR=2022Y", "FPT=A", "FA_ACT_EST_DATA=E, EST_SOURCE=RWB", "ACT_EST_MAPPING=PRECISE", "FS=MRC", "CURRENCY=USD", "XLFILL=b")</f>
        <v/>
      </c>
      <c r="AS115" s="9" t="str">
        <f>_xll.BQL("CRM US Equity", "CB_BS_OTHER_CURRENT_ASSETS/1M", "FPR=2022Y", "FPT=A", "FA_ACT_EST_DATA=E, EST_SOURCE=ARG", "ACT_EST_MAPPING=PRECISE", "FS=MRC", "CURRENCY=USD", "XLFILL=b")</f>
        <v/>
      </c>
      <c r="AT115" s="9" t="str">
        <f>_xll.BQL("CRM US Equity", "CB_BS_OTHER_CURRENT_ASSETS/1M", "FPR=2022Y", "FPT=A", "FA_ACT_EST_DATA=E, EST_SOURCE=CTI", "ACT_EST_MAPPING=PRECISE", "FS=MRC", "CURRENCY=USD", "XLFILL=b")</f>
        <v/>
      </c>
      <c r="AU115" s="9" t="str">
        <f>_xll.BQL("CRM US Equity", "CB_BS_OTHER_CURRENT_ASSETS/1M", "FPR=2022Y", "FPT=A", "FA_ACT_EST_DATA=E, EST_SOURCE=WFT", "ACT_EST_MAPPING=PRECISE", "FS=MRC", "CURRENCY=USD", "XLFILL=b")</f>
        <v/>
      </c>
      <c r="AV115" s="9" t="str">
        <f>_xll.BQL("CRM US Equity", "CB_BS_OTHER_CURRENT_ASSETS/1M", "FPR=2022Y", "FPT=A", "FA_ACT_EST_DATA=E, EST_SOURCE=PJE", "ACT_EST_MAPPING=PRECISE", "FS=MRC", "CURRENCY=USD", "XLFILL=b")</f>
        <v/>
      </c>
      <c r="AW115" s="9" t="str">
        <f>_xll.BQL("CRM US Equity", "CB_BS_OTHER_CURRENT_ASSETS/1M", "FPR=2022Y", "FPT=A", "FA_ACT_EST_DATA=E, EST_SOURCE=SGE", "ACT_EST_MAPPING=PRECISE", "FS=MRC", "CURRENCY=USD", "XLFILL=b")</f>
        <v/>
      </c>
      <c r="AX115" s="9" t="str">
        <f>_xll.BQL("CRM US Equity", "CB_BS_OTHER_CURRENT_ASSETS/1M", "FPR=2022Y", "FPT=A", "FA_ACT_EST_DATA=E, EST_SOURCE=MZS", "ACT_EST_MAPPING=PRECISE", "FS=MRC", "CURRENCY=USD", "XLFILL=b")</f>
        <v/>
      </c>
      <c r="AY115" s="9" t="str">
        <f>_xll.BQL("CRM US Equity", "CB_BS_OTHER_CURRENT_ASSETS/1M", "FPR=2022Y", "FPT=A", "FA_ACT_EST_DATA=E, EST_SOURCE=RCP", "ACT_EST_MAPPING=PRECISE", "FS=MRC", "CURRENCY=USD", "XLFILL=b")</f>
        <v/>
      </c>
      <c r="AZ115" s="9" t="str">
        <f>_xll.BQL("CRM US Equity", "CB_BS_OTHER_CURRENT_ASSETS/1M", "FPR=2022Y", "FPT=A", "FA_ACT_EST_DATA=E, EST_SOURCE=WFR", "ACT_EST_MAPPING=PRECISE", "FS=MRC", "CURRENCY=USD", "XLFILL=b")</f>
        <v/>
      </c>
      <c r="BA115" s="9" t="str">
        <f>_xll.BQL("CRM US Equity", "CB_BS_OTHER_CURRENT_ASSETS/1M", "FPR=2022Y", "FPT=A", "FA_ACT_EST_DATA=E, EST_SOURCE=NIK", "ACT_EST_MAPPING=PRECISE", "FS=MRC", "CURRENCY=USD", "XLFILL=b")</f>
        <v/>
      </c>
      <c r="BB115" s="9" t="str">
        <f>_xll.BQL("CRM US Equity", "CB_BS_OTHER_CURRENT_ASSETS/1M", "FPR=2022Y", "FPT=A", "FA_ACT_EST_DATA=E, EST_SOURCE=ARE", "ACT_EST_MAPPING=PRECISE", "FS=MRC", "CURRENCY=USD", "XLFILL=b")</f>
        <v/>
      </c>
      <c r="BC115" s="9" t="str">
        <f>_xll.BQL("CRM US Equity", "CB_BS_OTHER_CURRENT_ASSETS/1M", "FPR=2022Y", "FPT=A", "FA_ACT_EST_DATA=E, EST_SOURCE=RED", "ACT_EST_MAPPING=PRECISE", "FS=MRC", "CURRENCY=USD", "XLFILL=b")</f>
        <v/>
      </c>
      <c r="BD115" s="9" t="str">
        <f>_xll.BQL("CRM US Equity", "CB_BS_OTHER_CURRENT_ASSETS/1M", "FPR=2022Y", "FPT=A", "FA_ACT_EST_DATA=E, EST_SOURCE=DIR", "ACT_EST_MAPPING=PRECISE", "FS=MRC", "CURRENCY=USD", "XLFILL=b")</f>
        <v/>
      </c>
    </row>
    <row r="116" spans="1:56" x14ac:dyDescent="0.55000000000000004">
      <c r="A116" s="8" t="s">
        <v>206</v>
      </c>
      <c r="B116" s="5" t="s">
        <v>207</v>
      </c>
      <c r="C116" s="5" t="s">
        <v>208</v>
      </c>
      <c r="D116" s="5"/>
      <c r="E116" s="9">
        <f>_xll.BQL("CRM US Equity", "PREPAID_EXPNSS_AND_OTHR/1M", "FPR=2022Y", "FPT=A", "FA_ACT_EST_DATA=E", "ACT_EST_MAPPING=PRECISE", "FS=MRC", "CURRENCY=USD", "XLFILL=b")</f>
        <v>1250.5231632583311</v>
      </c>
      <c r="F116" s="9">
        <f>_xll.BQL("CRM US Equity", "CONTRIBUTOR_STATS(PREPAID_EXPNSS_AND_OTHR, MIN)/1M", "FPR=2022Y", "FPT=A", "FA_ACT_EST_DATA=E", "ACT_EST_MAPPING=PRECISE", "FS=MRC", "CURRENCY=USD", "XLFILL=b")</f>
        <v>1012.123</v>
      </c>
      <c r="G116" s="9">
        <f>_xll.BQL("CRM US Equity", "CONTRIBUTOR_STATS(PREPAID_EXPNSS_AND_OTHR, MAX)/1M", "FPR=2022Y", "FPT=A", "FA_ACT_EST_DATA=E", "ACT_EST_MAPPING=PRECISE", "FS=MRC", "CURRENCY=USD", "XLFILL=b")</f>
        <v>1374.46</v>
      </c>
      <c r="H116" s="9">
        <f>_xll.BQL("CRM US Equity", "CONTRIBUTOR_STATS(PREPAID_EXPNSS_AND_OTHR, STD)/1M", "FPR=2022Y", "FPT=A", "FA_ACT_EST_DATA=E", "ACT_EST_MAPPING=PRECISE", "FS=MRC", "CURRENCY=USD", "XLFILL=b")</f>
        <v>124.8356288824081</v>
      </c>
      <c r="I116" s="9">
        <f>_xll.BQL("CRM US Equity", "CONTRIBUTOR_STATS(PREPAID_EXPNSS_AND_OTHR, MEDIAN)/1M", "FPR=2022Y", "FPT=A", "FA_ACT_EST_DATA=E", "ACT_EST_MAPPING=PRECISE", "FS=MRC", "CURRENCY=USD", "XLFILL=b")</f>
        <v>1302.8606</v>
      </c>
      <c r="J116" s="9" t="str">
        <f>_xll.BQL("CRM US Equity", "PREPAID_EXPNSS_AND_OTHR/1M", "FPR=2022Y", "FPT=A", "FA_ACT_EST_DATA=E, EST_SOURCE=CMPY", "ACT_EST_MAPPING=PRECISE", "FS=MRC", "CURRENCY=USD", "XLFILL=b")</f>
        <v/>
      </c>
      <c r="K116" s="9" t="str">
        <f>_xll.BQL("CRM US Equity", "PREPAID_EXPNSS_AND_OTHR/1M", "FPR=2022Y", "FPT=A", "FA_ACT_EST_DATA=E, EST_SOURCE=WBL", "ACT_EST_MAPPING=PRECISE", "FS=MRC", "CURRENCY=USD", "XLFILL=b")</f>
        <v/>
      </c>
      <c r="L116" s="9" t="str">
        <f>_xll.BQL("CRM US Equity", "PREPAID_EXPNSS_AND_OTHR/1M", "FPR=2022Y", "FPT=A", "FA_ACT_EST_DATA=E, EST_SOURCE=BMO", "ACT_EST_MAPPING=PRECISE", "FS=MRC", "CURRENCY=USD", "XLFILL=b")</f>
        <v/>
      </c>
      <c r="M116" s="9">
        <f>_xll.BQL("CRM US Equity", "PREPAID_EXPNSS_AND_OTHR/1M", "FPR=2022Y", "FPT=A", "FA_ACT_EST_DATA=E, EST_SOURCE=BCA", "ACT_EST_MAPPING=PRECISE", "FS=MRC", "CURRENCY=USD", "XLFILL=b")</f>
        <v>1139.6500000000001</v>
      </c>
      <c r="N116" s="9" t="str">
        <f>_xll.BQL("CRM US Equity", "PREPAID_EXPNSS_AND_OTHR/1M", "FPR=2022Y", "FPT=A", "FA_ACT_EST_DATA=E, EST_SOURCE=SNR", "ACT_EST_MAPPING=PRECISE", "FS=MRC", "CURRENCY=USD", "XLFILL=b")</f>
        <v/>
      </c>
      <c r="O116" s="9" t="str">
        <f>_xll.BQL("CRM US Equity", "PREPAID_EXPNSS_AND_OTHR/1M", "FPR=2022Y", "FPT=A", "FA_ACT_EST_DATA=E, EST_SOURCE=MSV", "ACT_EST_MAPPING=PRECISE", "FS=MRC", "CURRENCY=USD", "XLFILL=b")</f>
        <v/>
      </c>
      <c r="P116" s="9">
        <f>_xll.BQL("CRM US Equity", "PREPAID_EXPNSS_AND_OTHR/1M", "FPR=2022Y", "FPT=A", "FA_ACT_EST_DATA=E, EST_SOURCE=DBG", "ACT_EST_MAPPING=PRECISE", "FS=MRC", "CURRENCY=USD", "XLFILL=b")</f>
        <v>1305</v>
      </c>
      <c r="Q116" s="9">
        <f>_xll.BQL("CRM US Equity", "PREPAID_EXPNSS_AND_OTHR/1M", "FPR=2022Y", "FPT=A", "FA_ACT_EST_DATA=E, EST_SOURCE=NDH", "ACT_EST_MAPPING=PRECISE", "FS=MRC", "CURRENCY=USD", "XLFILL=b")</f>
        <v>1012.123</v>
      </c>
      <c r="R116" s="9" t="str">
        <f>_xll.BQL("CRM US Equity", "PREPAID_EXPNSS_AND_OTHR/1M", "FPR=2022Y", "FPT=A", "FA_ACT_EST_DATA=E, EST_SOURCE=CAN", "ACT_EST_MAPPING=PRECISE", "FS=MRC", "CURRENCY=USD", "XLFILL=b")</f>
        <v/>
      </c>
      <c r="S116" s="9" t="str">
        <f>_xll.BQL("CRM US Equity", "PREPAID_EXPNSS_AND_OTHR/1M", "FPR=2022Y", "FPT=A", "FA_ACT_EST_DATA=E, EST_SOURCE=SCB", "ACT_EST_MAPPING=PRECISE", "FS=MRC", "CURRENCY=USD", "XLFILL=b")</f>
        <v/>
      </c>
      <c r="T116" s="9" t="str">
        <f>_xll.BQL("CRM US Equity", "PREPAID_EXPNSS_AND_OTHR/1M", "FPR=2022Y", "FPT=A", "FA_ACT_EST_DATA=E, EST_SOURCE=JMP", "ACT_EST_MAPPING=PRECISE", "FS=MRC", "CURRENCY=USD", "XLFILL=b")</f>
        <v/>
      </c>
      <c r="U116" s="9" t="str">
        <f>_xll.BQL("CRM US Equity", "PREPAID_EXPNSS_AND_OTHR/1M", "FPR=2022Y", "FPT=A", "FA_ACT_EST_DATA=E, EST_SOURCE=RJA", "ACT_EST_MAPPING=PRECISE", "FS=MRC", "CURRENCY=USD", "XLFILL=b")</f>
        <v/>
      </c>
      <c r="V116" s="9" t="str">
        <f>_xll.BQL("CRM US Equity", "PREPAID_EXPNSS_AND_OTHR/1M", "FPR=2022Y", "FPT=A", "FA_ACT_EST_DATA=E, EST_SOURCE=OPY", "ACT_EST_MAPPING=PRECISE", "FS=MRC", "CURRENCY=USD", "XLFILL=b")</f>
        <v/>
      </c>
      <c r="W116" s="9" t="str">
        <f>_xll.BQL("CRM US Equity", "PREPAID_EXPNSS_AND_OTHR/1M", "FPR=2022Y", "FPT=A", "FA_ACT_EST_DATA=E, EST_SOURCE=JPM", "ACT_EST_MAPPING=PRECISE", "FS=MRC", "CURRENCY=USD", "XLFILL=b")</f>
        <v/>
      </c>
      <c r="X116" s="9">
        <f>_xll.BQL("CRM US Equity", "PREPAID_EXPNSS_AND_OTHR/1M", "FPR=2022Y", "FPT=A", "FA_ACT_EST_DATA=E, EST_SOURCE=FBC", "ACT_EST_MAPPING=PRECISE", "FS=MRC", "CURRENCY=USD", "XLFILL=b")</f>
        <v>1236.481213877486</v>
      </c>
      <c r="Y116" s="9" t="str">
        <f>_xll.BQL("CRM US Equity", "PREPAID_EXPNSS_AND_OTHR/1M", "FPR=2022Y", "FPT=A", "FA_ACT_EST_DATA=E, EST_SOURCE=WMS", "ACT_EST_MAPPING=PRECISE", "FS=MRC", "CURRENCY=USD", "XLFILL=b")</f>
        <v/>
      </c>
      <c r="Z116" s="9">
        <f>_xll.BQL("CRM US Equity", "PREPAID_EXPNSS_AND_OTHR/1M", "FPR=2022Y", "FPT=A", "FA_ACT_EST_DATA=E, EST_SOURCE=KEY", "ACT_EST_MAPPING=PRECISE", "FS=MRC", "CURRENCY=USD", "XLFILL=b")</f>
        <v>1080.785174648003</v>
      </c>
      <c r="AA116" s="9" t="str">
        <f>_xll.BQL("CRM US Equity", "PREPAID_EXPNSS_AND_OTHR/1M", "FPR=2022Y", "FPT=A", "FA_ACT_EST_DATA=E, EST_SOURCE=LCM", "ACT_EST_MAPPING=PRECISE", "FS=MRC", "CURRENCY=USD", "XLFILL=b")</f>
        <v/>
      </c>
      <c r="AB116" s="9" t="str">
        <f>_xll.BQL("CRM US Equity", "PREPAID_EXPNSS_AND_OTHR/1M", "FPR=2022Y", "FPT=A", "FA_ACT_EST_DATA=E, EST_SOURCE=CWN", "ACT_EST_MAPPING=PRECISE", "FS=MRC", "CURRENCY=USD", "XLFILL=b")</f>
        <v/>
      </c>
      <c r="AC116" s="9" t="str">
        <f>_xll.BQL("CRM US Equity", "PREPAID_EXPNSS_AND_OTHR/1M", "FPR=2022Y", "FPT=A", "FA_ACT_EST_DATA=E, EST_SOURCE=BNS", "ACT_EST_MAPPING=PRECISE", "FS=MRC", "CURRENCY=USD", "XLFILL=b")</f>
        <v/>
      </c>
      <c r="AD116" s="9" t="str">
        <f>_xll.BQL("CRM US Equity", "PREPAID_EXPNSS_AND_OTHR/1M", "FPR=2022Y", "FPT=A", "FA_ACT_EST_DATA=E, EST_SOURCE=BAM", "ACT_EST_MAPPING=PRECISE", "FS=MRC", "CURRENCY=USD", "XLFILL=b")</f>
        <v/>
      </c>
      <c r="AE116" s="9" t="str">
        <f>_xll.BQL("CRM US Equity", "PREPAID_EXPNSS_AND_OTHR/1M", "FPR=2022Y", "FPT=A", "FA_ACT_EST_DATA=E, EST_SOURCE=RBC", "ACT_EST_MAPPING=PRECISE", "FS=MRC", "CURRENCY=USD", "XLFILL=b")</f>
        <v/>
      </c>
      <c r="AF116" s="9" t="str">
        <f>_xll.BQL("CRM US Equity", "PREPAID_EXPNSS_AND_OTHR/1M", "FPR=2022Y", "FPT=A", "FA_ACT_EST_DATA=E, EST_SOURCE=UBS", "ACT_EST_MAPPING=PRECISE", "FS=MRC", "CURRENCY=USD", "XLFILL=b")</f>
        <v/>
      </c>
      <c r="AG116" s="9" t="str">
        <f>_xll.BQL("CRM US Equity", "PREPAID_EXPNSS_AND_OTHR/1M", "FPR=2022Y", "FPT=A", "FA_ACT_EST_DATA=E, EST_SOURCE=RHR", "ACT_EST_MAPPING=PRECISE", "FS=MRC", "CURRENCY=USD", "XLFILL=b")</f>
        <v/>
      </c>
      <c r="AH116" s="9" t="str">
        <f>_xll.BQL("CRM US Equity", "PREPAID_EXPNSS_AND_OTHR/1M", "FPR=2022Y", "FPT=A", "FA_ACT_EST_DATA=E, EST_SOURCE=JEF", "ACT_EST_MAPPING=PRECISE", "FS=MRC", "CURRENCY=USD", "XLFILL=b")</f>
        <v/>
      </c>
      <c r="AI116" s="9" t="str">
        <f>_xll.BQL("CRM US Equity", "PREPAID_EXPNSS_AND_OTHR/1M", "FPR=2022Y", "FPT=A", "FA_ACT_EST_DATA=E, EST_SOURCE=ATL", "ACT_EST_MAPPING=PRECISE", "FS=MRC", "CURRENCY=USD", "XLFILL=b")</f>
        <v/>
      </c>
      <c r="AJ116" s="9" t="str">
        <f>_xll.BQL("CRM US Equity", "PREPAID_EXPNSS_AND_OTHR/1M", "FPR=2022Y", "FPT=A", "FA_ACT_EST_DATA=E, EST_SOURCE=MAC", "ACT_EST_MAPPING=PRECISE", "FS=MRC", "CURRENCY=USD", "XLFILL=b")</f>
        <v/>
      </c>
      <c r="AK116" s="9" t="str">
        <f>_xll.BQL("CRM US Equity", "PREPAID_EXPNSS_AND_OTHR/1M", "FPR=2022Y", "FPT=A", "FA_ACT_EST_DATA=E, EST_SOURCE=EVR", "ACT_EST_MAPPING=PRECISE", "FS=MRC", "CURRENCY=USD", "XLFILL=b")</f>
        <v/>
      </c>
      <c r="AL116" s="9" t="str">
        <f>_xll.BQL("CRM US Equity", "PREPAID_EXPNSS_AND_OTHR/1M", "FPR=2022Y", "FPT=A", "FA_ACT_EST_DATA=E, EST_SOURCE=MSR", "ACT_EST_MAPPING=PRECISE", "FS=MRC", "CURRENCY=USD", "XLFILL=b")</f>
        <v/>
      </c>
      <c r="AM116" s="9" t="str">
        <f>_xll.BQL("CRM US Equity", "PREPAID_EXPNSS_AND_OTHR/1M", "FPR=2022Y", "FPT=A", "FA_ACT_EST_DATA=E, EST_SOURCE=KGI", "ACT_EST_MAPPING=PRECISE", "FS=MRC", "CURRENCY=USD", "XLFILL=b")</f>
        <v/>
      </c>
      <c r="AN116" s="9" t="str">
        <f>_xll.BQL("CRM US Equity", "PREPAID_EXPNSS_AND_OTHR/1M", "FPR=2022Y", "FPT=A", "FA_ACT_EST_DATA=E, EST_SOURCE=ACC", "ACT_EST_MAPPING=PRECISE", "FS=MRC", "CURRENCY=USD", "XLFILL=b")</f>
        <v/>
      </c>
      <c r="AO116" s="9" t="str">
        <f>_xll.BQL("CRM US Equity", "PREPAID_EXPNSS_AND_OTHR/1M", "FPR=2022Y", "FPT=A", "FA_ACT_EST_DATA=E, EST_SOURCE=GSR", "ACT_EST_MAPPING=PRECISE", "FS=MRC", "CURRENCY=USD", "XLFILL=b")</f>
        <v/>
      </c>
      <c r="AP116" s="9" t="str">
        <f>_xll.BQL("CRM US Equity", "PREPAID_EXPNSS_AND_OTHR/1M", "FPR=2022Y", "FPT=A", "FA_ACT_EST_DATA=E, EST_SOURCE=PSG", "ACT_EST_MAPPING=PRECISE", "FS=MRC", "CURRENCY=USD", "XLFILL=b")</f>
        <v/>
      </c>
      <c r="AQ116" s="9" t="str">
        <f>_xll.BQL("CRM US Equity", "PREPAID_EXPNSS_AND_OTHR/1M", "FPR=2022Y", "FPT=A", "FA_ACT_EST_DATA=E, EST_SOURCE=DWI", "ACT_EST_MAPPING=PRECISE", "FS=MRC", "CURRENCY=USD", "XLFILL=b")</f>
        <v/>
      </c>
      <c r="AR116" s="9" t="str">
        <f>_xll.BQL("CRM US Equity", "PREPAID_EXPNSS_AND_OTHR/1M", "FPR=2022Y", "FPT=A", "FA_ACT_EST_DATA=E, EST_SOURCE=RWB", "ACT_EST_MAPPING=PRECISE", "FS=MRC", "CURRENCY=USD", "XLFILL=b")</f>
        <v/>
      </c>
      <c r="AS116" s="9" t="str">
        <f>_xll.BQL("CRM US Equity", "PREPAID_EXPNSS_AND_OTHR/1M", "FPR=2022Y", "FPT=A", "FA_ACT_EST_DATA=E, EST_SOURCE=ARG", "ACT_EST_MAPPING=PRECISE", "FS=MRC", "CURRENCY=USD", "XLFILL=b")</f>
        <v/>
      </c>
      <c r="AT116" s="9" t="str">
        <f>_xll.BQL("CRM US Equity", "PREPAID_EXPNSS_AND_OTHR/1M", "FPR=2022Y", "FPT=A", "FA_ACT_EST_DATA=E, EST_SOURCE=CTI", "ACT_EST_MAPPING=PRECISE", "FS=MRC", "CURRENCY=USD", "XLFILL=b")</f>
        <v/>
      </c>
      <c r="AU116" s="9" t="str">
        <f>_xll.BQL("CRM US Equity", "PREPAID_EXPNSS_AND_OTHR/1M", "FPR=2022Y", "FPT=A", "FA_ACT_EST_DATA=E, EST_SOURCE=WFT", "ACT_EST_MAPPING=PRECISE", "FS=MRC", "CURRENCY=USD", "XLFILL=b")</f>
        <v/>
      </c>
      <c r="AV116" s="9" t="str">
        <f>_xll.BQL("CRM US Equity", "PREPAID_EXPNSS_AND_OTHR/1M", "FPR=2022Y", "FPT=A", "FA_ACT_EST_DATA=E, EST_SOURCE=PJE", "ACT_EST_MAPPING=PRECISE", "FS=MRC", "CURRENCY=USD", "XLFILL=b")</f>
        <v/>
      </c>
      <c r="AW116" s="9" t="str">
        <f>_xll.BQL("CRM US Equity", "PREPAID_EXPNSS_AND_OTHR/1M", "FPR=2022Y", "FPT=A", "FA_ACT_EST_DATA=E, EST_SOURCE=SGE", "ACT_EST_MAPPING=PRECISE", "FS=MRC", "CURRENCY=USD", "XLFILL=b")</f>
        <v/>
      </c>
      <c r="AX116" s="9" t="str">
        <f>_xll.BQL("CRM US Equity", "PREPAID_EXPNSS_AND_OTHR/1M", "FPR=2022Y", "FPT=A", "FA_ACT_EST_DATA=E, EST_SOURCE=MZS", "ACT_EST_MAPPING=PRECISE", "FS=MRC", "CURRENCY=USD", "XLFILL=b")</f>
        <v/>
      </c>
      <c r="AY116" s="9" t="str">
        <f>_xll.BQL("CRM US Equity", "PREPAID_EXPNSS_AND_OTHR/1M", "FPR=2022Y", "FPT=A", "FA_ACT_EST_DATA=E, EST_SOURCE=RCP", "ACT_EST_MAPPING=PRECISE", "FS=MRC", "CURRENCY=USD", "XLFILL=b")</f>
        <v/>
      </c>
      <c r="AZ116" s="9" t="str">
        <f>_xll.BQL("CRM US Equity", "PREPAID_EXPNSS_AND_OTHR/1M", "FPR=2022Y", "FPT=A", "FA_ACT_EST_DATA=E, EST_SOURCE=WFR", "ACT_EST_MAPPING=PRECISE", "FS=MRC", "CURRENCY=USD", "XLFILL=b")</f>
        <v/>
      </c>
      <c r="BA116" s="9" t="str">
        <f>_xll.BQL("CRM US Equity", "PREPAID_EXPNSS_AND_OTHR/1M", "FPR=2022Y", "FPT=A", "FA_ACT_EST_DATA=E, EST_SOURCE=NIK", "ACT_EST_MAPPING=PRECISE", "FS=MRC", "CURRENCY=USD", "XLFILL=b")</f>
        <v/>
      </c>
      <c r="BB116" s="9" t="str">
        <f>_xll.BQL("CRM US Equity", "PREPAID_EXPNSS_AND_OTHR/1M", "FPR=2022Y", "FPT=A", "FA_ACT_EST_DATA=E, EST_SOURCE=ARE", "ACT_EST_MAPPING=PRECISE", "FS=MRC", "CURRENCY=USD", "XLFILL=b")</f>
        <v/>
      </c>
      <c r="BC116" s="9" t="str">
        <f>_xll.BQL("CRM US Equity", "PREPAID_EXPNSS_AND_OTHR/1M", "FPR=2022Y", "FPT=A", "FA_ACT_EST_DATA=E, EST_SOURCE=RED", "ACT_EST_MAPPING=PRECISE", "FS=MRC", "CURRENCY=USD", "XLFILL=b")</f>
        <v/>
      </c>
      <c r="BD116" s="9" t="str">
        <f>_xll.BQL("CRM US Equity", "PREPAID_EXPNSS_AND_OTHR/1M", "FPR=2022Y", "FPT=A", "FA_ACT_EST_DATA=E, EST_SOURCE=DIR", "ACT_EST_MAPPING=PRECISE", "FS=MRC", "CURRENCY=USD", "XLFILL=b")</f>
        <v/>
      </c>
    </row>
    <row r="117" spans="1:56" x14ac:dyDescent="0.55000000000000004">
      <c r="A117" s="8" t="s">
        <v>209</v>
      </c>
      <c r="B117" s="5" t="s">
        <v>210</v>
      </c>
      <c r="C117" s="5" t="s">
        <v>211</v>
      </c>
      <c r="D117" s="5"/>
      <c r="E117" s="9">
        <f>_xll.BQL("CRM US Equity", "BS_TOTAL_NON_CURRENT_ASSETS/1M", "FPR=2022Y", "FPT=A", "FA_ACT_EST_DATA=E", "ACT_EST_MAPPING=PRECISE", "FS=MRC", "CURRENCY=USD", "XLFILL=b")</f>
        <v>71181.558918190261</v>
      </c>
      <c r="F117" s="9">
        <f>_xll.BQL("CRM US Equity", "CONTRIBUTOR_STATS(BS_TOTAL_NON_CURRENT_ASSETS, MIN)/1M", "FPR=2022Y", "FPT=A", "FA_ACT_EST_DATA=E", "ACT_EST_MAPPING=PRECISE", "FS=MRC", "CURRENCY=USD", "XLFILL=b")</f>
        <v>70982.527499999997</v>
      </c>
      <c r="G117" s="9">
        <f>_xll.BQL("CRM US Equity", "CONTRIBUTOR_STATS(BS_TOTAL_NON_CURRENT_ASSETS, MAX)/1M", "FPR=2022Y", "FPT=A", "FA_ACT_EST_DATA=E", "ACT_EST_MAPPING=PRECISE", "FS=MRC", "CURRENCY=USD", "XLFILL=b")</f>
        <v>71281.730461643543</v>
      </c>
      <c r="H117" s="9">
        <f>_xll.BQL("CRM US Equity", "CONTRIBUTOR_STATS(BS_TOTAL_NON_CURRENT_ASSETS, STD)/1M", "FPR=2022Y", "FPT=A", "FA_ACT_EST_DATA=E", "ACT_EST_MAPPING=PRECISE", "FS=MRC", "CURRENCY=USD", "XLFILL=b")</f>
        <v>172.3675119876828</v>
      </c>
      <c r="I117" s="9">
        <f>_xll.BQL("CRM US Equity", "CONTRIBUTOR_STATS(BS_TOTAL_NON_CURRENT_ASSETS, MEDIAN)/1M", "FPR=2022Y", "FPT=A", "FA_ACT_EST_DATA=E", "ACT_EST_MAPPING=PRECISE", "FS=MRC", "CURRENCY=USD", "XLFILL=b")</f>
        <v>71280.41879292723</v>
      </c>
      <c r="J117" s="9" t="str">
        <f>_xll.BQL("CRM US Equity", "BS_TOTAL_NON_CURRENT_ASSETS/1M", "FPR=2022Y", "FPT=A", "FA_ACT_EST_DATA=E, EST_SOURCE=CMPY", "ACT_EST_MAPPING=PRECISE", "FS=MRC", "CURRENCY=USD", "XLFILL=b")</f>
        <v/>
      </c>
      <c r="K117" s="9" t="str">
        <f>_xll.BQL("CRM US Equity", "BS_TOTAL_NON_CURRENT_ASSETS/1M", "FPR=2022Y", "FPT=A", "FA_ACT_EST_DATA=E, EST_SOURCE=WBL", "ACT_EST_MAPPING=PRECISE", "FS=MRC", "CURRENCY=USD", "XLFILL=b")</f>
        <v/>
      </c>
      <c r="L117" s="9" t="str">
        <f>_xll.BQL("CRM US Equity", "BS_TOTAL_NON_CURRENT_ASSETS/1M", "FPR=2022Y", "FPT=A", "FA_ACT_EST_DATA=E, EST_SOURCE=BMO", "ACT_EST_MAPPING=PRECISE", "FS=MRC", "CURRENCY=USD", "XLFILL=b")</f>
        <v/>
      </c>
      <c r="M117" s="9">
        <f>_xll.BQL("CRM US Equity", "BS_TOTAL_NON_CURRENT_ASSETS/1M", "FPR=2022Y", "FPT=A", "FA_ACT_EST_DATA=E, EST_SOURCE=BCA", "ACT_EST_MAPPING=PRECISE", "FS=MRC", "CURRENCY=USD", "XLFILL=b")</f>
        <v>71280.41879292723</v>
      </c>
      <c r="N117" s="9" t="str">
        <f>_xll.BQL("CRM US Equity", "BS_TOTAL_NON_CURRENT_ASSETS/1M", "FPR=2022Y", "FPT=A", "FA_ACT_EST_DATA=E, EST_SOURCE=SNR", "ACT_EST_MAPPING=PRECISE", "FS=MRC", "CURRENCY=USD", "XLFILL=b")</f>
        <v/>
      </c>
      <c r="O117" s="9" t="str">
        <f>_xll.BQL("CRM US Equity", "BS_TOTAL_NON_CURRENT_ASSETS/1M", "FPR=2022Y", "FPT=A", "FA_ACT_EST_DATA=E, EST_SOURCE=MSV", "ACT_EST_MAPPING=PRECISE", "FS=MRC", "CURRENCY=USD", "XLFILL=b")</f>
        <v/>
      </c>
      <c r="P117" s="9" t="str">
        <f>_xll.BQL("CRM US Equity", "BS_TOTAL_NON_CURRENT_ASSETS/1M", "FPR=2022Y", "FPT=A", "FA_ACT_EST_DATA=E, EST_SOURCE=DBG", "ACT_EST_MAPPING=PRECISE", "FS=MRC", "CURRENCY=USD", "XLFILL=b")</f>
        <v/>
      </c>
      <c r="Q117" s="9" t="str">
        <f>_xll.BQL("CRM US Equity", "BS_TOTAL_NON_CURRENT_ASSETS/1M", "FPR=2022Y", "FPT=A", "FA_ACT_EST_DATA=E, EST_SOURCE=NDH", "ACT_EST_MAPPING=PRECISE", "FS=MRC", "CURRENCY=USD", "XLFILL=b")</f>
        <v/>
      </c>
      <c r="R117" s="9" t="str">
        <f>_xll.BQL("CRM US Equity", "BS_TOTAL_NON_CURRENT_ASSETS/1M", "FPR=2022Y", "FPT=A", "FA_ACT_EST_DATA=E, EST_SOURCE=CAN", "ACT_EST_MAPPING=PRECISE", "FS=MRC", "CURRENCY=USD", "XLFILL=b")</f>
        <v/>
      </c>
      <c r="S117" s="9" t="str">
        <f>_xll.BQL("CRM US Equity", "BS_TOTAL_NON_CURRENT_ASSETS/1M", "FPR=2022Y", "FPT=A", "FA_ACT_EST_DATA=E, EST_SOURCE=SCB", "ACT_EST_MAPPING=PRECISE", "FS=MRC", "CURRENCY=USD", "XLFILL=b")</f>
        <v/>
      </c>
      <c r="T117" s="9" t="str">
        <f>_xll.BQL("CRM US Equity", "BS_TOTAL_NON_CURRENT_ASSETS/1M", "FPR=2022Y", "FPT=A", "FA_ACT_EST_DATA=E, EST_SOURCE=JMP", "ACT_EST_MAPPING=PRECISE", "FS=MRC", "CURRENCY=USD", "XLFILL=b")</f>
        <v/>
      </c>
      <c r="U117" s="9" t="str">
        <f>_xll.BQL("CRM US Equity", "BS_TOTAL_NON_CURRENT_ASSETS/1M", "FPR=2022Y", "FPT=A", "FA_ACT_EST_DATA=E, EST_SOURCE=RJA", "ACT_EST_MAPPING=PRECISE", "FS=MRC", "CURRENCY=USD", "XLFILL=b")</f>
        <v/>
      </c>
      <c r="V117" s="9" t="str">
        <f>_xll.BQL("CRM US Equity", "BS_TOTAL_NON_CURRENT_ASSETS/1M", "FPR=2022Y", "FPT=A", "FA_ACT_EST_DATA=E, EST_SOURCE=OPY", "ACT_EST_MAPPING=PRECISE", "FS=MRC", "CURRENCY=USD", "XLFILL=b")</f>
        <v/>
      </c>
      <c r="W117" s="9" t="str">
        <f>_xll.BQL("CRM US Equity", "BS_TOTAL_NON_CURRENT_ASSETS/1M", "FPR=2022Y", "FPT=A", "FA_ACT_EST_DATA=E, EST_SOURCE=JPM", "ACT_EST_MAPPING=PRECISE", "FS=MRC", "CURRENCY=USD", "XLFILL=b")</f>
        <v/>
      </c>
      <c r="X117" s="9">
        <f>_xll.BQL("CRM US Equity", "BS_TOTAL_NON_CURRENT_ASSETS/1M", "FPR=2022Y", "FPT=A", "FA_ACT_EST_DATA=E, EST_SOURCE=FBC", "ACT_EST_MAPPING=PRECISE", "FS=MRC", "CURRENCY=USD", "XLFILL=b")</f>
        <v>71856.824044902372</v>
      </c>
      <c r="Y117" s="9" t="str">
        <f>_xll.BQL("CRM US Equity", "BS_TOTAL_NON_CURRENT_ASSETS/1M", "FPR=2022Y", "FPT=A", "FA_ACT_EST_DATA=E, EST_SOURCE=WMS", "ACT_EST_MAPPING=PRECISE", "FS=MRC", "CURRENCY=USD", "XLFILL=b")</f>
        <v/>
      </c>
      <c r="Z117" s="9" t="str">
        <f>_xll.BQL("CRM US Equity", "BS_TOTAL_NON_CURRENT_ASSETS/1M", "FPR=2022Y", "FPT=A", "FA_ACT_EST_DATA=E, EST_SOURCE=KEY", "ACT_EST_MAPPING=PRECISE", "FS=MRC", "CURRENCY=USD", "XLFILL=b")</f>
        <v/>
      </c>
      <c r="AA117" s="9" t="str">
        <f>_xll.BQL("CRM US Equity", "BS_TOTAL_NON_CURRENT_ASSETS/1M", "FPR=2022Y", "FPT=A", "FA_ACT_EST_DATA=E, EST_SOURCE=LCM", "ACT_EST_MAPPING=PRECISE", "FS=MRC", "CURRENCY=USD", "XLFILL=b")</f>
        <v/>
      </c>
      <c r="AB117" s="9" t="str">
        <f>_xll.BQL("CRM US Equity", "BS_TOTAL_NON_CURRENT_ASSETS/1M", "FPR=2022Y", "FPT=A", "FA_ACT_EST_DATA=E, EST_SOURCE=CWN", "ACT_EST_MAPPING=PRECISE", "FS=MRC", "CURRENCY=USD", "XLFILL=b")</f>
        <v/>
      </c>
      <c r="AC117" s="9" t="str">
        <f>_xll.BQL("CRM US Equity", "BS_TOTAL_NON_CURRENT_ASSETS/1M", "FPR=2022Y", "FPT=A", "FA_ACT_EST_DATA=E, EST_SOURCE=BNS", "ACT_EST_MAPPING=PRECISE", "FS=MRC", "CURRENCY=USD", "XLFILL=b")</f>
        <v/>
      </c>
      <c r="AD117" s="9" t="str">
        <f>_xll.BQL("CRM US Equity", "BS_TOTAL_NON_CURRENT_ASSETS/1M", "FPR=2022Y", "FPT=A", "FA_ACT_EST_DATA=E, EST_SOURCE=BAM", "ACT_EST_MAPPING=PRECISE", "FS=MRC", "CURRENCY=USD", "XLFILL=b")</f>
        <v/>
      </c>
      <c r="AE117" s="9" t="str">
        <f>_xll.BQL("CRM US Equity", "BS_TOTAL_NON_CURRENT_ASSETS/1M", "FPR=2022Y", "FPT=A", "FA_ACT_EST_DATA=E, EST_SOURCE=RBC", "ACT_EST_MAPPING=PRECISE", "FS=MRC", "CURRENCY=USD", "XLFILL=b")</f>
        <v/>
      </c>
      <c r="AF117" s="9" t="str">
        <f>_xll.BQL("CRM US Equity", "BS_TOTAL_NON_CURRENT_ASSETS/1M", "FPR=2022Y", "FPT=A", "FA_ACT_EST_DATA=E, EST_SOURCE=UBS", "ACT_EST_MAPPING=PRECISE", "FS=MRC", "CURRENCY=USD", "XLFILL=b")</f>
        <v/>
      </c>
      <c r="AG117" s="9" t="str">
        <f>_xll.BQL("CRM US Equity", "BS_TOTAL_NON_CURRENT_ASSETS/1M", "FPR=2022Y", "FPT=A", "FA_ACT_EST_DATA=E, EST_SOURCE=RHR", "ACT_EST_MAPPING=PRECISE", "FS=MRC", "CURRENCY=USD", "XLFILL=b")</f>
        <v/>
      </c>
      <c r="AH117" s="9" t="str">
        <f>_xll.BQL("CRM US Equity", "BS_TOTAL_NON_CURRENT_ASSETS/1M", "FPR=2022Y", "FPT=A", "FA_ACT_EST_DATA=E, EST_SOURCE=JEF", "ACT_EST_MAPPING=PRECISE", "FS=MRC", "CURRENCY=USD", "XLFILL=b")</f>
        <v/>
      </c>
      <c r="AI117" s="9" t="str">
        <f>_xll.BQL("CRM US Equity", "BS_TOTAL_NON_CURRENT_ASSETS/1M", "FPR=2022Y", "FPT=A", "FA_ACT_EST_DATA=E, EST_SOURCE=ATL", "ACT_EST_MAPPING=PRECISE", "FS=MRC", "CURRENCY=USD", "XLFILL=b")</f>
        <v/>
      </c>
      <c r="AJ117" s="9" t="str">
        <f>_xll.BQL("CRM US Equity", "BS_TOTAL_NON_CURRENT_ASSETS/1M", "FPR=2022Y", "FPT=A", "FA_ACT_EST_DATA=E, EST_SOURCE=MAC", "ACT_EST_MAPPING=PRECISE", "FS=MRC", "CURRENCY=USD", "XLFILL=b")</f>
        <v/>
      </c>
      <c r="AK117" s="9" t="str">
        <f>_xll.BQL("CRM US Equity", "BS_TOTAL_NON_CURRENT_ASSETS/1M", "FPR=2022Y", "FPT=A", "FA_ACT_EST_DATA=E, EST_SOURCE=EVR", "ACT_EST_MAPPING=PRECISE", "FS=MRC", "CURRENCY=USD", "XLFILL=b")</f>
        <v/>
      </c>
      <c r="AL117" s="9" t="str">
        <f>_xll.BQL("CRM US Equity", "BS_TOTAL_NON_CURRENT_ASSETS/1M", "FPR=2022Y", "FPT=A", "FA_ACT_EST_DATA=E, EST_SOURCE=MSR", "ACT_EST_MAPPING=PRECISE", "FS=MRC", "CURRENCY=USD", "XLFILL=b")</f>
        <v/>
      </c>
      <c r="AM117" s="9" t="str">
        <f>_xll.BQL("CRM US Equity", "BS_TOTAL_NON_CURRENT_ASSETS/1M", "FPR=2022Y", "FPT=A", "FA_ACT_EST_DATA=E, EST_SOURCE=KGI", "ACT_EST_MAPPING=PRECISE", "FS=MRC", "CURRENCY=USD", "XLFILL=b")</f>
        <v/>
      </c>
      <c r="AN117" s="9" t="str">
        <f>_xll.BQL("CRM US Equity", "BS_TOTAL_NON_CURRENT_ASSETS/1M", "FPR=2022Y", "FPT=A", "FA_ACT_EST_DATA=E, EST_SOURCE=ACC", "ACT_EST_MAPPING=PRECISE", "FS=MRC", "CURRENCY=USD", "XLFILL=b")</f>
        <v/>
      </c>
      <c r="AO117" s="9" t="str">
        <f>_xll.BQL("CRM US Equity", "BS_TOTAL_NON_CURRENT_ASSETS/1M", "FPR=2022Y", "FPT=A", "FA_ACT_EST_DATA=E, EST_SOURCE=GSR", "ACT_EST_MAPPING=PRECISE", "FS=MRC", "CURRENCY=USD", "XLFILL=b")</f>
        <v/>
      </c>
      <c r="AP117" s="9" t="str">
        <f>_xll.BQL("CRM US Equity", "BS_TOTAL_NON_CURRENT_ASSETS/1M", "FPR=2022Y", "FPT=A", "FA_ACT_EST_DATA=E, EST_SOURCE=PSG", "ACT_EST_MAPPING=PRECISE", "FS=MRC", "CURRENCY=USD", "XLFILL=b")</f>
        <v/>
      </c>
      <c r="AQ117" s="9" t="str">
        <f>_xll.BQL("CRM US Equity", "BS_TOTAL_NON_CURRENT_ASSETS/1M", "FPR=2022Y", "FPT=A", "FA_ACT_EST_DATA=E, EST_SOURCE=DWI", "ACT_EST_MAPPING=PRECISE", "FS=MRC", "CURRENCY=USD", "XLFILL=b")</f>
        <v/>
      </c>
      <c r="AR117" s="9" t="str">
        <f>_xll.BQL("CRM US Equity", "BS_TOTAL_NON_CURRENT_ASSETS/1M", "FPR=2022Y", "FPT=A", "FA_ACT_EST_DATA=E, EST_SOURCE=RWB", "ACT_EST_MAPPING=PRECISE", "FS=MRC", "CURRENCY=USD", "XLFILL=b")</f>
        <v/>
      </c>
      <c r="AS117" s="9" t="str">
        <f>_xll.BQL("CRM US Equity", "BS_TOTAL_NON_CURRENT_ASSETS/1M", "FPR=2022Y", "FPT=A", "FA_ACT_EST_DATA=E, EST_SOURCE=ARG", "ACT_EST_MAPPING=PRECISE", "FS=MRC", "CURRENCY=USD", "XLFILL=b")</f>
        <v/>
      </c>
      <c r="AT117" s="9" t="str">
        <f>_xll.BQL("CRM US Equity", "BS_TOTAL_NON_CURRENT_ASSETS/1M", "FPR=2022Y", "FPT=A", "FA_ACT_EST_DATA=E, EST_SOURCE=CTI", "ACT_EST_MAPPING=PRECISE", "FS=MRC", "CURRENCY=USD", "XLFILL=b")</f>
        <v/>
      </c>
      <c r="AU117" s="9" t="str">
        <f>_xll.BQL("CRM US Equity", "BS_TOTAL_NON_CURRENT_ASSETS/1M", "FPR=2022Y", "FPT=A", "FA_ACT_EST_DATA=E, EST_SOURCE=WFT", "ACT_EST_MAPPING=PRECISE", "FS=MRC", "CURRENCY=USD", "XLFILL=b")</f>
        <v/>
      </c>
      <c r="AV117" s="9" t="str">
        <f>_xll.BQL("CRM US Equity", "BS_TOTAL_NON_CURRENT_ASSETS/1M", "FPR=2022Y", "FPT=A", "FA_ACT_EST_DATA=E, EST_SOURCE=PJE", "ACT_EST_MAPPING=PRECISE", "FS=MRC", "CURRENCY=USD", "XLFILL=b")</f>
        <v/>
      </c>
      <c r="AW117" s="9" t="str">
        <f>_xll.BQL("CRM US Equity", "BS_TOTAL_NON_CURRENT_ASSETS/1M", "FPR=2022Y", "FPT=A", "FA_ACT_EST_DATA=E, EST_SOURCE=SGE", "ACT_EST_MAPPING=PRECISE", "FS=MRC", "CURRENCY=USD", "XLFILL=b")</f>
        <v/>
      </c>
      <c r="AX117" s="9" t="str">
        <f>_xll.BQL("CRM US Equity", "BS_TOTAL_NON_CURRENT_ASSETS/1M", "FPR=2022Y", "FPT=A", "FA_ACT_EST_DATA=E, EST_SOURCE=MZS", "ACT_EST_MAPPING=PRECISE", "FS=MRC", "CURRENCY=USD", "XLFILL=b")</f>
        <v/>
      </c>
      <c r="AY117" s="9" t="str">
        <f>_xll.BQL("CRM US Equity", "BS_TOTAL_NON_CURRENT_ASSETS/1M", "FPR=2022Y", "FPT=A", "FA_ACT_EST_DATA=E, EST_SOURCE=RCP", "ACT_EST_MAPPING=PRECISE", "FS=MRC", "CURRENCY=USD", "XLFILL=b")</f>
        <v/>
      </c>
      <c r="AZ117" s="9" t="str">
        <f>_xll.BQL("CRM US Equity", "BS_TOTAL_NON_CURRENT_ASSETS/1M", "FPR=2022Y", "FPT=A", "FA_ACT_EST_DATA=E, EST_SOURCE=WFR", "ACT_EST_MAPPING=PRECISE", "FS=MRC", "CURRENCY=USD", "XLFILL=b")</f>
        <v/>
      </c>
      <c r="BA117" s="9" t="str">
        <f>_xll.BQL("CRM US Equity", "BS_TOTAL_NON_CURRENT_ASSETS/1M", "FPR=2022Y", "FPT=A", "FA_ACT_EST_DATA=E, EST_SOURCE=NIK", "ACT_EST_MAPPING=PRECISE", "FS=MRC", "CURRENCY=USD", "XLFILL=b")</f>
        <v/>
      </c>
      <c r="BB117" s="9" t="str">
        <f>_xll.BQL("CRM US Equity", "BS_TOTAL_NON_CURRENT_ASSETS/1M", "FPR=2022Y", "FPT=A", "FA_ACT_EST_DATA=E, EST_SOURCE=ARE", "ACT_EST_MAPPING=PRECISE", "FS=MRC", "CURRENCY=USD", "XLFILL=b")</f>
        <v/>
      </c>
      <c r="BC117" s="9" t="str">
        <f>_xll.BQL("CRM US Equity", "BS_TOTAL_NON_CURRENT_ASSETS/1M", "FPR=2022Y", "FPT=A", "FA_ACT_EST_DATA=E, EST_SOURCE=RED", "ACT_EST_MAPPING=PRECISE", "FS=MRC", "CURRENCY=USD", "XLFILL=b")</f>
        <v/>
      </c>
      <c r="BD117" s="9" t="str">
        <f>_xll.BQL("CRM US Equity", "BS_TOTAL_NON_CURRENT_ASSETS/1M", "FPR=2022Y", "FPT=A", "FA_ACT_EST_DATA=E, EST_SOURCE=DIR", "ACT_EST_MAPPING=PRECISE", "FS=MRC", "CURRENCY=USD", "XLFILL=b")</f>
        <v/>
      </c>
    </row>
    <row r="118" spans="1:56" x14ac:dyDescent="0.55000000000000004">
      <c r="A118" s="8" t="s">
        <v>212</v>
      </c>
      <c r="B118" s="5" t="s">
        <v>213</v>
      </c>
      <c r="C118" s="5" t="s">
        <v>214</v>
      </c>
      <c r="D118" s="5"/>
      <c r="E118" s="9">
        <f>_xll.BQL("CRM US Equity", "CB_BS_PP_AND_E_NET/1M", "FPR=2022Y", "FPT=A", "FA_ACT_EST_DATA=E", "ACT_EST_MAPPING=PRECISE", "FS=MRC", "CURRENCY=USD", "XLFILL=b")</f>
        <v>2660.8977601508377</v>
      </c>
      <c r="F118" s="9">
        <f>_xll.BQL("CRM US Equity", "CONTRIBUTOR_STATS(CB_BS_PP_AND_E_NET, MIN)/1M", "FPR=2022Y", "FPT=A", "FA_ACT_EST_DATA=E", "ACT_EST_MAPPING=PRECISE", "FS=MRC", "CURRENCY=USD", "XLFILL=b")</f>
        <v>1900.4115200000001</v>
      </c>
      <c r="G118" s="9">
        <f>_xll.BQL("CRM US Equity", "CONTRIBUTOR_STATS(CB_BS_PP_AND_E_NET, MAX)/1M", "FPR=2022Y", "FPT=A", "FA_ACT_EST_DATA=E", "ACT_EST_MAPPING=PRECISE", "FS=MRC", "CURRENCY=USD", "XLFILL=b")</f>
        <v>3360.8184151778732</v>
      </c>
      <c r="H118" s="9">
        <f>_xll.BQL("CRM US Equity", "CONTRIBUTOR_STATS(CB_BS_PP_AND_E_NET, STD)/1M", "FPR=2022Y", "FPT=A", "FA_ACT_EST_DATA=E", "ACT_EST_MAPPING=PRECISE", "FS=MRC", "CURRENCY=USD", "XLFILL=b")</f>
        <v>371.7288459871902</v>
      </c>
      <c r="I118" s="9">
        <f>_xll.BQL("CRM US Equity", "CONTRIBUTOR_STATS(CB_BS_PP_AND_E_NET, MEDIAN)/1M", "FPR=2022Y", "FPT=A", "FA_ACT_EST_DATA=E", "ACT_EST_MAPPING=PRECISE", "FS=MRC", "CURRENCY=USD", "XLFILL=b")</f>
        <v>2722.8286917655141</v>
      </c>
      <c r="J118" s="9" t="str">
        <f>_xll.BQL("CRM US Equity", "CB_BS_PP_AND_E_NET/1M", "FPR=2022Y", "FPT=A", "FA_ACT_EST_DATA=E, EST_SOURCE=CMPY", "ACT_EST_MAPPING=PRECISE", "FS=MRC", "CURRENCY=USD", "XLFILL=b")</f>
        <v/>
      </c>
      <c r="K118" s="9" t="str">
        <f>_xll.BQL("CRM US Equity", "CB_BS_PP_AND_E_NET/1M", "FPR=2022Y", "FPT=A", "FA_ACT_EST_DATA=E, EST_SOURCE=WBL", "ACT_EST_MAPPING=PRECISE", "FS=MRC", "CURRENCY=USD", "XLFILL=b")</f>
        <v/>
      </c>
      <c r="L118" s="9" t="str">
        <f>_xll.BQL("CRM US Equity", "CB_BS_PP_AND_E_NET/1M", "FPR=2022Y", "FPT=A", "FA_ACT_EST_DATA=E, EST_SOURCE=BMO", "ACT_EST_MAPPING=PRECISE", "FS=MRC", "CURRENCY=USD", "XLFILL=b")</f>
        <v/>
      </c>
      <c r="M118" s="9">
        <f>_xll.BQL("CRM US Equity", "CB_BS_PP_AND_E_NET/1M", "FPR=2022Y", "FPT=A", "FA_ACT_EST_DATA=E, EST_SOURCE=BCA", "ACT_EST_MAPPING=PRECISE", "FS=MRC", "CURRENCY=USD", "XLFILL=b")</f>
        <v>2845.1547243631949</v>
      </c>
      <c r="N118" s="9" t="str">
        <f>_xll.BQL("CRM US Equity", "CB_BS_PP_AND_E_NET/1M", "FPR=2022Y", "FPT=A", "FA_ACT_EST_DATA=E, EST_SOURCE=SNR", "ACT_EST_MAPPING=PRECISE", "FS=MRC", "CURRENCY=USD", "XLFILL=b")</f>
        <v/>
      </c>
      <c r="O118" s="9">
        <f>_xll.BQL("CRM US Equity", "CB_BS_PP_AND_E_NET/1M", "FPR=2022Y", "FPT=A", "FA_ACT_EST_DATA=E, EST_SOURCE=MSV", "ACT_EST_MAPPING=PRECISE", "FS=MRC", "CURRENCY=USD", "XLFILL=b")</f>
        <v>2731.46065</v>
      </c>
      <c r="P118" s="9" t="str">
        <f>_xll.BQL("CRM US Equity", "CB_BS_PP_AND_E_NET/1M", "FPR=2022Y", "FPT=A", "FA_ACT_EST_DATA=E, EST_SOURCE=DBG", "ACT_EST_MAPPING=PRECISE", "FS=MRC", "CURRENCY=USD", "XLFILL=b")</f>
        <v/>
      </c>
      <c r="Q118" s="9">
        <f>_xll.BQL("CRM US Equity", "CB_BS_PP_AND_E_NET/1M", "FPR=2022Y", "FPT=A", "FA_ACT_EST_DATA=E, EST_SOURCE=NDH", "ACT_EST_MAPPING=PRECISE", "FS=MRC", "CURRENCY=USD", "XLFILL=b")</f>
        <v>2518.88</v>
      </c>
      <c r="R118" s="9" t="str">
        <f>_xll.BQL("CRM US Equity", "CB_BS_PP_AND_E_NET/1M", "FPR=2022Y", "FPT=A", "FA_ACT_EST_DATA=E, EST_SOURCE=CAN", "ACT_EST_MAPPING=PRECISE", "FS=MRC", "CURRENCY=USD", "XLFILL=b")</f>
        <v/>
      </c>
      <c r="S118" s="9" t="str">
        <f>_xll.BQL("CRM US Equity", "CB_BS_PP_AND_E_NET/1M", "FPR=2022Y", "FPT=A", "FA_ACT_EST_DATA=E, EST_SOURCE=SCB", "ACT_EST_MAPPING=PRECISE", "FS=MRC", "CURRENCY=USD", "XLFILL=b")</f>
        <v/>
      </c>
      <c r="T118" s="9" t="str">
        <f>_xll.BQL("CRM US Equity", "CB_BS_PP_AND_E_NET/1M", "FPR=2022Y", "FPT=A", "FA_ACT_EST_DATA=E, EST_SOURCE=JMP", "ACT_EST_MAPPING=PRECISE", "FS=MRC", "CURRENCY=USD", "XLFILL=b")</f>
        <v/>
      </c>
      <c r="U118" s="9" t="str">
        <f>_xll.BQL("CRM US Equity", "CB_BS_PP_AND_E_NET/1M", "FPR=2022Y", "FPT=A", "FA_ACT_EST_DATA=E, EST_SOURCE=RJA", "ACT_EST_MAPPING=PRECISE", "FS=MRC", "CURRENCY=USD", "XLFILL=b")</f>
        <v/>
      </c>
      <c r="V118" s="9" t="str">
        <f>_xll.BQL("CRM US Equity", "CB_BS_PP_AND_E_NET/1M", "FPR=2022Y", "FPT=A", "FA_ACT_EST_DATA=E, EST_SOURCE=OPY", "ACT_EST_MAPPING=PRECISE", "FS=MRC", "CURRENCY=USD", "XLFILL=b")</f>
        <v/>
      </c>
      <c r="W118" s="9" t="str">
        <f>_xll.BQL("CRM US Equity", "CB_BS_PP_AND_E_NET/1M", "FPR=2022Y", "FPT=A", "FA_ACT_EST_DATA=E, EST_SOURCE=JPM", "ACT_EST_MAPPING=PRECISE", "FS=MRC", "CURRENCY=USD", "XLFILL=b")</f>
        <v/>
      </c>
      <c r="X118" s="9">
        <f>_xll.BQL("CRM US Equity", "CB_BS_PP_AND_E_NET/1M", "FPR=2022Y", "FPT=A", "FA_ACT_EST_DATA=E, EST_SOURCE=FBC", "ACT_EST_MAPPING=PRECISE", "FS=MRC", "CURRENCY=USD", "XLFILL=b")</f>
        <v>2684.1116421708148</v>
      </c>
      <c r="Y118" s="9" t="str">
        <f>_xll.BQL("CRM US Equity", "CB_BS_PP_AND_E_NET/1M", "FPR=2022Y", "FPT=A", "FA_ACT_EST_DATA=E, EST_SOURCE=WMS", "ACT_EST_MAPPING=PRECISE", "FS=MRC", "CURRENCY=USD", "XLFILL=b")</f>
        <v/>
      </c>
      <c r="Z118" s="9">
        <f>_xll.BQL("CRM US Equity", "CB_BS_PP_AND_E_NET/1M", "FPR=2022Y", "FPT=A", "FA_ACT_EST_DATA=E, EST_SOURCE=KEY", "ACT_EST_MAPPING=PRECISE", "FS=MRC", "CURRENCY=USD", "XLFILL=b")</f>
        <v>407.29488937499985</v>
      </c>
      <c r="AA118" s="9" t="str">
        <f>_xll.BQL("CRM US Equity", "CB_BS_PP_AND_E_NET/1M", "FPR=2022Y", "FPT=A", "FA_ACT_EST_DATA=E, EST_SOURCE=LCM", "ACT_EST_MAPPING=PRECISE", "FS=MRC", "CURRENCY=USD", "XLFILL=b")</f>
        <v/>
      </c>
      <c r="AB118" s="9" t="str">
        <f>_xll.BQL("CRM US Equity", "CB_BS_PP_AND_E_NET/1M", "FPR=2022Y", "FPT=A", "FA_ACT_EST_DATA=E, EST_SOURCE=CWN", "ACT_EST_MAPPING=PRECISE", "FS=MRC", "CURRENCY=USD", "XLFILL=b")</f>
        <v/>
      </c>
      <c r="AC118" s="9" t="str">
        <f>_xll.BQL("CRM US Equity", "CB_BS_PP_AND_E_NET/1M", "FPR=2022Y", "FPT=A", "FA_ACT_EST_DATA=E, EST_SOURCE=BNS", "ACT_EST_MAPPING=PRECISE", "FS=MRC", "CURRENCY=USD", "XLFILL=b")</f>
        <v/>
      </c>
      <c r="AD118" s="9" t="str">
        <f>_xll.BQL("CRM US Equity", "CB_BS_PP_AND_E_NET/1M", "FPR=2022Y", "FPT=A", "FA_ACT_EST_DATA=E, EST_SOURCE=BAM", "ACT_EST_MAPPING=PRECISE", "FS=MRC", "CURRENCY=USD", "XLFILL=b")</f>
        <v/>
      </c>
      <c r="AE118" s="9" t="str">
        <f>_xll.BQL("CRM US Equity", "CB_BS_PP_AND_E_NET/1M", "FPR=2022Y", "FPT=A", "FA_ACT_EST_DATA=E, EST_SOURCE=RBC", "ACT_EST_MAPPING=PRECISE", "FS=MRC", "CURRENCY=USD", "XLFILL=b")</f>
        <v/>
      </c>
      <c r="AF118" s="9" t="str">
        <f>_xll.BQL("CRM US Equity", "CB_BS_PP_AND_E_NET/1M", "FPR=2022Y", "FPT=A", "FA_ACT_EST_DATA=E, EST_SOURCE=UBS", "ACT_EST_MAPPING=PRECISE", "FS=MRC", "CURRENCY=USD", "XLFILL=b")</f>
        <v/>
      </c>
      <c r="AG118" s="9" t="str">
        <f>_xll.BQL("CRM US Equity", "CB_BS_PP_AND_E_NET/1M", "FPR=2022Y", "FPT=A", "FA_ACT_EST_DATA=E, EST_SOURCE=RHR", "ACT_EST_MAPPING=PRECISE", "FS=MRC", "CURRENCY=USD", "XLFILL=b")</f>
        <v/>
      </c>
      <c r="AH118" s="9" t="str">
        <f>_xll.BQL("CRM US Equity", "CB_BS_PP_AND_E_NET/1M", "FPR=2022Y", "FPT=A", "FA_ACT_EST_DATA=E, EST_SOURCE=JEF", "ACT_EST_MAPPING=PRECISE", "FS=MRC", "CURRENCY=USD", "XLFILL=b")</f>
        <v/>
      </c>
      <c r="AI118" s="9" t="str">
        <f>_xll.BQL("CRM US Equity", "CB_BS_PP_AND_E_NET/1M", "FPR=2022Y", "FPT=A", "FA_ACT_EST_DATA=E, EST_SOURCE=ATL", "ACT_EST_MAPPING=PRECISE", "FS=MRC", "CURRENCY=USD", "XLFILL=b")</f>
        <v/>
      </c>
      <c r="AJ118" s="9" t="str">
        <f>_xll.BQL("CRM US Equity", "CB_BS_PP_AND_E_NET/1M", "FPR=2022Y", "FPT=A", "FA_ACT_EST_DATA=E, EST_SOURCE=MAC", "ACT_EST_MAPPING=PRECISE", "FS=MRC", "CURRENCY=USD", "XLFILL=b")</f>
        <v/>
      </c>
      <c r="AK118" s="9" t="str">
        <f>_xll.BQL("CRM US Equity", "CB_BS_PP_AND_E_NET/1M", "FPR=2022Y", "FPT=A", "FA_ACT_EST_DATA=E, EST_SOURCE=EVR", "ACT_EST_MAPPING=PRECISE", "FS=MRC", "CURRENCY=USD", "XLFILL=b")</f>
        <v/>
      </c>
      <c r="AL118" s="9" t="str">
        <f>_xll.BQL("CRM US Equity", "CB_BS_PP_AND_E_NET/1M", "FPR=2022Y", "FPT=A", "FA_ACT_EST_DATA=E, EST_SOURCE=MSR", "ACT_EST_MAPPING=PRECISE", "FS=MRC", "CURRENCY=USD", "XLFILL=b")</f>
        <v/>
      </c>
      <c r="AM118" s="9" t="str">
        <f>_xll.BQL("CRM US Equity", "CB_BS_PP_AND_E_NET/1M", "FPR=2022Y", "FPT=A", "FA_ACT_EST_DATA=E, EST_SOURCE=KGI", "ACT_EST_MAPPING=PRECISE", "FS=MRC", "CURRENCY=USD", "XLFILL=b")</f>
        <v/>
      </c>
      <c r="AN118" s="9" t="str">
        <f>_xll.BQL("CRM US Equity", "CB_BS_PP_AND_E_NET/1M", "FPR=2022Y", "FPT=A", "FA_ACT_EST_DATA=E, EST_SOURCE=ACC", "ACT_EST_MAPPING=PRECISE", "FS=MRC", "CURRENCY=USD", "XLFILL=b")</f>
        <v/>
      </c>
      <c r="AO118" s="9" t="str">
        <f>_xll.BQL("CRM US Equity", "CB_BS_PP_AND_E_NET/1M", "FPR=2022Y", "FPT=A", "FA_ACT_EST_DATA=E, EST_SOURCE=GSR", "ACT_EST_MAPPING=PRECISE", "FS=MRC", "CURRENCY=USD", "XLFILL=b")</f>
        <v/>
      </c>
      <c r="AP118" s="9" t="str">
        <f>_xll.BQL("CRM US Equity", "CB_BS_PP_AND_E_NET/1M", "FPR=2022Y", "FPT=A", "FA_ACT_EST_DATA=E, EST_SOURCE=PSG", "ACT_EST_MAPPING=PRECISE", "FS=MRC", "CURRENCY=USD", "XLFILL=b")</f>
        <v/>
      </c>
      <c r="AQ118" s="9" t="str">
        <f>_xll.BQL("CRM US Equity", "CB_BS_PP_AND_E_NET/1M", "FPR=2022Y", "FPT=A", "FA_ACT_EST_DATA=E, EST_SOURCE=DWI", "ACT_EST_MAPPING=PRECISE", "FS=MRC", "CURRENCY=USD", "XLFILL=b")</f>
        <v/>
      </c>
      <c r="AR118" s="9" t="str">
        <f>_xll.BQL("CRM US Equity", "CB_BS_PP_AND_E_NET/1M", "FPR=2022Y", "FPT=A", "FA_ACT_EST_DATA=E, EST_SOURCE=RWB", "ACT_EST_MAPPING=PRECISE", "FS=MRC", "CURRENCY=USD", "XLFILL=b")</f>
        <v/>
      </c>
      <c r="AS118" s="9" t="str">
        <f>_xll.BQL("CRM US Equity", "CB_BS_PP_AND_E_NET/1M", "FPR=2022Y", "FPT=A", "FA_ACT_EST_DATA=E, EST_SOURCE=ARG", "ACT_EST_MAPPING=PRECISE", "FS=MRC", "CURRENCY=USD", "XLFILL=b")</f>
        <v/>
      </c>
      <c r="AT118" s="9" t="str">
        <f>_xll.BQL("CRM US Equity", "CB_BS_PP_AND_E_NET/1M", "FPR=2022Y", "FPT=A", "FA_ACT_EST_DATA=E, EST_SOURCE=CTI", "ACT_EST_MAPPING=PRECISE", "FS=MRC", "CURRENCY=USD", "XLFILL=b")</f>
        <v/>
      </c>
      <c r="AU118" s="9" t="str">
        <f>_xll.BQL("CRM US Equity", "CB_BS_PP_AND_E_NET/1M", "FPR=2022Y", "FPT=A", "FA_ACT_EST_DATA=E, EST_SOURCE=WFT", "ACT_EST_MAPPING=PRECISE", "FS=MRC", "CURRENCY=USD", "XLFILL=b")</f>
        <v/>
      </c>
      <c r="AV118" s="9" t="str">
        <f>_xll.BQL("CRM US Equity", "CB_BS_PP_AND_E_NET/1M", "FPR=2022Y", "FPT=A", "FA_ACT_EST_DATA=E, EST_SOURCE=PJE", "ACT_EST_MAPPING=PRECISE", "FS=MRC", "CURRENCY=USD", "XLFILL=b")</f>
        <v/>
      </c>
      <c r="AW118" s="9" t="str">
        <f>_xll.BQL("CRM US Equity", "CB_BS_PP_AND_E_NET/1M", "FPR=2022Y", "FPT=A", "FA_ACT_EST_DATA=E, EST_SOURCE=SGE", "ACT_EST_MAPPING=PRECISE", "FS=MRC", "CURRENCY=USD", "XLFILL=b")</f>
        <v/>
      </c>
      <c r="AX118" s="9" t="str">
        <f>_xll.BQL("CRM US Equity", "CB_BS_PP_AND_E_NET/1M", "FPR=2022Y", "FPT=A", "FA_ACT_EST_DATA=E, EST_SOURCE=MZS", "ACT_EST_MAPPING=PRECISE", "FS=MRC", "CURRENCY=USD", "XLFILL=b")</f>
        <v/>
      </c>
      <c r="AY118" s="9" t="str">
        <f>_xll.BQL("CRM US Equity", "CB_BS_PP_AND_E_NET/1M", "FPR=2022Y", "FPT=A", "FA_ACT_EST_DATA=E, EST_SOURCE=RCP", "ACT_EST_MAPPING=PRECISE", "FS=MRC", "CURRENCY=USD", "XLFILL=b")</f>
        <v/>
      </c>
      <c r="AZ118" s="9" t="str">
        <f>_xll.BQL("CRM US Equity", "CB_BS_PP_AND_E_NET/1M", "FPR=2022Y", "FPT=A", "FA_ACT_EST_DATA=E, EST_SOURCE=WFR", "ACT_EST_MAPPING=PRECISE", "FS=MRC", "CURRENCY=USD", "XLFILL=b")</f>
        <v/>
      </c>
      <c r="BA118" s="9" t="str">
        <f>_xll.BQL("CRM US Equity", "CB_BS_PP_AND_E_NET/1M", "FPR=2022Y", "FPT=A", "FA_ACT_EST_DATA=E, EST_SOURCE=NIK", "ACT_EST_MAPPING=PRECISE", "FS=MRC", "CURRENCY=USD", "XLFILL=b")</f>
        <v/>
      </c>
      <c r="BB118" s="9" t="str">
        <f>_xll.BQL("CRM US Equity", "CB_BS_PP_AND_E_NET/1M", "FPR=2022Y", "FPT=A", "FA_ACT_EST_DATA=E, EST_SOURCE=ARE", "ACT_EST_MAPPING=PRECISE", "FS=MRC", "CURRENCY=USD", "XLFILL=b")</f>
        <v/>
      </c>
      <c r="BC118" s="9" t="str">
        <f>_xll.BQL("CRM US Equity", "CB_BS_PP_AND_E_NET/1M", "FPR=2022Y", "FPT=A", "FA_ACT_EST_DATA=E, EST_SOURCE=RED", "ACT_EST_MAPPING=PRECISE", "FS=MRC", "CURRENCY=USD", "XLFILL=b")</f>
        <v/>
      </c>
      <c r="BD118" s="9" t="str">
        <f>_xll.BQL("CRM US Equity", "CB_BS_PP_AND_E_NET/1M", "FPR=2022Y", "FPT=A", "FA_ACT_EST_DATA=E, EST_SOURCE=DIR", "ACT_EST_MAPPING=PRECISE", "FS=MRC", "CURRENCY=USD", "XLFILL=b")</f>
        <v/>
      </c>
    </row>
    <row r="119" spans="1:56" x14ac:dyDescent="0.55000000000000004">
      <c r="A119" s="8" t="s">
        <v>203</v>
      </c>
      <c r="B119" s="5" t="s">
        <v>215</v>
      </c>
      <c r="C119" s="5" t="s">
        <v>205</v>
      </c>
      <c r="D119" s="5"/>
      <c r="E119" s="9">
        <f>_xll.BQL("CRM US Equity", "CB_BS_OTHER_NONCURRENT_ASSETS/1M", "FPR=2022Y", "FPT=A", "FA_ACT_EST_DATA=E", "ACT_EST_MAPPING=PRECISE", "FS=MRC", "CURRENCY=USD", "XLFILL=b")</f>
        <v>2050.2063388395468</v>
      </c>
      <c r="F119" s="9">
        <f>_xll.BQL("CRM US Equity", "CONTRIBUTOR_STATS(CB_BS_OTHER_NONCURRENT_ASSETS, MIN)/1M", "FPR=2022Y", "FPT=A", "FA_ACT_EST_DATA=E", "ACT_EST_MAPPING=PRECISE", "FS=MRC", "CURRENCY=USD", "XLFILL=b")</f>
        <v>1850</v>
      </c>
      <c r="G119" s="9">
        <f>_xll.BQL("CRM US Equity", "CONTRIBUTOR_STATS(CB_BS_OTHER_NONCURRENT_ASSETS, MAX)/1M", "FPR=2022Y", "FPT=A", "FA_ACT_EST_DATA=E", "ACT_EST_MAPPING=PRECISE", "FS=MRC", "CURRENCY=USD", "XLFILL=b")</f>
        <v>2176</v>
      </c>
      <c r="H119" s="9">
        <f>_xll.BQL("CRM US Equity", "CONTRIBUTOR_STATS(CB_BS_OTHER_NONCURRENT_ASSETS, STD)/1M", "FPR=2022Y", "FPT=A", "FA_ACT_EST_DATA=E", "ACT_EST_MAPPING=PRECISE", "FS=MRC", "CURRENCY=USD", "XLFILL=b")</f>
        <v>99.357743612986269</v>
      </c>
      <c r="I119" s="9">
        <f>_xll.BQL("CRM US Equity", "CONTRIBUTOR_STATS(CB_BS_OTHER_NONCURRENT_ASSETS, MEDIAN)/1M", "FPR=2022Y", "FPT=A", "FA_ACT_EST_DATA=E", "ACT_EST_MAPPING=PRECISE", "FS=MRC", "CURRENCY=USD", "XLFILL=b")</f>
        <v>2048.3920342820188</v>
      </c>
      <c r="J119" s="9" t="str">
        <f>_xll.BQL("CRM US Equity", "CB_BS_OTHER_NONCURRENT_ASSETS/1M", "FPR=2022Y", "FPT=A", "FA_ACT_EST_DATA=E, EST_SOURCE=CMPY", "ACT_EST_MAPPING=PRECISE", "FS=MRC", "CURRENCY=USD", "XLFILL=b")</f>
        <v/>
      </c>
      <c r="K119" s="9" t="str">
        <f>_xll.BQL("CRM US Equity", "CB_BS_OTHER_NONCURRENT_ASSETS/1M", "FPR=2022Y", "FPT=A", "FA_ACT_EST_DATA=E, EST_SOURCE=WBL", "ACT_EST_MAPPING=PRECISE", "FS=MRC", "CURRENCY=USD", "XLFILL=b")</f>
        <v/>
      </c>
      <c r="L119" s="9" t="str">
        <f>_xll.BQL("CRM US Equity", "CB_BS_OTHER_NONCURRENT_ASSETS/1M", "FPR=2022Y", "FPT=A", "FA_ACT_EST_DATA=E, EST_SOURCE=BMO", "ACT_EST_MAPPING=PRECISE", "FS=MRC", "CURRENCY=USD", "XLFILL=b")</f>
        <v/>
      </c>
      <c r="M119" s="9">
        <f>_xll.BQL("CRM US Equity", "CB_BS_OTHER_NONCURRENT_ASSETS/1M", "FPR=2022Y", "FPT=A", "FA_ACT_EST_DATA=E, EST_SOURCE=BCA", "ACT_EST_MAPPING=PRECISE", "FS=MRC", "CURRENCY=USD", "XLFILL=b")</f>
        <v>2071.2640685640358</v>
      </c>
      <c r="N119" s="9" t="str">
        <f>_xll.BQL("CRM US Equity", "CB_BS_OTHER_NONCURRENT_ASSETS/1M", "FPR=2022Y", "FPT=A", "FA_ACT_EST_DATA=E, EST_SOURCE=SNR", "ACT_EST_MAPPING=PRECISE", "FS=MRC", "CURRENCY=USD", "XLFILL=b")</f>
        <v/>
      </c>
      <c r="O119" s="9" t="str">
        <f>_xll.BQL("CRM US Equity", "CB_BS_OTHER_NONCURRENT_ASSETS/1M", "FPR=2022Y", "FPT=A", "FA_ACT_EST_DATA=E, EST_SOURCE=MSV", "ACT_EST_MAPPING=PRECISE", "FS=MRC", "CURRENCY=USD", "XLFILL=b")</f>
        <v/>
      </c>
      <c r="P119" s="9">
        <f>_xll.BQL("CRM US Equity", "CB_BS_OTHER_NONCURRENT_ASSETS/1M", "FPR=2022Y", "FPT=A", "FA_ACT_EST_DATA=E, EST_SOURCE=DBG", "ACT_EST_MAPPING=PRECISE", "FS=MRC", "CURRENCY=USD", "XLFILL=b")</f>
        <v>2025.0556980819472</v>
      </c>
      <c r="Q119" s="9">
        <f>_xll.BQL("CRM US Equity", "CB_BS_OTHER_NONCURRENT_ASSETS/1M", "FPR=2022Y", "FPT=A", "FA_ACT_EST_DATA=E, EST_SOURCE=NDH", "ACT_EST_MAPPING=PRECISE", "FS=MRC", "CURRENCY=USD", "XLFILL=b")</f>
        <v>1850</v>
      </c>
      <c r="R119" s="9" t="str">
        <f>_xll.BQL("CRM US Equity", "CB_BS_OTHER_NONCURRENT_ASSETS/1M", "FPR=2022Y", "FPT=A", "FA_ACT_EST_DATA=E, EST_SOURCE=CAN", "ACT_EST_MAPPING=PRECISE", "FS=MRC", "CURRENCY=USD", "XLFILL=b")</f>
        <v/>
      </c>
      <c r="S119" s="9" t="str">
        <f>_xll.BQL("CRM US Equity", "CB_BS_OTHER_NONCURRENT_ASSETS/1M", "FPR=2022Y", "FPT=A", "FA_ACT_EST_DATA=E, EST_SOURCE=SCB", "ACT_EST_MAPPING=PRECISE", "FS=MRC", "CURRENCY=USD", "XLFILL=b")</f>
        <v/>
      </c>
      <c r="T119" s="9" t="str">
        <f>_xll.BQL("CRM US Equity", "CB_BS_OTHER_NONCURRENT_ASSETS/1M", "FPR=2022Y", "FPT=A", "FA_ACT_EST_DATA=E, EST_SOURCE=JMP", "ACT_EST_MAPPING=PRECISE", "FS=MRC", "CURRENCY=USD", "XLFILL=b")</f>
        <v/>
      </c>
      <c r="U119" s="9" t="str">
        <f>_xll.BQL("CRM US Equity", "CB_BS_OTHER_NONCURRENT_ASSETS/1M", "FPR=2022Y", "FPT=A", "FA_ACT_EST_DATA=E, EST_SOURCE=RJA", "ACT_EST_MAPPING=PRECISE", "FS=MRC", "CURRENCY=USD", "XLFILL=b")</f>
        <v/>
      </c>
      <c r="V119" s="9" t="str">
        <f>_xll.BQL("CRM US Equity", "CB_BS_OTHER_NONCURRENT_ASSETS/1M", "FPR=2022Y", "FPT=A", "FA_ACT_EST_DATA=E, EST_SOURCE=OPY", "ACT_EST_MAPPING=PRECISE", "FS=MRC", "CURRENCY=USD", "XLFILL=b")</f>
        <v/>
      </c>
      <c r="W119" s="9" t="str">
        <f>_xll.BQL("CRM US Equity", "CB_BS_OTHER_NONCURRENT_ASSETS/1M", "FPR=2022Y", "FPT=A", "FA_ACT_EST_DATA=E, EST_SOURCE=JPM", "ACT_EST_MAPPING=PRECISE", "FS=MRC", "CURRENCY=USD", "XLFILL=b")</f>
        <v/>
      </c>
      <c r="X119" s="9">
        <f>_xll.BQL("CRM US Equity", "CB_BS_OTHER_NONCURRENT_ASSETS/1M", "FPR=2022Y", "FPT=A", "FA_ACT_EST_DATA=E, EST_SOURCE=FBC", "ACT_EST_MAPPING=PRECISE", "FS=MRC", "CURRENCY=USD", "XLFILL=b")</f>
        <v>1587.1324028252279</v>
      </c>
      <c r="Y119" s="9" t="str">
        <f>_xll.BQL("CRM US Equity", "CB_BS_OTHER_NONCURRENT_ASSETS/1M", "FPR=2022Y", "FPT=A", "FA_ACT_EST_DATA=E, EST_SOURCE=WMS", "ACT_EST_MAPPING=PRECISE", "FS=MRC", "CURRENCY=USD", "XLFILL=b")</f>
        <v/>
      </c>
      <c r="Z119" s="9">
        <f>_xll.BQL("CRM US Equity", "CB_BS_OTHER_NONCURRENT_ASSETS/1M", "FPR=2022Y", "FPT=A", "FA_ACT_EST_DATA=E, EST_SOURCE=KEY", "ACT_EST_MAPPING=PRECISE", "FS=MRC", "CURRENCY=USD", "XLFILL=b")</f>
        <v>2276.463888916719</v>
      </c>
      <c r="AA119" s="9" t="str">
        <f>_xll.BQL("CRM US Equity", "CB_BS_OTHER_NONCURRENT_ASSETS/1M", "FPR=2022Y", "FPT=A", "FA_ACT_EST_DATA=E, EST_SOURCE=LCM", "ACT_EST_MAPPING=PRECISE", "FS=MRC", "CURRENCY=USD", "XLFILL=b")</f>
        <v/>
      </c>
      <c r="AB119" s="9" t="str">
        <f>_xll.BQL("CRM US Equity", "CB_BS_OTHER_NONCURRENT_ASSETS/1M", "FPR=2022Y", "FPT=A", "FA_ACT_EST_DATA=E, EST_SOURCE=CWN", "ACT_EST_MAPPING=PRECISE", "FS=MRC", "CURRENCY=USD", "XLFILL=b")</f>
        <v/>
      </c>
      <c r="AC119" s="9" t="str">
        <f>_xll.BQL("CRM US Equity", "CB_BS_OTHER_NONCURRENT_ASSETS/1M", "FPR=2022Y", "FPT=A", "FA_ACT_EST_DATA=E, EST_SOURCE=BNS", "ACT_EST_MAPPING=PRECISE", "FS=MRC", "CURRENCY=USD", "XLFILL=b")</f>
        <v/>
      </c>
      <c r="AD119" s="9" t="str">
        <f>_xll.BQL("CRM US Equity", "CB_BS_OTHER_NONCURRENT_ASSETS/1M", "FPR=2022Y", "FPT=A", "FA_ACT_EST_DATA=E, EST_SOURCE=BAM", "ACT_EST_MAPPING=PRECISE", "FS=MRC", "CURRENCY=USD", "XLFILL=b")</f>
        <v/>
      </c>
      <c r="AE119" s="9" t="str">
        <f>_xll.BQL("CRM US Equity", "CB_BS_OTHER_NONCURRENT_ASSETS/1M", "FPR=2022Y", "FPT=A", "FA_ACT_EST_DATA=E, EST_SOURCE=RBC", "ACT_EST_MAPPING=PRECISE", "FS=MRC", "CURRENCY=USD", "XLFILL=b")</f>
        <v/>
      </c>
      <c r="AF119" s="9" t="str">
        <f>_xll.BQL("CRM US Equity", "CB_BS_OTHER_NONCURRENT_ASSETS/1M", "FPR=2022Y", "FPT=A", "FA_ACT_EST_DATA=E, EST_SOURCE=UBS", "ACT_EST_MAPPING=PRECISE", "FS=MRC", "CURRENCY=USD", "XLFILL=b")</f>
        <v/>
      </c>
      <c r="AG119" s="9" t="str">
        <f>_xll.BQL("CRM US Equity", "CB_BS_OTHER_NONCURRENT_ASSETS/1M", "FPR=2022Y", "FPT=A", "FA_ACT_EST_DATA=E, EST_SOURCE=RHR", "ACT_EST_MAPPING=PRECISE", "FS=MRC", "CURRENCY=USD", "XLFILL=b")</f>
        <v/>
      </c>
      <c r="AH119" s="9" t="str">
        <f>_xll.BQL("CRM US Equity", "CB_BS_OTHER_NONCURRENT_ASSETS/1M", "FPR=2022Y", "FPT=A", "FA_ACT_EST_DATA=E, EST_SOURCE=JEF", "ACT_EST_MAPPING=PRECISE", "FS=MRC", "CURRENCY=USD", "XLFILL=b")</f>
        <v/>
      </c>
      <c r="AI119" s="9" t="str">
        <f>_xll.BQL("CRM US Equity", "CB_BS_OTHER_NONCURRENT_ASSETS/1M", "FPR=2022Y", "FPT=A", "FA_ACT_EST_DATA=E, EST_SOURCE=ATL", "ACT_EST_MAPPING=PRECISE", "FS=MRC", "CURRENCY=USD", "XLFILL=b")</f>
        <v/>
      </c>
      <c r="AJ119" s="9" t="str">
        <f>_xll.BQL("CRM US Equity", "CB_BS_OTHER_NONCURRENT_ASSETS/1M", "FPR=2022Y", "FPT=A", "FA_ACT_EST_DATA=E, EST_SOURCE=MAC", "ACT_EST_MAPPING=PRECISE", "FS=MRC", "CURRENCY=USD", "XLFILL=b")</f>
        <v/>
      </c>
      <c r="AK119" s="9" t="str">
        <f>_xll.BQL("CRM US Equity", "CB_BS_OTHER_NONCURRENT_ASSETS/1M", "FPR=2022Y", "FPT=A", "FA_ACT_EST_DATA=E, EST_SOURCE=EVR", "ACT_EST_MAPPING=PRECISE", "FS=MRC", "CURRENCY=USD", "XLFILL=b")</f>
        <v/>
      </c>
      <c r="AL119" s="9" t="str">
        <f>_xll.BQL("CRM US Equity", "CB_BS_OTHER_NONCURRENT_ASSETS/1M", "FPR=2022Y", "FPT=A", "FA_ACT_EST_DATA=E, EST_SOURCE=MSR", "ACT_EST_MAPPING=PRECISE", "FS=MRC", "CURRENCY=USD", "XLFILL=b")</f>
        <v/>
      </c>
      <c r="AM119" s="9" t="str">
        <f>_xll.BQL("CRM US Equity", "CB_BS_OTHER_NONCURRENT_ASSETS/1M", "FPR=2022Y", "FPT=A", "FA_ACT_EST_DATA=E, EST_SOURCE=KGI", "ACT_EST_MAPPING=PRECISE", "FS=MRC", "CURRENCY=USD", "XLFILL=b")</f>
        <v/>
      </c>
      <c r="AN119" s="9" t="str">
        <f>_xll.BQL("CRM US Equity", "CB_BS_OTHER_NONCURRENT_ASSETS/1M", "FPR=2022Y", "FPT=A", "FA_ACT_EST_DATA=E, EST_SOURCE=ACC", "ACT_EST_MAPPING=PRECISE", "FS=MRC", "CURRENCY=USD", "XLFILL=b")</f>
        <v/>
      </c>
      <c r="AO119" s="9" t="str">
        <f>_xll.BQL("CRM US Equity", "CB_BS_OTHER_NONCURRENT_ASSETS/1M", "FPR=2022Y", "FPT=A", "FA_ACT_EST_DATA=E, EST_SOURCE=GSR", "ACT_EST_MAPPING=PRECISE", "FS=MRC", "CURRENCY=USD", "XLFILL=b")</f>
        <v/>
      </c>
      <c r="AP119" s="9" t="str">
        <f>_xll.BQL("CRM US Equity", "CB_BS_OTHER_NONCURRENT_ASSETS/1M", "FPR=2022Y", "FPT=A", "FA_ACT_EST_DATA=E, EST_SOURCE=PSG", "ACT_EST_MAPPING=PRECISE", "FS=MRC", "CURRENCY=USD", "XLFILL=b")</f>
        <v/>
      </c>
      <c r="AQ119" s="9" t="str">
        <f>_xll.BQL("CRM US Equity", "CB_BS_OTHER_NONCURRENT_ASSETS/1M", "FPR=2022Y", "FPT=A", "FA_ACT_EST_DATA=E, EST_SOURCE=DWI", "ACT_EST_MAPPING=PRECISE", "FS=MRC", "CURRENCY=USD", "XLFILL=b")</f>
        <v/>
      </c>
      <c r="AR119" s="9" t="str">
        <f>_xll.BQL("CRM US Equity", "CB_BS_OTHER_NONCURRENT_ASSETS/1M", "FPR=2022Y", "FPT=A", "FA_ACT_EST_DATA=E, EST_SOURCE=RWB", "ACT_EST_MAPPING=PRECISE", "FS=MRC", "CURRENCY=USD", "XLFILL=b")</f>
        <v/>
      </c>
      <c r="AS119" s="9" t="str">
        <f>_xll.BQL("CRM US Equity", "CB_BS_OTHER_NONCURRENT_ASSETS/1M", "FPR=2022Y", "FPT=A", "FA_ACT_EST_DATA=E, EST_SOURCE=ARG", "ACT_EST_MAPPING=PRECISE", "FS=MRC", "CURRENCY=USD", "XLFILL=b")</f>
        <v/>
      </c>
      <c r="AT119" s="9" t="str">
        <f>_xll.BQL("CRM US Equity", "CB_BS_OTHER_NONCURRENT_ASSETS/1M", "FPR=2022Y", "FPT=A", "FA_ACT_EST_DATA=E, EST_SOURCE=CTI", "ACT_EST_MAPPING=PRECISE", "FS=MRC", "CURRENCY=USD", "XLFILL=b")</f>
        <v/>
      </c>
      <c r="AU119" s="9" t="str">
        <f>_xll.BQL("CRM US Equity", "CB_BS_OTHER_NONCURRENT_ASSETS/1M", "FPR=2022Y", "FPT=A", "FA_ACT_EST_DATA=E, EST_SOURCE=WFT", "ACT_EST_MAPPING=PRECISE", "FS=MRC", "CURRENCY=USD", "XLFILL=b")</f>
        <v/>
      </c>
      <c r="AV119" s="9" t="str">
        <f>_xll.BQL("CRM US Equity", "CB_BS_OTHER_NONCURRENT_ASSETS/1M", "FPR=2022Y", "FPT=A", "FA_ACT_EST_DATA=E, EST_SOURCE=PJE", "ACT_EST_MAPPING=PRECISE", "FS=MRC", "CURRENCY=USD", "XLFILL=b")</f>
        <v/>
      </c>
      <c r="AW119" s="9" t="str">
        <f>_xll.BQL("CRM US Equity", "CB_BS_OTHER_NONCURRENT_ASSETS/1M", "FPR=2022Y", "FPT=A", "FA_ACT_EST_DATA=E, EST_SOURCE=SGE", "ACT_EST_MAPPING=PRECISE", "FS=MRC", "CURRENCY=USD", "XLFILL=b")</f>
        <v/>
      </c>
      <c r="AX119" s="9" t="str">
        <f>_xll.BQL("CRM US Equity", "CB_BS_OTHER_NONCURRENT_ASSETS/1M", "FPR=2022Y", "FPT=A", "FA_ACT_EST_DATA=E, EST_SOURCE=MZS", "ACT_EST_MAPPING=PRECISE", "FS=MRC", "CURRENCY=USD", "XLFILL=b")</f>
        <v/>
      </c>
      <c r="AY119" s="9" t="str">
        <f>_xll.BQL("CRM US Equity", "CB_BS_OTHER_NONCURRENT_ASSETS/1M", "FPR=2022Y", "FPT=A", "FA_ACT_EST_DATA=E, EST_SOURCE=RCP", "ACT_EST_MAPPING=PRECISE", "FS=MRC", "CURRENCY=USD", "XLFILL=b")</f>
        <v/>
      </c>
      <c r="AZ119" s="9" t="str">
        <f>_xll.BQL("CRM US Equity", "CB_BS_OTHER_NONCURRENT_ASSETS/1M", "FPR=2022Y", "FPT=A", "FA_ACT_EST_DATA=E, EST_SOURCE=WFR", "ACT_EST_MAPPING=PRECISE", "FS=MRC", "CURRENCY=USD", "XLFILL=b")</f>
        <v/>
      </c>
      <c r="BA119" s="9" t="str">
        <f>_xll.BQL("CRM US Equity", "CB_BS_OTHER_NONCURRENT_ASSETS/1M", "FPR=2022Y", "FPT=A", "FA_ACT_EST_DATA=E, EST_SOURCE=NIK", "ACT_EST_MAPPING=PRECISE", "FS=MRC", "CURRENCY=USD", "XLFILL=b")</f>
        <v/>
      </c>
      <c r="BB119" s="9" t="str">
        <f>_xll.BQL("CRM US Equity", "CB_BS_OTHER_NONCURRENT_ASSETS/1M", "FPR=2022Y", "FPT=A", "FA_ACT_EST_DATA=E, EST_SOURCE=ARE", "ACT_EST_MAPPING=PRECISE", "FS=MRC", "CURRENCY=USD", "XLFILL=b")</f>
        <v/>
      </c>
      <c r="BC119" s="9" t="str">
        <f>_xll.BQL("CRM US Equity", "CB_BS_OTHER_NONCURRENT_ASSETS/1M", "FPR=2022Y", "FPT=A", "FA_ACT_EST_DATA=E, EST_SOURCE=RED", "ACT_EST_MAPPING=PRECISE", "FS=MRC", "CURRENCY=USD", "XLFILL=b")</f>
        <v/>
      </c>
      <c r="BD119" s="9" t="str">
        <f>_xll.BQL("CRM US Equity", "CB_BS_OTHER_NONCURRENT_ASSETS/1M", "FPR=2022Y", "FPT=A", "FA_ACT_EST_DATA=E, EST_SOURCE=DIR", "ACT_EST_MAPPING=PRECISE", "FS=MRC", "CURRENCY=USD", "XLFILL=b")</f>
        <v/>
      </c>
    </row>
    <row r="120" spans="1:56" x14ac:dyDescent="0.55000000000000004">
      <c r="A120" s="8" t="s">
        <v>216</v>
      </c>
      <c r="B120" s="5" t="s">
        <v>217</v>
      </c>
      <c r="C120" s="5" t="s">
        <v>218</v>
      </c>
      <c r="D120" s="5"/>
      <c r="E120" s="9">
        <f>_xll.BQL("CRM US Equity", "BS_LONG_TERM_INVESTMENTS/1M", "FPR=2022Y", "FPT=A", "FA_ACT_EST_DATA=E", "ACT_EST_MAPPING=PRECISE", "FS=MRC", "CURRENCY=USD", "XLFILL=b")</f>
        <v>3980.5522159055045</v>
      </c>
      <c r="F120" s="9">
        <f>_xll.BQL("CRM US Equity", "CONTRIBUTOR_STATS(BS_LONG_TERM_INVESTMENTS, MIN)/1M", "FPR=2022Y", "FPT=A", "FA_ACT_EST_DATA=E", "ACT_EST_MAPPING=PRECISE", "FS=MRC", "CURRENCY=USD", "XLFILL=b")</f>
        <v>3909</v>
      </c>
      <c r="G120" s="9">
        <f>_xll.BQL("CRM US Equity", "CONTRIBUTOR_STATS(BS_LONG_TERM_INVESTMENTS, MAX)/1M", "FPR=2022Y", "FPT=A", "FA_ACT_EST_DATA=E", "ACT_EST_MAPPING=PRECISE", "FS=MRC", "CURRENCY=USD", "XLFILL=b")</f>
        <v>4004</v>
      </c>
      <c r="H120" s="9">
        <f>_xll.BQL("CRM US Equity", "CONTRIBUTOR_STATS(BS_LONG_TERM_INVESTMENTS, STD)/1M", "FPR=2022Y", "FPT=A", "FA_ACT_EST_DATA=E", "ACT_EST_MAPPING=PRECISE", "FS=MRC", "CURRENCY=USD", "XLFILL=b")</f>
        <v>40.180554370524824</v>
      </c>
      <c r="I120" s="9">
        <f>_xll.BQL("CRM US Equity", "CONTRIBUTOR_STATS(BS_LONG_TERM_INVESTMENTS, MEDIAN)/1M", "FPR=2022Y", "FPT=A", "FA_ACT_EST_DATA=E", "ACT_EST_MAPPING=PRECISE", "FS=MRC", "CURRENCY=USD", "XLFILL=b")</f>
        <v>4004</v>
      </c>
      <c r="J120" s="9" t="str">
        <f>_xll.BQL("CRM US Equity", "BS_LONG_TERM_INVESTMENTS/1M", "FPR=2022Y", "FPT=A", "FA_ACT_EST_DATA=E, EST_SOURCE=CMPY", "ACT_EST_MAPPING=PRECISE", "FS=MRC", "CURRENCY=USD", "XLFILL=b")</f>
        <v/>
      </c>
      <c r="K120" s="9" t="str">
        <f>_xll.BQL("CRM US Equity", "BS_LONG_TERM_INVESTMENTS/1M", "FPR=2022Y", "FPT=A", "FA_ACT_EST_DATA=E, EST_SOURCE=WBL", "ACT_EST_MAPPING=PRECISE", "FS=MRC", "CURRENCY=USD", "XLFILL=b")</f>
        <v/>
      </c>
      <c r="L120" s="9" t="str">
        <f>_xll.BQL("CRM US Equity", "BS_LONG_TERM_INVESTMENTS/1M", "FPR=2022Y", "FPT=A", "FA_ACT_EST_DATA=E, EST_SOURCE=BMO", "ACT_EST_MAPPING=PRECISE", "FS=MRC", "CURRENCY=USD", "XLFILL=b")</f>
        <v/>
      </c>
      <c r="M120" s="9" t="str">
        <f>_xll.BQL("CRM US Equity", "BS_LONG_TERM_INVESTMENTS/1M", "FPR=2022Y", "FPT=A", "FA_ACT_EST_DATA=E, EST_SOURCE=BCA", "ACT_EST_MAPPING=PRECISE", "FS=MRC", "CURRENCY=USD", "XLFILL=b")</f>
        <v/>
      </c>
      <c r="N120" s="9" t="str">
        <f>_xll.BQL("CRM US Equity", "BS_LONG_TERM_INVESTMENTS/1M", "FPR=2022Y", "FPT=A", "FA_ACT_EST_DATA=E, EST_SOURCE=SNR", "ACT_EST_MAPPING=PRECISE", "FS=MRC", "CURRENCY=USD", "XLFILL=b")</f>
        <v/>
      </c>
      <c r="O120" s="9">
        <f>_xll.BQL("CRM US Equity", "BS_LONG_TERM_INVESTMENTS/1M", "FPR=2022Y", "FPT=A", "FA_ACT_EST_DATA=E, EST_SOURCE=MSV", "ACT_EST_MAPPING=PRECISE", "FS=MRC", "CURRENCY=USD", "XLFILL=b")</f>
        <v>3909</v>
      </c>
      <c r="P120" s="9">
        <f>_xll.BQL("CRM US Equity", "BS_LONG_TERM_INVESTMENTS/1M", "FPR=2022Y", "FPT=A", "FA_ACT_EST_DATA=E, EST_SOURCE=DBG", "ACT_EST_MAPPING=PRECISE", "FS=MRC", "CURRENCY=USD", "XLFILL=b")</f>
        <v>4004</v>
      </c>
      <c r="Q120" s="9">
        <f>_xll.BQL("CRM US Equity", "BS_LONG_TERM_INVESTMENTS/1M", "FPR=2022Y", "FPT=A", "FA_ACT_EST_DATA=E, EST_SOURCE=NDH", "ACT_EST_MAPPING=PRECISE", "FS=MRC", "CURRENCY=USD", "XLFILL=b")</f>
        <v>4004</v>
      </c>
      <c r="R120" s="9" t="str">
        <f>_xll.BQL("CRM US Equity", "BS_LONG_TERM_INVESTMENTS/1M", "FPR=2022Y", "FPT=A", "FA_ACT_EST_DATA=E, EST_SOURCE=CAN", "ACT_EST_MAPPING=PRECISE", "FS=MRC", "CURRENCY=USD", "XLFILL=b")</f>
        <v/>
      </c>
      <c r="S120" s="9" t="str">
        <f>_xll.BQL("CRM US Equity", "BS_LONG_TERM_INVESTMENTS/1M", "FPR=2022Y", "FPT=A", "FA_ACT_EST_DATA=E, EST_SOURCE=SCB", "ACT_EST_MAPPING=PRECISE", "FS=MRC", "CURRENCY=USD", "XLFILL=b")</f>
        <v/>
      </c>
      <c r="T120" s="9" t="str">
        <f>_xll.BQL("CRM US Equity", "BS_LONG_TERM_INVESTMENTS/1M", "FPR=2022Y", "FPT=A", "FA_ACT_EST_DATA=E, EST_SOURCE=JMP", "ACT_EST_MAPPING=PRECISE", "FS=MRC", "CURRENCY=USD", "XLFILL=b")</f>
        <v/>
      </c>
      <c r="U120" s="9" t="str">
        <f>_xll.BQL("CRM US Equity", "BS_LONG_TERM_INVESTMENTS/1M", "FPR=2022Y", "FPT=A", "FA_ACT_EST_DATA=E, EST_SOURCE=RJA", "ACT_EST_MAPPING=PRECISE", "FS=MRC", "CURRENCY=USD", "XLFILL=b")</f>
        <v/>
      </c>
      <c r="V120" s="9" t="str">
        <f>_xll.BQL("CRM US Equity", "BS_LONG_TERM_INVESTMENTS/1M", "FPR=2022Y", "FPT=A", "FA_ACT_EST_DATA=E, EST_SOURCE=OPY", "ACT_EST_MAPPING=PRECISE", "FS=MRC", "CURRENCY=USD", "XLFILL=b")</f>
        <v/>
      </c>
      <c r="W120" s="9" t="str">
        <f>_xll.BQL("CRM US Equity", "BS_LONG_TERM_INVESTMENTS/1M", "FPR=2022Y", "FPT=A", "FA_ACT_EST_DATA=E, EST_SOURCE=JPM", "ACT_EST_MAPPING=PRECISE", "FS=MRC", "CURRENCY=USD", "XLFILL=b")</f>
        <v/>
      </c>
      <c r="X120" s="9">
        <f>_xll.BQL("CRM US Equity", "BS_LONG_TERM_INVESTMENTS/1M", "FPR=2022Y", "FPT=A", "FA_ACT_EST_DATA=E, EST_SOURCE=FBC", "ACT_EST_MAPPING=PRECISE", "FS=MRC", "CURRENCY=USD", "XLFILL=b")</f>
        <v>4105</v>
      </c>
      <c r="Y120" s="9" t="str">
        <f>_xll.BQL("CRM US Equity", "BS_LONG_TERM_INVESTMENTS/1M", "FPR=2022Y", "FPT=A", "FA_ACT_EST_DATA=E, EST_SOURCE=WMS", "ACT_EST_MAPPING=PRECISE", "FS=MRC", "CURRENCY=USD", "XLFILL=b")</f>
        <v/>
      </c>
      <c r="Z120" s="9">
        <f>_xll.BQL("CRM US Equity", "BS_LONG_TERM_INVESTMENTS/1M", "FPR=2022Y", "FPT=A", "FA_ACT_EST_DATA=E, EST_SOURCE=KEY", "ACT_EST_MAPPING=PRECISE", "FS=MRC", "CURRENCY=USD", "XLFILL=b")</f>
        <v>4105</v>
      </c>
      <c r="AA120" s="9" t="str">
        <f>_xll.BQL("CRM US Equity", "BS_LONG_TERM_INVESTMENTS/1M", "FPR=2022Y", "FPT=A", "FA_ACT_EST_DATA=E, EST_SOURCE=LCM", "ACT_EST_MAPPING=PRECISE", "FS=MRC", "CURRENCY=USD", "XLFILL=b")</f>
        <v/>
      </c>
      <c r="AB120" s="9" t="str">
        <f>_xll.BQL("CRM US Equity", "BS_LONG_TERM_INVESTMENTS/1M", "FPR=2022Y", "FPT=A", "FA_ACT_EST_DATA=E, EST_SOURCE=CWN", "ACT_EST_MAPPING=PRECISE", "FS=MRC", "CURRENCY=USD", "XLFILL=b")</f>
        <v/>
      </c>
      <c r="AC120" s="9" t="str">
        <f>_xll.BQL("CRM US Equity", "BS_LONG_TERM_INVESTMENTS/1M", "FPR=2022Y", "FPT=A", "FA_ACT_EST_DATA=E, EST_SOURCE=BNS", "ACT_EST_MAPPING=PRECISE", "FS=MRC", "CURRENCY=USD", "XLFILL=b")</f>
        <v/>
      </c>
      <c r="AD120" s="9" t="str">
        <f>_xll.BQL("CRM US Equity", "BS_LONG_TERM_INVESTMENTS/1M", "FPR=2022Y", "FPT=A", "FA_ACT_EST_DATA=E, EST_SOURCE=BAM", "ACT_EST_MAPPING=PRECISE", "FS=MRC", "CURRENCY=USD", "XLFILL=b")</f>
        <v/>
      </c>
      <c r="AE120" s="9" t="str">
        <f>_xll.BQL("CRM US Equity", "BS_LONG_TERM_INVESTMENTS/1M", "FPR=2022Y", "FPT=A", "FA_ACT_EST_DATA=E, EST_SOURCE=RBC", "ACT_EST_MAPPING=PRECISE", "FS=MRC", "CURRENCY=USD", "XLFILL=b")</f>
        <v/>
      </c>
      <c r="AF120" s="9" t="str">
        <f>_xll.BQL("CRM US Equity", "BS_LONG_TERM_INVESTMENTS/1M", "FPR=2022Y", "FPT=A", "FA_ACT_EST_DATA=E, EST_SOURCE=UBS", "ACT_EST_MAPPING=PRECISE", "FS=MRC", "CURRENCY=USD", "XLFILL=b")</f>
        <v/>
      </c>
      <c r="AG120" s="9" t="str">
        <f>_xll.BQL("CRM US Equity", "BS_LONG_TERM_INVESTMENTS/1M", "FPR=2022Y", "FPT=A", "FA_ACT_EST_DATA=E, EST_SOURCE=RHR", "ACT_EST_MAPPING=PRECISE", "FS=MRC", "CURRENCY=USD", "XLFILL=b")</f>
        <v/>
      </c>
      <c r="AH120" s="9" t="str">
        <f>_xll.BQL("CRM US Equity", "BS_LONG_TERM_INVESTMENTS/1M", "FPR=2022Y", "FPT=A", "FA_ACT_EST_DATA=E, EST_SOURCE=JEF", "ACT_EST_MAPPING=PRECISE", "FS=MRC", "CURRENCY=USD", "XLFILL=b")</f>
        <v/>
      </c>
      <c r="AI120" s="9" t="str">
        <f>_xll.BQL("CRM US Equity", "BS_LONG_TERM_INVESTMENTS/1M", "FPR=2022Y", "FPT=A", "FA_ACT_EST_DATA=E, EST_SOURCE=ATL", "ACT_EST_MAPPING=PRECISE", "FS=MRC", "CURRENCY=USD", "XLFILL=b")</f>
        <v/>
      </c>
      <c r="AJ120" s="9" t="str">
        <f>_xll.BQL("CRM US Equity", "BS_LONG_TERM_INVESTMENTS/1M", "FPR=2022Y", "FPT=A", "FA_ACT_EST_DATA=E, EST_SOURCE=MAC", "ACT_EST_MAPPING=PRECISE", "FS=MRC", "CURRENCY=USD", "XLFILL=b")</f>
        <v/>
      </c>
      <c r="AK120" s="9" t="str">
        <f>_xll.BQL("CRM US Equity", "BS_LONG_TERM_INVESTMENTS/1M", "FPR=2022Y", "FPT=A", "FA_ACT_EST_DATA=E, EST_SOURCE=EVR", "ACT_EST_MAPPING=PRECISE", "FS=MRC", "CURRENCY=USD", "XLFILL=b")</f>
        <v/>
      </c>
      <c r="AL120" s="9" t="str">
        <f>_xll.BQL("CRM US Equity", "BS_LONG_TERM_INVESTMENTS/1M", "FPR=2022Y", "FPT=A", "FA_ACT_EST_DATA=E, EST_SOURCE=MSR", "ACT_EST_MAPPING=PRECISE", "FS=MRC", "CURRENCY=USD", "XLFILL=b")</f>
        <v/>
      </c>
      <c r="AM120" s="9" t="str">
        <f>_xll.BQL("CRM US Equity", "BS_LONG_TERM_INVESTMENTS/1M", "FPR=2022Y", "FPT=A", "FA_ACT_EST_DATA=E, EST_SOURCE=KGI", "ACT_EST_MAPPING=PRECISE", "FS=MRC", "CURRENCY=USD", "XLFILL=b")</f>
        <v/>
      </c>
      <c r="AN120" s="9" t="str">
        <f>_xll.BQL("CRM US Equity", "BS_LONG_TERM_INVESTMENTS/1M", "FPR=2022Y", "FPT=A", "FA_ACT_EST_DATA=E, EST_SOURCE=ACC", "ACT_EST_MAPPING=PRECISE", "FS=MRC", "CURRENCY=USD", "XLFILL=b")</f>
        <v/>
      </c>
      <c r="AO120" s="9" t="str">
        <f>_xll.BQL("CRM US Equity", "BS_LONG_TERM_INVESTMENTS/1M", "FPR=2022Y", "FPT=A", "FA_ACT_EST_DATA=E, EST_SOURCE=GSR", "ACT_EST_MAPPING=PRECISE", "FS=MRC", "CURRENCY=USD", "XLFILL=b")</f>
        <v/>
      </c>
      <c r="AP120" s="9" t="str">
        <f>_xll.BQL("CRM US Equity", "BS_LONG_TERM_INVESTMENTS/1M", "FPR=2022Y", "FPT=A", "FA_ACT_EST_DATA=E, EST_SOURCE=PSG", "ACT_EST_MAPPING=PRECISE", "FS=MRC", "CURRENCY=USD", "XLFILL=b")</f>
        <v/>
      </c>
      <c r="AQ120" s="9" t="str">
        <f>_xll.BQL("CRM US Equity", "BS_LONG_TERM_INVESTMENTS/1M", "FPR=2022Y", "FPT=A", "FA_ACT_EST_DATA=E, EST_SOURCE=DWI", "ACT_EST_MAPPING=PRECISE", "FS=MRC", "CURRENCY=USD", "XLFILL=b")</f>
        <v/>
      </c>
      <c r="AR120" s="9" t="str">
        <f>_xll.BQL("CRM US Equity", "BS_LONG_TERM_INVESTMENTS/1M", "FPR=2022Y", "FPT=A", "FA_ACT_EST_DATA=E, EST_SOURCE=RWB", "ACT_EST_MAPPING=PRECISE", "FS=MRC", "CURRENCY=USD", "XLFILL=b")</f>
        <v/>
      </c>
      <c r="AS120" s="9" t="str">
        <f>_xll.BQL("CRM US Equity", "BS_LONG_TERM_INVESTMENTS/1M", "FPR=2022Y", "FPT=A", "FA_ACT_EST_DATA=E, EST_SOURCE=ARG", "ACT_EST_MAPPING=PRECISE", "FS=MRC", "CURRENCY=USD", "XLFILL=b")</f>
        <v/>
      </c>
      <c r="AT120" s="9" t="str">
        <f>_xll.BQL("CRM US Equity", "BS_LONG_TERM_INVESTMENTS/1M", "FPR=2022Y", "FPT=A", "FA_ACT_EST_DATA=E, EST_SOURCE=CTI", "ACT_EST_MAPPING=PRECISE", "FS=MRC", "CURRENCY=USD", "XLFILL=b")</f>
        <v/>
      </c>
      <c r="AU120" s="9" t="str">
        <f>_xll.BQL("CRM US Equity", "BS_LONG_TERM_INVESTMENTS/1M", "FPR=2022Y", "FPT=A", "FA_ACT_EST_DATA=E, EST_SOURCE=WFT", "ACT_EST_MAPPING=PRECISE", "FS=MRC", "CURRENCY=USD", "XLFILL=b")</f>
        <v/>
      </c>
      <c r="AV120" s="9" t="str">
        <f>_xll.BQL("CRM US Equity", "BS_LONG_TERM_INVESTMENTS/1M", "FPR=2022Y", "FPT=A", "FA_ACT_EST_DATA=E, EST_SOURCE=PJE", "ACT_EST_MAPPING=PRECISE", "FS=MRC", "CURRENCY=USD", "XLFILL=b")</f>
        <v/>
      </c>
      <c r="AW120" s="9" t="str">
        <f>_xll.BQL("CRM US Equity", "BS_LONG_TERM_INVESTMENTS/1M", "FPR=2022Y", "FPT=A", "FA_ACT_EST_DATA=E, EST_SOURCE=SGE", "ACT_EST_MAPPING=PRECISE", "FS=MRC", "CURRENCY=USD", "XLFILL=b")</f>
        <v/>
      </c>
      <c r="AX120" s="9" t="str">
        <f>_xll.BQL("CRM US Equity", "BS_LONG_TERM_INVESTMENTS/1M", "FPR=2022Y", "FPT=A", "FA_ACT_EST_DATA=E, EST_SOURCE=MZS", "ACT_EST_MAPPING=PRECISE", "FS=MRC", "CURRENCY=USD", "XLFILL=b")</f>
        <v/>
      </c>
      <c r="AY120" s="9" t="str">
        <f>_xll.BQL("CRM US Equity", "BS_LONG_TERM_INVESTMENTS/1M", "FPR=2022Y", "FPT=A", "FA_ACT_EST_DATA=E, EST_SOURCE=RCP", "ACT_EST_MAPPING=PRECISE", "FS=MRC", "CURRENCY=USD", "XLFILL=b")</f>
        <v/>
      </c>
      <c r="AZ120" s="9" t="str">
        <f>_xll.BQL("CRM US Equity", "BS_LONG_TERM_INVESTMENTS/1M", "FPR=2022Y", "FPT=A", "FA_ACT_EST_DATA=E, EST_SOURCE=WFR", "ACT_EST_MAPPING=PRECISE", "FS=MRC", "CURRENCY=USD", "XLFILL=b")</f>
        <v/>
      </c>
      <c r="BA120" s="9" t="str">
        <f>_xll.BQL("CRM US Equity", "BS_LONG_TERM_INVESTMENTS/1M", "FPR=2022Y", "FPT=A", "FA_ACT_EST_DATA=E, EST_SOURCE=NIK", "ACT_EST_MAPPING=PRECISE", "FS=MRC", "CURRENCY=USD", "XLFILL=b")</f>
        <v/>
      </c>
      <c r="BB120" s="9" t="str">
        <f>_xll.BQL("CRM US Equity", "BS_LONG_TERM_INVESTMENTS/1M", "FPR=2022Y", "FPT=A", "FA_ACT_EST_DATA=E, EST_SOURCE=ARE", "ACT_EST_MAPPING=PRECISE", "FS=MRC", "CURRENCY=USD", "XLFILL=b")</f>
        <v/>
      </c>
      <c r="BC120" s="9" t="str">
        <f>_xll.BQL("CRM US Equity", "BS_LONG_TERM_INVESTMENTS/1M", "FPR=2022Y", "FPT=A", "FA_ACT_EST_DATA=E, EST_SOURCE=RED", "ACT_EST_MAPPING=PRECISE", "FS=MRC", "CURRENCY=USD", "XLFILL=b")</f>
        <v/>
      </c>
      <c r="BD120" s="9" t="str">
        <f>_xll.BQL("CRM US Equity", "BS_LONG_TERM_INVESTMENTS/1M", "FPR=2022Y", "FPT=A", "FA_ACT_EST_DATA=E, EST_SOURCE=DIR", "ACT_EST_MAPPING=PRECISE", "FS=MRC", "CURRENCY=USD", "XLFILL=b")</f>
        <v/>
      </c>
    </row>
    <row r="121" spans="1:56" x14ac:dyDescent="0.55000000000000004">
      <c r="A121" s="8" t="s">
        <v>219</v>
      </c>
      <c r="B121" s="5" t="s">
        <v>220</v>
      </c>
      <c r="C121" s="5" t="s">
        <v>221</v>
      </c>
      <c r="D121" s="5"/>
      <c r="E121" s="9">
        <f>_xll.BQL("CRM US Equity", "CB_BS_INTANG_ASSETS_EX_GW_NT/1M", "FPR=2022Y", "FPT=A", "FA_ACT_EST_DATA=E", "ACT_EST_MAPPING=PRECISE", "FS=MRC", "CURRENCY=USD", "XLFILL=b")</f>
        <v>9472</v>
      </c>
      <c r="F121" s="9">
        <f>_xll.BQL("CRM US Equity", "CONTRIBUTOR_STATS(CB_BS_INTANG_ASSETS_EX_GW_NT, MIN)/1M", "FPR=2022Y", "FPT=A", "FA_ACT_EST_DATA=E", "ACT_EST_MAPPING=PRECISE", "FS=MRC", "CURRENCY=USD", "XLFILL=b")</f>
        <v>9472</v>
      </c>
      <c r="G121" s="9">
        <f>_xll.BQL("CRM US Equity", "CONTRIBUTOR_STATS(CB_BS_INTANG_ASSETS_EX_GW_NT, MAX)/1M", "FPR=2022Y", "FPT=A", "FA_ACT_EST_DATA=E", "ACT_EST_MAPPING=PRECISE", "FS=MRC", "CURRENCY=USD", "XLFILL=b")</f>
        <v>9472</v>
      </c>
      <c r="H121" s="9">
        <f>_xll.BQL("CRM US Equity", "CONTRIBUTOR_STATS(CB_BS_INTANG_ASSETS_EX_GW_NT, STD)/1M", "FPR=2022Y", "FPT=A", "FA_ACT_EST_DATA=E", "ACT_EST_MAPPING=PRECISE", "FS=MRC", "CURRENCY=USD", "XLFILL=b")</f>
        <v>0</v>
      </c>
      <c r="I121" s="9">
        <f>_xll.BQL("CRM US Equity", "CONTRIBUTOR_STATS(CB_BS_INTANG_ASSETS_EX_GW_NT, MEDIAN)/1M", "FPR=2022Y", "FPT=A", "FA_ACT_EST_DATA=E", "ACT_EST_MAPPING=PRECISE", "FS=MRC", "CURRENCY=USD", "XLFILL=b")</f>
        <v>9472</v>
      </c>
      <c r="J121" s="9" t="str">
        <f>_xll.BQL("CRM US Equity", "CB_BS_INTANG_ASSETS_EX_GW_NT/1M", "FPR=2022Y", "FPT=A", "FA_ACT_EST_DATA=E, EST_SOURCE=CMPY", "ACT_EST_MAPPING=PRECISE", "FS=MRC", "CURRENCY=USD", "XLFILL=b")</f>
        <v/>
      </c>
      <c r="K121" s="9" t="str">
        <f>_xll.BQL("CRM US Equity", "CB_BS_INTANG_ASSETS_EX_GW_NT/1M", "FPR=2022Y", "FPT=A", "FA_ACT_EST_DATA=E, EST_SOURCE=WBL", "ACT_EST_MAPPING=PRECISE", "FS=MRC", "CURRENCY=USD", "XLFILL=b")</f>
        <v/>
      </c>
      <c r="L121" s="9" t="str">
        <f>_xll.BQL("CRM US Equity", "CB_BS_INTANG_ASSETS_EX_GW_NT/1M", "FPR=2022Y", "FPT=A", "FA_ACT_EST_DATA=E, EST_SOURCE=BMO", "ACT_EST_MAPPING=PRECISE", "FS=MRC", "CURRENCY=USD", "XLFILL=b")</f>
        <v/>
      </c>
      <c r="M121" s="9" t="str">
        <f>_xll.BQL("CRM US Equity", "CB_BS_INTANG_ASSETS_EX_GW_NT/1M", "FPR=2022Y", "FPT=A", "FA_ACT_EST_DATA=E, EST_SOURCE=BCA", "ACT_EST_MAPPING=PRECISE", "FS=MRC", "CURRENCY=USD", "XLFILL=b")</f>
        <v/>
      </c>
      <c r="N121" s="9" t="str">
        <f>_xll.BQL("CRM US Equity", "CB_BS_INTANG_ASSETS_EX_GW_NT/1M", "FPR=2022Y", "FPT=A", "FA_ACT_EST_DATA=E, EST_SOURCE=SNR", "ACT_EST_MAPPING=PRECISE", "FS=MRC", "CURRENCY=USD", "XLFILL=b")</f>
        <v/>
      </c>
      <c r="O121" s="9">
        <f>_xll.BQL("CRM US Equity", "CB_BS_INTANG_ASSETS_EX_GW_NT/1M", "FPR=2022Y", "FPT=A", "FA_ACT_EST_DATA=E, EST_SOURCE=MSV", "ACT_EST_MAPPING=PRECISE", "FS=MRC", "CURRENCY=USD", "XLFILL=b")</f>
        <v>2036</v>
      </c>
      <c r="P121" s="9">
        <f>_xll.BQL("CRM US Equity", "CB_BS_INTANG_ASSETS_EX_GW_NT/1M", "FPR=2022Y", "FPT=A", "FA_ACT_EST_DATA=E, EST_SOURCE=DBG", "ACT_EST_MAPPING=PRECISE", "FS=MRC", "CURRENCY=USD", "XLFILL=b")</f>
        <v>9472</v>
      </c>
      <c r="Q121" s="9" t="str">
        <f>_xll.BQL("CRM US Equity", "CB_BS_INTANG_ASSETS_EX_GW_NT/1M", "FPR=2022Y", "FPT=A", "FA_ACT_EST_DATA=E, EST_SOURCE=NDH", "ACT_EST_MAPPING=PRECISE", "FS=MRC", "CURRENCY=USD", "XLFILL=b")</f>
        <v/>
      </c>
      <c r="R121" s="9" t="str">
        <f>_xll.BQL("CRM US Equity", "CB_BS_INTANG_ASSETS_EX_GW_NT/1M", "FPR=2022Y", "FPT=A", "FA_ACT_EST_DATA=E, EST_SOURCE=CAN", "ACT_EST_MAPPING=PRECISE", "FS=MRC", "CURRENCY=USD", "XLFILL=b")</f>
        <v/>
      </c>
      <c r="S121" s="9" t="str">
        <f>_xll.BQL("CRM US Equity", "CB_BS_INTANG_ASSETS_EX_GW_NT/1M", "FPR=2022Y", "FPT=A", "FA_ACT_EST_DATA=E, EST_SOURCE=SCB", "ACT_EST_MAPPING=PRECISE", "FS=MRC", "CURRENCY=USD", "XLFILL=b")</f>
        <v/>
      </c>
      <c r="T121" s="9" t="str">
        <f>_xll.BQL("CRM US Equity", "CB_BS_INTANG_ASSETS_EX_GW_NT/1M", "FPR=2022Y", "FPT=A", "FA_ACT_EST_DATA=E, EST_SOURCE=JMP", "ACT_EST_MAPPING=PRECISE", "FS=MRC", "CURRENCY=USD", "XLFILL=b")</f>
        <v/>
      </c>
      <c r="U121" s="9" t="str">
        <f>_xll.BQL("CRM US Equity", "CB_BS_INTANG_ASSETS_EX_GW_NT/1M", "FPR=2022Y", "FPT=A", "FA_ACT_EST_DATA=E, EST_SOURCE=RJA", "ACT_EST_MAPPING=PRECISE", "FS=MRC", "CURRENCY=USD", "XLFILL=b")</f>
        <v/>
      </c>
      <c r="V121" s="9" t="str">
        <f>_xll.BQL("CRM US Equity", "CB_BS_INTANG_ASSETS_EX_GW_NT/1M", "FPR=2022Y", "FPT=A", "FA_ACT_EST_DATA=E, EST_SOURCE=OPY", "ACT_EST_MAPPING=PRECISE", "FS=MRC", "CURRENCY=USD", "XLFILL=b")</f>
        <v/>
      </c>
      <c r="W121" s="9" t="str">
        <f>_xll.BQL("CRM US Equity", "CB_BS_INTANG_ASSETS_EX_GW_NT/1M", "FPR=2022Y", "FPT=A", "FA_ACT_EST_DATA=E, EST_SOURCE=JPM", "ACT_EST_MAPPING=PRECISE", "FS=MRC", "CURRENCY=USD", "XLFILL=b")</f>
        <v/>
      </c>
      <c r="X121" s="9">
        <f>_xll.BQL("CRM US Equity", "CB_BS_INTANG_ASSETS_EX_GW_NT/1M", "FPR=2022Y", "FPT=A", "FA_ACT_EST_DATA=E, EST_SOURCE=FBC", "ACT_EST_MAPPING=PRECISE", "FS=MRC", "CURRENCY=USD", "XLFILL=b")</f>
        <v>9746</v>
      </c>
      <c r="Y121" s="9" t="str">
        <f>_xll.BQL("CRM US Equity", "CB_BS_INTANG_ASSETS_EX_GW_NT/1M", "FPR=2022Y", "FPT=A", "FA_ACT_EST_DATA=E, EST_SOURCE=WMS", "ACT_EST_MAPPING=PRECISE", "FS=MRC", "CURRENCY=USD", "XLFILL=b")</f>
        <v/>
      </c>
      <c r="Z121" s="9">
        <f>_xll.BQL("CRM US Equity", "CB_BS_INTANG_ASSETS_EX_GW_NT/1M", "FPR=2022Y", "FPT=A", "FA_ACT_EST_DATA=E, EST_SOURCE=KEY", "ACT_EST_MAPPING=PRECISE", "FS=MRC", "CURRENCY=USD", "XLFILL=b")</f>
        <v>9746</v>
      </c>
      <c r="AA121" s="9" t="str">
        <f>_xll.BQL("CRM US Equity", "CB_BS_INTANG_ASSETS_EX_GW_NT/1M", "FPR=2022Y", "FPT=A", "FA_ACT_EST_DATA=E, EST_SOURCE=LCM", "ACT_EST_MAPPING=PRECISE", "FS=MRC", "CURRENCY=USD", "XLFILL=b")</f>
        <v/>
      </c>
      <c r="AB121" s="9" t="str">
        <f>_xll.BQL("CRM US Equity", "CB_BS_INTANG_ASSETS_EX_GW_NT/1M", "FPR=2022Y", "FPT=A", "FA_ACT_EST_DATA=E, EST_SOURCE=CWN", "ACT_EST_MAPPING=PRECISE", "FS=MRC", "CURRENCY=USD", "XLFILL=b")</f>
        <v/>
      </c>
      <c r="AC121" s="9" t="str">
        <f>_xll.BQL("CRM US Equity", "CB_BS_INTANG_ASSETS_EX_GW_NT/1M", "FPR=2022Y", "FPT=A", "FA_ACT_EST_DATA=E, EST_SOURCE=BNS", "ACT_EST_MAPPING=PRECISE", "FS=MRC", "CURRENCY=USD", "XLFILL=b")</f>
        <v/>
      </c>
      <c r="AD121" s="9" t="str">
        <f>_xll.BQL("CRM US Equity", "CB_BS_INTANG_ASSETS_EX_GW_NT/1M", "FPR=2022Y", "FPT=A", "FA_ACT_EST_DATA=E, EST_SOURCE=BAM", "ACT_EST_MAPPING=PRECISE", "FS=MRC", "CURRENCY=USD", "XLFILL=b")</f>
        <v/>
      </c>
      <c r="AE121" s="9" t="str">
        <f>_xll.BQL("CRM US Equity", "CB_BS_INTANG_ASSETS_EX_GW_NT/1M", "FPR=2022Y", "FPT=A", "FA_ACT_EST_DATA=E, EST_SOURCE=RBC", "ACT_EST_MAPPING=PRECISE", "FS=MRC", "CURRENCY=USD", "XLFILL=b")</f>
        <v/>
      </c>
      <c r="AF121" s="9" t="str">
        <f>_xll.BQL("CRM US Equity", "CB_BS_INTANG_ASSETS_EX_GW_NT/1M", "FPR=2022Y", "FPT=A", "FA_ACT_EST_DATA=E, EST_SOURCE=UBS", "ACT_EST_MAPPING=PRECISE", "FS=MRC", "CURRENCY=USD", "XLFILL=b")</f>
        <v/>
      </c>
      <c r="AG121" s="9" t="str">
        <f>_xll.BQL("CRM US Equity", "CB_BS_INTANG_ASSETS_EX_GW_NT/1M", "FPR=2022Y", "FPT=A", "FA_ACT_EST_DATA=E, EST_SOURCE=RHR", "ACT_EST_MAPPING=PRECISE", "FS=MRC", "CURRENCY=USD", "XLFILL=b")</f>
        <v/>
      </c>
      <c r="AH121" s="9" t="str">
        <f>_xll.BQL("CRM US Equity", "CB_BS_INTANG_ASSETS_EX_GW_NT/1M", "FPR=2022Y", "FPT=A", "FA_ACT_EST_DATA=E, EST_SOURCE=JEF", "ACT_EST_MAPPING=PRECISE", "FS=MRC", "CURRENCY=USD", "XLFILL=b")</f>
        <v/>
      </c>
      <c r="AI121" s="9" t="str">
        <f>_xll.BQL("CRM US Equity", "CB_BS_INTANG_ASSETS_EX_GW_NT/1M", "FPR=2022Y", "FPT=A", "FA_ACT_EST_DATA=E, EST_SOURCE=ATL", "ACT_EST_MAPPING=PRECISE", "FS=MRC", "CURRENCY=USD", "XLFILL=b")</f>
        <v/>
      </c>
      <c r="AJ121" s="9" t="str">
        <f>_xll.BQL("CRM US Equity", "CB_BS_INTANG_ASSETS_EX_GW_NT/1M", "FPR=2022Y", "FPT=A", "FA_ACT_EST_DATA=E, EST_SOURCE=MAC", "ACT_EST_MAPPING=PRECISE", "FS=MRC", "CURRENCY=USD", "XLFILL=b")</f>
        <v/>
      </c>
      <c r="AK121" s="9" t="str">
        <f>_xll.BQL("CRM US Equity", "CB_BS_INTANG_ASSETS_EX_GW_NT/1M", "FPR=2022Y", "FPT=A", "FA_ACT_EST_DATA=E, EST_SOURCE=EVR", "ACT_EST_MAPPING=PRECISE", "FS=MRC", "CURRENCY=USD", "XLFILL=b")</f>
        <v/>
      </c>
      <c r="AL121" s="9" t="str">
        <f>_xll.BQL("CRM US Equity", "CB_BS_INTANG_ASSETS_EX_GW_NT/1M", "FPR=2022Y", "FPT=A", "FA_ACT_EST_DATA=E, EST_SOURCE=MSR", "ACT_EST_MAPPING=PRECISE", "FS=MRC", "CURRENCY=USD", "XLFILL=b")</f>
        <v/>
      </c>
      <c r="AM121" s="9" t="str">
        <f>_xll.BQL("CRM US Equity", "CB_BS_INTANG_ASSETS_EX_GW_NT/1M", "FPR=2022Y", "FPT=A", "FA_ACT_EST_DATA=E, EST_SOURCE=KGI", "ACT_EST_MAPPING=PRECISE", "FS=MRC", "CURRENCY=USD", "XLFILL=b")</f>
        <v/>
      </c>
      <c r="AN121" s="9" t="str">
        <f>_xll.BQL("CRM US Equity", "CB_BS_INTANG_ASSETS_EX_GW_NT/1M", "FPR=2022Y", "FPT=A", "FA_ACT_EST_DATA=E, EST_SOURCE=ACC", "ACT_EST_MAPPING=PRECISE", "FS=MRC", "CURRENCY=USD", "XLFILL=b")</f>
        <v/>
      </c>
      <c r="AO121" s="9" t="str">
        <f>_xll.BQL("CRM US Equity", "CB_BS_INTANG_ASSETS_EX_GW_NT/1M", "FPR=2022Y", "FPT=A", "FA_ACT_EST_DATA=E, EST_SOURCE=GSR", "ACT_EST_MAPPING=PRECISE", "FS=MRC", "CURRENCY=USD", "XLFILL=b")</f>
        <v/>
      </c>
      <c r="AP121" s="9" t="str">
        <f>_xll.BQL("CRM US Equity", "CB_BS_INTANG_ASSETS_EX_GW_NT/1M", "FPR=2022Y", "FPT=A", "FA_ACT_EST_DATA=E, EST_SOURCE=PSG", "ACT_EST_MAPPING=PRECISE", "FS=MRC", "CURRENCY=USD", "XLFILL=b")</f>
        <v/>
      </c>
      <c r="AQ121" s="9" t="str">
        <f>_xll.BQL("CRM US Equity", "CB_BS_INTANG_ASSETS_EX_GW_NT/1M", "FPR=2022Y", "FPT=A", "FA_ACT_EST_DATA=E, EST_SOURCE=DWI", "ACT_EST_MAPPING=PRECISE", "FS=MRC", "CURRENCY=USD", "XLFILL=b")</f>
        <v/>
      </c>
      <c r="AR121" s="9" t="str">
        <f>_xll.BQL("CRM US Equity", "CB_BS_INTANG_ASSETS_EX_GW_NT/1M", "FPR=2022Y", "FPT=A", "FA_ACT_EST_DATA=E, EST_SOURCE=RWB", "ACT_EST_MAPPING=PRECISE", "FS=MRC", "CURRENCY=USD", "XLFILL=b")</f>
        <v/>
      </c>
      <c r="AS121" s="9" t="str">
        <f>_xll.BQL("CRM US Equity", "CB_BS_INTANG_ASSETS_EX_GW_NT/1M", "FPR=2022Y", "FPT=A", "FA_ACT_EST_DATA=E, EST_SOURCE=ARG", "ACT_EST_MAPPING=PRECISE", "FS=MRC", "CURRENCY=USD", "XLFILL=b")</f>
        <v/>
      </c>
      <c r="AT121" s="9" t="str">
        <f>_xll.BQL("CRM US Equity", "CB_BS_INTANG_ASSETS_EX_GW_NT/1M", "FPR=2022Y", "FPT=A", "FA_ACT_EST_DATA=E, EST_SOURCE=CTI", "ACT_EST_MAPPING=PRECISE", "FS=MRC", "CURRENCY=USD", "XLFILL=b")</f>
        <v/>
      </c>
      <c r="AU121" s="9" t="str">
        <f>_xll.BQL("CRM US Equity", "CB_BS_INTANG_ASSETS_EX_GW_NT/1M", "FPR=2022Y", "FPT=A", "FA_ACT_EST_DATA=E, EST_SOURCE=WFT", "ACT_EST_MAPPING=PRECISE", "FS=MRC", "CURRENCY=USD", "XLFILL=b")</f>
        <v/>
      </c>
      <c r="AV121" s="9" t="str">
        <f>_xll.BQL("CRM US Equity", "CB_BS_INTANG_ASSETS_EX_GW_NT/1M", "FPR=2022Y", "FPT=A", "FA_ACT_EST_DATA=E, EST_SOURCE=PJE", "ACT_EST_MAPPING=PRECISE", "FS=MRC", "CURRENCY=USD", "XLFILL=b")</f>
        <v/>
      </c>
      <c r="AW121" s="9" t="str">
        <f>_xll.BQL("CRM US Equity", "CB_BS_INTANG_ASSETS_EX_GW_NT/1M", "FPR=2022Y", "FPT=A", "FA_ACT_EST_DATA=E, EST_SOURCE=SGE", "ACT_EST_MAPPING=PRECISE", "FS=MRC", "CURRENCY=USD", "XLFILL=b")</f>
        <v/>
      </c>
      <c r="AX121" s="9" t="str">
        <f>_xll.BQL("CRM US Equity", "CB_BS_INTANG_ASSETS_EX_GW_NT/1M", "FPR=2022Y", "FPT=A", "FA_ACT_EST_DATA=E, EST_SOURCE=MZS", "ACT_EST_MAPPING=PRECISE", "FS=MRC", "CURRENCY=USD", "XLFILL=b")</f>
        <v/>
      </c>
      <c r="AY121" s="9" t="str">
        <f>_xll.BQL("CRM US Equity", "CB_BS_INTANG_ASSETS_EX_GW_NT/1M", "FPR=2022Y", "FPT=A", "FA_ACT_EST_DATA=E, EST_SOURCE=RCP", "ACT_EST_MAPPING=PRECISE", "FS=MRC", "CURRENCY=USD", "XLFILL=b")</f>
        <v/>
      </c>
      <c r="AZ121" s="9" t="str">
        <f>_xll.BQL("CRM US Equity", "CB_BS_INTANG_ASSETS_EX_GW_NT/1M", "FPR=2022Y", "FPT=A", "FA_ACT_EST_DATA=E, EST_SOURCE=WFR", "ACT_EST_MAPPING=PRECISE", "FS=MRC", "CURRENCY=USD", "XLFILL=b")</f>
        <v/>
      </c>
      <c r="BA121" s="9" t="str">
        <f>_xll.BQL("CRM US Equity", "CB_BS_INTANG_ASSETS_EX_GW_NT/1M", "FPR=2022Y", "FPT=A", "FA_ACT_EST_DATA=E, EST_SOURCE=NIK", "ACT_EST_MAPPING=PRECISE", "FS=MRC", "CURRENCY=USD", "XLFILL=b")</f>
        <v/>
      </c>
      <c r="BB121" s="9" t="str">
        <f>_xll.BQL("CRM US Equity", "CB_BS_INTANG_ASSETS_EX_GW_NT/1M", "FPR=2022Y", "FPT=A", "FA_ACT_EST_DATA=E, EST_SOURCE=ARE", "ACT_EST_MAPPING=PRECISE", "FS=MRC", "CURRENCY=USD", "XLFILL=b")</f>
        <v/>
      </c>
      <c r="BC121" s="9" t="str">
        <f>_xll.BQL("CRM US Equity", "CB_BS_INTANG_ASSETS_EX_GW_NT/1M", "FPR=2022Y", "FPT=A", "FA_ACT_EST_DATA=E, EST_SOURCE=RED", "ACT_EST_MAPPING=PRECISE", "FS=MRC", "CURRENCY=USD", "XLFILL=b")</f>
        <v/>
      </c>
      <c r="BD121" s="9" t="str">
        <f>_xll.BQL("CRM US Equity", "CB_BS_INTANG_ASSETS_EX_GW_NT/1M", "FPR=2022Y", "FPT=A", "FA_ACT_EST_DATA=E, EST_SOURCE=DIR", "ACT_EST_MAPPING=PRECISE", "FS=MRC", "CURRENCY=USD", "XLFILL=b")</f>
        <v/>
      </c>
    </row>
    <row r="122" spans="1:56" x14ac:dyDescent="0.55000000000000004">
      <c r="A122" s="8" t="s">
        <v>222</v>
      </c>
      <c r="B122" s="5" t="s">
        <v>223</v>
      </c>
      <c r="C122" s="5" t="s">
        <v>224</v>
      </c>
      <c r="D122" s="5"/>
      <c r="E122" s="9">
        <f>_xll.BQL("CRM US Equity", "BS_GOODWILL/1M", "FPR=2022Y", "FPT=A", "FA_ACT_EST_DATA=E", "ACT_EST_MAPPING=PRECISE", "FS=MRC", "CURRENCY=USD", "XLFILL=b")</f>
        <v>44938.55</v>
      </c>
      <c r="F122" s="9">
        <f>_xll.BQL("CRM US Equity", "CONTRIBUTOR_STATS(BS_GOODWILL, MIN)/1M", "FPR=2022Y", "FPT=A", "FA_ACT_EST_DATA=E", "ACT_EST_MAPPING=PRECISE", "FS=MRC", "CURRENCY=USD", "XLFILL=b")</f>
        <v>26318</v>
      </c>
      <c r="G122" s="9">
        <f>_xll.BQL("CRM US Equity", "CONTRIBUTOR_STATS(BS_GOODWILL, MAX)/1M", "FPR=2022Y", "FPT=A", "FA_ACT_EST_DATA=E", "ACT_EST_MAPPING=PRECISE", "FS=MRC", "CURRENCY=USD", "XLFILL=b")</f>
        <v>47951</v>
      </c>
      <c r="H122" s="9">
        <f>_xll.BQL("CRM US Equity", "CONTRIBUTOR_STATS(BS_GOODWILL, STD)/1M", "FPR=2022Y", "FPT=A", "FA_ACT_EST_DATA=E", "ACT_EST_MAPPING=PRECISE", "FS=MRC", "CURRENCY=USD", "XLFILL=b")</f>
        <v>6959.6829447659929</v>
      </c>
      <c r="I122" s="9">
        <f>_xll.BQL("CRM US Equity", "CONTRIBUTOR_STATS(BS_GOODWILL, MEDIAN)/1M", "FPR=2022Y", "FPT=A", "FA_ACT_EST_DATA=E", "ACT_EST_MAPPING=PRECISE", "FS=MRC", "CURRENCY=USD", "XLFILL=b")</f>
        <v>47951</v>
      </c>
      <c r="J122" s="9" t="str">
        <f>_xll.BQL("CRM US Equity", "BS_GOODWILL/1M", "FPR=2022Y", "FPT=A", "FA_ACT_EST_DATA=E, EST_SOURCE=CMPY", "ACT_EST_MAPPING=PRECISE", "FS=MRC", "CURRENCY=USD", "XLFILL=b")</f>
        <v/>
      </c>
      <c r="K122" s="9" t="str">
        <f>_xll.BQL("CRM US Equity", "BS_GOODWILL/1M", "FPR=2022Y", "FPT=A", "FA_ACT_EST_DATA=E, EST_SOURCE=WBL", "ACT_EST_MAPPING=PRECISE", "FS=MRC", "CURRENCY=USD", "XLFILL=b")</f>
        <v/>
      </c>
      <c r="L122" s="9" t="str">
        <f>_xll.BQL("CRM US Equity", "BS_GOODWILL/1M", "FPR=2022Y", "FPT=A", "FA_ACT_EST_DATA=E, EST_SOURCE=BMO", "ACT_EST_MAPPING=PRECISE", "FS=MRC", "CURRENCY=USD", "XLFILL=b")</f>
        <v/>
      </c>
      <c r="M122" s="9">
        <f>_xll.BQL("CRM US Equity", "BS_GOODWILL/1M", "FPR=2022Y", "FPT=A", "FA_ACT_EST_DATA=E, EST_SOURCE=BCA", "ACT_EST_MAPPING=PRECISE", "FS=MRC", "CURRENCY=USD", "XLFILL=b")</f>
        <v>5723.1369999999988</v>
      </c>
      <c r="N122" s="9" t="str">
        <f>_xll.BQL("CRM US Equity", "BS_GOODWILL/1M", "FPR=2022Y", "FPT=A", "FA_ACT_EST_DATA=E, EST_SOURCE=SNR", "ACT_EST_MAPPING=PRECISE", "FS=MRC", "CURRENCY=USD", "XLFILL=b")</f>
        <v/>
      </c>
      <c r="O122" s="9">
        <f>_xll.BQL("CRM US Equity", "BS_GOODWILL/1M", "FPR=2022Y", "FPT=A", "FA_ACT_EST_DATA=E, EST_SOURCE=MSV", "ACT_EST_MAPPING=PRECISE", "FS=MRC", "CURRENCY=USD", "XLFILL=b")</f>
        <v>40318</v>
      </c>
      <c r="P122" s="9">
        <f>_xll.BQL("CRM US Equity", "BS_GOODWILL/1M", "FPR=2022Y", "FPT=A", "FA_ACT_EST_DATA=E, EST_SOURCE=DBG", "ACT_EST_MAPPING=PRECISE", "FS=MRC", "CURRENCY=USD", "XLFILL=b")</f>
        <v>47951</v>
      </c>
      <c r="Q122" s="9">
        <f>_xll.BQL("CRM US Equity", "BS_GOODWILL/1M", "FPR=2022Y", "FPT=A", "FA_ACT_EST_DATA=E, EST_SOURCE=NDH", "ACT_EST_MAPPING=PRECISE", "FS=MRC", "CURRENCY=USD", "XLFILL=b")</f>
        <v>47951</v>
      </c>
      <c r="R122" s="9" t="str">
        <f>_xll.BQL("CRM US Equity", "BS_GOODWILL/1M", "FPR=2022Y", "FPT=A", "FA_ACT_EST_DATA=E, EST_SOURCE=CAN", "ACT_EST_MAPPING=PRECISE", "FS=MRC", "CURRENCY=USD", "XLFILL=b")</f>
        <v/>
      </c>
      <c r="S122" s="9" t="str">
        <f>_xll.BQL("CRM US Equity", "BS_GOODWILL/1M", "FPR=2022Y", "FPT=A", "FA_ACT_EST_DATA=E, EST_SOURCE=SCB", "ACT_EST_MAPPING=PRECISE", "FS=MRC", "CURRENCY=USD", "XLFILL=b")</f>
        <v/>
      </c>
      <c r="T122" s="9" t="str">
        <f>_xll.BQL("CRM US Equity", "BS_GOODWILL/1M", "FPR=2022Y", "FPT=A", "FA_ACT_EST_DATA=E, EST_SOURCE=JMP", "ACT_EST_MAPPING=PRECISE", "FS=MRC", "CURRENCY=USD", "XLFILL=b")</f>
        <v/>
      </c>
      <c r="U122" s="9" t="str">
        <f>_xll.BQL("CRM US Equity", "BS_GOODWILL/1M", "FPR=2022Y", "FPT=A", "FA_ACT_EST_DATA=E, EST_SOURCE=RJA", "ACT_EST_MAPPING=PRECISE", "FS=MRC", "CURRENCY=USD", "XLFILL=b")</f>
        <v/>
      </c>
      <c r="V122" s="9" t="str">
        <f>_xll.BQL("CRM US Equity", "BS_GOODWILL/1M", "FPR=2022Y", "FPT=A", "FA_ACT_EST_DATA=E, EST_SOURCE=OPY", "ACT_EST_MAPPING=PRECISE", "FS=MRC", "CURRENCY=USD", "XLFILL=b")</f>
        <v/>
      </c>
      <c r="W122" s="9" t="str">
        <f>_xll.BQL("CRM US Equity", "BS_GOODWILL/1M", "FPR=2022Y", "FPT=A", "FA_ACT_EST_DATA=E, EST_SOURCE=JPM", "ACT_EST_MAPPING=PRECISE", "FS=MRC", "CURRENCY=USD", "XLFILL=b")</f>
        <v/>
      </c>
      <c r="X122" s="9">
        <f>_xll.BQL("CRM US Equity", "BS_GOODWILL/1M", "FPR=2022Y", "FPT=A", "FA_ACT_EST_DATA=E, EST_SOURCE=FBC", "ACT_EST_MAPPING=PRECISE", "FS=MRC", "CURRENCY=USD", "XLFILL=b")</f>
        <v>47465</v>
      </c>
      <c r="Y122" s="9" t="str">
        <f>_xll.BQL("CRM US Equity", "BS_GOODWILL/1M", "FPR=2022Y", "FPT=A", "FA_ACT_EST_DATA=E, EST_SOURCE=WMS", "ACT_EST_MAPPING=PRECISE", "FS=MRC", "CURRENCY=USD", "XLFILL=b")</f>
        <v/>
      </c>
      <c r="Z122" s="9">
        <f>_xll.BQL("CRM US Equity", "BS_GOODWILL/1M", "FPR=2022Y", "FPT=A", "FA_ACT_EST_DATA=E, EST_SOURCE=KEY", "ACT_EST_MAPPING=PRECISE", "FS=MRC", "CURRENCY=USD", "XLFILL=b")</f>
        <v>48103</v>
      </c>
      <c r="AA122" s="9" t="str">
        <f>_xll.BQL("CRM US Equity", "BS_GOODWILL/1M", "FPR=2022Y", "FPT=A", "FA_ACT_EST_DATA=E, EST_SOURCE=LCM", "ACT_EST_MAPPING=PRECISE", "FS=MRC", "CURRENCY=USD", "XLFILL=b")</f>
        <v/>
      </c>
      <c r="AB122" s="9" t="str">
        <f>_xll.BQL("CRM US Equity", "BS_GOODWILL/1M", "FPR=2022Y", "FPT=A", "FA_ACT_EST_DATA=E, EST_SOURCE=CWN", "ACT_EST_MAPPING=PRECISE", "FS=MRC", "CURRENCY=USD", "XLFILL=b")</f>
        <v/>
      </c>
      <c r="AC122" s="9" t="str">
        <f>_xll.BQL("CRM US Equity", "BS_GOODWILL/1M", "FPR=2022Y", "FPT=A", "FA_ACT_EST_DATA=E, EST_SOURCE=BNS", "ACT_EST_MAPPING=PRECISE", "FS=MRC", "CURRENCY=USD", "XLFILL=b")</f>
        <v/>
      </c>
      <c r="AD122" s="9" t="str">
        <f>_xll.BQL("CRM US Equity", "BS_GOODWILL/1M", "FPR=2022Y", "FPT=A", "FA_ACT_EST_DATA=E, EST_SOURCE=BAM", "ACT_EST_MAPPING=PRECISE", "FS=MRC", "CURRENCY=USD", "XLFILL=b")</f>
        <v/>
      </c>
      <c r="AE122" s="9" t="str">
        <f>_xll.BQL("CRM US Equity", "BS_GOODWILL/1M", "FPR=2022Y", "FPT=A", "FA_ACT_EST_DATA=E, EST_SOURCE=RBC", "ACT_EST_MAPPING=PRECISE", "FS=MRC", "CURRENCY=USD", "XLFILL=b")</f>
        <v/>
      </c>
      <c r="AF122" s="9" t="str">
        <f>_xll.BQL("CRM US Equity", "BS_GOODWILL/1M", "FPR=2022Y", "FPT=A", "FA_ACT_EST_DATA=E, EST_SOURCE=UBS", "ACT_EST_MAPPING=PRECISE", "FS=MRC", "CURRENCY=USD", "XLFILL=b")</f>
        <v/>
      </c>
      <c r="AG122" s="9" t="str">
        <f>_xll.BQL("CRM US Equity", "BS_GOODWILL/1M", "FPR=2022Y", "FPT=A", "FA_ACT_EST_DATA=E, EST_SOURCE=RHR", "ACT_EST_MAPPING=PRECISE", "FS=MRC", "CURRENCY=USD", "XLFILL=b")</f>
        <v/>
      </c>
      <c r="AH122" s="9" t="str">
        <f>_xll.BQL("CRM US Equity", "BS_GOODWILL/1M", "FPR=2022Y", "FPT=A", "FA_ACT_EST_DATA=E, EST_SOURCE=JEF", "ACT_EST_MAPPING=PRECISE", "FS=MRC", "CURRENCY=USD", "XLFILL=b")</f>
        <v/>
      </c>
      <c r="AI122" s="9" t="str">
        <f>_xll.BQL("CRM US Equity", "BS_GOODWILL/1M", "FPR=2022Y", "FPT=A", "FA_ACT_EST_DATA=E, EST_SOURCE=ATL", "ACT_EST_MAPPING=PRECISE", "FS=MRC", "CURRENCY=USD", "XLFILL=b")</f>
        <v/>
      </c>
      <c r="AJ122" s="9" t="str">
        <f>_xll.BQL("CRM US Equity", "BS_GOODWILL/1M", "FPR=2022Y", "FPT=A", "FA_ACT_EST_DATA=E, EST_SOURCE=MAC", "ACT_EST_MAPPING=PRECISE", "FS=MRC", "CURRENCY=USD", "XLFILL=b")</f>
        <v/>
      </c>
      <c r="AK122" s="9" t="str">
        <f>_xll.BQL("CRM US Equity", "BS_GOODWILL/1M", "FPR=2022Y", "FPT=A", "FA_ACT_EST_DATA=E, EST_SOURCE=EVR", "ACT_EST_MAPPING=PRECISE", "FS=MRC", "CURRENCY=USD", "XLFILL=b")</f>
        <v/>
      </c>
      <c r="AL122" s="9" t="str">
        <f>_xll.BQL("CRM US Equity", "BS_GOODWILL/1M", "FPR=2022Y", "FPT=A", "FA_ACT_EST_DATA=E, EST_SOURCE=MSR", "ACT_EST_MAPPING=PRECISE", "FS=MRC", "CURRENCY=USD", "XLFILL=b")</f>
        <v/>
      </c>
      <c r="AM122" s="9" t="str">
        <f>_xll.BQL("CRM US Equity", "BS_GOODWILL/1M", "FPR=2022Y", "FPT=A", "FA_ACT_EST_DATA=E, EST_SOURCE=KGI", "ACT_EST_MAPPING=PRECISE", "FS=MRC", "CURRENCY=USD", "XLFILL=b")</f>
        <v/>
      </c>
      <c r="AN122" s="9" t="str">
        <f>_xll.BQL("CRM US Equity", "BS_GOODWILL/1M", "FPR=2022Y", "FPT=A", "FA_ACT_EST_DATA=E, EST_SOURCE=ACC", "ACT_EST_MAPPING=PRECISE", "FS=MRC", "CURRENCY=USD", "XLFILL=b")</f>
        <v/>
      </c>
      <c r="AO122" s="9" t="str">
        <f>_xll.BQL("CRM US Equity", "BS_GOODWILL/1M", "FPR=2022Y", "FPT=A", "FA_ACT_EST_DATA=E, EST_SOURCE=GSR", "ACT_EST_MAPPING=PRECISE", "FS=MRC", "CURRENCY=USD", "XLFILL=b")</f>
        <v/>
      </c>
      <c r="AP122" s="9" t="str">
        <f>_xll.BQL("CRM US Equity", "BS_GOODWILL/1M", "FPR=2022Y", "FPT=A", "FA_ACT_EST_DATA=E, EST_SOURCE=PSG", "ACT_EST_MAPPING=PRECISE", "FS=MRC", "CURRENCY=USD", "XLFILL=b")</f>
        <v/>
      </c>
      <c r="AQ122" s="9" t="str">
        <f>_xll.BQL("CRM US Equity", "BS_GOODWILL/1M", "FPR=2022Y", "FPT=A", "FA_ACT_EST_DATA=E, EST_SOURCE=DWI", "ACT_EST_MAPPING=PRECISE", "FS=MRC", "CURRENCY=USD", "XLFILL=b")</f>
        <v/>
      </c>
      <c r="AR122" s="9" t="str">
        <f>_xll.BQL("CRM US Equity", "BS_GOODWILL/1M", "FPR=2022Y", "FPT=A", "FA_ACT_EST_DATA=E, EST_SOURCE=RWB", "ACT_EST_MAPPING=PRECISE", "FS=MRC", "CURRENCY=USD", "XLFILL=b")</f>
        <v/>
      </c>
      <c r="AS122" s="9" t="str">
        <f>_xll.BQL("CRM US Equity", "BS_GOODWILL/1M", "FPR=2022Y", "FPT=A", "FA_ACT_EST_DATA=E, EST_SOURCE=ARG", "ACT_EST_MAPPING=PRECISE", "FS=MRC", "CURRENCY=USD", "XLFILL=b")</f>
        <v/>
      </c>
      <c r="AT122" s="9" t="str">
        <f>_xll.BQL("CRM US Equity", "BS_GOODWILL/1M", "FPR=2022Y", "FPT=A", "FA_ACT_EST_DATA=E, EST_SOURCE=CTI", "ACT_EST_MAPPING=PRECISE", "FS=MRC", "CURRENCY=USD", "XLFILL=b")</f>
        <v/>
      </c>
      <c r="AU122" s="9" t="str">
        <f>_xll.BQL("CRM US Equity", "BS_GOODWILL/1M", "FPR=2022Y", "FPT=A", "FA_ACT_EST_DATA=E, EST_SOURCE=WFT", "ACT_EST_MAPPING=PRECISE", "FS=MRC", "CURRENCY=USD", "XLFILL=b")</f>
        <v/>
      </c>
      <c r="AV122" s="9" t="str">
        <f>_xll.BQL("CRM US Equity", "BS_GOODWILL/1M", "FPR=2022Y", "FPT=A", "FA_ACT_EST_DATA=E, EST_SOURCE=PJE", "ACT_EST_MAPPING=PRECISE", "FS=MRC", "CURRENCY=USD", "XLFILL=b")</f>
        <v/>
      </c>
      <c r="AW122" s="9" t="str">
        <f>_xll.BQL("CRM US Equity", "BS_GOODWILL/1M", "FPR=2022Y", "FPT=A", "FA_ACT_EST_DATA=E, EST_SOURCE=SGE", "ACT_EST_MAPPING=PRECISE", "FS=MRC", "CURRENCY=USD", "XLFILL=b")</f>
        <v/>
      </c>
      <c r="AX122" s="9" t="str">
        <f>_xll.BQL("CRM US Equity", "BS_GOODWILL/1M", "FPR=2022Y", "FPT=A", "FA_ACT_EST_DATA=E, EST_SOURCE=MZS", "ACT_EST_MAPPING=PRECISE", "FS=MRC", "CURRENCY=USD", "XLFILL=b")</f>
        <v/>
      </c>
      <c r="AY122" s="9" t="str">
        <f>_xll.BQL("CRM US Equity", "BS_GOODWILL/1M", "FPR=2022Y", "FPT=A", "FA_ACT_EST_DATA=E, EST_SOURCE=RCP", "ACT_EST_MAPPING=PRECISE", "FS=MRC", "CURRENCY=USD", "XLFILL=b")</f>
        <v/>
      </c>
      <c r="AZ122" s="9" t="str">
        <f>_xll.BQL("CRM US Equity", "BS_GOODWILL/1M", "FPR=2022Y", "FPT=A", "FA_ACT_EST_DATA=E, EST_SOURCE=WFR", "ACT_EST_MAPPING=PRECISE", "FS=MRC", "CURRENCY=USD", "XLFILL=b")</f>
        <v/>
      </c>
      <c r="BA122" s="9" t="str">
        <f>_xll.BQL("CRM US Equity", "BS_GOODWILL/1M", "FPR=2022Y", "FPT=A", "FA_ACT_EST_DATA=E, EST_SOURCE=NIK", "ACT_EST_MAPPING=PRECISE", "FS=MRC", "CURRENCY=USD", "XLFILL=b")</f>
        <v/>
      </c>
      <c r="BB122" s="9" t="str">
        <f>_xll.BQL("CRM US Equity", "BS_GOODWILL/1M", "FPR=2022Y", "FPT=A", "FA_ACT_EST_DATA=E, EST_SOURCE=ARE", "ACT_EST_MAPPING=PRECISE", "FS=MRC", "CURRENCY=USD", "XLFILL=b")</f>
        <v/>
      </c>
      <c r="BC122" s="9" t="str">
        <f>_xll.BQL("CRM US Equity", "BS_GOODWILL/1M", "FPR=2022Y", "FPT=A", "FA_ACT_EST_DATA=E, EST_SOURCE=RED", "ACT_EST_MAPPING=PRECISE", "FS=MRC", "CURRENCY=USD", "XLFILL=b")</f>
        <v/>
      </c>
      <c r="BD122" s="9" t="str">
        <f>_xll.BQL("CRM US Equity", "BS_GOODWILL/1M", "FPR=2022Y", "FPT=A", "FA_ACT_EST_DATA=E, EST_SOURCE=DIR", "ACT_EST_MAPPING=PRECISE", "FS=MRC", "CURRENCY=USD", "XLFILL=b")</f>
        <v/>
      </c>
    </row>
    <row r="123" spans="1:56" x14ac:dyDescent="0.55000000000000004">
      <c r="A123" s="8" t="s">
        <v>225</v>
      </c>
      <c r="B123" s="5" t="s">
        <v>226</v>
      </c>
      <c r="C123" s="5" t="s">
        <v>227</v>
      </c>
      <c r="D123" s="5"/>
      <c r="E123" s="9">
        <f>_xll.BQL("CRM US Equity", "TOT_OPER_LEA_RT_OF_USE_ASSETS/1M", "FPR=2022Y", "FPT=A", "FA_ACT_EST_DATA=E", "ACT_EST_MAPPING=PRECISE", "FS=MRC", "CURRENCY=USD", "XLFILL=b")</f>
        <v>2957.7142857142858</v>
      </c>
      <c r="F123" s="9">
        <f>_xll.BQL("CRM US Equity", "CONTRIBUTOR_STATS(TOT_OPER_LEA_RT_OF_USE_ASSETS, MIN)/1M", "FPR=2022Y", "FPT=A", "FA_ACT_EST_DATA=E", "ACT_EST_MAPPING=PRECISE", "FS=MRC", "CURRENCY=USD", "XLFILL=b")</f>
        <v>2909</v>
      </c>
      <c r="G123" s="9">
        <f>_xll.BQL("CRM US Equity", "CONTRIBUTOR_STATS(TOT_OPER_LEA_RT_OF_USE_ASSETS, MAX)/1M", "FPR=2022Y", "FPT=A", "FA_ACT_EST_DATA=E", "ACT_EST_MAPPING=PRECISE", "FS=MRC", "CURRENCY=USD", "XLFILL=b")</f>
        <v>3250</v>
      </c>
      <c r="H123" s="9">
        <f>_xll.BQL("CRM US Equity", "CONTRIBUTOR_STATS(TOT_OPER_LEA_RT_OF_USE_ASSETS, STD)/1M", "FPR=2022Y", "FPT=A", "FA_ACT_EST_DATA=E", "ACT_EST_MAPPING=PRECISE", "FS=MRC", "CURRENCY=USD", "XLFILL=b")</f>
        <v>128.88588529614648</v>
      </c>
      <c r="I123" s="9">
        <f>_xll.BQL("CRM US Equity", "CONTRIBUTOR_STATS(TOT_OPER_LEA_RT_OF_USE_ASSETS, MEDIAN)/1M", "FPR=2022Y", "FPT=A", "FA_ACT_EST_DATA=E", "ACT_EST_MAPPING=PRECISE", "FS=MRC", "CURRENCY=USD", "XLFILL=b")</f>
        <v>2909</v>
      </c>
      <c r="J123" s="9" t="str">
        <f>_xll.BQL("CRM US Equity", "TOT_OPER_LEA_RT_OF_USE_ASSETS/1M", "FPR=2022Y", "FPT=A", "FA_ACT_EST_DATA=E, EST_SOURCE=CMPY", "ACT_EST_MAPPING=PRECISE", "FS=MRC", "CURRENCY=USD", "XLFILL=b")</f>
        <v/>
      </c>
      <c r="K123" s="9" t="str">
        <f>_xll.BQL("CRM US Equity", "TOT_OPER_LEA_RT_OF_USE_ASSETS/1M", "FPR=2022Y", "FPT=A", "FA_ACT_EST_DATA=E, EST_SOURCE=WBL", "ACT_EST_MAPPING=PRECISE", "FS=MRC", "CURRENCY=USD", "XLFILL=b")</f>
        <v/>
      </c>
      <c r="L123" s="9" t="str">
        <f>_xll.BQL("CRM US Equity", "TOT_OPER_LEA_RT_OF_USE_ASSETS/1M", "FPR=2022Y", "FPT=A", "FA_ACT_EST_DATA=E, EST_SOURCE=BMO", "ACT_EST_MAPPING=PRECISE", "FS=MRC", "CURRENCY=USD", "XLFILL=b")</f>
        <v/>
      </c>
      <c r="M123" s="9" t="str">
        <f>_xll.BQL("CRM US Equity", "TOT_OPER_LEA_RT_OF_USE_ASSETS/1M", "FPR=2022Y", "FPT=A", "FA_ACT_EST_DATA=E, EST_SOURCE=BCA", "ACT_EST_MAPPING=PRECISE", "FS=MRC", "CURRENCY=USD", "XLFILL=b")</f>
        <v/>
      </c>
      <c r="N123" s="9" t="str">
        <f>_xll.BQL("CRM US Equity", "TOT_OPER_LEA_RT_OF_USE_ASSETS/1M", "FPR=2022Y", "FPT=A", "FA_ACT_EST_DATA=E, EST_SOURCE=SNR", "ACT_EST_MAPPING=PRECISE", "FS=MRC", "CURRENCY=USD", "XLFILL=b")</f>
        <v/>
      </c>
      <c r="O123" s="9" t="str">
        <f>_xll.BQL("CRM US Equity", "TOT_OPER_LEA_RT_OF_USE_ASSETS/1M", "FPR=2022Y", "FPT=A", "FA_ACT_EST_DATA=E, EST_SOURCE=MSV", "ACT_EST_MAPPING=PRECISE", "FS=MRC", "CURRENCY=USD", "XLFILL=b")</f>
        <v/>
      </c>
      <c r="P123" s="9">
        <f>_xll.BQL("CRM US Equity", "TOT_OPER_LEA_RT_OF_USE_ASSETS/1M", "FPR=2022Y", "FPT=A", "FA_ACT_EST_DATA=E, EST_SOURCE=DBG", "ACT_EST_MAPPING=PRECISE", "FS=MRC", "CURRENCY=USD", "XLFILL=b")</f>
        <v>2909</v>
      </c>
      <c r="Q123" s="9">
        <f>_xll.BQL("CRM US Equity", "TOT_OPER_LEA_RT_OF_USE_ASSETS/1M", "FPR=2022Y", "FPT=A", "FA_ACT_EST_DATA=E, EST_SOURCE=NDH", "ACT_EST_MAPPING=PRECISE", "FS=MRC", "CURRENCY=USD", "XLFILL=b")</f>
        <v>2909</v>
      </c>
      <c r="R123" s="9" t="str">
        <f>_xll.BQL("CRM US Equity", "TOT_OPER_LEA_RT_OF_USE_ASSETS/1M", "FPR=2022Y", "FPT=A", "FA_ACT_EST_DATA=E, EST_SOURCE=CAN", "ACT_EST_MAPPING=PRECISE", "FS=MRC", "CURRENCY=USD", "XLFILL=b")</f>
        <v/>
      </c>
      <c r="S123" s="9" t="str">
        <f>_xll.BQL("CRM US Equity", "TOT_OPER_LEA_RT_OF_USE_ASSETS/1M", "FPR=2022Y", "FPT=A", "FA_ACT_EST_DATA=E, EST_SOURCE=SCB", "ACT_EST_MAPPING=PRECISE", "FS=MRC", "CURRENCY=USD", "XLFILL=b")</f>
        <v/>
      </c>
      <c r="T123" s="9" t="str">
        <f>_xll.BQL("CRM US Equity", "TOT_OPER_LEA_RT_OF_USE_ASSETS/1M", "FPR=2022Y", "FPT=A", "FA_ACT_EST_DATA=E, EST_SOURCE=JMP", "ACT_EST_MAPPING=PRECISE", "FS=MRC", "CURRENCY=USD", "XLFILL=b")</f>
        <v/>
      </c>
      <c r="U123" s="9" t="str">
        <f>_xll.BQL("CRM US Equity", "TOT_OPER_LEA_RT_OF_USE_ASSETS/1M", "FPR=2022Y", "FPT=A", "FA_ACT_EST_DATA=E, EST_SOURCE=RJA", "ACT_EST_MAPPING=PRECISE", "FS=MRC", "CURRENCY=USD", "XLFILL=b")</f>
        <v/>
      </c>
      <c r="V123" s="9" t="str">
        <f>_xll.BQL("CRM US Equity", "TOT_OPER_LEA_RT_OF_USE_ASSETS/1M", "FPR=2022Y", "FPT=A", "FA_ACT_EST_DATA=E, EST_SOURCE=OPY", "ACT_EST_MAPPING=PRECISE", "FS=MRC", "CURRENCY=USD", "XLFILL=b")</f>
        <v/>
      </c>
      <c r="W123" s="9" t="str">
        <f>_xll.BQL("CRM US Equity", "TOT_OPER_LEA_RT_OF_USE_ASSETS/1M", "FPR=2022Y", "FPT=A", "FA_ACT_EST_DATA=E, EST_SOURCE=JPM", "ACT_EST_MAPPING=PRECISE", "FS=MRC", "CURRENCY=USD", "XLFILL=b")</f>
        <v/>
      </c>
      <c r="X123" s="9">
        <f>_xll.BQL("CRM US Equity", "TOT_OPER_LEA_RT_OF_USE_ASSETS/1M", "FPR=2022Y", "FPT=A", "FA_ACT_EST_DATA=E, EST_SOURCE=FBC", "ACT_EST_MAPPING=PRECISE", "FS=MRC", "CURRENCY=USD", "XLFILL=b")</f>
        <v>3123</v>
      </c>
      <c r="Y123" s="9" t="str">
        <f>_xll.BQL("CRM US Equity", "TOT_OPER_LEA_RT_OF_USE_ASSETS/1M", "FPR=2022Y", "FPT=A", "FA_ACT_EST_DATA=E, EST_SOURCE=WMS", "ACT_EST_MAPPING=PRECISE", "FS=MRC", "CURRENCY=USD", "XLFILL=b")</f>
        <v/>
      </c>
      <c r="Z123" s="9">
        <f>_xll.BQL("CRM US Equity", "TOT_OPER_LEA_RT_OF_USE_ASSETS/1M", "FPR=2022Y", "FPT=A", "FA_ACT_EST_DATA=E, EST_SOURCE=KEY", "ACT_EST_MAPPING=PRECISE", "FS=MRC", "CURRENCY=USD", "XLFILL=b")</f>
        <v>3821.6553650000001</v>
      </c>
      <c r="AA123" s="9" t="str">
        <f>_xll.BQL("CRM US Equity", "TOT_OPER_LEA_RT_OF_USE_ASSETS/1M", "FPR=2022Y", "FPT=A", "FA_ACT_EST_DATA=E, EST_SOURCE=LCM", "ACT_EST_MAPPING=PRECISE", "FS=MRC", "CURRENCY=USD", "XLFILL=b")</f>
        <v/>
      </c>
      <c r="AB123" s="9" t="str">
        <f>_xll.BQL("CRM US Equity", "TOT_OPER_LEA_RT_OF_USE_ASSETS/1M", "FPR=2022Y", "FPT=A", "FA_ACT_EST_DATA=E, EST_SOURCE=CWN", "ACT_EST_MAPPING=PRECISE", "FS=MRC", "CURRENCY=USD", "XLFILL=b")</f>
        <v/>
      </c>
      <c r="AC123" s="9" t="str">
        <f>_xll.BQL("CRM US Equity", "TOT_OPER_LEA_RT_OF_USE_ASSETS/1M", "FPR=2022Y", "FPT=A", "FA_ACT_EST_DATA=E, EST_SOURCE=BNS", "ACT_EST_MAPPING=PRECISE", "FS=MRC", "CURRENCY=USD", "XLFILL=b")</f>
        <v/>
      </c>
      <c r="AD123" s="9" t="str">
        <f>_xll.BQL("CRM US Equity", "TOT_OPER_LEA_RT_OF_USE_ASSETS/1M", "FPR=2022Y", "FPT=A", "FA_ACT_EST_DATA=E, EST_SOURCE=BAM", "ACT_EST_MAPPING=PRECISE", "FS=MRC", "CURRENCY=USD", "XLFILL=b")</f>
        <v/>
      </c>
      <c r="AE123" s="9" t="str">
        <f>_xll.BQL("CRM US Equity", "TOT_OPER_LEA_RT_OF_USE_ASSETS/1M", "FPR=2022Y", "FPT=A", "FA_ACT_EST_DATA=E, EST_SOURCE=RBC", "ACT_EST_MAPPING=PRECISE", "FS=MRC", "CURRENCY=USD", "XLFILL=b")</f>
        <v/>
      </c>
      <c r="AF123" s="9" t="str">
        <f>_xll.BQL("CRM US Equity", "TOT_OPER_LEA_RT_OF_USE_ASSETS/1M", "FPR=2022Y", "FPT=A", "FA_ACT_EST_DATA=E, EST_SOURCE=UBS", "ACT_EST_MAPPING=PRECISE", "FS=MRC", "CURRENCY=USD", "XLFILL=b")</f>
        <v/>
      </c>
      <c r="AG123" s="9" t="str">
        <f>_xll.BQL("CRM US Equity", "TOT_OPER_LEA_RT_OF_USE_ASSETS/1M", "FPR=2022Y", "FPT=A", "FA_ACT_EST_DATA=E, EST_SOURCE=RHR", "ACT_EST_MAPPING=PRECISE", "FS=MRC", "CURRENCY=USD", "XLFILL=b")</f>
        <v/>
      </c>
      <c r="AH123" s="9" t="str">
        <f>_xll.BQL("CRM US Equity", "TOT_OPER_LEA_RT_OF_USE_ASSETS/1M", "FPR=2022Y", "FPT=A", "FA_ACT_EST_DATA=E, EST_SOURCE=JEF", "ACT_EST_MAPPING=PRECISE", "FS=MRC", "CURRENCY=USD", "XLFILL=b")</f>
        <v/>
      </c>
      <c r="AI123" s="9" t="str">
        <f>_xll.BQL("CRM US Equity", "TOT_OPER_LEA_RT_OF_USE_ASSETS/1M", "FPR=2022Y", "FPT=A", "FA_ACT_EST_DATA=E, EST_SOURCE=ATL", "ACT_EST_MAPPING=PRECISE", "FS=MRC", "CURRENCY=USD", "XLFILL=b")</f>
        <v/>
      </c>
      <c r="AJ123" s="9" t="str">
        <f>_xll.BQL("CRM US Equity", "TOT_OPER_LEA_RT_OF_USE_ASSETS/1M", "FPR=2022Y", "FPT=A", "FA_ACT_EST_DATA=E, EST_SOURCE=MAC", "ACT_EST_MAPPING=PRECISE", "FS=MRC", "CURRENCY=USD", "XLFILL=b")</f>
        <v/>
      </c>
      <c r="AK123" s="9" t="str">
        <f>_xll.BQL("CRM US Equity", "TOT_OPER_LEA_RT_OF_USE_ASSETS/1M", "FPR=2022Y", "FPT=A", "FA_ACT_EST_DATA=E, EST_SOURCE=EVR", "ACT_EST_MAPPING=PRECISE", "FS=MRC", "CURRENCY=USD", "XLFILL=b")</f>
        <v/>
      </c>
      <c r="AL123" s="9" t="str">
        <f>_xll.BQL("CRM US Equity", "TOT_OPER_LEA_RT_OF_USE_ASSETS/1M", "FPR=2022Y", "FPT=A", "FA_ACT_EST_DATA=E, EST_SOURCE=MSR", "ACT_EST_MAPPING=PRECISE", "FS=MRC", "CURRENCY=USD", "XLFILL=b")</f>
        <v/>
      </c>
      <c r="AM123" s="9" t="str">
        <f>_xll.BQL("CRM US Equity", "TOT_OPER_LEA_RT_OF_USE_ASSETS/1M", "FPR=2022Y", "FPT=A", "FA_ACT_EST_DATA=E, EST_SOURCE=KGI", "ACT_EST_MAPPING=PRECISE", "FS=MRC", "CURRENCY=USD", "XLFILL=b")</f>
        <v/>
      </c>
      <c r="AN123" s="9" t="str">
        <f>_xll.BQL("CRM US Equity", "TOT_OPER_LEA_RT_OF_USE_ASSETS/1M", "FPR=2022Y", "FPT=A", "FA_ACT_EST_DATA=E, EST_SOURCE=ACC", "ACT_EST_MAPPING=PRECISE", "FS=MRC", "CURRENCY=USD", "XLFILL=b")</f>
        <v/>
      </c>
      <c r="AO123" s="9" t="str">
        <f>_xll.BQL("CRM US Equity", "TOT_OPER_LEA_RT_OF_USE_ASSETS/1M", "FPR=2022Y", "FPT=A", "FA_ACT_EST_DATA=E, EST_SOURCE=GSR", "ACT_EST_MAPPING=PRECISE", "FS=MRC", "CURRENCY=USD", "XLFILL=b")</f>
        <v/>
      </c>
      <c r="AP123" s="9" t="str">
        <f>_xll.BQL("CRM US Equity", "TOT_OPER_LEA_RT_OF_USE_ASSETS/1M", "FPR=2022Y", "FPT=A", "FA_ACT_EST_DATA=E, EST_SOURCE=PSG", "ACT_EST_MAPPING=PRECISE", "FS=MRC", "CURRENCY=USD", "XLFILL=b")</f>
        <v/>
      </c>
      <c r="AQ123" s="9" t="str">
        <f>_xll.BQL("CRM US Equity", "TOT_OPER_LEA_RT_OF_USE_ASSETS/1M", "FPR=2022Y", "FPT=A", "FA_ACT_EST_DATA=E, EST_SOURCE=DWI", "ACT_EST_MAPPING=PRECISE", "FS=MRC", "CURRENCY=USD", "XLFILL=b")</f>
        <v/>
      </c>
      <c r="AR123" s="9" t="str">
        <f>_xll.BQL("CRM US Equity", "TOT_OPER_LEA_RT_OF_USE_ASSETS/1M", "FPR=2022Y", "FPT=A", "FA_ACT_EST_DATA=E, EST_SOURCE=RWB", "ACT_EST_MAPPING=PRECISE", "FS=MRC", "CURRENCY=USD", "XLFILL=b")</f>
        <v/>
      </c>
      <c r="AS123" s="9" t="str">
        <f>_xll.BQL("CRM US Equity", "TOT_OPER_LEA_RT_OF_USE_ASSETS/1M", "FPR=2022Y", "FPT=A", "FA_ACT_EST_DATA=E, EST_SOURCE=ARG", "ACT_EST_MAPPING=PRECISE", "FS=MRC", "CURRENCY=USD", "XLFILL=b")</f>
        <v/>
      </c>
      <c r="AT123" s="9" t="str">
        <f>_xll.BQL("CRM US Equity", "TOT_OPER_LEA_RT_OF_USE_ASSETS/1M", "FPR=2022Y", "FPT=A", "FA_ACT_EST_DATA=E, EST_SOURCE=CTI", "ACT_EST_MAPPING=PRECISE", "FS=MRC", "CURRENCY=USD", "XLFILL=b")</f>
        <v/>
      </c>
      <c r="AU123" s="9" t="str">
        <f>_xll.BQL("CRM US Equity", "TOT_OPER_LEA_RT_OF_USE_ASSETS/1M", "FPR=2022Y", "FPT=A", "FA_ACT_EST_DATA=E, EST_SOURCE=WFT", "ACT_EST_MAPPING=PRECISE", "FS=MRC", "CURRENCY=USD", "XLFILL=b")</f>
        <v/>
      </c>
      <c r="AV123" s="9" t="str">
        <f>_xll.BQL("CRM US Equity", "TOT_OPER_LEA_RT_OF_USE_ASSETS/1M", "FPR=2022Y", "FPT=A", "FA_ACT_EST_DATA=E, EST_SOURCE=PJE", "ACT_EST_MAPPING=PRECISE", "FS=MRC", "CURRENCY=USD", "XLFILL=b")</f>
        <v/>
      </c>
      <c r="AW123" s="9" t="str">
        <f>_xll.BQL("CRM US Equity", "TOT_OPER_LEA_RT_OF_USE_ASSETS/1M", "FPR=2022Y", "FPT=A", "FA_ACT_EST_DATA=E, EST_SOURCE=SGE", "ACT_EST_MAPPING=PRECISE", "FS=MRC", "CURRENCY=USD", "XLFILL=b")</f>
        <v/>
      </c>
      <c r="AX123" s="9" t="str">
        <f>_xll.BQL("CRM US Equity", "TOT_OPER_LEA_RT_OF_USE_ASSETS/1M", "FPR=2022Y", "FPT=A", "FA_ACT_EST_DATA=E, EST_SOURCE=MZS", "ACT_EST_MAPPING=PRECISE", "FS=MRC", "CURRENCY=USD", "XLFILL=b")</f>
        <v/>
      </c>
      <c r="AY123" s="9" t="str">
        <f>_xll.BQL("CRM US Equity", "TOT_OPER_LEA_RT_OF_USE_ASSETS/1M", "FPR=2022Y", "FPT=A", "FA_ACT_EST_DATA=E, EST_SOURCE=RCP", "ACT_EST_MAPPING=PRECISE", "FS=MRC", "CURRENCY=USD", "XLFILL=b")</f>
        <v/>
      </c>
      <c r="AZ123" s="9" t="str">
        <f>_xll.BQL("CRM US Equity", "TOT_OPER_LEA_RT_OF_USE_ASSETS/1M", "FPR=2022Y", "FPT=A", "FA_ACT_EST_DATA=E, EST_SOURCE=WFR", "ACT_EST_MAPPING=PRECISE", "FS=MRC", "CURRENCY=USD", "XLFILL=b")</f>
        <v/>
      </c>
      <c r="BA123" s="9" t="str">
        <f>_xll.BQL("CRM US Equity", "TOT_OPER_LEA_RT_OF_USE_ASSETS/1M", "FPR=2022Y", "FPT=A", "FA_ACT_EST_DATA=E, EST_SOURCE=NIK", "ACT_EST_MAPPING=PRECISE", "FS=MRC", "CURRENCY=USD", "XLFILL=b")</f>
        <v/>
      </c>
      <c r="BB123" s="9" t="str">
        <f>_xll.BQL("CRM US Equity", "TOT_OPER_LEA_RT_OF_USE_ASSETS/1M", "FPR=2022Y", "FPT=A", "FA_ACT_EST_DATA=E, EST_SOURCE=ARE", "ACT_EST_MAPPING=PRECISE", "FS=MRC", "CURRENCY=USD", "XLFILL=b")</f>
        <v/>
      </c>
      <c r="BC123" s="9" t="str">
        <f>_xll.BQL("CRM US Equity", "TOT_OPER_LEA_RT_OF_USE_ASSETS/1M", "FPR=2022Y", "FPT=A", "FA_ACT_EST_DATA=E, EST_SOURCE=RED", "ACT_EST_MAPPING=PRECISE", "FS=MRC", "CURRENCY=USD", "XLFILL=b")</f>
        <v/>
      </c>
      <c r="BD123" s="9" t="str">
        <f>_xll.BQL("CRM US Equity", "TOT_OPER_LEA_RT_OF_USE_ASSETS/1M", "FPR=2022Y", "FPT=A", "FA_ACT_EST_DATA=E, EST_SOURCE=DIR", "ACT_EST_MAPPING=PRECISE", "FS=MRC", "CURRENCY=USD", "XLFILL=b")</f>
        <v/>
      </c>
    </row>
    <row r="124" spans="1:56" x14ac:dyDescent="0.55000000000000004">
      <c r="A124" s="8" t="s">
        <v>228</v>
      </c>
      <c r="B124" s="5" t="s">
        <v>229</v>
      </c>
      <c r="C124" s="5" t="s">
        <v>230</v>
      </c>
      <c r="D124" s="5"/>
      <c r="E124" s="9">
        <f>_xll.BQL("CRM US Equity", "CAPITALIZED_SOFTWARE/1M", "FPR=2022Y", "FPT=A", "FA_ACT_EST_DATA=E", "ACT_EST_MAPPING=PRECISE", "FS=MRC", "CURRENCY=USD", "XLFILL=b")</f>
        <v>2540</v>
      </c>
      <c r="F124" s="9">
        <f>_xll.BQL("CRM US Equity", "CONTRIBUTOR_STATS(CAPITALIZED_SOFTWARE, MIN)/1M", "FPR=2022Y", "FPT=A", "FA_ACT_EST_DATA=E", "ACT_EST_MAPPING=PRECISE", "FS=MRC", "CURRENCY=USD", "XLFILL=b")</f>
        <v>2525</v>
      </c>
      <c r="G124" s="9">
        <f>_xll.BQL("CRM US Equity", "CONTRIBUTOR_STATS(CAPITALIZED_SOFTWARE, MAX)/1M", "FPR=2022Y", "FPT=A", "FA_ACT_EST_DATA=E", "ACT_EST_MAPPING=PRECISE", "FS=MRC", "CURRENCY=USD", "XLFILL=b")</f>
        <v>2600</v>
      </c>
      <c r="H124" s="9">
        <f>_xll.BQL("CRM US Equity", "CONTRIBUTOR_STATS(CAPITALIZED_SOFTWARE, STD)/1M", "FPR=2022Y", "FPT=A", "FA_ACT_EST_DATA=E", "ACT_EST_MAPPING=PRECISE", "FS=MRC", "CURRENCY=USD", "XLFILL=b")</f>
        <v>33.541019662496851</v>
      </c>
      <c r="I124" s="9">
        <f>_xll.BQL("CRM US Equity", "CONTRIBUTOR_STATS(CAPITALIZED_SOFTWARE, MEDIAN)/1M", "FPR=2022Y", "FPT=A", "FA_ACT_EST_DATA=E", "ACT_EST_MAPPING=PRECISE", "FS=MRC", "CURRENCY=USD", "XLFILL=b")</f>
        <v>2525</v>
      </c>
      <c r="J124" s="9" t="str">
        <f>_xll.BQL("CRM US Equity", "CAPITALIZED_SOFTWARE/1M", "FPR=2022Y", "FPT=A", "FA_ACT_EST_DATA=E, EST_SOURCE=CMPY", "ACT_EST_MAPPING=PRECISE", "FS=MRC", "CURRENCY=USD", "XLFILL=b")</f>
        <v/>
      </c>
      <c r="K124" s="9" t="str">
        <f>_xll.BQL("CRM US Equity", "CAPITALIZED_SOFTWARE/1M", "FPR=2022Y", "FPT=A", "FA_ACT_EST_DATA=E, EST_SOURCE=WBL", "ACT_EST_MAPPING=PRECISE", "FS=MRC", "CURRENCY=USD", "XLFILL=b")</f>
        <v/>
      </c>
      <c r="L124" s="9" t="str">
        <f>_xll.BQL("CRM US Equity", "CAPITALIZED_SOFTWARE/1M", "FPR=2022Y", "FPT=A", "FA_ACT_EST_DATA=E, EST_SOURCE=BMO", "ACT_EST_MAPPING=PRECISE", "FS=MRC", "CURRENCY=USD", "XLFILL=b")</f>
        <v/>
      </c>
      <c r="M124" s="9">
        <f>_xll.BQL("CRM US Equity", "CAPITALIZED_SOFTWARE/1M", "FPR=2022Y", "FPT=A", "FA_ACT_EST_DATA=E, EST_SOURCE=BCA", "ACT_EST_MAPPING=PRECISE", "FS=MRC", "CURRENCY=USD", "XLFILL=b")</f>
        <v>582</v>
      </c>
      <c r="N124" s="9" t="str">
        <f>_xll.BQL("CRM US Equity", "CAPITALIZED_SOFTWARE/1M", "FPR=2022Y", "FPT=A", "FA_ACT_EST_DATA=E, EST_SOURCE=SNR", "ACT_EST_MAPPING=PRECISE", "FS=MRC", "CURRENCY=USD", "XLFILL=b")</f>
        <v/>
      </c>
      <c r="O124" s="9" t="str">
        <f>_xll.BQL("CRM US Equity", "CAPITALIZED_SOFTWARE/1M", "FPR=2022Y", "FPT=A", "FA_ACT_EST_DATA=E, EST_SOURCE=MSV", "ACT_EST_MAPPING=PRECISE", "FS=MRC", "CURRENCY=USD", "XLFILL=b")</f>
        <v/>
      </c>
      <c r="P124" s="9" t="str">
        <f>_xll.BQL("CRM US Equity", "CAPITALIZED_SOFTWARE/1M", "FPR=2022Y", "FPT=A", "FA_ACT_EST_DATA=E, EST_SOURCE=DBG", "ACT_EST_MAPPING=PRECISE", "FS=MRC", "CURRENCY=USD", "XLFILL=b")</f>
        <v/>
      </c>
      <c r="Q124" s="9" t="str">
        <f>_xll.BQL("CRM US Equity", "CAPITALIZED_SOFTWARE/1M", "FPR=2022Y", "FPT=A", "FA_ACT_EST_DATA=E, EST_SOURCE=NDH", "ACT_EST_MAPPING=PRECISE", "FS=MRC", "CURRENCY=USD", "XLFILL=b")</f>
        <v/>
      </c>
      <c r="R124" s="9" t="str">
        <f>_xll.BQL("CRM US Equity", "CAPITALIZED_SOFTWARE/1M", "FPR=2022Y", "FPT=A", "FA_ACT_EST_DATA=E, EST_SOURCE=CAN", "ACT_EST_MAPPING=PRECISE", "FS=MRC", "CURRENCY=USD", "XLFILL=b")</f>
        <v/>
      </c>
      <c r="S124" s="9" t="str">
        <f>_xll.BQL("CRM US Equity", "CAPITALIZED_SOFTWARE/1M", "FPR=2022Y", "FPT=A", "FA_ACT_EST_DATA=E, EST_SOURCE=SCB", "ACT_EST_MAPPING=PRECISE", "FS=MRC", "CURRENCY=USD", "XLFILL=b")</f>
        <v/>
      </c>
      <c r="T124" s="9" t="str">
        <f>_xll.BQL("CRM US Equity", "CAPITALIZED_SOFTWARE/1M", "FPR=2022Y", "FPT=A", "FA_ACT_EST_DATA=E, EST_SOURCE=JMP", "ACT_EST_MAPPING=PRECISE", "FS=MRC", "CURRENCY=USD", "XLFILL=b")</f>
        <v/>
      </c>
      <c r="U124" s="9" t="str">
        <f>_xll.BQL("CRM US Equity", "CAPITALIZED_SOFTWARE/1M", "FPR=2022Y", "FPT=A", "FA_ACT_EST_DATA=E, EST_SOURCE=RJA", "ACT_EST_MAPPING=PRECISE", "FS=MRC", "CURRENCY=USD", "XLFILL=b")</f>
        <v/>
      </c>
      <c r="V124" s="9" t="str">
        <f>_xll.BQL("CRM US Equity", "CAPITALIZED_SOFTWARE/1M", "FPR=2022Y", "FPT=A", "FA_ACT_EST_DATA=E, EST_SOURCE=OPY", "ACT_EST_MAPPING=PRECISE", "FS=MRC", "CURRENCY=USD", "XLFILL=b")</f>
        <v/>
      </c>
      <c r="W124" s="9" t="str">
        <f>_xll.BQL("CRM US Equity", "CAPITALIZED_SOFTWARE/1M", "FPR=2022Y", "FPT=A", "FA_ACT_EST_DATA=E, EST_SOURCE=JPM", "ACT_EST_MAPPING=PRECISE", "FS=MRC", "CURRENCY=USD", "XLFILL=b")</f>
        <v/>
      </c>
      <c r="X124" s="9" t="str">
        <f>_xll.BQL("CRM US Equity", "CAPITALIZED_SOFTWARE/1M", "FPR=2022Y", "FPT=A", "FA_ACT_EST_DATA=E, EST_SOURCE=FBC", "ACT_EST_MAPPING=PRECISE", "FS=MRC", "CURRENCY=USD", "XLFILL=b")</f>
        <v/>
      </c>
      <c r="Y124" s="9" t="str">
        <f>_xll.BQL("CRM US Equity", "CAPITALIZED_SOFTWARE/1M", "FPR=2022Y", "FPT=A", "FA_ACT_EST_DATA=E, EST_SOURCE=WMS", "ACT_EST_MAPPING=PRECISE", "FS=MRC", "CURRENCY=USD", "XLFILL=b")</f>
        <v/>
      </c>
      <c r="Z124" s="9">
        <f>_xll.BQL("CRM US Equity", "CAPITALIZED_SOFTWARE/1M", "FPR=2022Y", "FPT=A", "FA_ACT_EST_DATA=E, EST_SOURCE=KEY", "ACT_EST_MAPPING=PRECISE", "FS=MRC", "CURRENCY=USD", "XLFILL=b")</f>
        <v>2794</v>
      </c>
      <c r="AA124" s="9" t="str">
        <f>_xll.BQL("CRM US Equity", "CAPITALIZED_SOFTWARE/1M", "FPR=2022Y", "FPT=A", "FA_ACT_EST_DATA=E, EST_SOURCE=LCM", "ACT_EST_MAPPING=PRECISE", "FS=MRC", "CURRENCY=USD", "XLFILL=b")</f>
        <v/>
      </c>
      <c r="AB124" s="9" t="str">
        <f>_xll.BQL("CRM US Equity", "CAPITALIZED_SOFTWARE/1M", "FPR=2022Y", "FPT=A", "FA_ACT_EST_DATA=E, EST_SOURCE=CWN", "ACT_EST_MAPPING=PRECISE", "FS=MRC", "CURRENCY=USD", "XLFILL=b")</f>
        <v/>
      </c>
      <c r="AC124" s="9" t="str">
        <f>_xll.BQL("CRM US Equity", "CAPITALIZED_SOFTWARE/1M", "FPR=2022Y", "FPT=A", "FA_ACT_EST_DATA=E, EST_SOURCE=BNS", "ACT_EST_MAPPING=PRECISE", "FS=MRC", "CURRENCY=USD", "XLFILL=b")</f>
        <v/>
      </c>
      <c r="AD124" s="9" t="str">
        <f>_xll.BQL("CRM US Equity", "CAPITALIZED_SOFTWARE/1M", "FPR=2022Y", "FPT=A", "FA_ACT_EST_DATA=E, EST_SOURCE=BAM", "ACT_EST_MAPPING=PRECISE", "FS=MRC", "CURRENCY=USD", "XLFILL=b")</f>
        <v/>
      </c>
      <c r="AE124" s="9" t="str">
        <f>_xll.BQL("CRM US Equity", "CAPITALIZED_SOFTWARE/1M", "FPR=2022Y", "FPT=A", "FA_ACT_EST_DATA=E, EST_SOURCE=RBC", "ACT_EST_MAPPING=PRECISE", "FS=MRC", "CURRENCY=USD", "XLFILL=b")</f>
        <v/>
      </c>
      <c r="AF124" s="9" t="str">
        <f>_xll.BQL("CRM US Equity", "CAPITALIZED_SOFTWARE/1M", "FPR=2022Y", "FPT=A", "FA_ACT_EST_DATA=E, EST_SOURCE=UBS", "ACT_EST_MAPPING=PRECISE", "FS=MRC", "CURRENCY=USD", "XLFILL=b")</f>
        <v/>
      </c>
      <c r="AG124" s="9" t="str">
        <f>_xll.BQL("CRM US Equity", "CAPITALIZED_SOFTWARE/1M", "FPR=2022Y", "FPT=A", "FA_ACT_EST_DATA=E, EST_SOURCE=RHR", "ACT_EST_MAPPING=PRECISE", "FS=MRC", "CURRENCY=USD", "XLFILL=b")</f>
        <v/>
      </c>
      <c r="AH124" s="9" t="str">
        <f>_xll.BQL("CRM US Equity", "CAPITALIZED_SOFTWARE/1M", "FPR=2022Y", "FPT=A", "FA_ACT_EST_DATA=E, EST_SOURCE=JEF", "ACT_EST_MAPPING=PRECISE", "FS=MRC", "CURRENCY=USD", "XLFILL=b")</f>
        <v/>
      </c>
      <c r="AI124" s="9" t="str">
        <f>_xll.BQL("CRM US Equity", "CAPITALIZED_SOFTWARE/1M", "FPR=2022Y", "FPT=A", "FA_ACT_EST_DATA=E, EST_SOURCE=ATL", "ACT_EST_MAPPING=PRECISE", "FS=MRC", "CURRENCY=USD", "XLFILL=b")</f>
        <v/>
      </c>
      <c r="AJ124" s="9" t="str">
        <f>_xll.BQL("CRM US Equity", "CAPITALIZED_SOFTWARE/1M", "FPR=2022Y", "FPT=A", "FA_ACT_EST_DATA=E, EST_SOURCE=MAC", "ACT_EST_MAPPING=PRECISE", "FS=MRC", "CURRENCY=USD", "XLFILL=b")</f>
        <v/>
      </c>
      <c r="AK124" s="9" t="str">
        <f>_xll.BQL("CRM US Equity", "CAPITALIZED_SOFTWARE/1M", "FPR=2022Y", "FPT=A", "FA_ACT_EST_DATA=E, EST_SOURCE=EVR", "ACT_EST_MAPPING=PRECISE", "FS=MRC", "CURRENCY=USD", "XLFILL=b")</f>
        <v/>
      </c>
      <c r="AL124" s="9" t="str">
        <f>_xll.BQL("CRM US Equity", "CAPITALIZED_SOFTWARE/1M", "FPR=2022Y", "FPT=A", "FA_ACT_EST_DATA=E, EST_SOURCE=MSR", "ACT_EST_MAPPING=PRECISE", "FS=MRC", "CURRENCY=USD", "XLFILL=b")</f>
        <v/>
      </c>
      <c r="AM124" s="9" t="str">
        <f>_xll.BQL("CRM US Equity", "CAPITALIZED_SOFTWARE/1M", "FPR=2022Y", "FPT=A", "FA_ACT_EST_DATA=E, EST_SOURCE=KGI", "ACT_EST_MAPPING=PRECISE", "FS=MRC", "CURRENCY=USD", "XLFILL=b")</f>
        <v/>
      </c>
      <c r="AN124" s="9" t="str">
        <f>_xll.BQL("CRM US Equity", "CAPITALIZED_SOFTWARE/1M", "FPR=2022Y", "FPT=A", "FA_ACT_EST_DATA=E, EST_SOURCE=ACC", "ACT_EST_MAPPING=PRECISE", "FS=MRC", "CURRENCY=USD", "XLFILL=b")</f>
        <v/>
      </c>
      <c r="AO124" s="9" t="str">
        <f>_xll.BQL("CRM US Equity", "CAPITALIZED_SOFTWARE/1M", "FPR=2022Y", "FPT=A", "FA_ACT_EST_DATA=E, EST_SOURCE=GSR", "ACT_EST_MAPPING=PRECISE", "FS=MRC", "CURRENCY=USD", "XLFILL=b")</f>
        <v/>
      </c>
      <c r="AP124" s="9" t="str">
        <f>_xll.BQL("CRM US Equity", "CAPITALIZED_SOFTWARE/1M", "FPR=2022Y", "FPT=A", "FA_ACT_EST_DATA=E, EST_SOURCE=PSG", "ACT_EST_MAPPING=PRECISE", "FS=MRC", "CURRENCY=USD", "XLFILL=b")</f>
        <v/>
      </c>
      <c r="AQ124" s="9" t="str">
        <f>_xll.BQL("CRM US Equity", "CAPITALIZED_SOFTWARE/1M", "FPR=2022Y", "FPT=A", "FA_ACT_EST_DATA=E, EST_SOURCE=DWI", "ACT_EST_MAPPING=PRECISE", "FS=MRC", "CURRENCY=USD", "XLFILL=b")</f>
        <v/>
      </c>
      <c r="AR124" s="9" t="str">
        <f>_xll.BQL("CRM US Equity", "CAPITALIZED_SOFTWARE/1M", "FPR=2022Y", "FPT=A", "FA_ACT_EST_DATA=E, EST_SOURCE=RWB", "ACT_EST_MAPPING=PRECISE", "FS=MRC", "CURRENCY=USD", "XLFILL=b")</f>
        <v/>
      </c>
      <c r="AS124" s="9" t="str">
        <f>_xll.BQL("CRM US Equity", "CAPITALIZED_SOFTWARE/1M", "FPR=2022Y", "FPT=A", "FA_ACT_EST_DATA=E, EST_SOURCE=ARG", "ACT_EST_MAPPING=PRECISE", "FS=MRC", "CURRENCY=USD", "XLFILL=b")</f>
        <v/>
      </c>
      <c r="AT124" s="9" t="str">
        <f>_xll.BQL("CRM US Equity", "CAPITALIZED_SOFTWARE/1M", "FPR=2022Y", "FPT=A", "FA_ACT_EST_DATA=E, EST_SOURCE=CTI", "ACT_EST_MAPPING=PRECISE", "FS=MRC", "CURRENCY=USD", "XLFILL=b")</f>
        <v/>
      </c>
      <c r="AU124" s="9" t="str">
        <f>_xll.BQL("CRM US Equity", "CAPITALIZED_SOFTWARE/1M", "FPR=2022Y", "FPT=A", "FA_ACT_EST_DATA=E, EST_SOURCE=WFT", "ACT_EST_MAPPING=PRECISE", "FS=MRC", "CURRENCY=USD", "XLFILL=b")</f>
        <v/>
      </c>
      <c r="AV124" s="9" t="str">
        <f>_xll.BQL("CRM US Equity", "CAPITALIZED_SOFTWARE/1M", "FPR=2022Y", "FPT=A", "FA_ACT_EST_DATA=E, EST_SOURCE=PJE", "ACT_EST_MAPPING=PRECISE", "FS=MRC", "CURRENCY=USD", "XLFILL=b")</f>
        <v/>
      </c>
      <c r="AW124" s="9" t="str">
        <f>_xll.BQL("CRM US Equity", "CAPITALIZED_SOFTWARE/1M", "FPR=2022Y", "FPT=A", "FA_ACT_EST_DATA=E, EST_SOURCE=SGE", "ACT_EST_MAPPING=PRECISE", "FS=MRC", "CURRENCY=USD", "XLFILL=b")</f>
        <v/>
      </c>
      <c r="AX124" s="9" t="str">
        <f>_xll.BQL("CRM US Equity", "CAPITALIZED_SOFTWARE/1M", "FPR=2022Y", "FPT=A", "FA_ACT_EST_DATA=E, EST_SOURCE=MZS", "ACT_EST_MAPPING=PRECISE", "FS=MRC", "CURRENCY=USD", "XLFILL=b")</f>
        <v/>
      </c>
      <c r="AY124" s="9" t="str">
        <f>_xll.BQL("CRM US Equity", "CAPITALIZED_SOFTWARE/1M", "FPR=2022Y", "FPT=A", "FA_ACT_EST_DATA=E, EST_SOURCE=RCP", "ACT_EST_MAPPING=PRECISE", "FS=MRC", "CURRENCY=USD", "XLFILL=b")</f>
        <v/>
      </c>
      <c r="AZ124" s="9" t="str">
        <f>_xll.BQL("CRM US Equity", "CAPITALIZED_SOFTWARE/1M", "FPR=2022Y", "FPT=A", "FA_ACT_EST_DATA=E, EST_SOURCE=WFR", "ACT_EST_MAPPING=PRECISE", "FS=MRC", "CURRENCY=USD", "XLFILL=b")</f>
        <v/>
      </c>
      <c r="BA124" s="9" t="str">
        <f>_xll.BQL("CRM US Equity", "CAPITALIZED_SOFTWARE/1M", "FPR=2022Y", "FPT=A", "FA_ACT_EST_DATA=E, EST_SOURCE=NIK", "ACT_EST_MAPPING=PRECISE", "FS=MRC", "CURRENCY=USD", "XLFILL=b")</f>
        <v/>
      </c>
      <c r="BB124" s="9" t="str">
        <f>_xll.BQL("CRM US Equity", "CAPITALIZED_SOFTWARE/1M", "FPR=2022Y", "FPT=A", "FA_ACT_EST_DATA=E, EST_SOURCE=ARE", "ACT_EST_MAPPING=PRECISE", "FS=MRC", "CURRENCY=USD", "XLFILL=b")</f>
        <v/>
      </c>
      <c r="BC124" s="9" t="str">
        <f>_xll.BQL("CRM US Equity", "CAPITALIZED_SOFTWARE/1M", "FPR=2022Y", "FPT=A", "FA_ACT_EST_DATA=E, EST_SOURCE=RED", "ACT_EST_MAPPING=PRECISE", "FS=MRC", "CURRENCY=USD", "XLFILL=b")</f>
        <v/>
      </c>
      <c r="BD124" s="9" t="str">
        <f>_xll.BQL("CRM US Equity", "CAPITALIZED_SOFTWARE/1M", "FPR=2022Y", "FPT=A", "FA_ACT_EST_DATA=E, EST_SOURCE=DIR", "ACT_EST_MAPPING=PRECISE", "FS=MRC", "CURRENCY=USD", "XLFILL=b")</f>
        <v/>
      </c>
    </row>
    <row r="125" spans="1:56" x14ac:dyDescent="0.55000000000000004">
      <c r="A125" s="8" t="s">
        <v>231</v>
      </c>
      <c r="B125" s="5" t="s">
        <v>232</v>
      </c>
      <c r="C125" s="5" t="s">
        <v>233</v>
      </c>
      <c r="D125" s="5"/>
      <c r="E125" s="9">
        <f>_xll.BQL("CRM US Equity", "BS_TOT_ASSET/1M", "FPR=2022Y", "FPT=A", "FA_ACT_EST_DATA=E", "ACT_EST_MAPPING=PRECISE", "FS=MRC", "CURRENCY=USD", "XLFILL=b")</f>
        <v>93097.638062725164</v>
      </c>
      <c r="F125" s="9">
        <f>_xll.BQL("CRM US Equity", "CONTRIBUTOR_STATS(BS_TOT_ASSET, MIN)/1M", "FPR=2022Y", "FPT=A", "FA_ACT_EST_DATA=E", "ACT_EST_MAPPING=PRECISE", "FS=MRC", "CURRENCY=USD", "XLFILL=b")</f>
        <v>78968.636644094731</v>
      </c>
      <c r="G125" s="9">
        <f>_xll.BQL("CRM US Equity", "CONTRIBUTOR_STATS(BS_TOT_ASSET, MAX)/1M", "FPR=2022Y", "FPT=A", "FA_ACT_EST_DATA=E", "ACT_EST_MAPPING=PRECISE", "FS=MRC", "CURRENCY=USD", "XLFILL=b")</f>
        <v>96343.390770271333</v>
      </c>
      <c r="H125" s="9">
        <f>_xll.BQL("CRM US Equity", "CONTRIBUTOR_STATS(BS_TOT_ASSET, STD)/1M", "FPR=2022Y", "FPT=A", "FA_ACT_EST_DATA=E", "ACT_EST_MAPPING=PRECISE", "FS=MRC", "CURRENCY=USD", "XLFILL=b")</f>
        <v>4692.4002048577076</v>
      </c>
      <c r="I125" s="9">
        <f>_xll.BQL("CRM US Equity", "CONTRIBUTOR_STATS(BS_TOT_ASSET, MEDIAN)/1M", "FPR=2022Y", "FPT=A", "FA_ACT_EST_DATA=E", "ACT_EST_MAPPING=PRECISE", "FS=MRC", "CURRENCY=USD", "XLFILL=b")</f>
        <v>94587.032565434391</v>
      </c>
      <c r="J125" s="9" t="str">
        <f>_xll.BQL("CRM US Equity", "BS_TOT_ASSET/1M", "FPR=2022Y", "FPT=A", "FA_ACT_EST_DATA=E, EST_SOURCE=CMPY", "ACT_EST_MAPPING=PRECISE", "FS=MRC", "CURRENCY=USD", "XLFILL=b")</f>
        <v/>
      </c>
      <c r="K125" s="9" t="str">
        <f>_xll.BQL("CRM US Equity", "BS_TOT_ASSET/1M", "FPR=2022Y", "FPT=A", "FA_ACT_EST_DATA=E, EST_SOURCE=WBL", "ACT_EST_MAPPING=PRECISE", "FS=MRC", "CURRENCY=USD", "XLFILL=b")</f>
        <v/>
      </c>
      <c r="L125" s="9" t="str">
        <f>_xll.BQL("CRM US Equity", "BS_TOT_ASSET/1M", "FPR=2022Y", "FPT=A", "FA_ACT_EST_DATA=E, EST_SOURCE=BMO", "ACT_EST_MAPPING=PRECISE", "FS=MRC", "CURRENCY=USD", "XLFILL=b")</f>
        <v/>
      </c>
      <c r="M125" s="9">
        <f>_xll.BQL("CRM US Equity", "BS_TOT_ASSET/1M", "FPR=2022Y", "FPT=A", "FA_ACT_EST_DATA=E, EST_SOURCE=BCA", "ACT_EST_MAPPING=PRECISE", "FS=MRC", "CURRENCY=USD", "XLFILL=b")</f>
        <v>94760.387676176368</v>
      </c>
      <c r="N125" s="9" t="str">
        <f>_xll.BQL("CRM US Equity", "BS_TOT_ASSET/1M", "FPR=2022Y", "FPT=A", "FA_ACT_EST_DATA=E, EST_SOURCE=SNR", "ACT_EST_MAPPING=PRECISE", "FS=MRC", "CURRENCY=USD", "XLFILL=b")</f>
        <v/>
      </c>
      <c r="O125" s="9">
        <f>_xll.BQL("CRM US Equity", "BS_TOT_ASSET/1M", "FPR=2022Y", "FPT=A", "FA_ACT_EST_DATA=E, EST_SOURCE=MSV", "ACT_EST_MAPPING=PRECISE", "FS=MRC", "CURRENCY=USD", "XLFILL=b")</f>
        <v>90188.902489366752</v>
      </c>
      <c r="P125" s="9">
        <f>_xll.BQL("CRM US Equity", "BS_TOT_ASSET/1M", "FPR=2022Y", "FPT=A", "FA_ACT_EST_DATA=E, EST_SOURCE=DBG", "ACT_EST_MAPPING=PRECISE", "FS=MRC", "CURRENCY=USD", "XLFILL=b")</f>
        <v>94101.39876649894</v>
      </c>
      <c r="Q125" s="9">
        <f>_xll.BQL("CRM US Equity", "BS_TOT_ASSET/1M", "FPR=2022Y", "FPT=A", "FA_ACT_EST_DATA=E, EST_SOURCE=NDH", "ACT_EST_MAPPING=PRECISE", "FS=MRC", "CURRENCY=USD", "XLFILL=b")</f>
        <v>95568.807149999993</v>
      </c>
      <c r="R125" s="9" t="str">
        <f>_xll.BQL("CRM US Equity", "BS_TOT_ASSET/1M", "FPR=2022Y", "FPT=A", "FA_ACT_EST_DATA=E, EST_SOURCE=CAN", "ACT_EST_MAPPING=PRECISE", "FS=MRC", "CURRENCY=USD", "XLFILL=b")</f>
        <v/>
      </c>
      <c r="S125" s="9" t="str">
        <f>_xll.BQL("CRM US Equity", "BS_TOT_ASSET/1M", "FPR=2022Y", "FPT=A", "FA_ACT_EST_DATA=E, EST_SOURCE=SCB", "ACT_EST_MAPPING=PRECISE", "FS=MRC", "CURRENCY=USD", "XLFILL=b")</f>
        <v/>
      </c>
      <c r="T125" s="9" t="str">
        <f>_xll.BQL("CRM US Equity", "BS_TOT_ASSET/1M", "FPR=2022Y", "FPT=A", "FA_ACT_EST_DATA=E, EST_SOURCE=JMP", "ACT_EST_MAPPING=PRECISE", "FS=MRC", "CURRENCY=USD", "XLFILL=b")</f>
        <v/>
      </c>
      <c r="U125" s="9" t="str">
        <f>_xll.BQL("CRM US Equity", "BS_TOT_ASSET/1M", "FPR=2022Y", "FPT=A", "FA_ACT_EST_DATA=E, EST_SOURCE=RJA", "ACT_EST_MAPPING=PRECISE", "FS=MRC", "CURRENCY=USD", "XLFILL=b")</f>
        <v/>
      </c>
      <c r="V125" s="9" t="str">
        <f>_xll.BQL("CRM US Equity", "BS_TOT_ASSET/1M", "FPR=2022Y", "FPT=A", "FA_ACT_EST_DATA=E, EST_SOURCE=OPY", "ACT_EST_MAPPING=PRECISE", "FS=MRC", "CURRENCY=USD", "XLFILL=b")</f>
        <v/>
      </c>
      <c r="W125" s="9" t="str">
        <f>_xll.BQL("CRM US Equity", "BS_TOT_ASSET/1M", "FPR=2022Y", "FPT=A", "FA_ACT_EST_DATA=E, EST_SOURCE=JPM", "ACT_EST_MAPPING=PRECISE", "FS=MRC", "CURRENCY=USD", "XLFILL=b")</f>
        <v/>
      </c>
      <c r="X125" s="9">
        <f>_xll.BQL("CRM US Equity", "BS_TOT_ASSET/1M", "FPR=2022Y", "FPT=A", "FA_ACT_EST_DATA=E, EST_SOURCE=FBC", "ACT_EST_MAPPING=PRECISE", "FS=MRC", "CURRENCY=USD", "XLFILL=b")</f>
        <v>94256.986543933104</v>
      </c>
      <c r="Y125" s="9" t="str">
        <f>_xll.BQL("CRM US Equity", "BS_TOT_ASSET/1M", "FPR=2022Y", "FPT=A", "FA_ACT_EST_DATA=E, EST_SOURCE=WMS", "ACT_EST_MAPPING=PRECISE", "FS=MRC", "CURRENCY=USD", "XLFILL=b")</f>
        <v/>
      </c>
      <c r="Z125" s="9">
        <f>_xll.BQL("CRM US Equity", "BS_TOT_ASSET/1M", "FPR=2022Y", "FPT=A", "FA_ACT_EST_DATA=E, EST_SOURCE=KEY", "ACT_EST_MAPPING=PRECISE", "FS=MRC", "CURRENCY=USD", "XLFILL=b")</f>
        <v>98269.030339895718</v>
      </c>
      <c r="AA125" s="9" t="str">
        <f>_xll.BQL("CRM US Equity", "BS_TOT_ASSET/1M", "FPR=2022Y", "FPT=A", "FA_ACT_EST_DATA=E, EST_SOURCE=LCM", "ACT_EST_MAPPING=PRECISE", "FS=MRC", "CURRENCY=USD", "XLFILL=b")</f>
        <v/>
      </c>
      <c r="AB125" s="9" t="str">
        <f>_xll.BQL("CRM US Equity", "BS_TOT_ASSET/1M", "FPR=2022Y", "FPT=A", "FA_ACT_EST_DATA=E, EST_SOURCE=CWN", "ACT_EST_MAPPING=PRECISE", "FS=MRC", "CURRENCY=USD", "XLFILL=b")</f>
        <v/>
      </c>
      <c r="AC125" s="9" t="str">
        <f>_xll.BQL("CRM US Equity", "BS_TOT_ASSET/1M", "FPR=2022Y", "FPT=A", "FA_ACT_EST_DATA=E, EST_SOURCE=BNS", "ACT_EST_MAPPING=PRECISE", "FS=MRC", "CURRENCY=USD", "XLFILL=b")</f>
        <v/>
      </c>
      <c r="AD125" s="9" t="str">
        <f>_xll.BQL("CRM US Equity", "BS_TOT_ASSET/1M", "FPR=2022Y", "FPT=A", "FA_ACT_EST_DATA=E, EST_SOURCE=BAM", "ACT_EST_MAPPING=PRECISE", "FS=MRC", "CURRENCY=USD", "XLFILL=b")</f>
        <v/>
      </c>
      <c r="AE125" s="9" t="str">
        <f>_xll.BQL("CRM US Equity", "BS_TOT_ASSET/1M", "FPR=2022Y", "FPT=A", "FA_ACT_EST_DATA=E, EST_SOURCE=RBC", "ACT_EST_MAPPING=PRECISE", "FS=MRC", "CURRENCY=USD", "XLFILL=b")</f>
        <v/>
      </c>
      <c r="AF125" s="9" t="str">
        <f>_xll.BQL("CRM US Equity", "BS_TOT_ASSET/1M", "FPR=2022Y", "FPT=A", "FA_ACT_EST_DATA=E, EST_SOURCE=UBS", "ACT_EST_MAPPING=PRECISE", "FS=MRC", "CURRENCY=USD", "XLFILL=b")</f>
        <v/>
      </c>
      <c r="AG125" s="9" t="str">
        <f>_xll.BQL("CRM US Equity", "BS_TOT_ASSET/1M", "FPR=2022Y", "FPT=A", "FA_ACT_EST_DATA=E, EST_SOURCE=RHR", "ACT_EST_MAPPING=PRECISE", "FS=MRC", "CURRENCY=USD", "XLFILL=b")</f>
        <v/>
      </c>
      <c r="AH125" s="9" t="str">
        <f>_xll.BQL("CRM US Equity", "BS_TOT_ASSET/1M", "FPR=2022Y", "FPT=A", "FA_ACT_EST_DATA=E, EST_SOURCE=JEF", "ACT_EST_MAPPING=PRECISE", "FS=MRC", "CURRENCY=USD", "XLFILL=b")</f>
        <v/>
      </c>
      <c r="AI125" s="9" t="str">
        <f>_xll.BQL("CRM US Equity", "BS_TOT_ASSET/1M", "FPR=2022Y", "FPT=A", "FA_ACT_EST_DATA=E, EST_SOURCE=ATL", "ACT_EST_MAPPING=PRECISE", "FS=MRC", "CURRENCY=USD", "XLFILL=b")</f>
        <v/>
      </c>
      <c r="AJ125" s="9" t="str">
        <f>_xll.BQL("CRM US Equity", "BS_TOT_ASSET/1M", "FPR=2022Y", "FPT=A", "FA_ACT_EST_DATA=E, EST_SOURCE=MAC", "ACT_EST_MAPPING=PRECISE", "FS=MRC", "CURRENCY=USD", "XLFILL=b")</f>
        <v/>
      </c>
      <c r="AK125" s="9" t="str">
        <f>_xll.BQL("CRM US Equity", "BS_TOT_ASSET/1M", "FPR=2022Y", "FPT=A", "FA_ACT_EST_DATA=E, EST_SOURCE=EVR", "ACT_EST_MAPPING=PRECISE", "FS=MRC", "CURRENCY=USD", "XLFILL=b")</f>
        <v/>
      </c>
      <c r="AL125" s="9" t="str">
        <f>_xll.BQL("CRM US Equity", "BS_TOT_ASSET/1M", "FPR=2022Y", "FPT=A", "FA_ACT_EST_DATA=E, EST_SOURCE=MSR", "ACT_EST_MAPPING=PRECISE", "FS=MRC", "CURRENCY=USD", "XLFILL=b")</f>
        <v/>
      </c>
      <c r="AM125" s="9" t="str">
        <f>_xll.BQL("CRM US Equity", "BS_TOT_ASSET/1M", "FPR=2022Y", "FPT=A", "FA_ACT_EST_DATA=E, EST_SOURCE=KGI", "ACT_EST_MAPPING=PRECISE", "FS=MRC", "CURRENCY=USD", "XLFILL=b")</f>
        <v/>
      </c>
      <c r="AN125" s="9" t="str">
        <f>_xll.BQL("CRM US Equity", "BS_TOT_ASSET/1M", "FPR=2022Y", "FPT=A", "FA_ACT_EST_DATA=E, EST_SOURCE=ACC", "ACT_EST_MAPPING=PRECISE", "FS=MRC", "CURRENCY=USD", "XLFILL=b")</f>
        <v/>
      </c>
      <c r="AO125" s="9" t="str">
        <f>_xll.BQL("CRM US Equity", "BS_TOT_ASSET/1M", "FPR=2022Y", "FPT=A", "FA_ACT_EST_DATA=E, EST_SOURCE=GSR", "ACT_EST_MAPPING=PRECISE", "FS=MRC", "CURRENCY=USD", "XLFILL=b")</f>
        <v/>
      </c>
      <c r="AP125" s="9" t="str">
        <f>_xll.BQL("CRM US Equity", "BS_TOT_ASSET/1M", "FPR=2022Y", "FPT=A", "FA_ACT_EST_DATA=E, EST_SOURCE=PSG", "ACT_EST_MAPPING=PRECISE", "FS=MRC", "CURRENCY=USD", "XLFILL=b")</f>
        <v/>
      </c>
      <c r="AQ125" s="9" t="str">
        <f>_xll.BQL("CRM US Equity", "BS_TOT_ASSET/1M", "FPR=2022Y", "FPT=A", "FA_ACT_EST_DATA=E, EST_SOURCE=DWI", "ACT_EST_MAPPING=PRECISE", "FS=MRC", "CURRENCY=USD", "XLFILL=b")</f>
        <v/>
      </c>
      <c r="AR125" s="9" t="str">
        <f>_xll.BQL("CRM US Equity", "BS_TOT_ASSET/1M", "FPR=2022Y", "FPT=A", "FA_ACT_EST_DATA=E, EST_SOURCE=RWB", "ACT_EST_MAPPING=PRECISE", "FS=MRC", "CURRENCY=USD", "XLFILL=b")</f>
        <v/>
      </c>
      <c r="AS125" s="9" t="str">
        <f>_xll.BQL("CRM US Equity", "BS_TOT_ASSET/1M", "FPR=2022Y", "FPT=A", "FA_ACT_EST_DATA=E, EST_SOURCE=ARG", "ACT_EST_MAPPING=PRECISE", "FS=MRC", "CURRENCY=USD", "XLFILL=b")</f>
        <v/>
      </c>
      <c r="AT125" s="9" t="str">
        <f>_xll.BQL("CRM US Equity", "BS_TOT_ASSET/1M", "FPR=2022Y", "FPT=A", "FA_ACT_EST_DATA=E, EST_SOURCE=CTI", "ACT_EST_MAPPING=PRECISE", "FS=MRC", "CURRENCY=USD", "XLFILL=b")</f>
        <v/>
      </c>
      <c r="AU125" s="9" t="str">
        <f>_xll.BQL("CRM US Equity", "BS_TOT_ASSET/1M", "FPR=2022Y", "FPT=A", "FA_ACT_EST_DATA=E, EST_SOURCE=WFT", "ACT_EST_MAPPING=PRECISE", "FS=MRC", "CURRENCY=USD", "XLFILL=b")</f>
        <v/>
      </c>
      <c r="AV125" s="9" t="str">
        <f>_xll.BQL("CRM US Equity", "BS_TOT_ASSET/1M", "FPR=2022Y", "FPT=A", "FA_ACT_EST_DATA=E, EST_SOURCE=PJE", "ACT_EST_MAPPING=PRECISE", "FS=MRC", "CURRENCY=USD", "XLFILL=b")</f>
        <v/>
      </c>
      <c r="AW125" s="9" t="str">
        <f>_xll.BQL("CRM US Equity", "BS_TOT_ASSET/1M", "FPR=2022Y", "FPT=A", "FA_ACT_EST_DATA=E, EST_SOURCE=SGE", "ACT_EST_MAPPING=PRECISE", "FS=MRC", "CURRENCY=USD", "XLFILL=b")</f>
        <v/>
      </c>
      <c r="AX125" s="9" t="str">
        <f>_xll.BQL("CRM US Equity", "BS_TOT_ASSET/1M", "FPR=2022Y", "FPT=A", "FA_ACT_EST_DATA=E, EST_SOURCE=MZS", "ACT_EST_MAPPING=PRECISE", "FS=MRC", "CURRENCY=USD", "XLFILL=b")</f>
        <v/>
      </c>
      <c r="AY125" s="9" t="str">
        <f>_xll.BQL("CRM US Equity", "BS_TOT_ASSET/1M", "FPR=2022Y", "FPT=A", "FA_ACT_EST_DATA=E, EST_SOURCE=RCP", "ACT_EST_MAPPING=PRECISE", "FS=MRC", "CURRENCY=USD", "XLFILL=b")</f>
        <v/>
      </c>
      <c r="AZ125" s="9" t="str">
        <f>_xll.BQL("CRM US Equity", "BS_TOT_ASSET/1M", "FPR=2022Y", "FPT=A", "FA_ACT_EST_DATA=E, EST_SOURCE=WFR", "ACT_EST_MAPPING=PRECISE", "FS=MRC", "CURRENCY=USD", "XLFILL=b")</f>
        <v/>
      </c>
      <c r="BA125" s="9" t="str">
        <f>_xll.BQL("CRM US Equity", "BS_TOT_ASSET/1M", "FPR=2022Y", "FPT=A", "FA_ACT_EST_DATA=E, EST_SOURCE=NIK", "ACT_EST_MAPPING=PRECISE", "FS=MRC", "CURRENCY=USD", "XLFILL=b")</f>
        <v/>
      </c>
      <c r="BB125" s="9" t="str">
        <f>_xll.BQL("CRM US Equity", "BS_TOT_ASSET/1M", "FPR=2022Y", "FPT=A", "FA_ACT_EST_DATA=E, EST_SOURCE=ARE", "ACT_EST_MAPPING=PRECISE", "FS=MRC", "CURRENCY=USD", "XLFILL=b")</f>
        <v/>
      </c>
      <c r="BC125" s="9" t="str">
        <f>_xll.BQL("CRM US Equity", "BS_TOT_ASSET/1M", "FPR=2022Y", "FPT=A", "FA_ACT_EST_DATA=E, EST_SOURCE=RED", "ACT_EST_MAPPING=PRECISE", "FS=MRC", "CURRENCY=USD", "XLFILL=b")</f>
        <v/>
      </c>
      <c r="BD125" s="9" t="str">
        <f>_xll.BQL("CRM US Equity", "BS_TOT_ASSET/1M", "FPR=2022Y", "FPT=A", "FA_ACT_EST_DATA=E, EST_SOURCE=DIR", "ACT_EST_MAPPING=PRECISE", "FS=MRC", "CURRENCY=USD", "XLFILL=b")</f>
        <v/>
      </c>
    </row>
    <row r="126" spans="1:56" x14ac:dyDescent="0.55000000000000004">
      <c r="A126" s="8" t="s">
        <v>26</v>
      </c>
      <c r="B126" s="5"/>
      <c r="C126" s="5"/>
      <c r="D126" s="5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</row>
    <row r="127" spans="1:56" x14ac:dyDescent="0.55000000000000004">
      <c r="A127" s="8" t="s">
        <v>234</v>
      </c>
      <c r="B127" s="5"/>
      <c r="C127" s="5" t="s">
        <v>235</v>
      </c>
      <c r="D127" s="5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</row>
    <row r="128" spans="1:56" x14ac:dyDescent="0.55000000000000004">
      <c r="A128" s="8" t="s">
        <v>236</v>
      </c>
      <c r="B128" s="5" t="s">
        <v>237</v>
      </c>
      <c r="C128" s="5" t="s">
        <v>238</v>
      </c>
      <c r="D128" s="5"/>
      <c r="E128" s="9">
        <f>_xll.BQL("CRM US Equity", "BS_CUR_LIAB/1M", "FPR=2022Y", "FPT=A", "FA_ACT_EST_DATA=E", "ACT_EST_MAPPING=PRECISE", "FS=MRC", "CURRENCY=USD", "XLFILL=b")</f>
        <v>21437.319495975862</v>
      </c>
      <c r="F128" s="9">
        <f>_xll.BQL("CRM US Equity", "CONTRIBUTOR_STATS(BS_CUR_LIAB, MIN)/1M", "FPR=2022Y", "FPT=A", "FA_ACT_EST_DATA=E", "ACT_EST_MAPPING=PRECISE", "FS=MRC", "CURRENCY=USD", "XLFILL=b")</f>
        <v>20664.333977453131</v>
      </c>
      <c r="G128" s="9">
        <f>_xll.BQL("CRM US Equity", "CONTRIBUTOR_STATS(BS_CUR_LIAB, MAX)/1M", "FPR=2022Y", "FPT=A", "FA_ACT_EST_DATA=E", "ACT_EST_MAPPING=PRECISE", "FS=MRC", "CURRENCY=USD", "XLFILL=b")</f>
        <v>22471.42724099481</v>
      </c>
      <c r="H128" s="9">
        <f>_xll.BQL("CRM US Equity", "CONTRIBUTOR_STATS(BS_CUR_LIAB, STD)/1M", "FPR=2022Y", "FPT=A", "FA_ACT_EST_DATA=E", "ACT_EST_MAPPING=PRECISE", "FS=MRC", "CURRENCY=USD", "XLFILL=b")</f>
        <v>575.08037470200952</v>
      </c>
      <c r="I128" s="9">
        <f>_xll.BQL("CRM US Equity", "CONTRIBUTOR_STATS(BS_CUR_LIAB, MEDIAN)/1M", "FPR=2022Y", "FPT=A", "FA_ACT_EST_DATA=E", "ACT_EST_MAPPING=PRECISE", "FS=MRC", "CURRENCY=USD", "XLFILL=b")</f>
        <v>21302.209761777081</v>
      </c>
      <c r="J128" s="9" t="str">
        <f>_xll.BQL("CRM US Equity", "BS_CUR_LIAB/1M", "FPR=2022Y", "FPT=A", "FA_ACT_EST_DATA=E, EST_SOURCE=CMPY", "ACT_EST_MAPPING=PRECISE", "FS=MRC", "CURRENCY=USD", "XLFILL=b")</f>
        <v/>
      </c>
      <c r="K128" s="9" t="str">
        <f>_xll.BQL("CRM US Equity", "BS_CUR_LIAB/1M", "FPR=2022Y", "FPT=A", "FA_ACT_EST_DATA=E, EST_SOURCE=WBL", "ACT_EST_MAPPING=PRECISE", "FS=MRC", "CURRENCY=USD", "XLFILL=b")</f>
        <v/>
      </c>
      <c r="L128" s="9" t="str">
        <f>_xll.BQL("CRM US Equity", "BS_CUR_LIAB/1M", "FPR=2022Y", "FPT=A", "FA_ACT_EST_DATA=E, EST_SOURCE=BMO", "ACT_EST_MAPPING=PRECISE", "FS=MRC", "CURRENCY=USD", "XLFILL=b")</f>
        <v/>
      </c>
      <c r="M128" s="9">
        <f>_xll.BQL("CRM US Equity", "BS_CUR_LIAB/1M", "FPR=2022Y", "FPT=A", "FA_ACT_EST_DATA=E, EST_SOURCE=BCA", "ACT_EST_MAPPING=PRECISE", "FS=MRC", "CURRENCY=USD", "XLFILL=b")</f>
        <v>21774.593764698118</v>
      </c>
      <c r="N128" s="9" t="str">
        <f>_xll.BQL("CRM US Equity", "BS_CUR_LIAB/1M", "FPR=2022Y", "FPT=A", "FA_ACT_EST_DATA=E, EST_SOURCE=SNR", "ACT_EST_MAPPING=PRECISE", "FS=MRC", "CURRENCY=USD", "XLFILL=b")</f>
        <v/>
      </c>
      <c r="O128" s="9">
        <f>_xll.BQL("CRM US Equity", "BS_CUR_LIAB/1M", "FPR=2022Y", "FPT=A", "FA_ACT_EST_DATA=E, EST_SOURCE=MSV", "ACT_EST_MAPPING=PRECISE", "FS=MRC", "CURRENCY=USD", "XLFILL=b")</f>
        <v>21376.30152355415</v>
      </c>
      <c r="P128" s="9">
        <f>_xll.BQL("CRM US Equity", "BS_CUR_LIAB/1M", "FPR=2022Y", "FPT=A", "FA_ACT_EST_DATA=E, EST_SOURCE=DBG", "ACT_EST_MAPPING=PRECISE", "FS=MRC", "CURRENCY=USD", "XLFILL=b")</f>
        <v>20930.93168293799</v>
      </c>
      <c r="Q128" s="9">
        <f>_xll.BQL("CRM US Equity", "BS_CUR_LIAB/1M", "FPR=2022Y", "FPT=A", "FA_ACT_EST_DATA=E, EST_SOURCE=NDH", "ACT_EST_MAPPING=PRECISE", "FS=MRC", "CURRENCY=USD", "XLFILL=b")</f>
        <v>22304.055499999999</v>
      </c>
      <c r="R128" s="9" t="str">
        <f>_xll.BQL("CRM US Equity", "BS_CUR_LIAB/1M", "FPR=2022Y", "FPT=A", "FA_ACT_EST_DATA=E, EST_SOURCE=CAN", "ACT_EST_MAPPING=PRECISE", "FS=MRC", "CURRENCY=USD", "XLFILL=b")</f>
        <v/>
      </c>
      <c r="S128" s="9" t="str">
        <f>_xll.BQL("CRM US Equity", "BS_CUR_LIAB/1M", "FPR=2022Y", "FPT=A", "FA_ACT_EST_DATA=E, EST_SOURCE=SCB", "ACT_EST_MAPPING=PRECISE", "FS=MRC", "CURRENCY=USD", "XLFILL=b")</f>
        <v/>
      </c>
      <c r="T128" s="9" t="str">
        <f>_xll.BQL("CRM US Equity", "BS_CUR_LIAB/1M", "FPR=2022Y", "FPT=A", "FA_ACT_EST_DATA=E, EST_SOURCE=JMP", "ACT_EST_MAPPING=PRECISE", "FS=MRC", "CURRENCY=USD", "XLFILL=b")</f>
        <v/>
      </c>
      <c r="U128" s="9" t="str">
        <f>_xll.BQL("CRM US Equity", "BS_CUR_LIAB/1M", "FPR=2022Y", "FPT=A", "FA_ACT_EST_DATA=E, EST_SOURCE=RJA", "ACT_EST_MAPPING=PRECISE", "FS=MRC", "CURRENCY=USD", "XLFILL=b")</f>
        <v/>
      </c>
      <c r="V128" s="9" t="str">
        <f>_xll.BQL("CRM US Equity", "BS_CUR_LIAB/1M", "FPR=2022Y", "FPT=A", "FA_ACT_EST_DATA=E, EST_SOURCE=OPY", "ACT_EST_MAPPING=PRECISE", "FS=MRC", "CURRENCY=USD", "XLFILL=b")</f>
        <v/>
      </c>
      <c r="W128" s="9" t="str">
        <f>_xll.BQL("CRM US Equity", "BS_CUR_LIAB/1M", "FPR=2022Y", "FPT=A", "FA_ACT_EST_DATA=E, EST_SOURCE=JPM", "ACT_EST_MAPPING=PRECISE", "FS=MRC", "CURRENCY=USD", "XLFILL=b")</f>
        <v/>
      </c>
      <c r="X128" s="9">
        <f>_xll.BQL("CRM US Equity", "BS_CUR_LIAB/1M", "FPR=2022Y", "FPT=A", "FA_ACT_EST_DATA=E, EST_SOURCE=FBC", "ACT_EST_MAPPING=PRECISE", "FS=MRC", "CURRENCY=USD", "XLFILL=b")</f>
        <v>21396.065096818969</v>
      </c>
      <c r="Y128" s="9" t="str">
        <f>_xll.BQL("CRM US Equity", "BS_CUR_LIAB/1M", "FPR=2022Y", "FPT=A", "FA_ACT_EST_DATA=E, EST_SOURCE=WMS", "ACT_EST_MAPPING=PRECISE", "FS=MRC", "CURRENCY=USD", "XLFILL=b")</f>
        <v/>
      </c>
      <c r="Z128" s="9">
        <f>_xll.BQL("CRM US Equity", "BS_CUR_LIAB/1M", "FPR=2022Y", "FPT=A", "FA_ACT_EST_DATA=E, EST_SOURCE=KEY", "ACT_EST_MAPPING=PRECISE", "FS=MRC", "CURRENCY=USD", "XLFILL=b")</f>
        <v>22507.299573993998</v>
      </c>
      <c r="AA128" s="9" t="str">
        <f>_xll.BQL("CRM US Equity", "BS_CUR_LIAB/1M", "FPR=2022Y", "FPT=A", "FA_ACT_EST_DATA=E, EST_SOURCE=LCM", "ACT_EST_MAPPING=PRECISE", "FS=MRC", "CURRENCY=USD", "XLFILL=b")</f>
        <v/>
      </c>
      <c r="AB128" s="9" t="str">
        <f>_xll.BQL("CRM US Equity", "BS_CUR_LIAB/1M", "FPR=2022Y", "FPT=A", "FA_ACT_EST_DATA=E, EST_SOURCE=CWN", "ACT_EST_MAPPING=PRECISE", "FS=MRC", "CURRENCY=USD", "XLFILL=b")</f>
        <v/>
      </c>
      <c r="AC128" s="9" t="str">
        <f>_xll.BQL("CRM US Equity", "BS_CUR_LIAB/1M", "FPR=2022Y", "FPT=A", "FA_ACT_EST_DATA=E, EST_SOURCE=BNS", "ACT_EST_MAPPING=PRECISE", "FS=MRC", "CURRENCY=USD", "XLFILL=b")</f>
        <v/>
      </c>
      <c r="AD128" s="9" t="str">
        <f>_xll.BQL("CRM US Equity", "BS_CUR_LIAB/1M", "FPR=2022Y", "FPT=A", "FA_ACT_EST_DATA=E, EST_SOURCE=BAM", "ACT_EST_MAPPING=PRECISE", "FS=MRC", "CURRENCY=USD", "XLFILL=b")</f>
        <v/>
      </c>
      <c r="AE128" s="9" t="str">
        <f>_xll.BQL("CRM US Equity", "BS_CUR_LIAB/1M", "FPR=2022Y", "FPT=A", "FA_ACT_EST_DATA=E, EST_SOURCE=RBC", "ACT_EST_MAPPING=PRECISE", "FS=MRC", "CURRENCY=USD", "XLFILL=b")</f>
        <v/>
      </c>
      <c r="AF128" s="9" t="str">
        <f>_xll.BQL("CRM US Equity", "BS_CUR_LIAB/1M", "FPR=2022Y", "FPT=A", "FA_ACT_EST_DATA=E, EST_SOURCE=UBS", "ACT_EST_MAPPING=PRECISE", "FS=MRC", "CURRENCY=USD", "XLFILL=b")</f>
        <v/>
      </c>
      <c r="AG128" s="9" t="str">
        <f>_xll.BQL("CRM US Equity", "BS_CUR_LIAB/1M", "FPR=2022Y", "FPT=A", "FA_ACT_EST_DATA=E, EST_SOURCE=RHR", "ACT_EST_MAPPING=PRECISE", "FS=MRC", "CURRENCY=USD", "XLFILL=b")</f>
        <v/>
      </c>
      <c r="AH128" s="9" t="str">
        <f>_xll.BQL("CRM US Equity", "BS_CUR_LIAB/1M", "FPR=2022Y", "FPT=A", "FA_ACT_EST_DATA=E, EST_SOURCE=JEF", "ACT_EST_MAPPING=PRECISE", "FS=MRC", "CURRENCY=USD", "XLFILL=b")</f>
        <v/>
      </c>
      <c r="AI128" s="9" t="str">
        <f>_xll.BQL("CRM US Equity", "BS_CUR_LIAB/1M", "FPR=2022Y", "FPT=A", "FA_ACT_EST_DATA=E, EST_SOURCE=ATL", "ACT_EST_MAPPING=PRECISE", "FS=MRC", "CURRENCY=USD", "XLFILL=b")</f>
        <v/>
      </c>
      <c r="AJ128" s="9" t="str">
        <f>_xll.BQL("CRM US Equity", "BS_CUR_LIAB/1M", "FPR=2022Y", "FPT=A", "FA_ACT_EST_DATA=E, EST_SOURCE=MAC", "ACT_EST_MAPPING=PRECISE", "FS=MRC", "CURRENCY=USD", "XLFILL=b")</f>
        <v/>
      </c>
      <c r="AK128" s="9" t="str">
        <f>_xll.BQL("CRM US Equity", "BS_CUR_LIAB/1M", "FPR=2022Y", "FPT=A", "FA_ACT_EST_DATA=E, EST_SOURCE=EVR", "ACT_EST_MAPPING=PRECISE", "FS=MRC", "CURRENCY=USD", "XLFILL=b")</f>
        <v/>
      </c>
      <c r="AL128" s="9" t="str">
        <f>_xll.BQL("CRM US Equity", "BS_CUR_LIAB/1M", "FPR=2022Y", "FPT=A", "FA_ACT_EST_DATA=E, EST_SOURCE=MSR", "ACT_EST_MAPPING=PRECISE", "FS=MRC", "CURRENCY=USD", "XLFILL=b")</f>
        <v/>
      </c>
      <c r="AM128" s="9" t="str">
        <f>_xll.BQL("CRM US Equity", "BS_CUR_LIAB/1M", "FPR=2022Y", "FPT=A", "FA_ACT_EST_DATA=E, EST_SOURCE=KGI", "ACT_EST_MAPPING=PRECISE", "FS=MRC", "CURRENCY=USD", "XLFILL=b")</f>
        <v/>
      </c>
      <c r="AN128" s="9" t="str">
        <f>_xll.BQL("CRM US Equity", "BS_CUR_LIAB/1M", "FPR=2022Y", "FPT=A", "FA_ACT_EST_DATA=E, EST_SOURCE=ACC", "ACT_EST_MAPPING=PRECISE", "FS=MRC", "CURRENCY=USD", "XLFILL=b")</f>
        <v/>
      </c>
      <c r="AO128" s="9" t="str">
        <f>_xll.BQL("CRM US Equity", "BS_CUR_LIAB/1M", "FPR=2022Y", "FPT=A", "FA_ACT_EST_DATA=E, EST_SOURCE=GSR", "ACT_EST_MAPPING=PRECISE", "FS=MRC", "CURRENCY=USD", "XLFILL=b")</f>
        <v/>
      </c>
      <c r="AP128" s="9" t="str">
        <f>_xll.BQL("CRM US Equity", "BS_CUR_LIAB/1M", "FPR=2022Y", "FPT=A", "FA_ACT_EST_DATA=E, EST_SOURCE=PSG", "ACT_EST_MAPPING=PRECISE", "FS=MRC", "CURRENCY=USD", "XLFILL=b")</f>
        <v/>
      </c>
      <c r="AQ128" s="9" t="str">
        <f>_xll.BQL("CRM US Equity", "BS_CUR_LIAB/1M", "FPR=2022Y", "FPT=A", "FA_ACT_EST_DATA=E, EST_SOURCE=DWI", "ACT_EST_MAPPING=PRECISE", "FS=MRC", "CURRENCY=USD", "XLFILL=b")</f>
        <v/>
      </c>
      <c r="AR128" s="9" t="str">
        <f>_xll.BQL("CRM US Equity", "BS_CUR_LIAB/1M", "FPR=2022Y", "FPT=A", "FA_ACT_EST_DATA=E, EST_SOURCE=RWB", "ACT_EST_MAPPING=PRECISE", "FS=MRC", "CURRENCY=USD", "XLFILL=b")</f>
        <v/>
      </c>
      <c r="AS128" s="9" t="str">
        <f>_xll.BQL("CRM US Equity", "BS_CUR_LIAB/1M", "FPR=2022Y", "FPT=A", "FA_ACT_EST_DATA=E, EST_SOURCE=ARG", "ACT_EST_MAPPING=PRECISE", "FS=MRC", "CURRENCY=USD", "XLFILL=b")</f>
        <v/>
      </c>
      <c r="AT128" s="9" t="str">
        <f>_xll.BQL("CRM US Equity", "BS_CUR_LIAB/1M", "FPR=2022Y", "FPT=A", "FA_ACT_EST_DATA=E, EST_SOURCE=CTI", "ACT_EST_MAPPING=PRECISE", "FS=MRC", "CURRENCY=USD", "XLFILL=b")</f>
        <v/>
      </c>
      <c r="AU128" s="9" t="str">
        <f>_xll.BQL("CRM US Equity", "BS_CUR_LIAB/1M", "FPR=2022Y", "FPT=A", "FA_ACT_EST_DATA=E, EST_SOURCE=WFT", "ACT_EST_MAPPING=PRECISE", "FS=MRC", "CURRENCY=USD", "XLFILL=b")</f>
        <v/>
      </c>
      <c r="AV128" s="9" t="str">
        <f>_xll.BQL("CRM US Equity", "BS_CUR_LIAB/1M", "FPR=2022Y", "FPT=A", "FA_ACT_EST_DATA=E, EST_SOURCE=PJE", "ACT_EST_MAPPING=PRECISE", "FS=MRC", "CURRENCY=USD", "XLFILL=b")</f>
        <v/>
      </c>
      <c r="AW128" s="9" t="str">
        <f>_xll.BQL("CRM US Equity", "BS_CUR_LIAB/1M", "FPR=2022Y", "FPT=A", "FA_ACT_EST_DATA=E, EST_SOURCE=SGE", "ACT_EST_MAPPING=PRECISE", "FS=MRC", "CURRENCY=USD", "XLFILL=b")</f>
        <v/>
      </c>
      <c r="AX128" s="9" t="str">
        <f>_xll.BQL("CRM US Equity", "BS_CUR_LIAB/1M", "FPR=2022Y", "FPT=A", "FA_ACT_EST_DATA=E, EST_SOURCE=MZS", "ACT_EST_MAPPING=PRECISE", "FS=MRC", "CURRENCY=USD", "XLFILL=b")</f>
        <v/>
      </c>
      <c r="AY128" s="9" t="str">
        <f>_xll.BQL("CRM US Equity", "BS_CUR_LIAB/1M", "FPR=2022Y", "FPT=A", "FA_ACT_EST_DATA=E, EST_SOURCE=RCP", "ACT_EST_MAPPING=PRECISE", "FS=MRC", "CURRENCY=USD", "XLFILL=b")</f>
        <v/>
      </c>
      <c r="AZ128" s="9" t="str">
        <f>_xll.BQL("CRM US Equity", "BS_CUR_LIAB/1M", "FPR=2022Y", "FPT=A", "FA_ACT_EST_DATA=E, EST_SOURCE=WFR", "ACT_EST_MAPPING=PRECISE", "FS=MRC", "CURRENCY=USD", "XLFILL=b")</f>
        <v/>
      </c>
      <c r="BA128" s="9" t="str">
        <f>_xll.BQL("CRM US Equity", "BS_CUR_LIAB/1M", "FPR=2022Y", "FPT=A", "FA_ACT_EST_DATA=E, EST_SOURCE=NIK", "ACT_EST_MAPPING=PRECISE", "FS=MRC", "CURRENCY=USD", "XLFILL=b")</f>
        <v/>
      </c>
      <c r="BB128" s="9" t="str">
        <f>_xll.BQL("CRM US Equity", "BS_CUR_LIAB/1M", "FPR=2022Y", "FPT=A", "FA_ACT_EST_DATA=E, EST_SOURCE=ARE", "ACT_EST_MAPPING=PRECISE", "FS=MRC", "CURRENCY=USD", "XLFILL=b")</f>
        <v/>
      </c>
      <c r="BC128" s="9" t="str">
        <f>_xll.BQL("CRM US Equity", "BS_CUR_LIAB/1M", "FPR=2022Y", "FPT=A", "FA_ACT_EST_DATA=E, EST_SOURCE=RED", "ACT_EST_MAPPING=PRECISE", "FS=MRC", "CURRENCY=USD", "XLFILL=b")</f>
        <v/>
      </c>
      <c r="BD128" s="9" t="str">
        <f>_xll.BQL("CRM US Equity", "BS_CUR_LIAB/1M", "FPR=2022Y", "FPT=A", "FA_ACT_EST_DATA=E, EST_SOURCE=DIR", "ACT_EST_MAPPING=PRECISE", "FS=MRC", "CURRENCY=USD", "XLFILL=b")</f>
        <v/>
      </c>
    </row>
    <row r="129" spans="1:56" x14ac:dyDescent="0.55000000000000004">
      <c r="A129" s="8" t="s">
        <v>239</v>
      </c>
      <c r="B129" s="5" t="s">
        <v>240</v>
      </c>
      <c r="C129" s="5" t="s">
        <v>241</v>
      </c>
      <c r="D129" s="5"/>
      <c r="E129" s="9">
        <f>_xll.BQL("CRM US Equity", "CB_BS_ACCT_PYBL_ACC_EXPNSS/1M", "FPR=2022Y", "FPT=A", "FA_ACT_EST_DATA=E", "ACT_EST_MAPPING=PRECISE", "FS=MRC", "CURRENCY=USD", "XLFILL=b")</f>
        <v>5066.9772691779135</v>
      </c>
      <c r="F129" s="9">
        <f>_xll.BQL("CRM US Equity", "CONTRIBUTOR_STATS(CB_BS_ACCT_PYBL_ACC_EXPNSS, MIN)/1M", "FPR=2022Y", "FPT=A", "FA_ACT_EST_DATA=E", "ACT_EST_MAPPING=PRECISE", "FS=MRC", "CURRENCY=USD", "XLFILL=b")</f>
        <v>4531</v>
      </c>
      <c r="G129" s="9">
        <f>_xll.BQL("CRM US Equity", "CONTRIBUTOR_STATS(CB_BS_ACCT_PYBL_ACC_EXPNSS, MAX)/1M", "FPR=2022Y", "FPT=A", "FA_ACT_EST_DATA=E", "ACT_EST_MAPPING=PRECISE", "FS=MRC", "CURRENCY=USD", "XLFILL=b")</f>
        <v>5638.9030000000012</v>
      </c>
      <c r="H129" s="9">
        <f>_xll.BQL("CRM US Equity", "CONTRIBUTOR_STATS(CB_BS_ACCT_PYBL_ACC_EXPNSS, STD)/1M", "FPR=2022Y", "FPT=A", "FA_ACT_EST_DATA=E", "ACT_EST_MAPPING=PRECISE", "FS=MRC", "CURRENCY=USD", "XLFILL=b")</f>
        <v>348.46077207093828</v>
      </c>
      <c r="I129" s="9">
        <f>_xll.BQL("CRM US Equity", "CONTRIBUTOR_STATS(CB_BS_ACCT_PYBL_ACC_EXPNSS, MEDIAN)/1M", "FPR=2022Y", "FPT=A", "FA_ACT_EST_DATA=E", "ACT_EST_MAPPING=PRECISE", "FS=MRC", "CURRENCY=USD", "XLFILL=b")</f>
        <v>5001.5449254472987</v>
      </c>
      <c r="J129" s="9" t="str">
        <f>_xll.BQL("CRM US Equity", "CB_BS_ACCT_PYBL_ACC_EXPNSS/1M", "FPR=2022Y", "FPT=A", "FA_ACT_EST_DATA=E, EST_SOURCE=CMPY", "ACT_EST_MAPPING=PRECISE", "FS=MRC", "CURRENCY=USD", "XLFILL=b")</f>
        <v/>
      </c>
      <c r="K129" s="9" t="str">
        <f>_xll.BQL("CRM US Equity", "CB_BS_ACCT_PYBL_ACC_EXPNSS/1M", "FPR=2022Y", "FPT=A", "FA_ACT_EST_DATA=E, EST_SOURCE=WBL", "ACT_EST_MAPPING=PRECISE", "FS=MRC", "CURRENCY=USD", "XLFILL=b")</f>
        <v/>
      </c>
      <c r="L129" s="9" t="str">
        <f>_xll.BQL("CRM US Equity", "CB_BS_ACCT_PYBL_ACC_EXPNSS/1M", "FPR=2022Y", "FPT=A", "FA_ACT_EST_DATA=E, EST_SOURCE=BMO", "ACT_EST_MAPPING=PRECISE", "FS=MRC", "CURRENCY=USD", "XLFILL=b")</f>
        <v/>
      </c>
      <c r="M129" s="9">
        <f>_xll.BQL("CRM US Equity", "CB_BS_ACCT_PYBL_ACC_EXPNSS/1M", "FPR=2022Y", "FPT=A", "FA_ACT_EST_DATA=E, EST_SOURCE=BCA", "ACT_EST_MAPPING=PRECISE", "FS=MRC", "CURRENCY=USD", "XLFILL=b")</f>
        <v>5001.5449254472987</v>
      </c>
      <c r="N129" s="9" t="str">
        <f>_xll.BQL("CRM US Equity", "CB_BS_ACCT_PYBL_ACC_EXPNSS/1M", "FPR=2022Y", "FPT=A", "FA_ACT_EST_DATA=E, EST_SOURCE=SNR", "ACT_EST_MAPPING=PRECISE", "FS=MRC", "CURRENCY=USD", "XLFILL=b")</f>
        <v/>
      </c>
      <c r="O129" s="9">
        <f>_xll.BQL("CRM US Equity", "CB_BS_ACCT_PYBL_ACC_EXPNSS/1M", "FPR=2022Y", "FPT=A", "FA_ACT_EST_DATA=E, EST_SOURCE=MSV", "ACT_EST_MAPPING=PRECISE", "FS=MRC", "CURRENCY=USD", "XLFILL=b")</f>
        <v>5541.8293235541541</v>
      </c>
      <c r="P129" s="9">
        <f>_xll.BQL("CRM US Equity", "CB_BS_ACCT_PYBL_ACC_EXPNSS/1M", "FPR=2022Y", "FPT=A", "FA_ACT_EST_DATA=E, EST_SOURCE=DBG", "ACT_EST_MAPPING=PRECISE", "FS=MRC", "CURRENCY=USD", "XLFILL=b")</f>
        <v>4735.8286829379886</v>
      </c>
      <c r="Q129" s="9">
        <f>_xll.BQL("CRM US Equity", "CB_BS_ACCT_PYBL_ACC_EXPNSS/1M", "FPR=2022Y", "FPT=A", "FA_ACT_EST_DATA=E, EST_SOURCE=NDH", "ACT_EST_MAPPING=PRECISE", "FS=MRC", "CURRENCY=USD", "XLFILL=b")</f>
        <v>4699.1424999999999</v>
      </c>
      <c r="R129" s="9" t="str">
        <f>_xll.BQL("CRM US Equity", "CB_BS_ACCT_PYBL_ACC_EXPNSS/1M", "FPR=2022Y", "FPT=A", "FA_ACT_EST_DATA=E, EST_SOURCE=CAN", "ACT_EST_MAPPING=PRECISE", "FS=MRC", "CURRENCY=USD", "XLFILL=b")</f>
        <v/>
      </c>
      <c r="S129" s="9" t="str">
        <f>_xll.BQL("CRM US Equity", "CB_BS_ACCT_PYBL_ACC_EXPNSS/1M", "FPR=2022Y", "FPT=A", "FA_ACT_EST_DATA=E, EST_SOURCE=SCB", "ACT_EST_MAPPING=PRECISE", "FS=MRC", "CURRENCY=USD", "XLFILL=b")</f>
        <v/>
      </c>
      <c r="T129" s="9" t="str">
        <f>_xll.BQL("CRM US Equity", "CB_BS_ACCT_PYBL_ACC_EXPNSS/1M", "FPR=2022Y", "FPT=A", "FA_ACT_EST_DATA=E, EST_SOURCE=JMP", "ACT_EST_MAPPING=PRECISE", "FS=MRC", "CURRENCY=USD", "XLFILL=b")</f>
        <v/>
      </c>
      <c r="U129" s="9" t="str">
        <f>_xll.BQL("CRM US Equity", "CB_BS_ACCT_PYBL_ACC_EXPNSS/1M", "FPR=2022Y", "FPT=A", "FA_ACT_EST_DATA=E, EST_SOURCE=RJA", "ACT_EST_MAPPING=PRECISE", "FS=MRC", "CURRENCY=USD", "XLFILL=b")</f>
        <v/>
      </c>
      <c r="V129" s="9" t="str">
        <f>_xll.BQL("CRM US Equity", "CB_BS_ACCT_PYBL_ACC_EXPNSS/1M", "FPR=2022Y", "FPT=A", "FA_ACT_EST_DATA=E, EST_SOURCE=OPY", "ACT_EST_MAPPING=PRECISE", "FS=MRC", "CURRENCY=USD", "XLFILL=b")</f>
        <v/>
      </c>
      <c r="W129" s="9" t="str">
        <f>_xll.BQL("CRM US Equity", "CB_BS_ACCT_PYBL_ACC_EXPNSS/1M", "FPR=2022Y", "FPT=A", "FA_ACT_EST_DATA=E, EST_SOURCE=JPM", "ACT_EST_MAPPING=PRECISE", "FS=MRC", "CURRENCY=USD", "XLFILL=b")</f>
        <v/>
      </c>
      <c r="X129" s="9">
        <f>_xll.BQL("CRM US Equity", "CB_BS_ACCT_PYBL_ACC_EXPNSS/1M", "FPR=2022Y", "FPT=A", "FA_ACT_EST_DATA=E, EST_SOURCE=FBC", "ACT_EST_MAPPING=PRECISE", "FS=MRC", "CURRENCY=USD", "XLFILL=b")</f>
        <v>3943.0820453894439</v>
      </c>
      <c r="Y129" s="9" t="str">
        <f>_xll.BQL("CRM US Equity", "CB_BS_ACCT_PYBL_ACC_EXPNSS/1M", "FPR=2022Y", "FPT=A", "FA_ACT_EST_DATA=E, EST_SOURCE=WMS", "ACT_EST_MAPPING=PRECISE", "FS=MRC", "CURRENCY=USD", "XLFILL=b")</f>
        <v/>
      </c>
      <c r="Z129" s="9">
        <f>_xll.BQL("CRM US Equity", "CB_BS_ACCT_PYBL_ACC_EXPNSS/1M", "FPR=2022Y", "FPT=A", "FA_ACT_EST_DATA=E, EST_SOURCE=KEY", "ACT_EST_MAPPING=PRECISE", "FS=MRC", "CURRENCY=USD", "XLFILL=b")</f>
        <v>5579.0395739940013</v>
      </c>
      <c r="AA129" s="9" t="str">
        <f>_xll.BQL("CRM US Equity", "CB_BS_ACCT_PYBL_ACC_EXPNSS/1M", "FPR=2022Y", "FPT=A", "FA_ACT_EST_DATA=E, EST_SOURCE=LCM", "ACT_EST_MAPPING=PRECISE", "FS=MRC", "CURRENCY=USD", "XLFILL=b")</f>
        <v/>
      </c>
      <c r="AB129" s="9" t="str">
        <f>_xll.BQL("CRM US Equity", "CB_BS_ACCT_PYBL_ACC_EXPNSS/1M", "FPR=2022Y", "FPT=A", "FA_ACT_EST_DATA=E, EST_SOURCE=CWN", "ACT_EST_MAPPING=PRECISE", "FS=MRC", "CURRENCY=USD", "XLFILL=b")</f>
        <v/>
      </c>
      <c r="AC129" s="9" t="str">
        <f>_xll.BQL("CRM US Equity", "CB_BS_ACCT_PYBL_ACC_EXPNSS/1M", "FPR=2022Y", "FPT=A", "FA_ACT_EST_DATA=E, EST_SOURCE=BNS", "ACT_EST_MAPPING=PRECISE", "FS=MRC", "CURRENCY=USD", "XLFILL=b")</f>
        <v/>
      </c>
      <c r="AD129" s="9" t="str">
        <f>_xll.BQL("CRM US Equity", "CB_BS_ACCT_PYBL_ACC_EXPNSS/1M", "FPR=2022Y", "FPT=A", "FA_ACT_EST_DATA=E, EST_SOURCE=BAM", "ACT_EST_MAPPING=PRECISE", "FS=MRC", "CURRENCY=USD", "XLFILL=b")</f>
        <v/>
      </c>
      <c r="AE129" s="9" t="str">
        <f>_xll.BQL("CRM US Equity", "CB_BS_ACCT_PYBL_ACC_EXPNSS/1M", "FPR=2022Y", "FPT=A", "FA_ACT_EST_DATA=E, EST_SOURCE=RBC", "ACT_EST_MAPPING=PRECISE", "FS=MRC", "CURRENCY=USD", "XLFILL=b")</f>
        <v/>
      </c>
      <c r="AF129" s="9" t="str">
        <f>_xll.BQL("CRM US Equity", "CB_BS_ACCT_PYBL_ACC_EXPNSS/1M", "FPR=2022Y", "FPT=A", "FA_ACT_EST_DATA=E, EST_SOURCE=UBS", "ACT_EST_MAPPING=PRECISE", "FS=MRC", "CURRENCY=USD", "XLFILL=b")</f>
        <v/>
      </c>
      <c r="AG129" s="9" t="str">
        <f>_xll.BQL("CRM US Equity", "CB_BS_ACCT_PYBL_ACC_EXPNSS/1M", "FPR=2022Y", "FPT=A", "FA_ACT_EST_DATA=E, EST_SOURCE=RHR", "ACT_EST_MAPPING=PRECISE", "FS=MRC", "CURRENCY=USD", "XLFILL=b")</f>
        <v/>
      </c>
      <c r="AH129" s="9" t="str">
        <f>_xll.BQL("CRM US Equity", "CB_BS_ACCT_PYBL_ACC_EXPNSS/1M", "FPR=2022Y", "FPT=A", "FA_ACT_EST_DATA=E, EST_SOURCE=JEF", "ACT_EST_MAPPING=PRECISE", "FS=MRC", "CURRENCY=USD", "XLFILL=b")</f>
        <v/>
      </c>
      <c r="AI129" s="9" t="str">
        <f>_xll.BQL("CRM US Equity", "CB_BS_ACCT_PYBL_ACC_EXPNSS/1M", "FPR=2022Y", "FPT=A", "FA_ACT_EST_DATA=E, EST_SOURCE=ATL", "ACT_EST_MAPPING=PRECISE", "FS=MRC", "CURRENCY=USD", "XLFILL=b")</f>
        <v/>
      </c>
      <c r="AJ129" s="9" t="str">
        <f>_xll.BQL("CRM US Equity", "CB_BS_ACCT_PYBL_ACC_EXPNSS/1M", "FPR=2022Y", "FPT=A", "FA_ACT_EST_DATA=E, EST_SOURCE=MAC", "ACT_EST_MAPPING=PRECISE", "FS=MRC", "CURRENCY=USD", "XLFILL=b")</f>
        <v/>
      </c>
      <c r="AK129" s="9" t="str">
        <f>_xll.BQL("CRM US Equity", "CB_BS_ACCT_PYBL_ACC_EXPNSS/1M", "FPR=2022Y", "FPT=A", "FA_ACT_EST_DATA=E, EST_SOURCE=EVR", "ACT_EST_MAPPING=PRECISE", "FS=MRC", "CURRENCY=USD", "XLFILL=b")</f>
        <v/>
      </c>
      <c r="AL129" s="9" t="str">
        <f>_xll.BQL("CRM US Equity", "CB_BS_ACCT_PYBL_ACC_EXPNSS/1M", "FPR=2022Y", "FPT=A", "FA_ACT_EST_DATA=E, EST_SOURCE=MSR", "ACT_EST_MAPPING=PRECISE", "FS=MRC", "CURRENCY=USD", "XLFILL=b")</f>
        <v/>
      </c>
      <c r="AM129" s="9" t="str">
        <f>_xll.BQL("CRM US Equity", "CB_BS_ACCT_PYBL_ACC_EXPNSS/1M", "FPR=2022Y", "FPT=A", "FA_ACT_EST_DATA=E, EST_SOURCE=KGI", "ACT_EST_MAPPING=PRECISE", "FS=MRC", "CURRENCY=USD", "XLFILL=b")</f>
        <v/>
      </c>
      <c r="AN129" s="9" t="str">
        <f>_xll.BQL("CRM US Equity", "CB_BS_ACCT_PYBL_ACC_EXPNSS/1M", "FPR=2022Y", "FPT=A", "FA_ACT_EST_DATA=E, EST_SOURCE=ACC", "ACT_EST_MAPPING=PRECISE", "FS=MRC", "CURRENCY=USD", "XLFILL=b")</f>
        <v/>
      </c>
      <c r="AO129" s="9" t="str">
        <f>_xll.BQL("CRM US Equity", "CB_BS_ACCT_PYBL_ACC_EXPNSS/1M", "FPR=2022Y", "FPT=A", "FA_ACT_EST_DATA=E, EST_SOURCE=GSR", "ACT_EST_MAPPING=PRECISE", "FS=MRC", "CURRENCY=USD", "XLFILL=b")</f>
        <v/>
      </c>
      <c r="AP129" s="9" t="str">
        <f>_xll.BQL("CRM US Equity", "CB_BS_ACCT_PYBL_ACC_EXPNSS/1M", "FPR=2022Y", "FPT=A", "FA_ACT_EST_DATA=E, EST_SOURCE=PSG", "ACT_EST_MAPPING=PRECISE", "FS=MRC", "CURRENCY=USD", "XLFILL=b")</f>
        <v/>
      </c>
      <c r="AQ129" s="9" t="str">
        <f>_xll.BQL("CRM US Equity", "CB_BS_ACCT_PYBL_ACC_EXPNSS/1M", "FPR=2022Y", "FPT=A", "FA_ACT_EST_DATA=E, EST_SOURCE=DWI", "ACT_EST_MAPPING=PRECISE", "FS=MRC", "CURRENCY=USD", "XLFILL=b")</f>
        <v/>
      </c>
      <c r="AR129" s="9" t="str">
        <f>_xll.BQL("CRM US Equity", "CB_BS_ACCT_PYBL_ACC_EXPNSS/1M", "FPR=2022Y", "FPT=A", "FA_ACT_EST_DATA=E, EST_SOURCE=RWB", "ACT_EST_MAPPING=PRECISE", "FS=MRC", "CURRENCY=USD", "XLFILL=b")</f>
        <v/>
      </c>
      <c r="AS129" s="9" t="str">
        <f>_xll.BQL("CRM US Equity", "CB_BS_ACCT_PYBL_ACC_EXPNSS/1M", "FPR=2022Y", "FPT=A", "FA_ACT_EST_DATA=E, EST_SOURCE=ARG", "ACT_EST_MAPPING=PRECISE", "FS=MRC", "CURRENCY=USD", "XLFILL=b")</f>
        <v/>
      </c>
      <c r="AT129" s="9" t="str">
        <f>_xll.BQL("CRM US Equity", "CB_BS_ACCT_PYBL_ACC_EXPNSS/1M", "FPR=2022Y", "FPT=A", "FA_ACT_EST_DATA=E, EST_SOURCE=CTI", "ACT_EST_MAPPING=PRECISE", "FS=MRC", "CURRENCY=USD", "XLFILL=b")</f>
        <v/>
      </c>
      <c r="AU129" s="9" t="str">
        <f>_xll.BQL("CRM US Equity", "CB_BS_ACCT_PYBL_ACC_EXPNSS/1M", "FPR=2022Y", "FPT=A", "FA_ACT_EST_DATA=E, EST_SOURCE=WFT", "ACT_EST_MAPPING=PRECISE", "FS=MRC", "CURRENCY=USD", "XLFILL=b")</f>
        <v/>
      </c>
      <c r="AV129" s="9" t="str">
        <f>_xll.BQL("CRM US Equity", "CB_BS_ACCT_PYBL_ACC_EXPNSS/1M", "FPR=2022Y", "FPT=A", "FA_ACT_EST_DATA=E, EST_SOURCE=PJE", "ACT_EST_MAPPING=PRECISE", "FS=MRC", "CURRENCY=USD", "XLFILL=b")</f>
        <v/>
      </c>
      <c r="AW129" s="9" t="str">
        <f>_xll.BQL("CRM US Equity", "CB_BS_ACCT_PYBL_ACC_EXPNSS/1M", "FPR=2022Y", "FPT=A", "FA_ACT_EST_DATA=E, EST_SOURCE=SGE", "ACT_EST_MAPPING=PRECISE", "FS=MRC", "CURRENCY=USD", "XLFILL=b")</f>
        <v/>
      </c>
      <c r="AX129" s="9" t="str">
        <f>_xll.BQL("CRM US Equity", "CB_BS_ACCT_PYBL_ACC_EXPNSS/1M", "FPR=2022Y", "FPT=A", "FA_ACT_EST_DATA=E, EST_SOURCE=MZS", "ACT_EST_MAPPING=PRECISE", "FS=MRC", "CURRENCY=USD", "XLFILL=b")</f>
        <v/>
      </c>
      <c r="AY129" s="9" t="str">
        <f>_xll.BQL("CRM US Equity", "CB_BS_ACCT_PYBL_ACC_EXPNSS/1M", "FPR=2022Y", "FPT=A", "FA_ACT_EST_DATA=E, EST_SOURCE=RCP", "ACT_EST_MAPPING=PRECISE", "FS=MRC", "CURRENCY=USD", "XLFILL=b")</f>
        <v/>
      </c>
      <c r="AZ129" s="9" t="str">
        <f>_xll.BQL("CRM US Equity", "CB_BS_ACCT_PYBL_ACC_EXPNSS/1M", "FPR=2022Y", "FPT=A", "FA_ACT_EST_DATA=E, EST_SOURCE=WFR", "ACT_EST_MAPPING=PRECISE", "FS=MRC", "CURRENCY=USD", "XLFILL=b")</f>
        <v/>
      </c>
      <c r="BA129" s="9" t="str">
        <f>_xll.BQL("CRM US Equity", "CB_BS_ACCT_PYBL_ACC_EXPNSS/1M", "FPR=2022Y", "FPT=A", "FA_ACT_EST_DATA=E, EST_SOURCE=NIK", "ACT_EST_MAPPING=PRECISE", "FS=MRC", "CURRENCY=USD", "XLFILL=b")</f>
        <v/>
      </c>
      <c r="BB129" s="9" t="str">
        <f>_xll.BQL("CRM US Equity", "CB_BS_ACCT_PYBL_ACC_EXPNSS/1M", "FPR=2022Y", "FPT=A", "FA_ACT_EST_DATA=E, EST_SOURCE=ARE", "ACT_EST_MAPPING=PRECISE", "FS=MRC", "CURRENCY=USD", "XLFILL=b")</f>
        <v/>
      </c>
      <c r="BC129" s="9" t="str">
        <f>_xll.BQL("CRM US Equity", "CB_BS_ACCT_PYBL_ACC_EXPNSS/1M", "FPR=2022Y", "FPT=A", "FA_ACT_EST_DATA=E, EST_SOURCE=RED", "ACT_EST_MAPPING=PRECISE", "FS=MRC", "CURRENCY=USD", "XLFILL=b")</f>
        <v/>
      </c>
      <c r="BD129" s="9" t="str">
        <f>_xll.BQL("CRM US Equity", "CB_BS_ACCT_PYBL_ACC_EXPNSS/1M", "FPR=2022Y", "FPT=A", "FA_ACT_EST_DATA=E, EST_SOURCE=DIR", "ACT_EST_MAPPING=PRECISE", "FS=MRC", "CURRENCY=USD", "XLFILL=b")</f>
        <v/>
      </c>
    </row>
    <row r="130" spans="1:56" x14ac:dyDescent="0.55000000000000004">
      <c r="A130" s="8" t="s">
        <v>242</v>
      </c>
      <c r="B130" s="5" t="s">
        <v>243</v>
      </c>
      <c r="C130" s="5" t="s">
        <v>244</v>
      </c>
      <c r="D130" s="5"/>
      <c r="E130" s="9">
        <f>_xll.BQL("CRM US Equity", "BS_ST_OPERATING_LEASE_LIABS/1M", "FPR=2022Y", "FPT=A", "FA_ACT_EST_DATA=E", "ACT_EST_MAPPING=PRECISE", "FS=MRC", "CURRENCY=USD", "XLFILL=b")</f>
        <v>688</v>
      </c>
      <c r="F130" s="9">
        <f>_xll.BQL("CRM US Equity", "CONTRIBUTOR_STATS(BS_ST_OPERATING_LEASE_LIABS, MIN)/1M", "FPR=2022Y", "FPT=A", "FA_ACT_EST_DATA=E", "ACT_EST_MAPPING=PRECISE", "FS=MRC", "CURRENCY=USD", "XLFILL=b")</f>
        <v>688</v>
      </c>
      <c r="G130" s="9">
        <f>_xll.BQL("CRM US Equity", "CONTRIBUTOR_STATS(BS_ST_OPERATING_LEASE_LIABS, MAX)/1M", "FPR=2022Y", "FPT=A", "FA_ACT_EST_DATA=E", "ACT_EST_MAPPING=PRECISE", "FS=MRC", "CURRENCY=USD", "XLFILL=b")</f>
        <v>688</v>
      </c>
      <c r="H130" s="9">
        <f>_xll.BQL("CRM US Equity", "CONTRIBUTOR_STATS(BS_ST_OPERATING_LEASE_LIABS, STD)/1M", "FPR=2022Y", "FPT=A", "FA_ACT_EST_DATA=E", "ACT_EST_MAPPING=PRECISE", "FS=MRC", "CURRENCY=USD", "XLFILL=b")</f>
        <v>0</v>
      </c>
      <c r="I130" s="9">
        <f>_xll.BQL("CRM US Equity", "CONTRIBUTOR_STATS(BS_ST_OPERATING_LEASE_LIABS, MEDIAN)/1M", "FPR=2022Y", "FPT=A", "FA_ACT_EST_DATA=E", "ACT_EST_MAPPING=PRECISE", "FS=MRC", "CURRENCY=USD", "XLFILL=b")</f>
        <v>688</v>
      </c>
      <c r="J130" s="9" t="str">
        <f>_xll.BQL("CRM US Equity", "BS_ST_OPERATING_LEASE_LIABS/1M", "FPR=2022Y", "FPT=A", "FA_ACT_EST_DATA=E, EST_SOURCE=CMPY", "ACT_EST_MAPPING=PRECISE", "FS=MRC", "CURRENCY=USD", "XLFILL=b")</f>
        <v/>
      </c>
      <c r="K130" s="9" t="str">
        <f>_xll.BQL("CRM US Equity", "BS_ST_OPERATING_LEASE_LIABS/1M", "FPR=2022Y", "FPT=A", "FA_ACT_EST_DATA=E, EST_SOURCE=WBL", "ACT_EST_MAPPING=PRECISE", "FS=MRC", "CURRENCY=USD", "XLFILL=b")</f>
        <v/>
      </c>
      <c r="L130" s="9" t="str">
        <f>_xll.BQL("CRM US Equity", "BS_ST_OPERATING_LEASE_LIABS/1M", "FPR=2022Y", "FPT=A", "FA_ACT_EST_DATA=E, EST_SOURCE=BMO", "ACT_EST_MAPPING=PRECISE", "FS=MRC", "CURRENCY=USD", "XLFILL=b")</f>
        <v/>
      </c>
      <c r="M130" s="9" t="str">
        <f>_xll.BQL("CRM US Equity", "BS_ST_OPERATING_LEASE_LIABS/1M", "FPR=2022Y", "FPT=A", "FA_ACT_EST_DATA=E, EST_SOURCE=BCA", "ACT_EST_MAPPING=PRECISE", "FS=MRC", "CURRENCY=USD", "XLFILL=b")</f>
        <v/>
      </c>
      <c r="N130" s="9" t="str">
        <f>_xll.BQL("CRM US Equity", "BS_ST_OPERATING_LEASE_LIABS/1M", "FPR=2022Y", "FPT=A", "FA_ACT_EST_DATA=E, EST_SOURCE=SNR", "ACT_EST_MAPPING=PRECISE", "FS=MRC", "CURRENCY=USD", "XLFILL=b")</f>
        <v/>
      </c>
      <c r="O130" s="9" t="str">
        <f>_xll.BQL("CRM US Equity", "BS_ST_OPERATING_LEASE_LIABS/1M", "FPR=2022Y", "FPT=A", "FA_ACT_EST_DATA=E, EST_SOURCE=MSV", "ACT_EST_MAPPING=PRECISE", "FS=MRC", "CURRENCY=USD", "XLFILL=b")</f>
        <v/>
      </c>
      <c r="P130" s="9">
        <f>_xll.BQL("CRM US Equity", "BS_ST_OPERATING_LEASE_LIABS/1M", "FPR=2022Y", "FPT=A", "FA_ACT_EST_DATA=E, EST_SOURCE=DBG", "ACT_EST_MAPPING=PRECISE", "FS=MRC", "CURRENCY=USD", "XLFILL=b")</f>
        <v>688</v>
      </c>
      <c r="Q130" s="9">
        <f>_xll.BQL("CRM US Equity", "BS_ST_OPERATING_LEASE_LIABS/1M", "FPR=2022Y", "FPT=A", "FA_ACT_EST_DATA=E, EST_SOURCE=NDH", "ACT_EST_MAPPING=PRECISE", "FS=MRC", "CURRENCY=USD", "XLFILL=b")</f>
        <v>688</v>
      </c>
      <c r="R130" s="9" t="str">
        <f>_xll.BQL("CRM US Equity", "BS_ST_OPERATING_LEASE_LIABS/1M", "FPR=2022Y", "FPT=A", "FA_ACT_EST_DATA=E, EST_SOURCE=CAN", "ACT_EST_MAPPING=PRECISE", "FS=MRC", "CURRENCY=USD", "XLFILL=b")</f>
        <v/>
      </c>
      <c r="S130" s="9" t="str">
        <f>_xll.BQL("CRM US Equity", "BS_ST_OPERATING_LEASE_LIABS/1M", "FPR=2022Y", "FPT=A", "FA_ACT_EST_DATA=E, EST_SOURCE=SCB", "ACT_EST_MAPPING=PRECISE", "FS=MRC", "CURRENCY=USD", "XLFILL=b")</f>
        <v/>
      </c>
      <c r="T130" s="9" t="str">
        <f>_xll.BQL("CRM US Equity", "BS_ST_OPERATING_LEASE_LIABS/1M", "FPR=2022Y", "FPT=A", "FA_ACT_EST_DATA=E, EST_SOURCE=JMP", "ACT_EST_MAPPING=PRECISE", "FS=MRC", "CURRENCY=USD", "XLFILL=b")</f>
        <v/>
      </c>
      <c r="U130" s="9" t="str">
        <f>_xll.BQL("CRM US Equity", "BS_ST_OPERATING_LEASE_LIABS/1M", "FPR=2022Y", "FPT=A", "FA_ACT_EST_DATA=E, EST_SOURCE=RJA", "ACT_EST_MAPPING=PRECISE", "FS=MRC", "CURRENCY=USD", "XLFILL=b")</f>
        <v/>
      </c>
      <c r="V130" s="9" t="str">
        <f>_xll.BQL("CRM US Equity", "BS_ST_OPERATING_LEASE_LIABS/1M", "FPR=2022Y", "FPT=A", "FA_ACT_EST_DATA=E, EST_SOURCE=OPY", "ACT_EST_MAPPING=PRECISE", "FS=MRC", "CURRENCY=USD", "XLFILL=b")</f>
        <v/>
      </c>
      <c r="W130" s="9" t="str">
        <f>_xll.BQL("CRM US Equity", "BS_ST_OPERATING_LEASE_LIABS/1M", "FPR=2022Y", "FPT=A", "FA_ACT_EST_DATA=E, EST_SOURCE=JPM", "ACT_EST_MAPPING=PRECISE", "FS=MRC", "CURRENCY=USD", "XLFILL=b")</f>
        <v/>
      </c>
      <c r="X130" s="9">
        <f>_xll.BQL("CRM US Equity", "BS_ST_OPERATING_LEASE_LIABS/1M", "FPR=2022Y", "FPT=A", "FA_ACT_EST_DATA=E, EST_SOURCE=FBC", "ACT_EST_MAPPING=PRECISE", "FS=MRC", "CURRENCY=USD", "XLFILL=b")</f>
        <v>713</v>
      </c>
      <c r="Y130" s="9" t="str">
        <f>_xll.BQL("CRM US Equity", "BS_ST_OPERATING_LEASE_LIABS/1M", "FPR=2022Y", "FPT=A", "FA_ACT_EST_DATA=E, EST_SOURCE=WMS", "ACT_EST_MAPPING=PRECISE", "FS=MRC", "CURRENCY=USD", "XLFILL=b")</f>
        <v/>
      </c>
      <c r="Z130" s="9">
        <f>_xll.BQL("CRM US Equity", "BS_ST_OPERATING_LEASE_LIABS/1M", "FPR=2022Y", "FPT=A", "FA_ACT_EST_DATA=E, EST_SOURCE=KEY", "ACT_EST_MAPPING=PRECISE", "FS=MRC", "CURRENCY=USD", "XLFILL=b")</f>
        <v>713</v>
      </c>
      <c r="AA130" s="9" t="str">
        <f>_xll.BQL("CRM US Equity", "BS_ST_OPERATING_LEASE_LIABS/1M", "FPR=2022Y", "FPT=A", "FA_ACT_EST_DATA=E, EST_SOURCE=LCM", "ACT_EST_MAPPING=PRECISE", "FS=MRC", "CURRENCY=USD", "XLFILL=b")</f>
        <v/>
      </c>
      <c r="AB130" s="9" t="str">
        <f>_xll.BQL("CRM US Equity", "BS_ST_OPERATING_LEASE_LIABS/1M", "FPR=2022Y", "FPT=A", "FA_ACT_EST_DATA=E, EST_SOURCE=CWN", "ACT_EST_MAPPING=PRECISE", "FS=MRC", "CURRENCY=USD", "XLFILL=b")</f>
        <v/>
      </c>
      <c r="AC130" s="9" t="str">
        <f>_xll.BQL("CRM US Equity", "BS_ST_OPERATING_LEASE_LIABS/1M", "FPR=2022Y", "FPT=A", "FA_ACT_EST_DATA=E, EST_SOURCE=BNS", "ACT_EST_MAPPING=PRECISE", "FS=MRC", "CURRENCY=USD", "XLFILL=b")</f>
        <v/>
      </c>
      <c r="AD130" s="9" t="str">
        <f>_xll.BQL("CRM US Equity", "BS_ST_OPERATING_LEASE_LIABS/1M", "FPR=2022Y", "FPT=A", "FA_ACT_EST_DATA=E, EST_SOURCE=BAM", "ACT_EST_MAPPING=PRECISE", "FS=MRC", "CURRENCY=USD", "XLFILL=b")</f>
        <v/>
      </c>
      <c r="AE130" s="9" t="str">
        <f>_xll.BQL("CRM US Equity", "BS_ST_OPERATING_LEASE_LIABS/1M", "FPR=2022Y", "FPT=A", "FA_ACT_EST_DATA=E, EST_SOURCE=RBC", "ACT_EST_MAPPING=PRECISE", "FS=MRC", "CURRENCY=USD", "XLFILL=b")</f>
        <v/>
      </c>
      <c r="AF130" s="9" t="str">
        <f>_xll.BQL("CRM US Equity", "BS_ST_OPERATING_LEASE_LIABS/1M", "FPR=2022Y", "FPT=A", "FA_ACT_EST_DATA=E, EST_SOURCE=UBS", "ACT_EST_MAPPING=PRECISE", "FS=MRC", "CURRENCY=USD", "XLFILL=b")</f>
        <v/>
      </c>
      <c r="AG130" s="9" t="str">
        <f>_xll.BQL("CRM US Equity", "BS_ST_OPERATING_LEASE_LIABS/1M", "FPR=2022Y", "FPT=A", "FA_ACT_EST_DATA=E, EST_SOURCE=RHR", "ACT_EST_MAPPING=PRECISE", "FS=MRC", "CURRENCY=USD", "XLFILL=b")</f>
        <v/>
      </c>
      <c r="AH130" s="9" t="str">
        <f>_xll.BQL("CRM US Equity", "BS_ST_OPERATING_LEASE_LIABS/1M", "FPR=2022Y", "FPT=A", "FA_ACT_EST_DATA=E, EST_SOURCE=JEF", "ACT_EST_MAPPING=PRECISE", "FS=MRC", "CURRENCY=USD", "XLFILL=b")</f>
        <v/>
      </c>
      <c r="AI130" s="9" t="str">
        <f>_xll.BQL("CRM US Equity", "BS_ST_OPERATING_LEASE_LIABS/1M", "FPR=2022Y", "FPT=A", "FA_ACT_EST_DATA=E, EST_SOURCE=ATL", "ACT_EST_MAPPING=PRECISE", "FS=MRC", "CURRENCY=USD", "XLFILL=b")</f>
        <v/>
      </c>
      <c r="AJ130" s="9" t="str">
        <f>_xll.BQL("CRM US Equity", "BS_ST_OPERATING_LEASE_LIABS/1M", "FPR=2022Y", "FPT=A", "FA_ACT_EST_DATA=E, EST_SOURCE=MAC", "ACT_EST_MAPPING=PRECISE", "FS=MRC", "CURRENCY=USD", "XLFILL=b")</f>
        <v/>
      </c>
      <c r="AK130" s="9" t="str">
        <f>_xll.BQL("CRM US Equity", "BS_ST_OPERATING_LEASE_LIABS/1M", "FPR=2022Y", "FPT=A", "FA_ACT_EST_DATA=E, EST_SOURCE=EVR", "ACT_EST_MAPPING=PRECISE", "FS=MRC", "CURRENCY=USD", "XLFILL=b")</f>
        <v/>
      </c>
      <c r="AL130" s="9" t="str">
        <f>_xll.BQL("CRM US Equity", "BS_ST_OPERATING_LEASE_LIABS/1M", "FPR=2022Y", "FPT=A", "FA_ACT_EST_DATA=E, EST_SOURCE=MSR", "ACT_EST_MAPPING=PRECISE", "FS=MRC", "CURRENCY=USD", "XLFILL=b")</f>
        <v/>
      </c>
      <c r="AM130" s="9" t="str">
        <f>_xll.BQL("CRM US Equity", "BS_ST_OPERATING_LEASE_LIABS/1M", "FPR=2022Y", "FPT=A", "FA_ACT_EST_DATA=E, EST_SOURCE=KGI", "ACT_EST_MAPPING=PRECISE", "FS=MRC", "CURRENCY=USD", "XLFILL=b")</f>
        <v/>
      </c>
      <c r="AN130" s="9" t="str">
        <f>_xll.BQL("CRM US Equity", "BS_ST_OPERATING_LEASE_LIABS/1M", "FPR=2022Y", "FPT=A", "FA_ACT_EST_DATA=E, EST_SOURCE=ACC", "ACT_EST_MAPPING=PRECISE", "FS=MRC", "CURRENCY=USD", "XLFILL=b")</f>
        <v/>
      </c>
      <c r="AO130" s="9" t="str">
        <f>_xll.BQL("CRM US Equity", "BS_ST_OPERATING_LEASE_LIABS/1M", "FPR=2022Y", "FPT=A", "FA_ACT_EST_DATA=E, EST_SOURCE=GSR", "ACT_EST_MAPPING=PRECISE", "FS=MRC", "CURRENCY=USD", "XLFILL=b")</f>
        <v/>
      </c>
      <c r="AP130" s="9" t="str">
        <f>_xll.BQL("CRM US Equity", "BS_ST_OPERATING_LEASE_LIABS/1M", "FPR=2022Y", "FPT=A", "FA_ACT_EST_DATA=E, EST_SOURCE=PSG", "ACT_EST_MAPPING=PRECISE", "FS=MRC", "CURRENCY=USD", "XLFILL=b")</f>
        <v/>
      </c>
      <c r="AQ130" s="9" t="str">
        <f>_xll.BQL("CRM US Equity", "BS_ST_OPERATING_LEASE_LIABS/1M", "FPR=2022Y", "FPT=A", "FA_ACT_EST_DATA=E, EST_SOURCE=DWI", "ACT_EST_MAPPING=PRECISE", "FS=MRC", "CURRENCY=USD", "XLFILL=b")</f>
        <v/>
      </c>
      <c r="AR130" s="9" t="str">
        <f>_xll.BQL("CRM US Equity", "BS_ST_OPERATING_LEASE_LIABS/1M", "FPR=2022Y", "FPT=A", "FA_ACT_EST_DATA=E, EST_SOURCE=RWB", "ACT_EST_MAPPING=PRECISE", "FS=MRC", "CURRENCY=USD", "XLFILL=b")</f>
        <v/>
      </c>
      <c r="AS130" s="9" t="str">
        <f>_xll.BQL("CRM US Equity", "BS_ST_OPERATING_LEASE_LIABS/1M", "FPR=2022Y", "FPT=A", "FA_ACT_EST_DATA=E, EST_SOURCE=ARG", "ACT_EST_MAPPING=PRECISE", "FS=MRC", "CURRENCY=USD", "XLFILL=b")</f>
        <v/>
      </c>
      <c r="AT130" s="9" t="str">
        <f>_xll.BQL("CRM US Equity", "BS_ST_OPERATING_LEASE_LIABS/1M", "FPR=2022Y", "FPT=A", "FA_ACT_EST_DATA=E, EST_SOURCE=CTI", "ACT_EST_MAPPING=PRECISE", "FS=MRC", "CURRENCY=USD", "XLFILL=b")</f>
        <v/>
      </c>
      <c r="AU130" s="9" t="str">
        <f>_xll.BQL("CRM US Equity", "BS_ST_OPERATING_LEASE_LIABS/1M", "FPR=2022Y", "FPT=A", "FA_ACT_EST_DATA=E, EST_SOURCE=WFT", "ACT_EST_MAPPING=PRECISE", "FS=MRC", "CURRENCY=USD", "XLFILL=b")</f>
        <v/>
      </c>
      <c r="AV130" s="9" t="str">
        <f>_xll.BQL("CRM US Equity", "BS_ST_OPERATING_LEASE_LIABS/1M", "FPR=2022Y", "FPT=A", "FA_ACT_EST_DATA=E, EST_SOURCE=PJE", "ACT_EST_MAPPING=PRECISE", "FS=MRC", "CURRENCY=USD", "XLFILL=b")</f>
        <v/>
      </c>
      <c r="AW130" s="9" t="str">
        <f>_xll.BQL("CRM US Equity", "BS_ST_OPERATING_LEASE_LIABS/1M", "FPR=2022Y", "FPT=A", "FA_ACT_EST_DATA=E, EST_SOURCE=SGE", "ACT_EST_MAPPING=PRECISE", "FS=MRC", "CURRENCY=USD", "XLFILL=b")</f>
        <v/>
      </c>
      <c r="AX130" s="9" t="str">
        <f>_xll.BQL("CRM US Equity", "BS_ST_OPERATING_LEASE_LIABS/1M", "FPR=2022Y", "FPT=A", "FA_ACT_EST_DATA=E, EST_SOURCE=MZS", "ACT_EST_MAPPING=PRECISE", "FS=MRC", "CURRENCY=USD", "XLFILL=b")</f>
        <v/>
      </c>
      <c r="AY130" s="9" t="str">
        <f>_xll.BQL("CRM US Equity", "BS_ST_OPERATING_LEASE_LIABS/1M", "FPR=2022Y", "FPT=A", "FA_ACT_EST_DATA=E, EST_SOURCE=RCP", "ACT_EST_MAPPING=PRECISE", "FS=MRC", "CURRENCY=USD", "XLFILL=b")</f>
        <v/>
      </c>
      <c r="AZ130" s="9" t="str">
        <f>_xll.BQL("CRM US Equity", "BS_ST_OPERATING_LEASE_LIABS/1M", "FPR=2022Y", "FPT=A", "FA_ACT_EST_DATA=E, EST_SOURCE=WFR", "ACT_EST_MAPPING=PRECISE", "FS=MRC", "CURRENCY=USD", "XLFILL=b")</f>
        <v/>
      </c>
      <c r="BA130" s="9" t="str">
        <f>_xll.BQL("CRM US Equity", "BS_ST_OPERATING_LEASE_LIABS/1M", "FPR=2022Y", "FPT=A", "FA_ACT_EST_DATA=E, EST_SOURCE=NIK", "ACT_EST_MAPPING=PRECISE", "FS=MRC", "CURRENCY=USD", "XLFILL=b")</f>
        <v/>
      </c>
      <c r="BB130" s="9" t="str">
        <f>_xll.BQL("CRM US Equity", "BS_ST_OPERATING_LEASE_LIABS/1M", "FPR=2022Y", "FPT=A", "FA_ACT_EST_DATA=E, EST_SOURCE=ARE", "ACT_EST_MAPPING=PRECISE", "FS=MRC", "CURRENCY=USD", "XLFILL=b")</f>
        <v/>
      </c>
      <c r="BC130" s="9" t="str">
        <f>_xll.BQL("CRM US Equity", "BS_ST_OPERATING_LEASE_LIABS/1M", "FPR=2022Y", "FPT=A", "FA_ACT_EST_DATA=E, EST_SOURCE=RED", "ACT_EST_MAPPING=PRECISE", "FS=MRC", "CURRENCY=USD", "XLFILL=b")</f>
        <v/>
      </c>
      <c r="BD130" s="9" t="str">
        <f>_xll.BQL("CRM US Equity", "BS_ST_OPERATING_LEASE_LIABS/1M", "FPR=2022Y", "FPT=A", "FA_ACT_EST_DATA=E, EST_SOURCE=DIR", "ACT_EST_MAPPING=PRECISE", "FS=MRC", "CURRENCY=USD", "XLFILL=b")</f>
        <v/>
      </c>
    </row>
    <row r="131" spans="1:56" x14ac:dyDescent="0.55000000000000004">
      <c r="A131" s="8" t="s">
        <v>245</v>
      </c>
      <c r="B131" s="5" t="s">
        <v>246</v>
      </c>
      <c r="C131" s="5" t="s">
        <v>247</v>
      </c>
      <c r="D131" s="5"/>
      <c r="E131" s="9">
        <f>_xll.BQL("CRM US Equity", "ST_DEFERRED_REVENUE/1M", "FPR=2022Y", "FPT=A", "FA_ACT_EST_DATA=E", "ACT_EST_MAPPING=PRECISE", "FS=MRC", "CURRENCY=USD", "XLFILL=b")</f>
        <v>15632.872291711241</v>
      </c>
      <c r="F131" s="9">
        <f>_xll.BQL("CRM US Equity", "CONTRIBUTOR_STATS(ST_DEFERRED_REVENUE, MIN)/1M", "FPR=2022Y", "FPT=A", "FA_ACT_EST_DATA=E", "ACT_EST_MAPPING=PRECISE", "FS=MRC", "CURRENCY=USD", "XLFILL=b")</f>
        <v>15255.09744</v>
      </c>
      <c r="G131" s="9">
        <f>_xll.BQL("CRM US Equity", "CONTRIBUTOR_STATS(ST_DEFERRED_REVENUE, MAX)/1M", "FPR=2022Y", "FPT=A", "FA_ACT_EST_DATA=E", "ACT_EST_MAPPING=PRECISE", "FS=MRC", "CURRENCY=USD", "XLFILL=b")</f>
        <v>16916.913</v>
      </c>
      <c r="H131" s="9">
        <f>_xll.BQL("CRM US Equity", "CONTRIBUTOR_STATS(ST_DEFERRED_REVENUE, STD)/1M", "FPR=2022Y", "FPT=A", "FA_ACT_EST_DATA=E", "ACT_EST_MAPPING=PRECISE", "FS=MRC", "CURRENCY=USD", "XLFILL=b")</f>
        <v>449.31998946263468</v>
      </c>
      <c r="I131" s="9">
        <f>_xll.BQL("CRM US Equity", "CONTRIBUTOR_STATS(ST_DEFERRED_REVENUE, MEDIAN)/1M", "FPR=2022Y", "FPT=A", "FA_ACT_EST_DATA=E", "ACT_EST_MAPPING=PRECISE", "FS=MRC", "CURRENCY=USD", "XLFILL=b")</f>
        <v>15456.0725915887</v>
      </c>
      <c r="J131" s="9" t="str">
        <f>_xll.BQL("CRM US Equity", "ST_DEFERRED_REVENUE/1M", "FPR=2022Y", "FPT=A", "FA_ACT_EST_DATA=E, EST_SOURCE=CMPY", "ACT_EST_MAPPING=PRECISE", "FS=MRC", "CURRENCY=USD", "XLFILL=b")</f>
        <v/>
      </c>
      <c r="K131" s="9" t="str">
        <f>_xll.BQL("CRM US Equity", "ST_DEFERRED_REVENUE/1M", "FPR=2022Y", "FPT=A", "FA_ACT_EST_DATA=E, EST_SOURCE=WBL", "ACT_EST_MAPPING=PRECISE", "FS=MRC", "CURRENCY=USD", "XLFILL=b")</f>
        <v/>
      </c>
      <c r="L131" s="9" t="str">
        <f>_xll.BQL("CRM US Equity", "ST_DEFERRED_REVENUE/1M", "FPR=2022Y", "FPT=A", "FA_ACT_EST_DATA=E, EST_SOURCE=BMO", "ACT_EST_MAPPING=PRECISE", "FS=MRC", "CURRENCY=USD", "XLFILL=b")</f>
        <v/>
      </c>
      <c r="M131" s="9">
        <f>_xll.BQL("CRM US Equity", "ST_DEFERRED_REVENUE/1M", "FPR=2022Y", "FPT=A", "FA_ACT_EST_DATA=E, EST_SOURCE=BCA", "ACT_EST_MAPPING=PRECISE", "FS=MRC", "CURRENCY=USD", "XLFILL=b")</f>
        <v>16007.04883925082</v>
      </c>
      <c r="N131" s="9" t="str">
        <f>_xll.BQL("CRM US Equity", "ST_DEFERRED_REVENUE/1M", "FPR=2022Y", "FPT=A", "FA_ACT_EST_DATA=E, EST_SOURCE=SNR", "ACT_EST_MAPPING=PRECISE", "FS=MRC", "CURRENCY=USD", "XLFILL=b")</f>
        <v/>
      </c>
      <c r="O131" s="9">
        <f>_xll.BQL("CRM US Equity", "ST_DEFERRED_REVENUE/1M", "FPR=2022Y", "FPT=A", "FA_ACT_EST_DATA=E, EST_SOURCE=MSV", "ACT_EST_MAPPING=PRECISE", "FS=MRC", "CURRENCY=USD", "XLFILL=b")</f>
        <v>15834.4722</v>
      </c>
      <c r="P131" s="9">
        <f>_xll.BQL("CRM US Equity", "ST_DEFERRED_REVENUE/1M", "FPR=2022Y", "FPT=A", "FA_ACT_EST_DATA=E, EST_SOURCE=DBG", "ACT_EST_MAPPING=PRECISE", "FS=MRC", "CURRENCY=USD", "XLFILL=b")</f>
        <v>15507.102999999999</v>
      </c>
      <c r="Q131" s="9">
        <f>_xll.BQL("CRM US Equity", "ST_DEFERRED_REVENUE/1M", "FPR=2022Y", "FPT=A", "FA_ACT_EST_DATA=E, EST_SOURCE=NDH", "ACT_EST_MAPPING=PRECISE", "FS=MRC", "CURRENCY=USD", "XLFILL=b")</f>
        <v>16916.913</v>
      </c>
      <c r="R131" s="9" t="str">
        <f>_xll.BQL("CRM US Equity", "ST_DEFERRED_REVENUE/1M", "FPR=2022Y", "FPT=A", "FA_ACT_EST_DATA=E, EST_SOURCE=CAN", "ACT_EST_MAPPING=PRECISE", "FS=MRC", "CURRENCY=USD", "XLFILL=b")</f>
        <v/>
      </c>
      <c r="S131" s="9" t="str">
        <f>_xll.BQL("CRM US Equity", "ST_DEFERRED_REVENUE/1M", "FPR=2022Y", "FPT=A", "FA_ACT_EST_DATA=E, EST_SOURCE=SCB", "ACT_EST_MAPPING=PRECISE", "FS=MRC", "CURRENCY=USD", "XLFILL=b")</f>
        <v/>
      </c>
      <c r="T131" s="9">
        <f>_xll.BQL("CRM US Equity", "ST_DEFERRED_REVENUE/1M", "FPR=2022Y", "FPT=A", "FA_ACT_EST_DATA=E, EST_SOURCE=JMP", "ACT_EST_MAPPING=PRECISE", "FS=MRC", "CURRENCY=USD", "XLFILL=b")</f>
        <v>15286</v>
      </c>
      <c r="U131" s="9">
        <f>_xll.BQL("CRM US Equity", "ST_DEFERRED_REVENUE/1M", "FPR=2022Y", "FPT=A", "FA_ACT_EST_DATA=E, EST_SOURCE=RJA", "ACT_EST_MAPPING=PRECISE", "FS=MRC", "CURRENCY=USD", "XLFILL=b")</f>
        <v>15397.81899</v>
      </c>
      <c r="V131" s="9" t="str">
        <f>_xll.BQL("CRM US Equity", "ST_DEFERRED_REVENUE/1M", "FPR=2022Y", "FPT=A", "FA_ACT_EST_DATA=E, EST_SOURCE=OPY", "ACT_EST_MAPPING=PRECISE", "FS=MRC", "CURRENCY=USD", "XLFILL=b")</f>
        <v/>
      </c>
      <c r="W131" s="9" t="str">
        <f>_xll.BQL("CRM US Equity", "ST_DEFERRED_REVENUE/1M", "FPR=2022Y", "FPT=A", "FA_ACT_EST_DATA=E, EST_SOURCE=JPM", "ACT_EST_MAPPING=PRECISE", "FS=MRC", "CURRENCY=USD", "XLFILL=b")</f>
        <v/>
      </c>
      <c r="X131" s="9">
        <f>_xll.BQL("CRM US Equity", "ST_DEFERRED_REVENUE/1M", "FPR=2022Y", "FPT=A", "FA_ACT_EST_DATA=E, EST_SOURCE=FBC", "ACT_EST_MAPPING=PRECISE", "FS=MRC", "CURRENCY=USD", "XLFILL=b")</f>
        <v>15236.761911890459</v>
      </c>
      <c r="Y131" s="9">
        <f>_xll.BQL("CRM US Equity", "ST_DEFERRED_REVENUE/1M", "FPR=2022Y", "FPT=A", "FA_ACT_EST_DATA=E, EST_SOURCE=WMS", "ACT_EST_MAPPING=PRECISE", "FS=MRC", "CURRENCY=USD", "XLFILL=b")</f>
        <v>14661.941000000001</v>
      </c>
      <c r="Z131" s="9">
        <f>_xll.BQL("CRM US Equity", "ST_DEFERRED_REVENUE/1M", "FPR=2022Y", "FPT=A", "FA_ACT_EST_DATA=E, EST_SOURCE=KEY", "ACT_EST_MAPPING=PRECISE", "FS=MRC", "CURRENCY=USD", "XLFILL=b")</f>
        <v>14876.26</v>
      </c>
      <c r="AA131" s="9" t="str">
        <f>_xll.BQL("CRM US Equity", "ST_DEFERRED_REVENUE/1M", "FPR=2022Y", "FPT=A", "FA_ACT_EST_DATA=E, EST_SOURCE=LCM", "ACT_EST_MAPPING=PRECISE", "FS=MRC", "CURRENCY=USD", "XLFILL=b")</f>
        <v/>
      </c>
      <c r="AB131" s="9" t="str">
        <f>_xll.BQL("CRM US Equity", "ST_DEFERRED_REVENUE/1M", "FPR=2022Y", "FPT=A", "FA_ACT_EST_DATA=E, EST_SOURCE=CWN", "ACT_EST_MAPPING=PRECISE", "FS=MRC", "CURRENCY=USD", "XLFILL=b")</f>
        <v/>
      </c>
      <c r="AC131" s="9" t="str">
        <f>_xll.BQL("CRM US Equity", "ST_DEFERRED_REVENUE/1M", "FPR=2022Y", "FPT=A", "FA_ACT_EST_DATA=E, EST_SOURCE=BNS", "ACT_EST_MAPPING=PRECISE", "FS=MRC", "CURRENCY=USD", "XLFILL=b")</f>
        <v/>
      </c>
      <c r="AD131" s="9" t="str">
        <f>_xll.BQL("CRM US Equity", "ST_DEFERRED_REVENUE/1M", "FPR=2022Y", "FPT=A", "FA_ACT_EST_DATA=E, EST_SOURCE=BAM", "ACT_EST_MAPPING=PRECISE", "FS=MRC", "CURRENCY=USD", "XLFILL=b")</f>
        <v/>
      </c>
      <c r="AE131" s="9" t="str">
        <f>_xll.BQL("CRM US Equity", "ST_DEFERRED_REVENUE/1M", "FPR=2022Y", "FPT=A", "FA_ACT_EST_DATA=E, EST_SOURCE=RBC", "ACT_EST_MAPPING=PRECISE", "FS=MRC", "CURRENCY=USD", "XLFILL=b")</f>
        <v/>
      </c>
      <c r="AF131" s="9" t="str">
        <f>_xll.BQL("CRM US Equity", "ST_DEFERRED_REVENUE/1M", "FPR=2022Y", "FPT=A", "FA_ACT_EST_DATA=E, EST_SOURCE=UBS", "ACT_EST_MAPPING=PRECISE", "FS=MRC", "CURRENCY=USD", "XLFILL=b")</f>
        <v/>
      </c>
      <c r="AG131" s="9" t="str">
        <f>_xll.BQL("CRM US Equity", "ST_DEFERRED_REVENUE/1M", "FPR=2022Y", "FPT=A", "FA_ACT_EST_DATA=E, EST_SOURCE=RHR", "ACT_EST_MAPPING=PRECISE", "FS=MRC", "CURRENCY=USD", "XLFILL=b")</f>
        <v/>
      </c>
      <c r="AH131" s="9" t="str">
        <f>_xll.BQL("CRM US Equity", "ST_DEFERRED_REVENUE/1M", "FPR=2022Y", "FPT=A", "FA_ACT_EST_DATA=E, EST_SOURCE=JEF", "ACT_EST_MAPPING=PRECISE", "FS=MRC", "CURRENCY=USD", "XLFILL=b")</f>
        <v/>
      </c>
      <c r="AI131" s="9" t="str">
        <f>_xll.BQL("CRM US Equity", "ST_DEFERRED_REVENUE/1M", "FPR=2022Y", "FPT=A", "FA_ACT_EST_DATA=E, EST_SOURCE=ATL", "ACT_EST_MAPPING=PRECISE", "FS=MRC", "CURRENCY=USD", "XLFILL=b")</f>
        <v/>
      </c>
      <c r="AJ131" s="9" t="str">
        <f>_xll.BQL("CRM US Equity", "ST_DEFERRED_REVENUE/1M", "FPR=2022Y", "FPT=A", "FA_ACT_EST_DATA=E, EST_SOURCE=MAC", "ACT_EST_MAPPING=PRECISE", "FS=MRC", "CURRENCY=USD", "XLFILL=b")</f>
        <v/>
      </c>
      <c r="AK131" s="9" t="str">
        <f>_xll.BQL("CRM US Equity", "ST_DEFERRED_REVENUE/1M", "FPR=2022Y", "FPT=A", "FA_ACT_EST_DATA=E, EST_SOURCE=EVR", "ACT_EST_MAPPING=PRECISE", "FS=MRC", "CURRENCY=USD", "XLFILL=b")</f>
        <v/>
      </c>
      <c r="AL131" s="9" t="str">
        <f>_xll.BQL("CRM US Equity", "ST_DEFERRED_REVENUE/1M", "FPR=2022Y", "FPT=A", "FA_ACT_EST_DATA=E, EST_SOURCE=MSR", "ACT_EST_MAPPING=PRECISE", "FS=MRC", "CURRENCY=USD", "XLFILL=b")</f>
        <v/>
      </c>
      <c r="AM131" s="9" t="str">
        <f>_xll.BQL("CRM US Equity", "ST_DEFERRED_REVENUE/1M", "FPR=2022Y", "FPT=A", "FA_ACT_EST_DATA=E, EST_SOURCE=KGI", "ACT_EST_MAPPING=PRECISE", "FS=MRC", "CURRENCY=USD", "XLFILL=b")</f>
        <v/>
      </c>
      <c r="AN131" s="9" t="str">
        <f>_xll.BQL("CRM US Equity", "ST_DEFERRED_REVENUE/1M", "FPR=2022Y", "FPT=A", "FA_ACT_EST_DATA=E, EST_SOURCE=ACC", "ACT_EST_MAPPING=PRECISE", "FS=MRC", "CURRENCY=USD", "XLFILL=b")</f>
        <v/>
      </c>
      <c r="AO131" s="9" t="str">
        <f>_xll.BQL("CRM US Equity", "ST_DEFERRED_REVENUE/1M", "FPR=2022Y", "FPT=A", "FA_ACT_EST_DATA=E, EST_SOURCE=GSR", "ACT_EST_MAPPING=PRECISE", "FS=MRC", "CURRENCY=USD", "XLFILL=b")</f>
        <v/>
      </c>
      <c r="AP131" s="9" t="str">
        <f>_xll.BQL("CRM US Equity", "ST_DEFERRED_REVENUE/1M", "FPR=2022Y", "FPT=A", "FA_ACT_EST_DATA=E, EST_SOURCE=PSG", "ACT_EST_MAPPING=PRECISE", "FS=MRC", "CURRENCY=USD", "XLFILL=b")</f>
        <v/>
      </c>
      <c r="AQ131" s="9" t="str">
        <f>_xll.BQL("CRM US Equity", "ST_DEFERRED_REVENUE/1M", "FPR=2022Y", "FPT=A", "FA_ACT_EST_DATA=E, EST_SOURCE=DWI", "ACT_EST_MAPPING=PRECISE", "FS=MRC", "CURRENCY=USD", "XLFILL=b")</f>
        <v/>
      </c>
      <c r="AR131" s="9" t="str">
        <f>_xll.BQL("CRM US Equity", "ST_DEFERRED_REVENUE/1M", "FPR=2022Y", "FPT=A", "FA_ACT_EST_DATA=E, EST_SOURCE=RWB", "ACT_EST_MAPPING=PRECISE", "FS=MRC", "CURRENCY=USD", "XLFILL=b")</f>
        <v/>
      </c>
      <c r="AS131" s="9" t="str">
        <f>_xll.BQL("CRM US Equity", "ST_DEFERRED_REVENUE/1M", "FPR=2022Y", "FPT=A", "FA_ACT_EST_DATA=E, EST_SOURCE=ARG", "ACT_EST_MAPPING=PRECISE", "FS=MRC", "CURRENCY=USD", "XLFILL=b")</f>
        <v/>
      </c>
      <c r="AT131" s="9" t="str">
        <f>_xll.BQL("CRM US Equity", "ST_DEFERRED_REVENUE/1M", "FPR=2022Y", "FPT=A", "FA_ACT_EST_DATA=E, EST_SOURCE=CTI", "ACT_EST_MAPPING=PRECISE", "FS=MRC", "CURRENCY=USD", "XLFILL=b")</f>
        <v/>
      </c>
      <c r="AU131" s="9" t="str">
        <f>_xll.BQL("CRM US Equity", "ST_DEFERRED_REVENUE/1M", "FPR=2022Y", "FPT=A", "FA_ACT_EST_DATA=E, EST_SOURCE=WFT", "ACT_EST_MAPPING=PRECISE", "FS=MRC", "CURRENCY=USD", "XLFILL=b")</f>
        <v/>
      </c>
      <c r="AV131" s="9" t="str">
        <f>_xll.BQL("CRM US Equity", "ST_DEFERRED_REVENUE/1M", "FPR=2022Y", "FPT=A", "FA_ACT_EST_DATA=E, EST_SOURCE=PJE", "ACT_EST_MAPPING=PRECISE", "FS=MRC", "CURRENCY=USD", "XLFILL=b")</f>
        <v/>
      </c>
      <c r="AW131" s="9" t="str">
        <f>_xll.BQL("CRM US Equity", "ST_DEFERRED_REVENUE/1M", "FPR=2022Y", "FPT=A", "FA_ACT_EST_DATA=E, EST_SOURCE=SGE", "ACT_EST_MAPPING=PRECISE", "FS=MRC", "CURRENCY=USD", "XLFILL=b")</f>
        <v/>
      </c>
      <c r="AX131" s="9" t="str">
        <f>_xll.BQL("CRM US Equity", "ST_DEFERRED_REVENUE/1M", "FPR=2022Y", "FPT=A", "FA_ACT_EST_DATA=E, EST_SOURCE=MZS", "ACT_EST_MAPPING=PRECISE", "FS=MRC", "CURRENCY=USD", "XLFILL=b")</f>
        <v/>
      </c>
      <c r="AY131" s="9" t="str">
        <f>_xll.BQL("CRM US Equity", "ST_DEFERRED_REVENUE/1M", "FPR=2022Y", "FPT=A", "FA_ACT_EST_DATA=E, EST_SOURCE=RCP", "ACT_EST_MAPPING=PRECISE", "FS=MRC", "CURRENCY=USD", "XLFILL=b")</f>
        <v/>
      </c>
      <c r="AZ131" s="9" t="str">
        <f>_xll.BQL("CRM US Equity", "ST_DEFERRED_REVENUE/1M", "FPR=2022Y", "FPT=A", "FA_ACT_EST_DATA=E, EST_SOURCE=WFR", "ACT_EST_MAPPING=PRECISE", "FS=MRC", "CURRENCY=USD", "XLFILL=b")</f>
        <v/>
      </c>
      <c r="BA131" s="9" t="str">
        <f>_xll.BQL("CRM US Equity", "ST_DEFERRED_REVENUE/1M", "FPR=2022Y", "FPT=A", "FA_ACT_EST_DATA=E, EST_SOURCE=NIK", "ACT_EST_MAPPING=PRECISE", "FS=MRC", "CURRENCY=USD", "XLFILL=b")</f>
        <v/>
      </c>
      <c r="BB131" s="9" t="str">
        <f>_xll.BQL("CRM US Equity", "ST_DEFERRED_REVENUE/1M", "FPR=2022Y", "FPT=A", "FA_ACT_EST_DATA=E, EST_SOURCE=ARE", "ACT_EST_MAPPING=PRECISE", "FS=MRC", "CURRENCY=USD", "XLFILL=b")</f>
        <v/>
      </c>
      <c r="BC131" s="9" t="str">
        <f>_xll.BQL("CRM US Equity", "ST_DEFERRED_REVENUE/1M", "FPR=2022Y", "FPT=A", "FA_ACT_EST_DATA=E, EST_SOURCE=RED", "ACT_EST_MAPPING=PRECISE", "FS=MRC", "CURRENCY=USD", "XLFILL=b")</f>
        <v/>
      </c>
      <c r="BD131" s="9" t="str">
        <f>_xll.BQL("CRM US Equity", "ST_DEFERRED_REVENUE/1M", "FPR=2022Y", "FPT=A", "FA_ACT_EST_DATA=E, EST_SOURCE=DIR", "ACT_EST_MAPPING=PRECISE", "FS=MRC", "CURRENCY=USD", "XLFILL=b")</f>
        <v/>
      </c>
    </row>
    <row r="132" spans="1:56" x14ac:dyDescent="0.55000000000000004">
      <c r="A132" s="8" t="s">
        <v>248</v>
      </c>
      <c r="B132" s="5" t="s">
        <v>249</v>
      </c>
      <c r="C132" s="5" t="s">
        <v>250</v>
      </c>
      <c r="D132" s="5"/>
      <c r="E132" s="9">
        <f>_xll.BQL("CRM US Equity", "BS_ADJ_TOTAL_LT_LIABILITIES/1M", "FPR=2022Y", "FPT=A", "FA_ACT_EST_DATA=E", "ACT_EST_MAPPING=PRECISE", "FS=MRC", "CURRENCY=USD", "XLFILL=b")</f>
        <v>15388.09519892887</v>
      </c>
      <c r="F132" s="9">
        <f>_xll.BQL("CRM US Equity", "CONTRIBUTOR_STATS(BS_ADJ_TOTAL_LT_LIABILITIES, MIN)/1M", "FPR=2022Y", "FPT=A", "FA_ACT_EST_DATA=E", "ACT_EST_MAPPING=PRECISE", "FS=MRC", "CURRENCY=USD", "XLFILL=b")</f>
        <v>15347</v>
      </c>
      <c r="G132" s="9">
        <f>_xll.BQL("CRM US Equity", "CONTRIBUTOR_STATS(BS_ADJ_TOTAL_LT_LIABILITIES, MAX)/1M", "FPR=2022Y", "FPT=A", "FA_ACT_EST_DATA=E", "ACT_EST_MAPPING=PRECISE", "FS=MRC", "CURRENCY=USD", "XLFILL=b")</f>
        <v>15470.285596786609</v>
      </c>
      <c r="H132" s="9">
        <f>_xll.BQL("CRM US Equity", "CONTRIBUTOR_STATS(BS_ADJ_TOTAL_LT_LIABILITIES, STD)/1M", "FPR=2022Y", "FPT=A", "FA_ACT_EST_DATA=E", "ACT_EST_MAPPING=PRECISE", "FS=MRC", "CURRENCY=USD", "XLFILL=b")</f>
        <v>71.178972491952749</v>
      </c>
      <c r="I132" s="9">
        <f>_xll.BQL("CRM US Equity", "CONTRIBUTOR_STATS(BS_ADJ_TOTAL_LT_LIABILITIES, MEDIAN)/1M", "FPR=2022Y", "FPT=A", "FA_ACT_EST_DATA=E", "ACT_EST_MAPPING=PRECISE", "FS=MRC", "CURRENCY=USD", "XLFILL=b")</f>
        <v>15347</v>
      </c>
      <c r="J132" s="9" t="str">
        <f>_xll.BQL("CRM US Equity", "BS_ADJ_TOTAL_LT_LIABILITIES/1M", "FPR=2022Y", "FPT=A", "FA_ACT_EST_DATA=E, EST_SOURCE=CMPY", "ACT_EST_MAPPING=PRECISE", "FS=MRC", "CURRENCY=USD", "XLFILL=b")</f>
        <v/>
      </c>
      <c r="K132" s="9" t="str">
        <f>_xll.BQL("CRM US Equity", "BS_ADJ_TOTAL_LT_LIABILITIES/1M", "FPR=2022Y", "FPT=A", "FA_ACT_EST_DATA=E, EST_SOURCE=WBL", "ACT_EST_MAPPING=PRECISE", "FS=MRC", "CURRENCY=USD", "XLFILL=b")</f>
        <v/>
      </c>
      <c r="L132" s="9" t="str">
        <f>_xll.BQL("CRM US Equity", "BS_ADJ_TOTAL_LT_LIABILITIES/1M", "FPR=2022Y", "FPT=A", "FA_ACT_EST_DATA=E, EST_SOURCE=BMO", "ACT_EST_MAPPING=PRECISE", "FS=MRC", "CURRENCY=USD", "XLFILL=b")</f>
        <v/>
      </c>
      <c r="M132" s="9">
        <f>_xll.BQL("CRM US Equity", "BS_ADJ_TOTAL_LT_LIABILITIES/1M", "FPR=2022Y", "FPT=A", "FA_ACT_EST_DATA=E, EST_SOURCE=BCA", "ACT_EST_MAPPING=PRECISE", "FS=MRC", "CURRENCY=USD", "XLFILL=b")</f>
        <v>15347</v>
      </c>
      <c r="N132" s="9" t="str">
        <f>_xll.BQL("CRM US Equity", "BS_ADJ_TOTAL_LT_LIABILITIES/1M", "FPR=2022Y", "FPT=A", "FA_ACT_EST_DATA=E, EST_SOURCE=SNR", "ACT_EST_MAPPING=PRECISE", "FS=MRC", "CURRENCY=USD", "XLFILL=b")</f>
        <v/>
      </c>
      <c r="O132" s="9" t="str">
        <f>_xll.BQL("CRM US Equity", "BS_ADJ_TOTAL_LT_LIABILITIES/1M", "FPR=2022Y", "FPT=A", "FA_ACT_EST_DATA=E, EST_SOURCE=MSV", "ACT_EST_MAPPING=PRECISE", "FS=MRC", "CURRENCY=USD", "XLFILL=b")</f>
        <v/>
      </c>
      <c r="P132" s="9" t="str">
        <f>_xll.BQL("CRM US Equity", "BS_ADJ_TOTAL_LT_LIABILITIES/1M", "FPR=2022Y", "FPT=A", "FA_ACT_EST_DATA=E, EST_SOURCE=DBG", "ACT_EST_MAPPING=PRECISE", "FS=MRC", "CURRENCY=USD", "XLFILL=b")</f>
        <v/>
      </c>
      <c r="Q132" s="9" t="str">
        <f>_xll.BQL("CRM US Equity", "BS_ADJ_TOTAL_LT_LIABILITIES/1M", "FPR=2022Y", "FPT=A", "FA_ACT_EST_DATA=E, EST_SOURCE=NDH", "ACT_EST_MAPPING=PRECISE", "FS=MRC", "CURRENCY=USD", "XLFILL=b")</f>
        <v/>
      </c>
      <c r="R132" s="9" t="str">
        <f>_xll.BQL("CRM US Equity", "BS_ADJ_TOTAL_LT_LIABILITIES/1M", "FPR=2022Y", "FPT=A", "FA_ACT_EST_DATA=E, EST_SOURCE=CAN", "ACT_EST_MAPPING=PRECISE", "FS=MRC", "CURRENCY=USD", "XLFILL=b")</f>
        <v/>
      </c>
      <c r="S132" s="9" t="str">
        <f>_xll.BQL("CRM US Equity", "BS_ADJ_TOTAL_LT_LIABILITIES/1M", "FPR=2022Y", "FPT=A", "FA_ACT_EST_DATA=E, EST_SOURCE=SCB", "ACT_EST_MAPPING=PRECISE", "FS=MRC", "CURRENCY=USD", "XLFILL=b")</f>
        <v/>
      </c>
      <c r="T132" s="9" t="str">
        <f>_xll.BQL("CRM US Equity", "BS_ADJ_TOTAL_LT_LIABILITIES/1M", "FPR=2022Y", "FPT=A", "FA_ACT_EST_DATA=E, EST_SOURCE=JMP", "ACT_EST_MAPPING=PRECISE", "FS=MRC", "CURRENCY=USD", "XLFILL=b")</f>
        <v/>
      </c>
      <c r="U132" s="9" t="str">
        <f>_xll.BQL("CRM US Equity", "BS_ADJ_TOTAL_LT_LIABILITIES/1M", "FPR=2022Y", "FPT=A", "FA_ACT_EST_DATA=E, EST_SOURCE=RJA", "ACT_EST_MAPPING=PRECISE", "FS=MRC", "CURRENCY=USD", "XLFILL=b")</f>
        <v/>
      </c>
      <c r="V132" s="9" t="str">
        <f>_xll.BQL("CRM US Equity", "BS_ADJ_TOTAL_LT_LIABILITIES/1M", "FPR=2022Y", "FPT=A", "FA_ACT_EST_DATA=E, EST_SOURCE=OPY", "ACT_EST_MAPPING=PRECISE", "FS=MRC", "CURRENCY=USD", "XLFILL=b")</f>
        <v/>
      </c>
      <c r="W132" s="9" t="str">
        <f>_xll.BQL("CRM US Equity", "BS_ADJ_TOTAL_LT_LIABILITIES/1M", "FPR=2022Y", "FPT=A", "FA_ACT_EST_DATA=E, EST_SOURCE=JPM", "ACT_EST_MAPPING=PRECISE", "FS=MRC", "CURRENCY=USD", "XLFILL=b")</f>
        <v/>
      </c>
      <c r="X132" s="9">
        <f>_xll.BQL("CRM US Equity", "BS_ADJ_TOTAL_LT_LIABILITIES/1M", "FPR=2022Y", "FPT=A", "FA_ACT_EST_DATA=E, EST_SOURCE=FBC", "ACT_EST_MAPPING=PRECISE", "FS=MRC", "CURRENCY=USD", "XLFILL=b")</f>
        <v>15745</v>
      </c>
      <c r="Y132" s="9" t="str">
        <f>_xll.BQL("CRM US Equity", "BS_ADJ_TOTAL_LT_LIABILITIES/1M", "FPR=2022Y", "FPT=A", "FA_ACT_EST_DATA=E, EST_SOURCE=WMS", "ACT_EST_MAPPING=PRECISE", "FS=MRC", "CURRENCY=USD", "XLFILL=b")</f>
        <v/>
      </c>
      <c r="Z132" s="9" t="str">
        <f>_xll.BQL("CRM US Equity", "BS_ADJ_TOTAL_LT_LIABILITIES/1M", "FPR=2022Y", "FPT=A", "FA_ACT_EST_DATA=E, EST_SOURCE=KEY", "ACT_EST_MAPPING=PRECISE", "FS=MRC", "CURRENCY=USD", "XLFILL=b")</f>
        <v/>
      </c>
      <c r="AA132" s="9" t="str">
        <f>_xll.BQL("CRM US Equity", "BS_ADJ_TOTAL_LT_LIABILITIES/1M", "FPR=2022Y", "FPT=A", "FA_ACT_EST_DATA=E, EST_SOURCE=LCM", "ACT_EST_MAPPING=PRECISE", "FS=MRC", "CURRENCY=USD", "XLFILL=b")</f>
        <v/>
      </c>
      <c r="AB132" s="9" t="str">
        <f>_xll.BQL("CRM US Equity", "BS_ADJ_TOTAL_LT_LIABILITIES/1M", "FPR=2022Y", "FPT=A", "FA_ACT_EST_DATA=E, EST_SOURCE=CWN", "ACT_EST_MAPPING=PRECISE", "FS=MRC", "CURRENCY=USD", "XLFILL=b")</f>
        <v/>
      </c>
      <c r="AC132" s="9" t="str">
        <f>_xll.BQL("CRM US Equity", "BS_ADJ_TOTAL_LT_LIABILITIES/1M", "FPR=2022Y", "FPT=A", "FA_ACT_EST_DATA=E, EST_SOURCE=BNS", "ACT_EST_MAPPING=PRECISE", "FS=MRC", "CURRENCY=USD", "XLFILL=b")</f>
        <v/>
      </c>
      <c r="AD132" s="9" t="str">
        <f>_xll.BQL("CRM US Equity", "BS_ADJ_TOTAL_LT_LIABILITIES/1M", "FPR=2022Y", "FPT=A", "FA_ACT_EST_DATA=E, EST_SOURCE=BAM", "ACT_EST_MAPPING=PRECISE", "FS=MRC", "CURRENCY=USD", "XLFILL=b")</f>
        <v/>
      </c>
      <c r="AE132" s="9" t="str">
        <f>_xll.BQL("CRM US Equity", "BS_ADJ_TOTAL_LT_LIABILITIES/1M", "FPR=2022Y", "FPT=A", "FA_ACT_EST_DATA=E, EST_SOURCE=RBC", "ACT_EST_MAPPING=PRECISE", "FS=MRC", "CURRENCY=USD", "XLFILL=b")</f>
        <v/>
      </c>
      <c r="AF132" s="9" t="str">
        <f>_xll.BQL("CRM US Equity", "BS_ADJ_TOTAL_LT_LIABILITIES/1M", "FPR=2022Y", "FPT=A", "FA_ACT_EST_DATA=E, EST_SOURCE=UBS", "ACT_EST_MAPPING=PRECISE", "FS=MRC", "CURRENCY=USD", "XLFILL=b")</f>
        <v/>
      </c>
      <c r="AG132" s="9" t="str">
        <f>_xll.BQL("CRM US Equity", "BS_ADJ_TOTAL_LT_LIABILITIES/1M", "FPR=2022Y", "FPT=A", "FA_ACT_EST_DATA=E, EST_SOURCE=RHR", "ACT_EST_MAPPING=PRECISE", "FS=MRC", "CURRENCY=USD", "XLFILL=b")</f>
        <v/>
      </c>
      <c r="AH132" s="9" t="str">
        <f>_xll.BQL("CRM US Equity", "BS_ADJ_TOTAL_LT_LIABILITIES/1M", "FPR=2022Y", "FPT=A", "FA_ACT_EST_DATA=E, EST_SOURCE=JEF", "ACT_EST_MAPPING=PRECISE", "FS=MRC", "CURRENCY=USD", "XLFILL=b")</f>
        <v/>
      </c>
      <c r="AI132" s="9" t="str">
        <f>_xll.BQL("CRM US Equity", "BS_ADJ_TOTAL_LT_LIABILITIES/1M", "FPR=2022Y", "FPT=A", "FA_ACT_EST_DATA=E, EST_SOURCE=ATL", "ACT_EST_MAPPING=PRECISE", "FS=MRC", "CURRENCY=USD", "XLFILL=b")</f>
        <v/>
      </c>
      <c r="AJ132" s="9" t="str">
        <f>_xll.BQL("CRM US Equity", "BS_ADJ_TOTAL_LT_LIABILITIES/1M", "FPR=2022Y", "FPT=A", "FA_ACT_EST_DATA=E, EST_SOURCE=MAC", "ACT_EST_MAPPING=PRECISE", "FS=MRC", "CURRENCY=USD", "XLFILL=b")</f>
        <v/>
      </c>
      <c r="AK132" s="9" t="str">
        <f>_xll.BQL("CRM US Equity", "BS_ADJ_TOTAL_LT_LIABILITIES/1M", "FPR=2022Y", "FPT=A", "FA_ACT_EST_DATA=E, EST_SOURCE=EVR", "ACT_EST_MAPPING=PRECISE", "FS=MRC", "CURRENCY=USD", "XLFILL=b")</f>
        <v/>
      </c>
      <c r="AL132" s="9" t="str">
        <f>_xll.BQL("CRM US Equity", "BS_ADJ_TOTAL_LT_LIABILITIES/1M", "FPR=2022Y", "FPT=A", "FA_ACT_EST_DATA=E, EST_SOURCE=MSR", "ACT_EST_MAPPING=PRECISE", "FS=MRC", "CURRENCY=USD", "XLFILL=b")</f>
        <v/>
      </c>
      <c r="AM132" s="9" t="str">
        <f>_xll.BQL("CRM US Equity", "BS_ADJ_TOTAL_LT_LIABILITIES/1M", "FPR=2022Y", "FPT=A", "FA_ACT_EST_DATA=E, EST_SOURCE=KGI", "ACT_EST_MAPPING=PRECISE", "FS=MRC", "CURRENCY=USD", "XLFILL=b")</f>
        <v/>
      </c>
      <c r="AN132" s="9" t="str">
        <f>_xll.BQL("CRM US Equity", "BS_ADJ_TOTAL_LT_LIABILITIES/1M", "FPR=2022Y", "FPT=A", "FA_ACT_EST_DATA=E, EST_SOURCE=ACC", "ACT_EST_MAPPING=PRECISE", "FS=MRC", "CURRENCY=USD", "XLFILL=b")</f>
        <v/>
      </c>
      <c r="AO132" s="9" t="str">
        <f>_xll.BQL("CRM US Equity", "BS_ADJ_TOTAL_LT_LIABILITIES/1M", "FPR=2022Y", "FPT=A", "FA_ACT_EST_DATA=E, EST_SOURCE=GSR", "ACT_EST_MAPPING=PRECISE", "FS=MRC", "CURRENCY=USD", "XLFILL=b")</f>
        <v/>
      </c>
      <c r="AP132" s="9" t="str">
        <f>_xll.BQL("CRM US Equity", "BS_ADJ_TOTAL_LT_LIABILITIES/1M", "FPR=2022Y", "FPT=A", "FA_ACT_EST_DATA=E, EST_SOURCE=PSG", "ACT_EST_MAPPING=PRECISE", "FS=MRC", "CURRENCY=USD", "XLFILL=b")</f>
        <v/>
      </c>
      <c r="AQ132" s="9" t="str">
        <f>_xll.BQL("CRM US Equity", "BS_ADJ_TOTAL_LT_LIABILITIES/1M", "FPR=2022Y", "FPT=A", "FA_ACT_EST_DATA=E, EST_SOURCE=DWI", "ACT_EST_MAPPING=PRECISE", "FS=MRC", "CURRENCY=USD", "XLFILL=b")</f>
        <v/>
      </c>
      <c r="AR132" s="9" t="str">
        <f>_xll.BQL("CRM US Equity", "BS_ADJ_TOTAL_LT_LIABILITIES/1M", "FPR=2022Y", "FPT=A", "FA_ACT_EST_DATA=E, EST_SOURCE=RWB", "ACT_EST_MAPPING=PRECISE", "FS=MRC", "CURRENCY=USD", "XLFILL=b")</f>
        <v/>
      </c>
      <c r="AS132" s="9" t="str">
        <f>_xll.BQL("CRM US Equity", "BS_ADJ_TOTAL_LT_LIABILITIES/1M", "FPR=2022Y", "FPT=A", "FA_ACT_EST_DATA=E, EST_SOURCE=ARG", "ACT_EST_MAPPING=PRECISE", "FS=MRC", "CURRENCY=USD", "XLFILL=b")</f>
        <v/>
      </c>
      <c r="AT132" s="9" t="str">
        <f>_xll.BQL("CRM US Equity", "BS_ADJ_TOTAL_LT_LIABILITIES/1M", "FPR=2022Y", "FPT=A", "FA_ACT_EST_DATA=E, EST_SOURCE=CTI", "ACT_EST_MAPPING=PRECISE", "FS=MRC", "CURRENCY=USD", "XLFILL=b")</f>
        <v/>
      </c>
      <c r="AU132" s="9" t="str">
        <f>_xll.BQL("CRM US Equity", "BS_ADJ_TOTAL_LT_LIABILITIES/1M", "FPR=2022Y", "FPT=A", "FA_ACT_EST_DATA=E, EST_SOURCE=WFT", "ACT_EST_MAPPING=PRECISE", "FS=MRC", "CURRENCY=USD", "XLFILL=b")</f>
        <v/>
      </c>
      <c r="AV132" s="9" t="str">
        <f>_xll.BQL("CRM US Equity", "BS_ADJ_TOTAL_LT_LIABILITIES/1M", "FPR=2022Y", "FPT=A", "FA_ACT_EST_DATA=E, EST_SOURCE=PJE", "ACT_EST_MAPPING=PRECISE", "FS=MRC", "CURRENCY=USD", "XLFILL=b")</f>
        <v/>
      </c>
      <c r="AW132" s="9" t="str">
        <f>_xll.BQL("CRM US Equity", "BS_ADJ_TOTAL_LT_LIABILITIES/1M", "FPR=2022Y", "FPT=A", "FA_ACT_EST_DATA=E, EST_SOURCE=SGE", "ACT_EST_MAPPING=PRECISE", "FS=MRC", "CURRENCY=USD", "XLFILL=b")</f>
        <v/>
      </c>
      <c r="AX132" s="9" t="str">
        <f>_xll.BQL("CRM US Equity", "BS_ADJ_TOTAL_LT_LIABILITIES/1M", "FPR=2022Y", "FPT=A", "FA_ACT_EST_DATA=E, EST_SOURCE=MZS", "ACT_EST_MAPPING=PRECISE", "FS=MRC", "CURRENCY=USD", "XLFILL=b")</f>
        <v/>
      </c>
      <c r="AY132" s="9" t="str">
        <f>_xll.BQL("CRM US Equity", "BS_ADJ_TOTAL_LT_LIABILITIES/1M", "FPR=2022Y", "FPT=A", "FA_ACT_EST_DATA=E, EST_SOURCE=RCP", "ACT_EST_MAPPING=PRECISE", "FS=MRC", "CURRENCY=USD", "XLFILL=b")</f>
        <v/>
      </c>
      <c r="AZ132" s="9" t="str">
        <f>_xll.BQL("CRM US Equity", "BS_ADJ_TOTAL_LT_LIABILITIES/1M", "FPR=2022Y", "FPT=A", "FA_ACT_EST_DATA=E, EST_SOURCE=WFR", "ACT_EST_MAPPING=PRECISE", "FS=MRC", "CURRENCY=USD", "XLFILL=b")</f>
        <v/>
      </c>
      <c r="BA132" s="9" t="str">
        <f>_xll.BQL("CRM US Equity", "BS_ADJ_TOTAL_LT_LIABILITIES/1M", "FPR=2022Y", "FPT=A", "FA_ACT_EST_DATA=E, EST_SOURCE=NIK", "ACT_EST_MAPPING=PRECISE", "FS=MRC", "CURRENCY=USD", "XLFILL=b")</f>
        <v/>
      </c>
      <c r="BB132" s="9" t="str">
        <f>_xll.BQL("CRM US Equity", "BS_ADJ_TOTAL_LT_LIABILITIES/1M", "FPR=2022Y", "FPT=A", "FA_ACT_EST_DATA=E, EST_SOURCE=ARE", "ACT_EST_MAPPING=PRECISE", "FS=MRC", "CURRENCY=USD", "XLFILL=b")</f>
        <v/>
      </c>
      <c r="BC132" s="9" t="str">
        <f>_xll.BQL("CRM US Equity", "BS_ADJ_TOTAL_LT_LIABILITIES/1M", "FPR=2022Y", "FPT=A", "FA_ACT_EST_DATA=E, EST_SOURCE=RED", "ACT_EST_MAPPING=PRECISE", "FS=MRC", "CURRENCY=USD", "XLFILL=b")</f>
        <v/>
      </c>
      <c r="BD132" s="9" t="str">
        <f>_xll.BQL("CRM US Equity", "BS_ADJ_TOTAL_LT_LIABILITIES/1M", "FPR=2022Y", "FPT=A", "FA_ACT_EST_DATA=E, EST_SOURCE=DIR", "ACT_EST_MAPPING=PRECISE", "FS=MRC", "CURRENCY=USD", "XLFILL=b")</f>
        <v/>
      </c>
    </row>
    <row r="133" spans="1:56" x14ac:dyDescent="0.55000000000000004">
      <c r="A133" s="8" t="s">
        <v>251</v>
      </c>
      <c r="B133" s="5" t="s">
        <v>252</v>
      </c>
      <c r="C133" s="5" t="s">
        <v>253</v>
      </c>
      <c r="D133" s="5"/>
      <c r="E133" s="9">
        <f>_xll.BQL("CRM US Equity", "BS_LONG_TERM_BORROWINGS/1M", "FPR=2022Y", "FPT=A", "FA_ACT_EST_DATA=E", "ACT_EST_MAPPING=PRECISE", "FS=MRC", "CURRENCY=USD", "XLFILL=b")</f>
        <v>12271.33333333333</v>
      </c>
      <c r="F133" s="9">
        <f>_xll.BQL("CRM US Equity", "CONTRIBUTOR_STATS(BS_LONG_TERM_BORROWINGS, MIN)/1M", "FPR=2022Y", "FPT=A", "FA_ACT_EST_DATA=E", "ACT_EST_MAPPING=PRECISE", "FS=MRC", "CURRENCY=USD", "XLFILL=b")</f>
        <v>10591</v>
      </c>
      <c r="G133" s="9">
        <f>_xll.BQL("CRM US Equity", "CONTRIBUTOR_STATS(BS_LONG_TERM_BORROWINGS, MAX)/1M", "FPR=2022Y", "FPT=A", "FA_ACT_EST_DATA=E", "ACT_EST_MAPPING=PRECISE", "FS=MRC", "CURRENCY=USD", "XLFILL=b")</f>
        <v>20673</v>
      </c>
      <c r="H133" s="9">
        <f>_xll.BQL("CRM US Equity", "CONTRIBUTOR_STATS(BS_LONG_TERM_BORROWINGS, STD)/1M", "FPR=2022Y", "FPT=A", "FA_ACT_EST_DATA=E", "ACT_EST_MAPPING=PRECISE", "FS=MRC", "CURRENCY=USD", "XLFILL=b")</f>
        <v>4115.9592644566674</v>
      </c>
      <c r="I133" s="9">
        <f>_xll.BQL("CRM US Equity", "CONTRIBUTOR_STATS(BS_LONG_TERM_BORROWINGS, MEDIAN)/1M", "FPR=2022Y", "FPT=A", "FA_ACT_EST_DATA=E", "ACT_EST_MAPPING=PRECISE", "FS=MRC", "CURRENCY=USD", "XLFILL=b")</f>
        <v>10591</v>
      </c>
      <c r="J133" s="9" t="str">
        <f>_xll.BQL("CRM US Equity", "BS_LONG_TERM_BORROWINGS/1M", "FPR=2022Y", "FPT=A", "FA_ACT_EST_DATA=E, EST_SOURCE=CMPY", "ACT_EST_MAPPING=PRECISE", "FS=MRC", "CURRENCY=USD", "XLFILL=b")</f>
        <v/>
      </c>
      <c r="K133" s="9" t="str">
        <f>_xll.BQL("CRM US Equity", "BS_LONG_TERM_BORROWINGS/1M", "FPR=2022Y", "FPT=A", "FA_ACT_EST_DATA=E, EST_SOURCE=WBL", "ACT_EST_MAPPING=PRECISE", "FS=MRC", "CURRENCY=USD", "XLFILL=b")</f>
        <v/>
      </c>
      <c r="L133" s="9" t="str">
        <f>_xll.BQL("CRM US Equity", "BS_LONG_TERM_BORROWINGS/1M", "FPR=2022Y", "FPT=A", "FA_ACT_EST_DATA=E, EST_SOURCE=BMO", "ACT_EST_MAPPING=PRECISE", "FS=MRC", "CURRENCY=USD", "XLFILL=b")</f>
        <v/>
      </c>
      <c r="M133" s="9">
        <f>_xll.BQL("CRM US Equity", "BS_LONG_TERM_BORROWINGS/1M", "FPR=2022Y", "FPT=A", "FA_ACT_EST_DATA=E, EST_SOURCE=BCA", "ACT_EST_MAPPING=PRECISE", "FS=MRC", "CURRENCY=USD", "XLFILL=b")</f>
        <v>10591</v>
      </c>
      <c r="N133" s="9" t="str">
        <f>_xll.BQL("CRM US Equity", "BS_LONG_TERM_BORROWINGS/1M", "FPR=2022Y", "FPT=A", "FA_ACT_EST_DATA=E, EST_SOURCE=SNR", "ACT_EST_MAPPING=PRECISE", "FS=MRC", "CURRENCY=USD", "XLFILL=b")</f>
        <v/>
      </c>
      <c r="O133" s="9">
        <f>_xll.BQL("CRM US Equity", "BS_LONG_TERM_BORROWINGS/1M", "FPR=2022Y", "FPT=A", "FA_ACT_EST_DATA=E, EST_SOURCE=MSV", "ACT_EST_MAPPING=PRECISE", "FS=MRC", "CURRENCY=USD", "XLFILL=b")</f>
        <v>20673</v>
      </c>
      <c r="P133" s="9">
        <f>_xll.BQL("CRM US Equity", "BS_LONG_TERM_BORROWINGS/1M", "FPR=2022Y", "FPT=A", "FA_ACT_EST_DATA=E, EST_SOURCE=DBG", "ACT_EST_MAPPING=PRECISE", "FS=MRC", "CURRENCY=USD", "XLFILL=b")</f>
        <v>10591</v>
      </c>
      <c r="Q133" s="9" t="str">
        <f>_xll.BQL("CRM US Equity", "BS_LONG_TERM_BORROWINGS/1M", "FPR=2022Y", "FPT=A", "FA_ACT_EST_DATA=E, EST_SOURCE=NDH", "ACT_EST_MAPPING=PRECISE", "FS=MRC", "CURRENCY=USD", "XLFILL=b")</f>
        <v/>
      </c>
      <c r="R133" s="9" t="str">
        <f>_xll.BQL("CRM US Equity", "BS_LONG_TERM_BORROWINGS/1M", "FPR=2022Y", "FPT=A", "FA_ACT_EST_DATA=E, EST_SOURCE=CAN", "ACT_EST_MAPPING=PRECISE", "FS=MRC", "CURRENCY=USD", "XLFILL=b")</f>
        <v/>
      </c>
      <c r="S133" s="9" t="str">
        <f>_xll.BQL("CRM US Equity", "BS_LONG_TERM_BORROWINGS/1M", "FPR=2022Y", "FPT=A", "FA_ACT_EST_DATA=E, EST_SOURCE=SCB", "ACT_EST_MAPPING=PRECISE", "FS=MRC", "CURRENCY=USD", "XLFILL=b")</f>
        <v/>
      </c>
      <c r="T133" s="9" t="str">
        <f>_xll.BQL("CRM US Equity", "BS_LONG_TERM_BORROWINGS/1M", "FPR=2022Y", "FPT=A", "FA_ACT_EST_DATA=E, EST_SOURCE=JMP", "ACT_EST_MAPPING=PRECISE", "FS=MRC", "CURRENCY=USD", "XLFILL=b")</f>
        <v/>
      </c>
      <c r="U133" s="9" t="str">
        <f>_xll.BQL("CRM US Equity", "BS_LONG_TERM_BORROWINGS/1M", "FPR=2022Y", "FPT=A", "FA_ACT_EST_DATA=E, EST_SOURCE=RJA", "ACT_EST_MAPPING=PRECISE", "FS=MRC", "CURRENCY=USD", "XLFILL=b")</f>
        <v/>
      </c>
      <c r="V133" s="9" t="str">
        <f>_xll.BQL("CRM US Equity", "BS_LONG_TERM_BORROWINGS/1M", "FPR=2022Y", "FPT=A", "FA_ACT_EST_DATA=E, EST_SOURCE=OPY", "ACT_EST_MAPPING=PRECISE", "FS=MRC", "CURRENCY=USD", "XLFILL=b")</f>
        <v/>
      </c>
      <c r="W133" s="9" t="str">
        <f>_xll.BQL("CRM US Equity", "BS_LONG_TERM_BORROWINGS/1M", "FPR=2022Y", "FPT=A", "FA_ACT_EST_DATA=E, EST_SOURCE=JPM", "ACT_EST_MAPPING=PRECISE", "FS=MRC", "CURRENCY=USD", "XLFILL=b")</f>
        <v/>
      </c>
      <c r="X133" s="9">
        <f>_xll.BQL("CRM US Equity", "BS_LONG_TERM_BORROWINGS/1M", "FPR=2022Y", "FPT=A", "FA_ACT_EST_DATA=E, EST_SOURCE=FBC", "ACT_EST_MAPPING=PRECISE", "FS=MRC", "CURRENCY=USD", "XLFILL=b")</f>
        <v>10589</v>
      </c>
      <c r="Y133" s="9" t="str">
        <f>_xll.BQL("CRM US Equity", "BS_LONG_TERM_BORROWINGS/1M", "FPR=2022Y", "FPT=A", "FA_ACT_EST_DATA=E, EST_SOURCE=WMS", "ACT_EST_MAPPING=PRECISE", "FS=MRC", "CURRENCY=USD", "XLFILL=b")</f>
        <v/>
      </c>
      <c r="Z133" s="9">
        <f>_xll.BQL("CRM US Equity", "BS_LONG_TERM_BORROWINGS/1M", "FPR=2022Y", "FPT=A", "FA_ACT_EST_DATA=E, EST_SOURCE=KEY", "ACT_EST_MAPPING=PRECISE", "FS=MRC", "CURRENCY=USD", "XLFILL=b")</f>
        <v>10589</v>
      </c>
      <c r="AA133" s="9" t="str">
        <f>_xll.BQL("CRM US Equity", "BS_LONG_TERM_BORROWINGS/1M", "FPR=2022Y", "FPT=A", "FA_ACT_EST_DATA=E, EST_SOURCE=LCM", "ACT_EST_MAPPING=PRECISE", "FS=MRC", "CURRENCY=USD", "XLFILL=b")</f>
        <v/>
      </c>
      <c r="AB133" s="9" t="str">
        <f>_xll.BQL("CRM US Equity", "BS_LONG_TERM_BORROWINGS/1M", "FPR=2022Y", "FPT=A", "FA_ACT_EST_DATA=E, EST_SOURCE=CWN", "ACT_EST_MAPPING=PRECISE", "FS=MRC", "CURRENCY=USD", "XLFILL=b")</f>
        <v/>
      </c>
      <c r="AC133" s="9" t="str">
        <f>_xll.BQL("CRM US Equity", "BS_LONG_TERM_BORROWINGS/1M", "FPR=2022Y", "FPT=A", "FA_ACT_EST_DATA=E, EST_SOURCE=BNS", "ACT_EST_MAPPING=PRECISE", "FS=MRC", "CURRENCY=USD", "XLFILL=b")</f>
        <v/>
      </c>
      <c r="AD133" s="9" t="str">
        <f>_xll.BQL("CRM US Equity", "BS_LONG_TERM_BORROWINGS/1M", "FPR=2022Y", "FPT=A", "FA_ACT_EST_DATA=E, EST_SOURCE=BAM", "ACT_EST_MAPPING=PRECISE", "FS=MRC", "CURRENCY=USD", "XLFILL=b")</f>
        <v/>
      </c>
      <c r="AE133" s="9" t="str">
        <f>_xll.BQL("CRM US Equity", "BS_LONG_TERM_BORROWINGS/1M", "FPR=2022Y", "FPT=A", "FA_ACT_EST_DATA=E, EST_SOURCE=RBC", "ACT_EST_MAPPING=PRECISE", "FS=MRC", "CURRENCY=USD", "XLFILL=b")</f>
        <v/>
      </c>
      <c r="AF133" s="9" t="str">
        <f>_xll.BQL("CRM US Equity", "BS_LONG_TERM_BORROWINGS/1M", "FPR=2022Y", "FPT=A", "FA_ACT_EST_DATA=E, EST_SOURCE=UBS", "ACT_EST_MAPPING=PRECISE", "FS=MRC", "CURRENCY=USD", "XLFILL=b")</f>
        <v/>
      </c>
      <c r="AG133" s="9" t="str">
        <f>_xll.BQL("CRM US Equity", "BS_LONG_TERM_BORROWINGS/1M", "FPR=2022Y", "FPT=A", "FA_ACT_EST_DATA=E, EST_SOURCE=RHR", "ACT_EST_MAPPING=PRECISE", "FS=MRC", "CURRENCY=USD", "XLFILL=b")</f>
        <v/>
      </c>
      <c r="AH133" s="9" t="str">
        <f>_xll.BQL("CRM US Equity", "BS_LONG_TERM_BORROWINGS/1M", "FPR=2022Y", "FPT=A", "FA_ACT_EST_DATA=E, EST_SOURCE=JEF", "ACT_EST_MAPPING=PRECISE", "FS=MRC", "CURRENCY=USD", "XLFILL=b")</f>
        <v/>
      </c>
      <c r="AI133" s="9" t="str">
        <f>_xll.BQL("CRM US Equity", "BS_LONG_TERM_BORROWINGS/1M", "FPR=2022Y", "FPT=A", "FA_ACT_EST_DATA=E, EST_SOURCE=ATL", "ACT_EST_MAPPING=PRECISE", "FS=MRC", "CURRENCY=USD", "XLFILL=b")</f>
        <v/>
      </c>
      <c r="AJ133" s="9" t="str">
        <f>_xll.BQL("CRM US Equity", "BS_LONG_TERM_BORROWINGS/1M", "FPR=2022Y", "FPT=A", "FA_ACT_EST_DATA=E, EST_SOURCE=MAC", "ACT_EST_MAPPING=PRECISE", "FS=MRC", "CURRENCY=USD", "XLFILL=b")</f>
        <v/>
      </c>
      <c r="AK133" s="9" t="str">
        <f>_xll.BQL("CRM US Equity", "BS_LONG_TERM_BORROWINGS/1M", "FPR=2022Y", "FPT=A", "FA_ACT_EST_DATA=E, EST_SOURCE=EVR", "ACT_EST_MAPPING=PRECISE", "FS=MRC", "CURRENCY=USD", "XLFILL=b")</f>
        <v/>
      </c>
      <c r="AL133" s="9" t="str">
        <f>_xll.BQL("CRM US Equity", "BS_LONG_TERM_BORROWINGS/1M", "FPR=2022Y", "FPT=A", "FA_ACT_EST_DATA=E, EST_SOURCE=MSR", "ACT_EST_MAPPING=PRECISE", "FS=MRC", "CURRENCY=USD", "XLFILL=b")</f>
        <v/>
      </c>
      <c r="AM133" s="9" t="str">
        <f>_xll.BQL("CRM US Equity", "BS_LONG_TERM_BORROWINGS/1M", "FPR=2022Y", "FPT=A", "FA_ACT_EST_DATA=E, EST_SOURCE=KGI", "ACT_EST_MAPPING=PRECISE", "FS=MRC", "CURRENCY=USD", "XLFILL=b")</f>
        <v/>
      </c>
      <c r="AN133" s="9" t="str">
        <f>_xll.BQL("CRM US Equity", "BS_LONG_TERM_BORROWINGS/1M", "FPR=2022Y", "FPT=A", "FA_ACT_EST_DATA=E, EST_SOURCE=ACC", "ACT_EST_MAPPING=PRECISE", "FS=MRC", "CURRENCY=USD", "XLFILL=b")</f>
        <v/>
      </c>
      <c r="AO133" s="9" t="str">
        <f>_xll.BQL("CRM US Equity", "BS_LONG_TERM_BORROWINGS/1M", "FPR=2022Y", "FPT=A", "FA_ACT_EST_DATA=E, EST_SOURCE=GSR", "ACT_EST_MAPPING=PRECISE", "FS=MRC", "CURRENCY=USD", "XLFILL=b")</f>
        <v/>
      </c>
      <c r="AP133" s="9" t="str">
        <f>_xll.BQL("CRM US Equity", "BS_LONG_TERM_BORROWINGS/1M", "FPR=2022Y", "FPT=A", "FA_ACT_EST_DATA=E, EST_SOURCE=PSG", "ACT_EST_MAPPING=PRECISE", "FS=MRC", "CURRENCY=USD", "XLFILL=b")</f>
        <v/>
      </c>
      <c r="AQ133" s="9" t="str">
        <f>_xll.BQL("CRM US Equity", "BS_LONG_TERM_BORROWINGS/1M", "FPR=2022Y", "FPT=A", "FA_ACT_EST_DATA=E, EST_SOURCE=DWI", "ACT_EST_MAPPING=PRECISE", "FS=MRC", "CURRENCY=USD", "XLFILL=b")</f>
        <v/>
      </c>
      <c r="AR133" s="9" t="str">
        <f>_xll.BQL("CRM US Equity", "BS_LONG_TERM_BORROWINGS/1M", "FPR=2022Y", "FPT=A", "FA_ACT_EST_DATA=E, EST_SOURCE=RWB", "ACT_EST_MAPPING=PRECISE", "FS=MRC", "CURRENCY=USD", "XLFILL=b")</f>
        <v/>
      </c>
      <c r="AS133" s="9" t="str">
        <f>_xll.BQL("CRM US Equity", "BS_LONG_TERM_BORROWINGS/1M", "FPR=2022Y", "FPT=A", "FA_ACT_EST_DATA=E, EST_SOURCE=ARG", "ACT_EST_MAPPING=PRECISE", "FS=MRC", "CURRENCY=USD", "XLFILL=b")</f>
        <v/>
      </c>
      <c r="AT133" s="9" t="str">
        <f>_xll.BQL("CRM US Equity", "BS_LONG_TERM_BORROWINGS/1M", "FPR=2022Y", "FPT=A", "FA_ACT_EST_DATA=E, EST_SOURCE=CTI", "ACT_EST_MAPPING=PRECISE", "FS=MRC", "CURRENCY=USD", "XLFILL=b")</f>
        <v/>
      </c>
      <c r="AU133" s="9" t="str">
        <f>_xll.BQL("CRM US Equity", "BS_LONG_TERM_BORROWINGS/1M", "FPR=2022Y", "FPT=A", "FA_ACT_EST_DATA=E, EST_SOURCE=WFT", "ACT_EST_MAPPING=PRECISE", "FS=MRC", "CURRENCY=USD", "XLFILL=b")</f>
        <v/>
      </c>
      <c r="AV133" s="9" t="str">
        <f>_xll.BQL("CRM US Equity", "BS_LONG_TERM_BORROWINGS/1M", "FPR=2022Y", "FPT=A", "FA_ACT_EST_DATA=E, EST_SOURCE=PJE", "ACT_EST_MAPPING=PRECISE", "FS=MRC", "CURRENCY=USD", "XLFILL=b")</f>
        <v/>
      </c>
      <c r="AW133" s="9" t="str">
        <f>_xll.BQL("CRM US Equity", "BS_LONG_TERM_BORROWINGS/1M", "FPR=2022Y", "FPT=A", "FA_ACT_EST_DATA=E, EST_SOURCE=SGE", "ACT_EST_MAPPING=PRECISE", "FS=MRC", "CURRENCY=USD", "XLFILL=b")</f>
        <v/>
      </c>
      <c r="AX133" s="9" t="str">
        <f>_xll.BQL("CRM US Equity", "BS_LONG_TERM_BORROWINGS/1M", "FPR=2022Y", "FPT=A", "FA_ACT_EST_DATA=E, EST_SOURCE=MZS", "ACT_EST_MAPPING=PRECISE", "FS=MRC", "CURRENCY=USD", "XLFILL=b")</f>
        <v/>
      </c>
      <c r="AY133" s="9" t="str">
        <f>_xll.BQL("CRM US Equity", "BS_LONG_TERM_BORROWINGS/1M", "FPR=2022Y", "FPT=A", "FA_ACT_EST_DATA=E, EST_SOURCE=RCP", "ACT_EST_MAPPING=PRECISE", "FS=MRC", "CURRENCY=USD", "XLFILL=b")</f>
        <v/>
      </c>
      <c r="AZ133" s="9" t="str">
        <f>_xll.BQL("CRM US Equity", "BS_LONG_TERM_BORROWINGS/1M", "FPR=2022Y", "FPT=A", "FA_ACT_EST_DATA=E, EST_SOURCE=WFR", "ACT_EST_MAPPING=PRECISE", "FS=MRC", "CURRENCY=USD", "XLFILL=b")</f>
        <v/>
      </c>
      <c r="BA133" s="9" t="str">
        <f>_xll.BQL("CRM US Equity", "BS_LONG_TERM_BORROWINGS/1M", "FPR=2022Y", "FPT=A", "FA_ACT_EST_DATA=E, EST_SOURCE=NIK", "ACT_EST_MAPPING=PRECISE", "FS=MRC", "CURRENCY=USD", "XLFILL=b")</f>
        <v/>
      </c>
      <c r="BB133" s="9" t="str">
        <f>_xll.BQL("CRM US Equity", "BS_LONG_TERM_BORROWINGS/1M", "FPR=2022Y", "FPT=A", "FA_ACT_EST_DATA=E, EST_SOURCE=ARE", "ACT_EST_MAPPING=PRECISE", "FS=MRC", "CURRENCY=USD", "XLFILL=b")</f>
        <v/>
      </c>
      <c r="BC133" s="9" t="str">
        <f>_xll.BQL("CRM US Equity", "BS_LONG_TERM_BORROWINGS/1M", "FPR=2022Y", "FPT=A", "FA_ACT_EST_DATA=E, EST_SOURCE=RED", "ACT_EST_MAPPING=PRECISE", "FS=MRC", "CURRENCY=USD", "XLFILL=b")</f>
        <v/>
      </c>
      <c r="BD133" s="9" t="str">
        <f>_xll.BQL("CRM US Equity", "BS_LONG_TERM_BORROWINGS/1M", "FPR=2022Y", "FPT=A", "FA_ACT_EST_DATA=E, EST_SOURCE=DIR", "ACT_EST_MAPPING=PRECISE", "FS=MRC", "CURRENCY=USD", "XLFILL=b")</f>
        <v/>
      </c>
    </row>
    <row r="134" spans="1:56" x14ac:dyDescent="0.55000000000000004">
      <c r="A134" s="8" t="s">
        <v>242</v>
      </c>
      <c r="B134" s="5" t="s">
        <v>254</v>
      </c>
      <c r="C134" s="5" t="s">
        <v>244</v>
      </c>
      <c r="D134" s="5"/>
      <c r="E134" s="9">
        <f>_xll.BQL("CRM US Equity", "BS_LT_OPERATING_LEASE_LIABS/1M", "FPR=2022Y", "FPT=A", "FA_ACT_EST_DATA=E", "ACT_EST_MAPPING=PRECISE", "FS=MRC", "CURRENCY=USD", "XLFILL=b")</f>
        <v>2697</v>
      </c>
      <c r="F134" s="9">
        <f>_xll.BQL("CRM US Equity", "CONTRIBUTOR_STATS(BS_LT_OPERATING_LEASE_LIABS, MIN)/1M", "FPR=2022Y", "FPT=A", "FA_ACT_EST_DATA=E", "ACT_EST_MAPPING=PRECISE", "FS=MRC", "CURRENCY=USD", "XLFILL=b")</f>
        <v>2522</v>
      </c>
      <c r="G134" s="9">
        <f>_xll.BQL("CRM US Equity", "CONTRIBUTOR_STATS(BS_LT_OPERATING_LEASE_LIABS, MAX)/1M", "FPR=2022Y", "FPT=A", "FA_ACT_EST_DATA=E", "ACT_EST_MAPPING=PRECISE", "FS=MRC", "CURRENCY=USD", "XLFILL=b")</f>
        <v>2722</v>
      </c>
      <c r="H134" s="9">
        <f>_xll.BQL("CRM US Equity", "CONTRIBUTOR_STATS(BS_LT_OPERATING_LEASE_LIABS, STD)/1M", "FPR=2022Y", "FPT=A", "FA_ACT_EST_DATA=E", "ACT_EST_MAPPING=PRECISE", "FS=MRC", "CURRENCY=USD", "XLFILL=b")</f>
        <v>70.710678118654755</v>
      </c>
      <c r="I134" s="9">
        <f>_xll.BQL("CRM US Equity", "CONTRIBUTOR_STATS(BS_LT_OPERATING_LEASE_LIABS, MEDIAN)/1M", "FPR=2022Y", "FPT=A", "FA_ACT_EST_DATA=E", "ACT_EST_MAPPING=PRECISE", "FS=MRC", "CURRENCY=USD", "XLFILL=b")</f>
        <v>2722</v>
      </c>
      <c r="J134" s="9" t="str">
        <f>_xll.BQL("CRM US Equity", "BS_LT_OPERATING_LEASE_LIABS/1M", "FPR=2022Y", "FPT=A", "FA_ACT_EST_DATA=E, EST_SOURCE=CMPY", "ACT_EST_MAPPING=PRECISE", "FS=MRC", "CURRENCY=USD", "XLFILL=b")</f>
        <v/>
      </c>
      <c r="K134" s="9" t="str">
        <f>_xll.BQL("CRM US Equity", "BS_LT_OPERATING_LEASE_LIABS/1M", "FPR=2022Y", "FPT=A", "FA_ACT_EST_DATA=E, EST_SOURCE=WBL", "ACT_EST_MAPPING=PRECISE", "FS=MRC", "CURRENCY=USD", "XLFILL=b")</f>
        <v/>
      </c>
      <c r="L134" s="9" t="str">
        <f>_xll.BQL("CRM US Equity", "BS_LT_OPERATING_LEASE_LIABS/1M", "FPR=2022Y", "FPT=A", "FA_ACT_EST_DATA=E, EST_SOURCE=BMO", "ACT_EST_MAPPING=PRECISE", "FS=MRC", "CURRENCY=USD", "XLFILL=b")</f>
        <v/>
      </c>
      <c r="M134" s="9" t="str">
        <f>_xll.BQL("CRM US Equity", "BS_LT_OPERATING_LEASE_LIABS/1M", "FPR=2022Y", "FPT=A", "FA_ACT_EST_DATA=E, EST_SOURCE=BCA", "ACT_EST_MAPPING=PRECISE", "FS=MRC", "CURRENCY=USD", "XLFILL=b")</f>
        <v/>
      </c>
      <c r="N134" s="9" t="str">
        <f>_xll.BQL("CRM US Equity", "BS_LT_OPERATING_LEASE_LIABS/1M", "FPR=2022Y", "FPT=A", "FA_ACT_EST_DATA=E, EST_SOURCE=SNR", "ACT_EST_MAPPING=PRECISE", "FS=MRC", "CURRENCY=USD", "XLFILL=b")</f>
        <v/>
      </c>
      <c r="O134" s="9" t="str">
        <f>_xll.BQL("CRM US Equity", "BS_LT_OPERATING_LEASE_LIABS/1M", "FPR=2022Y", "FPT=A", "FA_ACT_EST_DATA=E, EST_SOURCE=MSV", "ACT_EST_MAPPING=PRECISE", "FS=MRC", "CURRENCY=USD", "XLFILL=b")</f>
        <v/>
      </c>
      <c r="P134" s="9">
        <f>_xll.BQL("CRM US Equity", "BS_LT_OPERATING_LEASE_LIABS/1M", "FPR=2022Y", "FPT=A", "FA_ACT_EST_DATA=E, EST_SOURCE=DBG", "ACT_EST_MAPPING=PRECISE", "FS=MRC", "CURRENCY=USD", "XLFILL=b")</f>
        <v>2722</v>
      </c>
      <c r="Q134" s="9">
        <f>_xll.BQL("CRM US Equity", "BS_LT_OPERATING_LEASE_LIABS/1M", "FPR=2022Y", "FPT=A", "FA_ACT_EST_DATA=E, EST_SOURCE=NDH", "ACT_EST_MAPPING=PRECISE", "FS=MRC", "CURRENCY=USD", "XLFILL=b")</f>
        <v>2722</v>
      </c>
      <c r="R134" s="9" t="str">
        <f>_xll.BQL("CRM US Equity", "BS_LT_OPERATING_LEASE_LIABS/1M", "FPR=2022Y", "FPT=A", "FA_ACT_EST_DATA=E, EST_SOURCE=CAN", "ACT_EST_MAPPING=PRECISE", "FS=MRC", "CURRENCY=USD", "XLFILL=b")</f>
        <v/>
      </c>
      <c r="S134" s="9" t="str">
        <f>_xll.BQL("CRM US Equity", "BS_LT_OPERATING_LEASE_LIABS/1M", "FPR=2022Y", "FPT=A", "FA_ACT_EST_DATA=E, EST_SOURCE=SCB", "ACT_EST_MAPPING=PRECISE", "FS=MRC", "CURRENCY=USD", "XLFILL=b")</f>
        <v/>
      </c>
      <c r="T134" s="9" t="str">
        <f>_xll.BQL("CRM US Equity", "BS_LT_OPERATING_LEASE_LIABS/1M", "FPR=2022Y", "FPT=A", "FA_ACT_EST_DATA=E, EST_SOURCE=JMP", "ACT_EST_MAPPING=PRECISE", "FS=MRC", "CURRENCY=USD", "XLFILL=b")</f>
        <v/>
      </c>
      <c r="U134" s="9" t="str">
        <f>_xll.BQL("CRM US Equity", "BS_LT_OPERATING_LEASE_LIABS/1M", "FPR=2022Y", "FPT=A", "FA_ACT_EST_DATA=E, EST_SOURCE=RJA", "ACT_EST_MAPPING=PRECISE", "FS=MRC", "CURRENCY=USD", "XLFILL=b")</f>
        <v/>
      </c>
      <c r="V134" s="9" t="str">
        <f>_xll.BQL("CRM US Equity", "BS_LT_OPERATING_LEASE_LIABS/1M", "FPR=2022Y", "FPT=A", "FA_ACT_EST_DATA=E, EST_SOURCE=OPY", "ACT_EST_MAPPING=PRECISE", "FS=MRC", "CURRENCY=USD", "XLFILL=b")</f>
        <v/>
      </c>
      <c r="W134" s="9" t="str">
        <f>_xll.BQL("CRM US Equity", "BS_LT_OPERATING_LEASE_LIABS/1M", "FPR=2022Y", "FPT=A", "FA_ACT_EST_DATA=E, EST_SOURCE=JPM", "ACT_EST_MAPPING=PRECISE", "FS=MRC", "CURRENCY=USD", "XLFILL=b")</f>
        <v/>
      </c>
      <c r="X134" s="9">
        <f>_xll.BQL("CRM US Equity", "BS_LT_OPERATING_LEASE_LIABS/1M", "FPR=2022Y", "FPT=A", "FA_ACT_EST_DATA=E, EST_SOURCE=FBC", "ACT_EST_MAPPING=PRECISE", "FS=MRC", "CURRENCY=USD", "XLFILL=b")</f>
        <v>2878</v>
      </c>
      <c r="Y134" s="9" t="str">
        <f>_xll.BQL("CRM US Equity", "BS_LT_OPERATING_LEASE_LIABS/1M", "FPR=2022Y", "FPT=A", "FA_ACT_EST_DATA=E, EST_SOURCE=WMS", "ACT_EST_MAPPING=PRECISE", "FS=MRC", "CURRENCY=USD", "XLFILL=b")</f>
        <v/>
      </c>
      <c r="Z134" s="9">
        <f>_xll.BQL("CRM US Equity", "BS_LT_OPERATING_LEASE_LIABS/1M", "FPR=2022Y", "FPT=A", "FA_ACT_EST_DATA=E, EST_SOURCE=KEY", "ACT_EST_MAPPING=PRECISE", "FS=MRC", "CURRENCY=USD", "XLFILL=b")</f>
        <v>2878</v>
      </c>
      <c r="AA134" s="9" t="str">
        <f>_xll.BQL("CRM US Equity", "BS_LT_OPERATING_LEASE_LIABS/1M", "FPR=2022Y", "FPT=A", "FA_ACT_EST_DATA=E, EST_SOURCE=LCM", "ACT_EST_MAPPING=PRECISE", "FS=MRC", "CURRENCY=USD", "XLFILL=b")</f>
        <v/>
      </c>
      <c r="AB134" s="9" t="str">
        <f>_xll.BQL("CRM US Equity", "BS_LT_OPERATING_LEASE_LIABS/1M", "FPR=2022Y", "FPT=A", "FA_ACT_EST_DATA=E, EST_SOURCE=CWN", "ACT_EST_MAPPING=PRECISE", "FS=MRC", "CURRENCY=USD", "XLFILL=b")</f>
        <v/>
      </c>
      <c r="AC134" s="9" t="str">
        <f>_xll.BQL("CRM US Equity", "BS_LT_OPERATING_LEASE_LIABS/1M", "FPR=2022Y", "FPT=A", "FA_ACT_EST_DATA=E, EST_SOURCE=BNS", "ACT_EST_MAPPING=PRECISE", "FS=MRC", "CURRENCY=USD", "XLFILL=b")</f>
        <v/>
      </c>
      <c r="AD134" s="9" t="str">
        <f>_xll.BQL("CRM US Equity", "BS_LT_OPERATING_LEASE_LIABS/1M", "FPR=2022Y", "FPT=A", "FA_ACT_EST_DATA=E, EST_SOURCE=BAM", "ACT_EST_MAPPING=PRECISE", "FS=MRC", "CURRENCY=USD", "XLFILL=b")</f>
        <v/>
      </c>
      <c r="AE134" s="9" t="str">
        <f>_xll.BQL("CRM US Equity", "BS_LT_OPERATING_LEASE_LIABS/1M", "FPR=2022Y", "FPT=A", "FA_ACT_EST_DATA=E, EST_SOURCE=RBC", "ACT_EST_MAPPING=PRECISE", "FS=MRC", "CURRENCY=USD", "XLFILL=b")</f>
        <v/>
      </c>
      <c r="AF134" s="9" t="str">
        <f>_xll.BQL("CRM US Equity", "BS_LT_OPERATING_LEASE_LIABS/1M", "FPR=2022Y", "FPT=A", "FA_ACT_EST_DATA=E, EST_SOURCE=UBS", "ACT_EST_MAPPING=PRECISE", "FS=MRC", "CURRENCY=USD", "XLFILL=b")</f>
        <v/>
      </c>
      <c r="AG134" s="9" t="str">
        <f>_xll.BQL("CRM US Equity", "BS_LT_OPERATING_LEASE_LIABS/1M", "FPR=2022Y", "FPT=A", "FA_ACT_EST_DATA=E, EST_SOURCE=RHR", "ACT_EST_MAPPING=PRECISE", "FS=MRC", "CURRENCY=USD", "XLFILL=b")</f>
        <v/>
      </c>
      <c r="AH134" s="9" t="str">
        <f>_xll.BQL("CRM US Equity", "BS_LT_OPERATING_LEASE_LIABS/1M", "FPR=2022Y", "FPT=A", "FA_ACT_EST_DATA=E, EST_SOURCE=JEF", "ACT_EST_MAPPING=PRECISE", "FS=MRC", "CURRENCY=USD", "XLFILL=b")</f>
        <v/>
      </c>
      <c r="AI134" s="9" t="str">
        <f>_xll.BQL("CRM US Equity", "BS_LT_OPERATING_LEASE_LIABS/1M", "FPR=2022Y", "FPT=A", "FA_ACT_EST_DATA=E, EST_SOURCE=ATL", "ACT_EST_MAPPING=PRECISE", "FS=MRC", "CURRENCY=USD", "XLFILL=b")</f>
        <v/>
      </c>
      <c r="AJ134" s="9" t="str">
        <f>_xll.BQL("CRM US Equity", "BS_LT_OPERATING_LEASE_LIABS/1M", "FPR=2022Y", "FPT=A", "FA_ACT_EST_DATA=E, EST_SOURCE=MAC", "ACT_EST_MAPPING=PRECISE", "FS=MRC", "CURRENCY=USD", "XLFILL=b")</f>
        <v/>
      </c>
      <c r="AK134" s="9" t="str">
        <f>_xll.BQL("CRM US Equity", "BS_LT_OPERATING_LEASE_LIABS/1M", "FPR=2022Y", "FPT=A", "FA_ACT_EST_DATA=E, EST_SOURCE=EVR", "ACT_EST_MAPPING=PRECISE", "FS=MRC", "CURRENCY=USD", "XLFILL=b")</f>
        <v/>
      </c>
      <c r="AL134" s="9" t="str">
        <f>_xll.BQL("CRM US Equity", "BS_LT_OPERATING_LEASE_LIABS/1M", "FPR=2022Y", "FPT=A", "FA_ACT_EST_DATA=E, EST_SOURCE=MSR", "ACT_EST_MAPPING=PRECISE", "FS=MRC", "CURRENCY=USD", "XLFILL=b")</f>
        <v/>
      </c>
      <c r="AM134" s="9" t="str">
        <f>_xll.BQL("CRM US Equity", "BS_LT_OPERATING_LEASE_LIABS/1M", "FPR=2022Y", "FPT=A", "FA_ACT_EST_DATA=E, EST_SOURCE=KGI", "ACT_EST_MAPPING=PRECISE", "FS=MRC", "CURRENCY=USD", "XLFILL=b")</f>
        <v/>
      </c>
      <c r="AN134" s="9" t="str">
        <f>_xll.BQL("CRM US Equity", "BS_LT_OPERATING_LEASE_LIABS/1M", "FPR=2022Y", "FPT=A", "FA_ACT_EST_DATA=E, EST_SOURCE=ACC", "ACT_EST_MAPPING=PRECISE", "FS=MRC", "CURRENCY=USD", "XLFILL=b")</f>
        <v/>
      </c>
      <c r="AO134" s="9" t="str">
        <f>_xll.BQL("CRM US Equity", "BS_LT_OPERATING_LEASE_LIABS/1M", "FPR=2022Y", "FPT=A", "FA_ACT_EST_DATA=E, EST_SOURCE=GSR", "ACT_EST_MAPPING=PRECISE", "FS=MRC", "CURRENCY=USD", "XLFILL=b")</f>
        <v/>
      </c>
      <c r="AP134" s="9" t="str">
        <f>_xll.BQL("CRM US Equity", "BS_LT_OPERATING_LEASE_LIABS/1M", "FPR=2022Y", "FPT=A", "FA_ACT_EST_DATA=E, EST_SOURCE=PSG", "ACT_EST_MAPPING=PRECISE", "FS=MRC", "CURRENCY=USD", "XLFILL=b")</f>
        <v/>
      </c>
      <c r="AQ134" s="9" t="str">
        <f>_xll.BQL("CRM US Equity", "BS_LT_OPERATING_LEASE_LIABS/1M", "FPR=2022Y", "FPT=A", "FA_ACT_EST_DATA=E, EST_SOURCE=DWI", "ACT_EST_MAPPING=PRECISE", "FS=MRC", "CURRENCY=USD", "XLFILL=b")</f>
        <v/>
      </c>
      <c r="AR134" s="9" t="str">
        <f>_xll.BQL("CRM US Equity", "BS_LT_OPERATING_LEASE_LIABS/1M", "FPR=2022Y", "FPT=A", "FA_ACT_EST_DATA=E, EST_SOURCE=RWB", "ACT_EST_MAPPING=PRECISE", "FS=MRC", "CURRENCY=USD", "XLFILL=b")</f>
        <v/>
      </c>
      <c r="AS134" s="9" t="str">
        <f>_xll.BQL("CRM US Equity", "BS_LT_OPERATING_LEASE_LIABS/1M", "FPR=2022Y", "FPT=A", "FA_ACT_EST_DATA=E, EST_SOURCE=ARG", "ACT_EST_MAPPING=PRECISE", "FS=MRC", "CURRENCY=USD", "XLFILL=b")</f>
        <v/>
      </c>
      <c r="AT134" s="9" t="str">
        <f>_xll.BQL("CRM US Equity", "BS_LT_OPERATING_LEASE_LIABS/1M", "FPR=2022Y", "FPT=A", "FA_ACT_EST_DATA=E, EST_SOURCE=CTI", "ACT_EST_MAPPING=PRECISE", "FS=MRC", "CURRENCY=USD", "XLFILL=b")</f>
        <v/>
      </c>
      <c r="AU134" s="9" t="str">
        <f>_xll.BQL("CRM US Equity", "BS_LT_OPERATING_LEASE_LIABS/1M", "FPR=2022Y", "FPT=A", "FA_ACT_EST_DATA=E, EST_SOURCE=WFT", "ACT_EST_MAPPING=PRECISE", "FS=MRC", "CURRENCY=USD", "XLFILL=b")</f>
        <v/>
      </c>
      <c r="AV134" s="9" t="str">
        <f>_xll.BQL("CRM US Equity", "BS_LT_OPERATING_LEASE_LIABS/1M", "FPR=2022Y", "FPT=A", "FA_ACT_EST_DATA=E, EST_SOURCE=PJE", "ACT_EST_MAPPING=PRECISE", "FS=MRC", "CURRENCY=USD", "XLFILL=b")</f>
        <v/>
      </c>
      <c r="AW134" s="9" t="str">
        <f>_xll.BQL("CRM US Equity", "BS_LT_OPERATING_LEASE_LIABS/1M", "FPR=2022Y", "FPT=A", "FA_ACT_EST_DATA=E, EST_SOURCE=SGE", "ACT_EST_MAPPING=PRECISE", "FS=MRC", "CURRENCY=USD", "XLFILL=b")</f>
        <v/>
      </c>
      <c r="AX134" s="9" t="str">
        <f>_xll.BQL("CRM US Equity", "BS_LT_OPERATING_LEASE_LIABS/1M", "FPR=2022Y", "FPT=A", "FA_ACT_EST_DATA=E, EST_SOURCE=MZS", "ACT_EST_MAPPING=PRECISE", "FS=MRC", "CURRENCY=USD", "XLFILL=b")</f>
        <v/>
      </c>
      <c r="AY134" s="9" t="str">
        <f>_xll.BQL("CRM US Equity", "BS_LT_OPERATING_LEASE_LIABS/1M", "FPR=2022Y", "FPT=A", "FA_ACT_EST_DATA=E, EST_SOURCE=RCP", "ACT_EST_MAPPING=PRECISE", "FS=MRC", "CURRENCY=USD", "XLFILL=b")</f>
        <v/>
      </c>
      <c r="AZ134" s="9" t="str">
        <f>_xll.BQL("CRM US Equity", "BS_LT_OPERATING_LEASE_LIABS/1M", "FPR=2022Y", "FPT=A", "FA_ACT_EST_DATA=E, EST_SOURCE=WFR", "ACT_EST_MAPPING=PRECISE", "FS=MRC", "CURRENCY=USD", "XLFILL=b")</f>
        <v/>
      </c>
      <c r="BA134" s="9" t="str">
        <f>_xll.BQL("CRM US Equity", "BS_LT_OPERATING_LEASE_LIABS/1M", "FPR=2022Y", "FPT=A", "FA_ACT_EST_DATA=E, EST_SOURCE=NIK", "ACT_EST_MAPPING=PRECISE", "FS=MRC", "CURRENCY=USD", "XLFILL=b")</f>
        <v/>
      </c>
      <c r="BB134" s="9" t="str">
        <f>_xll.BQL("CRM US Equity", "BS_LT_OPERATING_LEASE_LIABS/1M", "FPR=2022Y", "FPT=A", "FA_ACT_EST_DATA=E, EST_SOURCE=ARE", "ACT_EST_MAPPING=PRECISE", "FS=MRC", "CURRENCY=USD", "XLFILL=b")</f>
        <v/>
      </c>
      <c r="BC134" s="9" t="str">
        <f>_xll.BQL("CRM US Equity", "BS_LT_OPERATING_LEASE_LIABS/1M", "FPR=2022Y", "FPT=A", "FA_ACT_EST_DATA=E, EST_SOURCE=RED", "ACT_EST_MAPPING=PRECISE", "FS=MRC", "CURRENCY=USD", "XLFILL=b")</f>
        <v/>
      </c>
      <c r="BD134" s="9" t="str">
        <f>_xll.BQL("CRM US Equity", "BS_LT_OPERATING_LEASE_LIABS/1M", "FPR=2022Y", "FPT=A", "FA_ACT_EST_DATA=E, EST_SOURCE=DIR", "ACT_EST_MAPPING=PRECISE", "FS=MRC", "CURRENCY=USD", "XLFILL=b")</f>
        <v/>
      </c>
    </row>
    <row r="135" spans="1:56" x14ac:dyDescent="0.55000000000000004">
      <c r="A135" s="8" t="s">
        <v>255</v>
      </c>
      <c r="B135" s="5" t="s">
        <v>256</v>
      </c>
      <c r="C135" s="5" t="s">
        <v>257</v>
      </c>
      <c r="D135" s="5"/>
      <c r="E135" s="9">
        <f>_xll.BQL("CRM US Equity", "CB_BS_OTHER_NONCURRENT_LIABS/1M", "FPR=2022Y", "FPT=A", "FA_ACT_EST_DATA=E", "ACT_EST_MAPPING=PRECISE", "FS=MRC", "CURRENCY=USD", "XLFILL=b")</f>
        <v>2059.8571193573221</v>
      </c>
      <c r="F135" s="9">
        <f>_xll.BQL("CRM US Equity", "CONTRIBUTOR_STATS(CB_BS_OTHER_NONCURRENT_LIABS, MIN)/1M", "FPR=2022Y", "FPT=A", "FA_ACT_EST_DATA=E", "ACT_EST_MAPPING=PRECISE", "FS=MRC", "CURRENCY=USD", "XLFILL=b")</f>
        <v>2034</v>
      </c>
      <c r="G135" s="9">
        <f>_xll.BQL("CRM US Equity", "CONTRIBUTOR_STATS(CB_BS_OTHER_NONCURRENT_LIABS, MAX)/1M", "FPR=2022Y", "FPT=A", "FA_ACT_EST_DATA=E", "ACT_EST_MAPPING=PRECISE", "FS=MRC", "CURRENCY=USD", "XLFILL=b")</f>
        <v>2157.2855967866089</v>
      </c>
      <c r="H135" s="9">
        <f>_xll.BQL("CRM US Equity", "CONTRIBUTOR_STATS(CB_BS_OTHER_NONCURRENT_LIABS, STD)/1M", "FPR=2022Y", "FPT=A", "FA_ACT_EST_DATA=E", "ACT_EST_MAPPING=PRECISE", "FS=MRC", "CURRENCY=USD", "XLFILL=b")</f>
        <v>54.526106746530942</v>
      </c>
      <c r="I135" s="9">
        <f>_xll.BQL("CRM US Equity", "CONTRIBUTOR_STATS(CB_BS_OTHER_NONCURRENT_LIABS, MEDIAN)/1M", "FPR=2022Y", "FPT=A", "FA_ACT_EST_DATA=E", "ACT_EST_MAPPING=PRECISE", "FS=MRC", "CURRENCY=USD", "XLFILL=b")</f>
        <v>2034</v>
      </c>
      <c r="J135" s="9" t="str">
        <f>_xll.BQL("CRM US Equity", "CB_BS_OTHER_NONCURRENT_LIABS/1M", "FPR=2022Y", "FPT=A", "FA_ACT_EST_DATA=E, EST_SOURCE=CMPY", "ACT_EST_MAPPING=PRECISE", "FS=MRC", "CURRENCY=USD", "XLFILL=b")</f>
        <v/>
      </c>
      <c r="K135" s="9" t="str">
        <f>_xll.BQL("CRM US Equity", "CB_BS_OTHER_NONCURRENT_LIABS/1M", "FPR=2022Y", "FPT=A", "FA_ACT_EST_DATA=E, EST_SOURCE=WBL", "ACT_EST_MAPPING=PRECISE", "FS=MRC", "CURRENCY=USD", "XLFILL=b")</f>
        <v/>
      </c>
      <c r="L135" s="9" t="str">
        <f>_xll.BQL("CRM US Equity", "CB_BS_OTHER_NONCURRENT_LIABS/1M", "FPR=2022Y", "FPT=A", "FA_ACT_EST_DATA=E, EST_SOURCE=BMO", "ACT_EST_MAPPING=PRECISE", "FS=MRC", "CURRENCY=USD", "XLFILL=b")</f>
        <v/>
      </c>
      <c r="M135" s="9" t="str">
        <f>_xll.BQL("CRM US Equity", "CB_BS_OTHER_NONCURRENT_LIABS/1M", "FPR=2022Y", "FPT=A", "FA_ACT_EST_DATA=E, EST_SOURCE=BCA", "ACT_EST_MAPPING=PRECISE", "FS=MRC", "CURRENCY=USD", "XLFILL=b")</f>
        <v/>
      </c>
      <c r="N135" s="9" t="str">
        <f>_xll.BQL("CRM US Equity", "CB_BS_OTHER_NONCURRENT_LIABS/1M", "FPR=2022Y", "FPT=A", "FA_ACT_EST_DATA=E, EST_SOURCE=SNR", "ACT_EST_MAPPING=PRECISE", "FS=MRC", "CURRENCY=USD", "XLFILL=b")</f>
        <v/>
      </c>
      <c r="O135" s="9">
        <f>_xll.BQL("CRM US Equity", "CB_BS_OTHER_NONCURRENT_LIABS/1M", "FPR=2022Y", "FPT=A", "FA_ACT_EST_DATA=E, EST_SOURCE=MSV", "ACT_EST_MAPPING=PRECISE", "FS=MRC", "CURRENCY=USD", "XLFILL=b")</f>
        <v>1320.6462285454459</v>
      </c>
      <c r="P135" s="9">
        <f>_xll.BQL("CRM US Equity", "CB_BS_OTHER_NONCURRENT_LIABS/1M", "FPR=2022Y", "FPT=A", "FA_ACT_EST_DATA=E, EST_SOURCE=DBG", "ACT_EST_MAPPING=PRECISE", "FS=MRC", "CURRENCY=USD", "XLFILL=b")</f>
        <v>1444.6504729530971</v>
      </c>
      <c r="Q135" s="9" t="str">
        <f>_xll.BQL("CRM US Equity", "CB_BS_OTHER_NONCURRENT_LIABS/1M", "FPR=2022Y", "FPT=A", "FA_ACT_EST_DATA=E, EST_SOURCE=NDH", "ACT_EST_MAPPING=PRECISE", "FS=MRC", "CURRENCY=USD", "XLFILL=b")</f>
        <v/>
      </c>
      <c r="R135" s="9" t="str">
        <f>_xll.BQL("CRM US Equity", "CB_BS_OTHER_NONCURRENT_LIABS/1M", "FPR=2022Y", "FPT=A", "FA_ACT_EST_DATA=E, EST_SOURCE=CAN", "ACT_EST_MAPPING=PRECISE", "FS=MRC", "CURRENCY=USD", "XLFILL=b")</f>
        <v/>
      </c>
      <c r="S135" s="9" t="str">
        <f>_xll.BQL("CRM US Equity", "CB_BS_OTHER_NONCURRENT_LIABS/1M", "FPR=2022Y", "FPT=A", "FA_ACT_EST_DATA=E, EST_SOURCE=SCB", "ACT_EST_MAPPING=PRECISE", "FS=MRC", "CURRENCY=USD", "XLFILL=b")</f>
        <v/>
      </c>
      <c r="T135" s="9" t="str">
        <f>_xll.BQL("CRM US Equity", "CB_BS_OTHER_NONCURRENT_LIABS/1M", "FPR=2022Y", "FPT=A", "FA_ACT_EST_DATA=E, EST_SOURCE=JMP", "ACT_EST_MAPPING=PRECISE", "FS=MRC", "CURRENCY=USD", "XLFILL=b")</f>
        <v/>
      </c>
      <c r="U135" s="9" t="str">
        <f>_xll.BQL("CRM US Equity", "CB_BS_OTHER_NONCURRENT_LIABS/1M", "FPR=2022Y", "FPT=A", "FA_ACT_EST_DATA=E, EST_SOURCE=RJA", "ACT_EST_MAPPING=PRECISE", "FS=MRC", "CURRENCY=USD", "XLFILL=b")</f>
        <v/>
      </c>
      <c r="V135" s="9" t="str">
        <f>_xll.BQL("CRM US Equity", "CB_BS_OTHER_NONCURRENT_LIABS/1M", "FPR=2022Y", "FPT=A", "FA_ACT_EST_DATA=E, EST_SOURCE=OPY", "ACT_EST_MAPPING=PRECISE", "FS=MRC", "CURRENCY=USD", "XLFILL=b")</f>
        <v/>
      </c>
      <c r="W135" s="9" t="str">
        <f>_xll.BQL("CRM US Equity", "CB_BS_OTHER_NONCURRENT_LIABS/1M", "FPR=2022Y", "FPT=A", "FA_ACT_EST_DATA=E, EST_SOURCE=JPM", "ACT_EST_MAPPING=PRECISE", "FS=MRC", "CURRENCY=USD", "XLFILL=b")</f>
        <v/>
      </c>
      <c r="X135" s="9">
        <f>_xll.BQL("CRM US Equity", "CB_BS_OTHER_NONCURRENT_LIABS/1M", "FPR=2022Y", "FPT=A", "FA_ACT_EST_DATA=E, EST_SOURCE=FBC", "ACT_EST_MAPPING=PRECISE", "FS=MRC", "CURRENCY=USD", "XLFILL=b")</f>
        <v>1429.7450677495078</v>
      </c>
      <c r="Y135" s="9" t="str">
        <f>_xll.BQL("CRM US Equity", "CB_BS_OTHER_NONCURRENT_LIABS/1M", "FPR=2022Y", "FPT=A", "FA_ACT_EST_DATA=E, EST_SOURCE=WMS", "ACT_EST_MAPPING=PRECISE", "FS=MRC", "CURRENCY=USD", "XLFILL=b")</f>
        <v/>
      </c>
      <c r="Z135" s="9">
        <f>_xll.BQL("CRM US Equity", "CB_BS_OTHER_NONCURRENT_LIABS/1M", "FPR=2022Y", "FPT=A", "FA_ACT_EST_DATA=E, EST_SOURCE=KEY", "ACT_EST_MAPPING=PRECISE", "FS=MRC", "CURRENCY=USD", "XLFILL=b")</f>
        <v>2028.0556085011958</v>
      </c>
      <c r="AA135" s="9" t="str">
        <f>_xll.BQL("CRM US Equity", "CB_BS_OTHER_NONCURRENT_LIABS/1M", "FPR=2022Y", "FPT=A", "FA_ACT_EST_DATA=E, EST_SOURCE=LCM", "ACT_EST_MAPPING=PRECISE", "FS=MRC", "CURRENCY=USD", "XLFILL=b")</f>
        <v/>
      </c>
      <c r="AB135" s="9" t="str">
        <f>_xll.BQL("CRM US Equity", "CB_BS_OTHER_NONCURRENT_LIABS/1M", "FPR=2022Y", "FPT=A", "FA_ACT_EST_DATA=E, EST_SOURCE=CWN", "ACT_EST_MAPPING=PRECISE", "FS=MRC", "CURRENCY=USD", "XLFILL=b")</f>
        <v/>
      </c>
      <c r="AC135" s="9" t="str">
        <f>_xll.BQL("CRM US Equity", "CB_BS_OTHER_NONCURRENT_LIABS/1M", "FPR=2022Y", "FPT=A", "FA_ACT_EST_DATA=E, EST_SOURCE=BNS", "ACT_EST_MAPPING=PRECISE", "FS=MRC", "CURRENCY=USD", "XLFILL=b")</f>
        <v/>
      </c>
      <c r="AD135" s="9" t="str">
        <f>_xll.BQL("CRM US Equity", "CB_BS_OTHER_NONCURRENT_LIABS/1M", "FPR=2022Y", "FPT=A", "FA_ACT_EST_DATA=E, EST_SOURCE=BAM", "ACT_EST_MAPPING=PRECISE", "FS=MRC", "CURRENCY=USD", "XLFILL=b")</f>
        <v/>
      </c>
      <c r="AE135" s="9" t="str">
        <f>_xll.BQL("CRM US Equity", "CB_BS_OTHER_NONCURRENT_LIABS/1M", "FPR=2022Y", "FPT=A", "FA_ACT_EST_DATA=E, EST_SOURCE=RBC", "ACT_EST_MAPPING=PRECISE", "FS=MRC", "CURRENCY=USD", "XLFILL=b")</f>
        <v/>
      </c>
      <c r="AF135" s="9" t="str">
        <f>_xll.BQL("CRM US Equity", "CB_BS_OTHER_NONCURRENT_LIABS/1M", "FPR=2022Y", "FPT=A", "FA_ACT_EST_DATA=E, EST_SOURCE=UBS", "ACT_EST_MAPPING=PRECISE", "FS=MRC", "CURRENCY=USD", "XLFILL=b")</f>
        <v/>
      </c>
      <c r="AG135" s="9" t="str">
        <f>_xll.BQL("CRM US Equity", "CB_BS_OTHER_NONCURRENT_LIABS/1M", "FPR=2022Y", "FPT=A", "FA_ACT_EST_DATA=E, EST_SOURCE=RHR", "ACT_EST_MAPPING=PRECISE", "FS=MRC", "CURRENCY=USD", "XLFILL=b")</f>
        <v/>
      </c>
      <c r="AH135" s="9" t="str">
        <f>_xll.BQL("CRM US Equity", "CB_BS_OTHER_NONCURRENT_LIABS/1M", "FPR=2022Y", "FPT=A", "FA_ACT_EST_DATA=E, EST_SOURCE=JEF", "ACT_EST_MAPPING=PRECISE", "FS=MRC", "CURRENCY=USD", "XLFILL=b")</f>
        <v/>
      </c>
      <c r="AI135" s="9" t="str">
        <f>_xll.BQL("CRM US Equity", "CB_BS_OTHER_NONCURRENT_LIABS/1M", "FPR=2022Y", "FPT=A", "FA_ACT_EST_DATA=E, EST_SOURCE=ATL", "ACT_EST_MAPPING=PRECISE", "FS=MRC", "CURRENCY=USD", "XLFILL=b")</f>
        <v/>
      </c>
      <c r="AJ135" s="9" t="str">
        <f>_xll.BQL("CRM US Equity", "CB_BS_OTHER_NONCURRENT_LIABS/1M", "FPR=2022Y", "FPT=A", "FA_ACT_EST_DATA=E, EST_SOURCE=MAC", "ACT_EST_MAPPING=PRECISE", "FS=MRC", "CURRENCY=USD", "XLFILL=b")</f>
        <v/>
      </c>
      <c r="AK135" s="9" t="str">
        <f>_xll.BQL("CRM US Equity", "CB_BS_OTHER_NONCURRENT_LIABS/1M", "FPR=2022Y", "FPT=A", "FA_ACT_EST_DATA=E, EST_SOURCE=EVR", "ACT_EST_MAPPING=PRECISE", "FS=MRC", "CURRENCY=USD", "XLFILL=b")</f>
        <v/>
      </c>
      <c r="AL135" s="9" t="str">
        <f>_xll.BQL("CRM US Equity", "CB_BS_OTHER_NONCURRENT_LIABS/1M", "FPR=2022Y", "FPT=A", "FA_ACT_EST_DATA=E, EST_SOURCE=MSR", "ACT_EST_MAPPING=PRECISE", "FS=MRC", "CURRENCY=USD", "XLFILL=b")</f>
        <v/>
      </c>
      <c r="AM135" s="9" t="str">
        <f>_xll.BQL("CRM US Equity", "CB_BS_OTHER_NONCURRENT_LIABS/1M", "FPR=2022Y", "FPT=A", "FA_ACT_EST_DATA=E, EST_SOURCE=KGI", "ACT_EST_MAPPING=PRECISE", "FS=MRC", "CURRENCY=USD", "XLFILL=b")</f>
        <v/>
      </c>
      <c r="AN135" s="9" t="str">
        <f>_xll.BQL("CRM US Equity", "CB_BS_OTHER_NONCURRENT_LIABS/1M", "FPR=2022Y", "FPT=A", "FA_ACT_EST_DATA=E, EST_SOURCE=ACC", "ACT_EST_MAPPING=PRECISE", "FS=MRC", "CURRENCY=USD", "XLFILL=b")</f>
        <v/>
      </c>
      <c r="AO135" s="9" t="str">
        <f>_xll.BQL("CRM US Equity", "CB_BS_OTHER_NONCURRENT_LIABS/1M", "FPR=2022Y", "FPT=A", "FA_ACT_EST_DATA=E, EST_SOURCE=GSR", "ACT_EST_MAPPING=PRECISE", "FS=MRC", "CURRENCY=USD", "XLFILL=b")</f>
        <v/>
      </c>
      <c r="AP135" s="9" t="str">
        <f>_xll.BQL("CRM US Equity", "CB_BS_OTHER_NONCURRENT_LIABS/1M", "FPR=2022Y", "FPT=A", "FA_ACT_EST_DATA=E, EST_SOURCE=PSG", "ACT_EST_MAPPING=PRECISE", "FS=MRC", "CURRENCY=USD", "XLFILL=b")</f>
        <v/>
      </c>
      <c r="AQ135" s="9" t="str">
        <f>_xll.BQL("CRM US Equity", "CB_BS_OTHER_NONCURRENT_LIABS/1M", "FPR=2022Y", "FPT=A", "FA_ACT_EST_DATA=E, EST_SOURCE=DWI", "ACT_EST_MAPPING=PRECISE", "FS=MRC", "CURRENCY=USD", "XLFILL=b")</f>
        <v/>
      </c>
      <c r="AR135" s="9" t="str">
        <f>_xll.BQL("CRM US Equity", "CB_BS_OTHER_NONCURRENT_LIABS/1M", "FPR=2022Y", "FPT=A", "FA_ACT_EST_DATA=E, EST_SOURCE=RWB", "ACT_EST_MAPPING=PRECISE", "FS=MRC", "CURRENCY=USD", "XLFILL=b")</f>
        <v/>
      </c>
      <c r="AS135" s="9" t="str">
        <f>_xll.BQL("CRM US Equity", "CB_BS_OTHER_NONCURRENT_LIABS/1M", "FPR=2022Y", "FPT=A", "FA_ACT_EST_DATA=E, EST_SOURCE=ARG", "ACT_EST_MAPPING=PRECISE", "FS=MRC", "CURRENCY=USD", "XLFILL=b")</f>
        <v/>
      </c>
      <c r="AT135" s="9" t="str">
        <f>_xll.BQL("CRM US Equity", "CB_BS_OTHER_NONCURRENT_LIABS/1M", "FPR=2022Y", "FPT=A", "FA_ACT_EST_DATA=E, EST_SOURCE=CTI", "ACT_EST_MAPPING=PRECISE", "FS=MRC", "CURRENCY=USD", "XLFILL=b")</f>
        <v/>
      </c>
      <c r="AU135" s="9" t="str">
        <f>_xll.BQL("CRM US Equity", "CB_BS_OTHER_NONCURRENT_LIABS/1M", "FPR=2022Y", "FPT=A", "FA_ACT_EST_DATA=E, EST_SOURCE=WFT", "ACT_EST_MAPPING=PRECISE", "FS=MRC", "CURRENCY=USD", "XLFILL=b")</f>
        <v/>
      </c>
      <c r="AV135" s="9" t="str">
        <f>_xll.BQL("CRM US Equity", "CB_BS_OTHER_NONCURRENT_LIABS/1M", "FPR=2022Y", "FPT=A", "FA_ACT_EST_DATA=E, EST_SOURCE=PJE", "ACT_EST_MAPPING=PRECISE", "FS=MRC", "CURRENCY=USD", "XLFILL=b")</f>
        <v/>
      </c>
      <c r="AW135" s="9" t="str">
        <f>_xll.BQL("CRM US Equity", "CB_BS_OTHER_NONCURRENT_LIABS/1M", "FPR=2022Y", "FPT=A", "FA_ACT_EST_DATA=E, EST_SOURCE=SGE", "ACT_EST_MAPPING=PRECISE", "FS=MRC", "CURRENCY=USD", "XLFILL=b")</f>
        <v/>
      </c>
      <c r="AX135" s="9" t="str">
        <f>_xll.BQL("CRM US Equity", "CB_BS_OTHER_NONCURRENT_LIABS/1M", "FPR=2022Y", "FPT=A", "FA_ACT_EST_DATA=E, EST_SOURCE=MZS", "ACT_EST_MAPPING=PRECISE", "FS=MRC", "CURRENCY=USD", "XLFILL=b")</f>
        <v/>
      </c>
      <c r="AY135" s="9" t="str">
        <f>_xll.BQL("CRM US Equity", "CB_BS_OTHER_NONCURRENT_LIABS/1M", "FPR=2022Y", "FPT=A", "FA_ACT_EST_DATA=E, EST_SOURCE=RCP", "ACT_EST_MAPPING=PRECISE", "FS=MRC", "CURRENCY=USD", "XLFILL=b")</f>
        <v/>
      </c>
      <c r="AZ135" s="9" t="str">
        <f>_xll.BQL("CRM US Equity", "CB_BS_OTHER_NONCURRENT_LIABS/1M", "FPR=2022Y", "FPT=A", "FA_ACT_EST_DATA=E, EST_SOURCE=WFR", "ACT_EST_MAPPING=PRECISE", "FS=MRC", "CURRENCY=USD", "XLFILL=b")</f>
        <v/>
      </c>
      <c r="BA135" s="9" t="str">
        <f>_xll.BQL("CRM US Equity", "CB_BS_OTHER_NONCURRENT_LIABS/1M", "FPR=2022Y", "FPT=A", "FA_ACT_EST_DATA=E, EST_SOURCE=NIK", "ACT_EST_MAPPING=PRECISE", "FS=MRC", "CURRENCY=USD", "XLFILL=b")</f>
        <v/>
      </c>
      <c r="BB135" s="9" t="str">
        <f>_xll.BQL("CRM US Equity", "CB_BS_OTHER_NONCURRENT_LIABS/1M", "FPR=2022Y", "FPT=A", "FA_ACT_EST_DATA=E, EST_SOURCE=ARE", "ACT_EST_MAPPING=PRECISE", "FS=MRC", "CURRENCY=USD", "XLFILL=b")</f>
        <v/>
      </c>
      <c r="BC135" s="9" t="str">
        <f>_xll.BQL("CRM US Equity", "CB_BS_OTHER_NONCURRENT_LIABS/1M", "FPR=2022Y", "FPT=A", "FA_ACT_EST_DATA=E, EST_SOURCE=RED", "ACT_EST_MAPPING=PRECISE", "FS=MRC", "CURRENCY=USD", "XLFILL=b")</f>
        <v/>
      </c>
      <c r="BD135" s="9" t="str">
        <f>_xll.BQL("CRM US Equity", "CB_BS_OTHER_NONCURRENT_LIABS/1M", "FPR=2022Y", "FPT=A", "FA_ACT_EST_DATA=E, EST_SOURCE=DIR", "ACT_EST_MAPPING=PRECISE", "FS=MRC", "CURRENCY=USD", "XLFILL=b")</f>
        <v/>
      </c>
    </row>
    <row r="136" spans="1:56" x14ac:dyDescent="0.55000000000000004">
      <c r="A136" s="8" t="s">
        <v>258</v>
      </c>
      <c r="B136" s="5" t="s">
        <v>259</v>
      </c>
      <c r="C136" s="5" t="s">
        <v>260</v>
      </c>
      <c r="D136" s="5"/>
      <c r="E136" s="9">
        <f>_xll.BQL("CRM US Equity", "BS_TOTAL_LIABILITIES/1M", "FPR=2022Y", "FPT=A", "FA_ACT_EST_DATA=E", "ACT_EST_MAPPING=PRECISE", "FS=MRC", "CURRENCY=USD", "XLFILL=b")</f>
        <v>37471.186190895605</v>
      </c>
      <c r="F136" s="9">
        <f>_xll.BQL("CRM US Equity", "CONTRIBUTOR_STATS(BS_TOTAL_LIABILITIES, MIN)/1M", "FPR=2022Y", "FPT=A", "FA_ACT_EST_DATA=E", "ACT_EST_MAPPING=PRECISE", "FS=MRC", "CURRENCY=USD", "XLFILL=b")</f>
        <v>33255.827449838216</v>
      </c>
      <c r="G136" s="9">
        <f>_xll.BQL("CRM US Equity", "CONTRIBUTOR_STATS(BS_TOTAL_LIABILITIES, MAX)/1M", "FPR=2022Y", "FPT=A", "FA_ACT_EST_DATA=E", "ACT_EST_MAPPING=PRECISE", "FS=MRC", "CURRENCY=USD", "XLFILL=b")</f>
        <v>47459.412858554155</v>
      </c>
      <c r="H136" s="9">
        <f>_xll.BQL("CRM US Equity", "CONTRIBUTOR_STATS(BS_TOTAL_LIABILITIES, STD)/1M", "FPR=2022Y", "FPT=A", "FA_ACT_EST_DATA=E", "ACT_EST_MAPPING=PRECISE", "FS=MRC", "CURRENCY=USD", "XLFILL=b")</f>
        <v>3444.6278646010842</v>
      </c>
      <c r="I136" s="9">
        <f>_xll.BQL("CRM US Equity", "CONTRIBUTOR_STATS(BS_TOTAL_LIABILITIES, MEDIAN)/1M", "FPR=2022Y", "FPT=A", "FA_ACT_EST_DATA=E", "ACT_EST_MAPPING=PRECISE", "FS=MRC", "CURRENCY=USD", "XLFILL=b")</f>
        <v>36546.406386666669</v>
      </c>
      <c r="J136" s="9" t="str">
        <f>_xll.BQL("CRM US Equity", "BS_TOTAL_LIABILITIES/1M", "FPR=2022Y", "FPT=A", "FA_ACT_EST_DATA=E, EST_SOURCE=CMPY", "ACT_EST_MAPPING=PRECISE", "FS=MRC", "CURRENCY=USD", "XLFILL=b")</f>
        <v/>
      </c>
      <c r="K136" s="9" t="str">
        <f>_xll.BQL("CRM US Equity", "BS_TOTAL_LIABILITIES/1M", "FPR=2022Y", "FPT=A", "FA_ACT_EST_DATA=E, EST_SOURCE=WBL", "ACT_EST_MAPPING=PRECISE", "FS=MRC", "CURRENCY=USD", "XLFILL=b")</f>
        <v/>
      </c>
      <c r="L136" s="9" t="str">
        <f>_xll.BQL("CRM US Equity", "BS_TOTAL_LIABILITIES/1M", "FPR=2022Y", "FPT=A", "FA_ACT_EST_DATA=E, EST_SOURCE=BMO", "ACT_EST_MAPPING=PRECISE", "FS=MRC", "CURRENCY=USD", "XLFILL=b")</f>
        <v/>
      </c>
      <c r="M136" s="9">
        <f>_xll.BQL("CRM US Equity", "BS_TOTAL_LIABILITIES/1M", "FPR=2022Y", "FPT=A", "FA_ACT_EST_DATA=E, EST_SOURCE=BCA", "ACT_EST_MAPPING=PRECISE", "FS=MRC", "CURRENCY=USD", "XLFILL=b")</f>
        <v>37121.593764698118</v>
      </c>
      <c r="N136" s="9" t="str">
        <f>_xll.BQL("CRM US Equity", "BS_TOTAL_LIABILITIES/1M", "FPR=2022Y", "FPT=A", "FA_ACT_EST_DATA=E, EST_SOURCE=SNR", "ACT_EST_MAPPING=PRECISE", "FS=MRC", "CURRENCY=USD", "XLFILL=b")</f>
        <v/>
      </c>
      <c r="O136" s="9">
        <f>_xll.BQL("CRM US Equity", "BS_TOTAL_LIABILITIES/1M", "FPR=2022Y", "FPT=A", "FA_ACT_EST_DATA=E, EST_SOURCE=MSV", "ACT_EST_MAPPING=PRECISE", "FS=MRC", "CURRENCY=USD", "XLFILL=b")</f>
        <v>47459.412858554155</v>
      </c>
      <c r="P136" s="9">
        <f>_xll.BQL("CRM US Equity", "BS_TOTAL_LIABILITIES/1M", "FPR=2022Y", "FPT=A", "FA_ACT_EST_DATA=E, EST_SOURCE=DBG", "ACT_EST_MAPPING=PRECISE", "FS=MRC", "CURRENCY=USD", "XLFILL=b")</f>
        <v>35689.986242613712</v>
      </c>
      <c r="Q136" s="9">
        <f>_xll.BQL("CRM US Equity", "BS_TOTAL_LIABILITIES/1M", "FPR=2022Y", "FPT=A", "FA_ACT_EST_DATA=E, EST_SOURCE=NDH", "ACT_EST_MAPPING=PRECISE", "FS=MRC", "CURRENCY=USD", "XLFILL=b")</f>
        <v>39304.074999999997</v>
      </c>
      <c r="R136" s="9" t="str">
        <f>_xll.BQL("CRM US Equity", "BS_TOTAL_LIABILITIES/1M", "FPR=2022Y", "FPT=A", "FA_ACT_EST_DATA=E, EST_SOURCE=CAN", "ACT_EST_MAPPING=PRECISE", "FS=MRC", "CURRENCY=USD", "XLFILL=b")</f>
        <v/>
      </c>
      <c r="S136" s="9" t="str">
        <f>_xll.BQL("CRM US Equity", "BS_TOTAL_LIABILITIES/1M", "FPR=2022Y", "FPT=A", "FA_ACT_EST_DATA=E, EST_SOURCE=SCB", "ACT_EST_MAPPING=PRECISE", "FS=MRC", "CURRENCY=USD", "XLFILL=b")</f>
        <v/>
      </c>
      <c r="T136" s="9" t="str">
        <f>_xll.BQL("CRM US Equity", "BS_TOTAL_LIABILITIES/1M", "FPR=2022Y", "FPT=A", "FA_ACT_EST_DATA=E, EST_SOURCE=JMP", "ACT_EST_MAPPING=PRECISE", "FS=MRC", "CURRENCY=USD", "XLFILL=b")</f>
        <v/>
      </c>
      <c r="U136" s="9" t="str">
        <f>_xll.BQL("CRM US Equity", "BS_TOTAL_LIABILITIES/1M", "FPR=2022Y", "FPT=A", "FA_ACT_EST_DATA=E, EST_SOURCE=RJA", "ACT_EST_MAPPING=PRECISE", "FS=MRC", "CURRENCY=USD", "XLFILL=b")</f>
        <v/>
      </c>
      <c r="V136" s="9" t="str">
        <f>_xll.BQL("CRM US Equity", "BS_TOTAL_LIABILITIES/1M", "FPR=2022Y", "FPT=A", "FA_ACT_EST_DATA=E, EST_SOURCE=OPY", "ACT_EST_MAPPING=PRECISE", "FS=MRC", "CURRENCY=USD", "XLFILL=b")</f>
        <v/>
      </c>
      <c r="W136" s="9" t="str">
        <f>_xll.BQL("CRM US Equity", "BS_TOTAL_LIABILITIES/1M", "FPR=2022Y", "FPT=A", "FA_ACT_EST_DATA=E, EST_SOURCE=JPM", "ACT_EST_MAPPING=PRECISE", "FS=MRC", "CURRENCY=USD", "XLFILL=b")</f>
        <v/>
      </c>
      <c r="X136" s="9">
        <f>_xll.BQL("CRM US Equity", "BS_TOTAL_LIABILITIES/1M", "FPR=2022Y", "FPT=A", "FA_ACT_EST_DATA=E, EST_SOURCE=FBC", "ACT_EST_MAPPING=PRECISE", "FS=MRC", "CURRENCY=USD", "XLFILL=b")</f>
        <v>37141.065096818973</v>
      </c>
      <c r="Y136" s="9" t="str">
        <f>_xll.BQL("CRM US Equity", "BS_TOTAL_LIABILITIES/1M", "FPR=2022Y", "FPT=A", "FA_ACT_EST_DATA=E, EST_SOURCE=WMS", "ACT_EST_MAPPING=PRECISE", "FS=MRC", "CURRENCY=USD", "XLFILL=b")</f>
        <v/>
      </c>
      <c r="Z136" s="9">
        <f>_xll.BQL("CRM US Equity", "BS_TOTAL_LIABILITIES/1M", "FPR=2022Y", "FPT=A", "FA_ACT_EST_DATA=E, EST_SOURCE=KEY", "ACT_EST_MAPPING=PRECISE", "FS=MRC", "CURRENCY=USD", "XLFILL=b")</f>
        <v>38002.355182495201</v>
      </c>
      <c r="AA136" s="9" t="str">
        <f>_xll.BQL("CRM US Equity", "BS_TOTAL_LIABILITIES/1M", "FPR=2022Y", "FPT=A", "FA_ACT_EST_DATA=E, EST_SOURCE=LCM", "ACT_EST_MAPPING=PRECISE", "FS=MRC", "CURRENCY=USD", "XLFILL=b")</f>
        <v/>
      </c>
      <c r="AB136" s="9" t="str">
        <f>_xll.BQL("CRM US Equity", "BS_TOTAL_LIABILITIES/1M", "FPR=2022Y", "FPT=A", "FA_ACT_EST_DATA=E, EST_SOURCE=CWN", "ACT_EST_MAPPING=PRECISE", "FS=MRC", "CURRENCY=USD", "XLFILL=b")</f>
        <v/>
      </c>
      <c r="AC136" s="9" t="str">
        <f>_xll.BQL("CRM US Equity", "BS_TOTAL_LIABILITIES/1M", "FPR=2022Y", "FPT=A", "FA_ACT_EST_DATA=E, EST_SOURCE=BNS", "ACT_EST_MAPPING=PRECISE", "FS=MRC", "CURRENCY=USD", "XLFILL=b")</f>
        <v/>
      </c>
      <c r="AD136" s="9" t="str">
        <f>_xll.BQL("CRM US Equity", "BS_TOTAL_LIABILITIES/1M", "FPR=2022Y", "FPT=A", "FA_ACT_EST_DATA=E, EST_SOURCE=BAM", "ACT_EST_MAPPING=PRECISE", "FS=MRC", "CURRENCY=USD", "XLFILL=b")</f>
        <v/>
      </c>
      <c r="AE136" s="9" t="str">
        <f>_xll.BQL("CRM US Equity", "BS_TOTAL_LIABILITIES/1M", "FPR=2022Y", "FPT=A", "FA_ACT_EST_DATA=E, EST_SOURCE=RBC", "ACT_EST_MAPPING=PRECISE", "FS=MRC", "CURRENCY=USD", "XLFILL=b")</f>
        <v/>
      </c>
      <c r="AF136" s="9" t="str">
        <f>_xll.BQL("CRM US Equity", "BS_TOTAL_LIABILITIES/1M", "FPR=2022Y", "FPT=A", "FA_ACT_EST_DATA=E, EST_SOURCE=UBS", "ACT_EST_MAPPING=PRECISE", "FS=MRC", "CURRENCY=USD", "XLFILL=b")</f>
        <v/>
      </c>
      <c r="AG136" s="9" t="str">
        <f>_xll.BQL("CRM US Equity", "BS_TOTAL_LIABILITIES/1M", "FPR=2022Y", "FPT=A", "FA_ACT_EST_DATA=E, EST_SOURCE=RHR", "ACT_EST_MAPPING=PRECISE", "FS=MRC", "CURRENCY=USD", "XLFILL=b")</f>
        <v/>
      </c>
      <c r="AH136" s="9" t="str">
        <f>_xll.BQL("CRM US Equity", "BS_TOTAL_LIABILITIES/1M", "FPR=2022Y", "FPT=A", "FA_ACT_EST_DATA=E, EST_SOURCE=JEF", "ACT_EST_MAPPING=PRECISE", "FS=MRC", "CURRENCY=USD", "XLFILL=b")</f>
        <v/>
      </c>
      <c r="AI136" s="9" t="str">
        <f>_xll.BQL("CRM US Equity", "BS_TOTAL_LIABILITIES/1M", "FPR=2022Y", "FPT=A", "FA_ACT_EST_DATA=E, EST_SOURCE=ATL", "ACT_EST_MAPPING=PRECISE", "FS=MRC", "CURRENCY=USD", "XLFILL=b")</f>
        <v/>
      </c>
      <c r="AJ136" s="9" t="str">
        <f>_xll.BQL("CRM US Equity", "BS_TOTAL_LIABILITIES/1M", "FPR=2022Y", "FPT=A", "FA_ACT_EST_DATA=E, EST_SOURCE=MAC", "ACT_EST_MAPPING=PRECISE", "FS=MRC", "CURRENCY=USD", "XLFILL=b")</f>
        <v/>
      </c>
      <c r="AK136" s="9" t="str">
        <f>_xll.BQL("CRM US Equity", "BS_TOTAL_LIABILITIES/1M", "FPR=2022Y", "FPT=A", "FA_ACT_EST_DATA=E, EST_SOURCE=EVR", "ACT_EST_MAPPING=PRECISE", "FS=MRC", "CURRENCY=USD", "XLFILL=b")</f>
        <v/>
      </c>
      <c r="AL136" s="9" t="str">
        <f>_xll.BQL("CRM US Equity", "BS_TOTAL_LIABILITIES/1M", "FPR=2022Y", "FPT=A", "FA_ACT_EST_DATA=E, EST_SOURCE=MSR", "ACT_EST_MAPPING=PRECISE", "FS=MRC", "CURRENCY=USD", "XLFILL=b")</f>
        <v/>
      </c>
      <c r="AM136" s="9" t="str">
        <f>_xll.BQL("CRM US Equity", "BS_TOTAL_LIABILITIES/1M", "FPR=2022Y", "FPT=A", "FA_ACT_EST_DATA=E, EST_SOURCE=KGI", "ACT_EST_MAPPING=PRECISE", "FS=MRC", "CURRENCY=USD", "XLFILL=b")</f>
        <v/>
      </c>
      <c r="AN136" s="9" t="str">
        <f>_xll.BQL("CRM US Equity", "BS_TOTAL_LIABILITIES/1M", "FPR=2022Y", "FPT=A", "FA_ACT_EST_DATA=E, EST_SOURCE=ACC", "ACT_EST_MAPPING=PRECISE", "FS=MRC", "CURRENCY=USD", "XLFILL=b")</f>
        <v/>
      </c>
      <c r="AO136" s="9" t="str">
        <f>_xll.BQL("CRM US Equity", "BS_TOTAL_LIABILITIES/1M", "FPR=2022Y", "FPT=A", "FA_ACT_EST_DATA=E, EST_SOURCE=GSR", "ACT_EST_MAPPING=PRECISE", "FS=MRC", "CURRENCY=USD", "XLFILL=b")</f>
        <v/>
      </c>
      <c r="AP136" s="9" t="str">
        <f>_xll.BQL("CRM US Equity", "BS_TOTAL_LIABILITIES/1M", "FPR=2022Y", "FPT=A", "FA_ACT_EST_DATA=E, EST_SOURCE=PSG", "ACT_EST_MAPPING=PRECISE", "FS=MRC", "CURRENCY=USD", "XLFILL=b")</f>
        <v/>
      </c>
      <c r="AQ136" s="9" t="str">
        <f>_xll.BQL("CRM US Equity", "BS_TOTAL_LIABILITIES/1M", "FPR=2022Y", "FPT=A", "FA_ACT_EST_DATA=E, EST_SOURCE=DWI", "ACT_EST_MAPPING=PRECISE", "FS=MRC", "CURRENCY=USD", "XLFILL=b")</f>
        <v/>
      </c>
      <c r="AR136" s="9" t="str">
        <f>_xll.BQL("CRM US Equity", "BS_TOTAL_LIABILITIES/1M", "FPR=2022Y", "FPT=A", "FA_ACT_EST_DATA=E, EST_SOURCE=RWB", "ACT_EST_MAPPING=PRECISE", "FS=MRC", "CURRENCY=USD", "XLFILL=b")</f>
        <v/>
      </c>
      <c r="AS136" s="9" t="str">
        <f>_xll.BQL("CRM US Equity", "BS_TOTAL_LIABILITIES/1M", "FPR=2022Y", "FPT=A", "FA_ACT_EST_DATA=E, EST_SOURCE=ARG", "ACT_EST_MAPPING=PRECISE", "FS=MRC", "CURRENCY=USD", "XLFILL=b")</f>
        <v/>
      </c>
      <c r="AT136" s="9" t="str">
        <f>_xll.BQL("CRM US Equity", "BS_TOTAL_LIABILITIES/1M", "FPR=2022Y", "FPT=A", "FA_ACT_EST_DATA=E, EST_SOURCE=CTI", "ACT_EST_MAPPING=PRECISE", "FS=MRC", "CURRENCY=USD", "XLFILL=b")</f>
        <v/>
      </c>
      <c r="AU136" s="9" t="str">
        <f>_xll.BQL("CRM US Equity", "BS_TOTAL_LIABILITIES/1M", "FPR=2022Y", "FPT=A", "FA_ACT_EST_DATA=E, EST_SOURCE=WFT", "ACT_EST_MAPPING=PRECISE", "FS=MRC", "CURRENCY=USD", "XLFILL=b")</f>
        <v/>
      </c>
      <c r="AV136" s="9" t="str">
        <f>_xll.BQL("CRM US Equity", "BS_TOTAL_LIABILITIES/1M", "FPR=2022Y", "FPT=A", "FA_ACT_EST_DATA=E, EST_SOURCE=PJE", "ACT_EST_MAPPING=PRECISE", "FS=MRC", "CURRENCY=USD", "XLFILL=b")</f>
        <v/>
      </c>
      <c r="AW136" s="9" t="str">
        <f>_xll.BQL("CRM US Equity", "BS_TOTAL_LIABILITIES/1M", "FPR=2022Y", "FPT=A", "FA_ACT_EST_DATA=E, EST_SOURCE=SGE", "ACT_EST_MAPPING=PRECISE", "FS=MRC", "CURRENCY=USD", "XLFILL=b")</f>
        <v/>
      </c>
      <c r="AX136" s="9" t="str">
        <f>_xll.BQL("CRM US Equity", "BS_TOTAL_LIABILITIES/1M", "FPR=2022Y", "FPT=A", "FA_ACT_EST_DATA=E, EST_SOURCE=MZS", "ACT_EST_MAPPING=PRECISE", "FS=MRC", "CURRENCY=USD", "XLFILL=b")</f>
        <v/>
      </c>
      <c r="AY136" s="9" t="str">
        <f>_xll.BQL("CRM US Equity", "BS_TOTAL_LIABILITIES/1M", "FPR=2022Y", "FPT=A", "FA_ACT_EST_DATA=E, EST_SOURCE=RCP", "ACT_EST_MAPPING=PRECISE", "FS=MRC", "CURRENCY=USD", "XLFILL=b")</f>
        <v/>
      </c>
      <c r="AZ136" s="9" t="str">
        <f>_xll.BQL("CRM US Equity", "BS_TOTAL_LIABILITIES/1M", "FPR=2022Y", "FPT=A", "FA_ACT_EST_DATA=E, EST_SOURCE=WFR", "ACT_EST_MAPPING=PRECISE", "FS=MRC", "CURRENCY=USD", "XLFILL=b")</f>
        <v/>
      </c>
      <c r="BA136" s="9" t="str">
        <f>_xll.BQL("CRM US Equity", "BS_TOTAL_LIABILITIES/1M", "FPR=2022Y", "FPT=A", "FA_ACT_EST_DATA=E, EST_SOURCE=NIK", "ACT_EST_MAPPING=PRECISE", "FS=MRC", "CURRENCY=USD", "XLFILL=b")</f>
        <v/>
      </c>
      <c r="BB136" s="9" t="str">
        <f>_xll.BQL("CRM US Equity", "BS_TOTAL_LIABILITIES/1M", "FPR=2022Y", "FPT=A", "FA_ACT_EST_DATA=E, EST_SOURCE=ARE", "ACT_EST_MAPPING=PRECISE", "FS=MRC", "CURRENCY=USD", "XLFILL=b")</f>
        <v/>
      </c>
      <c r="BC136" s="9" t="str">
        <f>_xll.BQL("CRM US Equity", "BS_TOTAL_LIABILITIES/1M", "FPR=2022Y", "FPT=A", "FA_ACT_EST_DATA=E, EST_SOURCE=RED", "ACT_EST_MAPPING=PRECISE", "FS=MRC", "CURRENCY=USD", "XLFILL=b")</f>
        <v/>
      </c>
      <c r="BD136" s="9" t="str">
        <f>_xll.BQL("CRM US Equity", "BS_TOTAL_LIABILITIES/1M", "FPR=2022Y", "FPT=A", "FA_ACT_EST_DATA=E, EST_SOURCE=DIR", "ACT_EST_MAPPING=PRECISE", "FS=MRC", "CURRENCY=USD", "XLFILL=b")</f>
        <v/>
      </c>
    </row>
    <row r="137" spans="1:56" x14ac:dyDescent="0.55000000000000004">
      <c r="A137" s="8" t="s">
        <v>261</v>
      </c>
      <c r="B137" s="5" t="s">
        <v>262</v>
      </c>
      <c r="C137" s="5" t="s">
        <v>263</v>
      </c>
      <c r="D137" s="5"/>
      <c r="E137" s="9">
        <f>_xll.BQL("CRM US Equity", "BS_EQTY_BEFORE_MINORITY_INT/1M", "FPR=2022Y", "FPT=A", "FA_ACT_EST_DATA=E", "ACT_EST_MAPPING=PRECISE", "FS=MRC", "CURRENCY=USD", "XLFILL=b")</f>
        <v>55626.451871829551</v>
      </c>
      <c r="F137" s="9">
        <f>_xll.BQL("CRM US Equity", "CONTRIBUTOR_STATS(BS_EQTY_BEFORE_MINORITY_INT, MIN)/1M", "FPR=2022Y", "FPT=A", "FA_ACT_EST_DATA=E", "ACT_EST_MAPPING=PRECISE", "FS=MRC", "CURRENCY=USD", "XLFILL=b")</f>
        <v>42729.48963081259</v>
      </c>
      <c r="G137" s="9">
        <f>_xll.BQL("CRM US Equity", "CONTRIBUTOR_STATS(BS_EQTY_BEFORE_MINORITY_INT, MAX)/1M", "FPR=2022Y", "FPT=A", "FA_ACT_EST_DATA=E", "ACT_EST_MAPPING=PRECISE", "FS=MRC", "CURRENCY=USD", "XLFILL=b")</f>
        <v>58608.591386815715</v>
      </c>
      <c r="H137" s="9">
        <f>_xll.BQL("CRM US Equity", "CONTRIBUTOR_STATS(BS_EQTY_BEFORE_MINORITY_INT, STD)/1M", "FPR=2022Y", "FPT=A", "FA_ACT_EST_DATA=E", "ACT_EST_MAPPING=PRECISE", "FS=MRC", "CURRENCY=USD", "XLFILL=b")</f>
        <v>5401.0190255680727</v>
      </c>
      <c r="I137" s="9">
        <f>_xll.BQL("CRM US Equity", "CONTRIBUTOR_STATS(BS_EQTY_BEFORE_MINORITY_INT, MEDIAN)/1M", "FPR=2022Y", "FPT=A", "FA_ACT_EST_DATA=E", "ACT_EST_MAPPING=PRECISE", "FS=MRC", "CURRENCY=USD", "XLFILL=b")</f>
        <v>57799.5621498275</v>
      </c>
      <c r="J137" s="9" t="str">
        <f>_xll.BQL("CRM US Equity", "BS_EQTY_BEFORE_MINORITY_INT/1M", "FPR=2022Y", "FPT=A", "FA_ACT_EST_DATA=E, EST_SOURCE=CMPY", "ACT_EST_MAPPING=PRECISE", "FS=MRC", "CURRENCY=USD", "XLFILL=b")</f>
        <v/>
      </c>
      <c r="K137" s="9" t="str">
        <f>_xll.BQL("CRM US Equity", "BS_EQTY_BEFORE_MINORITY_INT/1M", "FPR=2022Y", "FPT=A", "FA_ACT_EST_DATA=E, EST_SOURCE=WBL", "ACT_EST_MAPPING=PRECISE", "FS=MRC", "CURRENCY=USD", "XLFILL=b")</f>
        <v/>
      </c>
      <c r="L137" s="9" t="str">
        <f>_xll.BQL("CRM US Equity", "BS_EQTY_BEFORE_MINORITY_INT/1M", "FPR=2022Y", "FPT=A", "FA_ACT_EST_DATA=E, EST_SOURCE=BMO", "ACT_EST_MAPPING=PRECISE", "FS=MRC", "CURRENCY=USD", "XLFILL=b")</f>
        <v/>
      </c>
      <c r="M137" s="9">
        <f>_xll.BQL("CRM US Equity", "BS_EQTY_BEFORE_MINORITY_INT/1M", "FPR=2022Y", "FPT=A", "FA_ACT_EST_DATA=E, EST_SOURCE=BCA", "ACT_EST_MAPPING=PRECISE", "FS=MRC", "CURRENCY=USD", "XLFILL=b")</f>
        <v>57638.793911478249</v>
      </c>
      <c r="N137" s="9" t="str">
        <f>_xll.BQL("CRM US Equity", "BS_EQTY_BEFORE_MINORITY_INT/1M", "FPR=2022Y", "FPT=A", "FA_ACT_EST_DATA=E, EST_SOURCE=SNR", "ACT_EST_MAPPING=PRECISE", "FS=MRC", "CURRENCY=USD", "XLFILL=b")</f>
        <v/>
      </c>
      <c r="O137" s="9">
        <f>_xll.BQL("CRM US Equity", "BS_EQTY_BEFORE_MINORITY_INT/1M", "FPR=2022Y", "FPT=A", "FA_ACT_EST_DATA=E, EST_SOURCE=MSV", "ACT_EST_MAPPING=PRECISE", "FS=MRC", "CURRENCY=USD", "XLFILL=b")</f>
        <v>42729.48963081259</v>
      </c>
      <c r="P137" s="9">
        <f>_xll.BQL("CRM US Equity", "BS_EQTY_BEFORE_MINORITY_INT/1M", "FPR=2022Y", "FPT=A", "FA_ACT_EST_DATA=E, EST_SOURCE=DBG", "ACT_EST_MAPPING=PRECISE", "FS=MRC", "CURRENCY=USD", "XLFILL=b")</f>
        <v>58411.412523885243</v>
      </c>
      <c r="Q137" s="9">
        <f>_xll.BQL("CRM US Equity", "BS_EQTY_BEFORE_MINORITY_INT/1M", "FPR=2022Y", "FPT=A", "FA_ACT_EST_DATA=E, EST_SOURCE=NDH", "ACT_EST_MAPPING=PRECISE", "FS=MRC", "CURRENCY=USD", "XLFILL=b")</f>
        <v>56264.732150000011</v>
      </c>
      <c r="R137" s="9" t="str">
        <f>_xll.BQL("CRM US Equity", "BS_EQTY_BEFORE_MINORITY_INT/1M", "FPR=2022Y", "FPT=A", "FA_ACT_EST_DATA=E, EST_SOURCE=CAN", "ACT_EST_MAPPING=PRECISE", "FS=MRC", "CURRENCY=USD", "XLFILL=b")</f>
        <v/>
      </c>
      <c r="S137" s="9" t="str">
        <f>_xll.BQL("CRM US Equity", "BS_EQTY_BEFORE_MINORITY_INT/1M", "FPR=2022Y", "FPT=A", "FA_ACT_EST_DATA=E, EST_SOURCE=SCB", "ACT_EST_MAPPING=PRECISE", "FS=MRC", "CURRENCY=USD", "XLFILL=b")</f>
        <v/>
      </c>
      <c r="T137" s="9" t="str">
        <f>_xll.BQL("CRM US Equity", "BS_EQTY_BEFORE_MINORITY_INT/1M", "FPR=2022Y", "FPT=A", "FA_ACT_EST_DATA=E, EST_SOURCE=JMP", "ACT_EST_MAPPING=PRECISE", "FS=MRC", "CURRENCY=USD", "XLFILL=b")</f>
        <v/>
      </c>
      <c r="U137" s="9" t="str">
        <f>_xll.BQL("CRM US Equity", "BS_EQTY_BEFORE_MINORITY_INT/1M", "FPR=2022Y", "FPT=A", "FA_ACT_EST_DATA=E, EST_SOURCE=RJA", "ACT_EST_MAPPING=PRECISE", "FS=MRC", "CURRENCY=USD", "XLFILL=b")</f>
        <v/>
      </c>
      <c r="V137" s="9" t="str">
        <f>_xll.BQL("CRM US Equity", "BS_EQTY_BEFORE_MINORITY_INT/1M", "FPR=2022Y", "FPT=A", "FA_ACT_EST_DATA=E, EST_SOURCE=OPY", "ACT_EST_MAPPING=PRECISE", "FS=MRC", "CURRENCY=USD", "XLFILL=b")</f>
        <v/>
      </c>
      <c r="W137" s="9" t="str">
        <f>_xll.BQL("CRM US Equity", "BS_EQTY_BEFORE_MINORITY_INT/1M", "FPR=2022Y", "FPT=A", "FA_ACT_EST_DATA=E, EST_SOURCE=JPM", "ACT_EST_MAPPING=PRECISE", "FS=MRC", "CURRENCY=USD", "XLFILL=b")</f>
        <v/>
      </c>
      <c r="X137" s="9">
        <f>_xll.BQL("CRM US Equity", "BS_EQTY_BEFORE_MINORITY_INT/1M", "FPR=2022Y", "FPT=A", "FA_ACT_EST_DATA=E, EST_SOURCE=FBC", "ACT_EST_MAPPING=PRECISE", "FS=MRC", "CURRENCY=USD", "XLFILL=b")</f>
        <v>57115.921447114131</v>
      </c>
      <c r="Y137" s="9" t="str">
        <f>_xll.BQL("CRM US Equity", "BS_EQTY_BEFORE_MINORITY_INT/1M", "FPR=2022Y", "FPT=A", "FA_ACT_EST_DATA=E, EST_SOURCE=WMS", "ACT_EST_MAPPING=PRECISE", "FS=MRC", "CURRENCY=USD", "XLFILL=b")</f>
        <v/>
      </c>
      <c r="Z137" s="9">
        <f>_xll.BQL("CRM US Equity", "BS_EQTY_BEFORE_MINORITY_INT/1M", "FPR=2022Y", "FPT=A", "FA_ACT_EST_DATA=E, EST_SOURCE=KEY", "ACT_EST_MAPPING=PRECISE", "FS=MRC", "CURRENCY=USD", "XLFILL=b")</f>
        <v>60266.675157400517</v>
      </c>
      <c r="AA137" s="9" t="str">
        <f>_xll.BQL("CRM US Equity", "BS_EQTY_BEFORE_MINORITY_INT/1M", "FPR=2022Y", "FPT=A", "FA_ACT_EST_DATA=E, EST_SOURCE=LCM", "ACT_EST_MAPPING=PRECISE", "FS=MRC", "CURRENCY=USD", "XLFILL=b")</f>
        <v/>
      </c>
      <c r="AB137" s="9" t="str">
        <f>_xll.BQL("CRM US Equity", "BS_EQTY_BEFORE_MINORITY_INT/1M", "FPR=2022Y", "FPT=A", "FA_ACT_EST_DATA=E, EST_SOURCE=CWN", "ACT_EST_MAPPING=PRECISE", "FS=MRC", "CURRENCY=USD", "XLFILL=b")</f>
        <v/>
      </c>
      <c r="AC137" s="9" t="str">
        <f>_xll.BQL("CRM US Equity", "BS_EQTY_BEFORE_MINORITY_INT/1M", "FPR=2022Y", "FPT=A", "FA_ACT_EST_DATA=E, EST_SOURCE=BNS", "ACT_EST_MAPPING=PRECISE", "FS=MRC", "CURRENCY=USD", "XLFILL=b")</f>
        <v/>
      </c>
      <c r="AD137" s="9" t="str">
        <f>_xll.BQL("CRM US Equity", "BS_EQTY_BEFORE_MINORITY_INT/1M", "FPR=2022Y", "FPT=A", "FA_ACT_EST_DATA=E, EST_SOURCE=BAM", "ACT_EST_MAPPING=PRECISE", "FS=MRC", "CURRENCY=USD", "XLFILL=b")</f>
        <v/>
      </c>
      <c r="AE137" s="9" t="str">
        <f>_xll.BQL("CRM US Equity", "BS_EQTY_BEFORE_MINORITY_INT/1M", "FPR=2022Y", "FPT=A", "FA_ACT_EST_DATA=E, EST_SOURCE=RBC", "ACT_EST_MAPPING=PRECISE", "FS=MRC", "CURRENCY=USD", "XLFILL=b")</f>
        <v/>
      </c>
      <c r="AF137" s="9" t="str">
        <f>_xll.BQL("CRM US Equity", "BS_EQTY_BEFORE_MINORITY_INT/1M", "FPR=2022Y", "FPT=A", "FA_ACT_EST_DATA=E, EST_SOURCE=UBS", "ACT_EST_MAPPING=PRECISE", "FS=MRC", "CURRENCY=USD", "XLFILL=b")</f>
        <v/>
      </c>
      <c r="AG137" s="9" t="str">
        <f>_xll.BQL("CRM US Equity", "BS_EQTY_BEFORE_MINORITY_INT/1M", "FPR=2022Y", "FPT=A", "FA_ACT_EST_DATA=E, EST_SOURCE=RHR", "ACT_EST_MAPPING=PRECISE", "FS=MRC", "CURRENCY=USD", "XLFILL=b")</f>
        <v/>
      </c>
      <c r="AH137" s="9" t="str">
        <f>_xll.BQL("CRM US Equity", "BS_EQTY_BEFORE_MINORITY_INT/1M", "FPR=2022Y", "FPT=A", "FA_ACT_EST_DATA=E, EST_SOURCE=JEF", "ACT_EST_MAPPING=PRECISE", "FS=MRC", "CURRENCY=USD", "XLFILL=b")</f>
        <v/>
      </c>
      <c r="AI137" s="9" t="str">
        <f>_xll.BQL("CRM US Equity", "BS_EQTY_BEFORE_MINORITY_INT/1M", "FPR=2022Y", "FPT=A", "FA_ACT_EST_DATA=E, EST_SOURCE=ATL", "ACT_EST_MAPPING=PRECISE", "FS=MRC", "CURRENCY=USD", "XLFILL=b")</f>
        <v/>
      </c>
      <c r="AJ137" s="9" t="str">
        <f>_xll.BQL("CRM US Equity", "BS_EQTY_BEFORE_MINORITY_INT/1M", "FPR=2022Y", "FPT=A", "FA_ACT_EST_DATA=E, EST_SOURCE=MAC", "ACT_EST_MAPPING=PRECISE", "FS=MRC", "CURRENCY=USD", "XLFILL=b")</f>
        <v/>
      </c>
      <c r="AK137" s="9" t="str">
        <f>_xll.BQL("CRM US Equity", "BS_EQTY_BEFORE_MINORITY_INT/1M", "FPR=2022Y", "FPT=A", "FA_ACT_EST_DATA=E, EST_SOURCE=EVR", "ACT_EST_MAPPING=PRECISE", "FS=MRC", "CURRENCY=USD", "XLFILL=b")</f>
        <v/>
      </c>
      <c r="AL137" s="9" t="str">
        <f>_xll.BQL("CRM US Equity", "BS_EQTY_BEFORE_MINORITY_INT/1M", "FPR=2022Y", "FPT=A", "FA_ACT_EST_DATA=E, EST_SOURCE=MSR", "ACT_EST_MAPPING=PRECISE", "FS=MRC", "CURRENCY=USD", "XLFILL=b")</f>
        <v/>
      </c>
      <c r="AM137" s="9" t="str">
        <f>_xll.BQL("CRM US Equity", "BS_EQTY_BEFORE_MINORITY_INT/1M", "FPR=2022Y", "FPT=A", "FA_ACT_EST_DATA=E, EST_SOURCE=KGI", "ACT_EST_MAPPING=PRECISE", "FS=MRC", "CURRENCY=USD", "XLFILL=b")</f>
        <v/>
      </c>
      <c r="AN137" s="9" t="str">
        <f>_xll.BQL("CRM US Equity", "BS_EQTY_BEFORE_MINORITY_INT/1M", "FPR=2022Y", "FPT=A", "FA_ACT_EST_DATA=E, EST_SOURCE=ACC", "ACT_EST_MAPPING=PRECISE", "FS=MRC", "CURRENCY=USD", "XLFILL=b")</f>
        <v/>
      </c>
      <c r="AO137" s="9" t="str">
        <f>_xll.BQL("CRM US Equity", "BS_EQTY_BEFORE_MINORITY_INT/1M", "FPR=2022Y", "FPT=A", "FA_ACT_EST_DATA=E, EST_SOURCE=GSR", "ACT_EST_MAPPING=PRECISE", "FS=MRC", "CURRENCY=USD", "XLFILL=b")</f>
        <v/>
      </c>
      <c r="AP137" s="9" t="str">
        <f>_xll.BQL("CRM US Equity", "BS_EQTY_BEFORE_MINORITY_INT/1M", "FPR=2022Y", "FPT=A", "FA_ACT_EST_DATA=E, EST_SOURCE=PSG", "ACT_EST_MAPPING=PRECISE", "FS=MRC", "CURRENCY=USD", "XLFILL=b")</f>
        <v/>
      </c>
      <c r="AQ137" s="9" t="str">
        <f>_xll.BQL("CRM US Equity", "BS_EQTY_BEFORE_MINORITY_INT/1M", "FPR=2022Y", "FPT=A", "FA_ACT_EST_DATA=E, EST_SOURCE=DWI", "ACT_EST_MAPPING=PRECISE", "FS=MRC", "CURRENCY=USD", "XLFILL=b")</f>
        <v/>
      </c>
      <c r="AR137" s="9" t="str">
        <f>_xll.BQL("CRM US Equity", "BS_EQTY_BEFORE_MINORITY_INT/1M", "FPR=2022Y", "FPT=A", "FA_ACT_EST_DATA=E, EST_SOURCE=RWB", "ACT_EST_MAPPING=PRECISE", "FS=MRC", "CURRENCY=USD", "XLFILL=b")</f>
        <v/>
      </c>
      <c r="AS137" s="9" t="str">
        <f>_xll.BQL("CRM US Equity", "BS_EQTY_BEFORE_MINORITY_INT/1M", "FPR=2022Y", "FPT=A", "FA_ACT_EST_DATA=E, EST_SOURCE=ARG", "ACT_EST_MAPPING=PRECISE", "FS=MRC", "CURRENCY=USD", "XLFILL=b")</f>
        <v/>
      </c>
      <c r="AT137" s="9" t="str">
        <f>_xll.BQL("CRM US Equity", "BS_EQTY_BEFORE_MINORITY_INT/1M", "FPR=2022Y", "FPT=A", "FA_ACT_EST_DATA=E, EST_SOURCE=CTI", "ACT_EST_MAPPING=PRECISE", "FS=MRC", "CURRENCY=USD", "XLFILL=b")</f>
        <v/>
      </c>
      <c r="AU137" s="9" t="str">
        <f>_xll.BQL("CRM US Equity", "BS_EQTY_BEFORE_MINORITY_INT/1M", "FPR=2022Y", "FPT=A", "FA_ACT_EST_DATA=E, EST_SOURCE=WFT", "ACT_EST_MAPPING=PRECISE", "FS=MRC", "CURRENCY=USD", "XLFILL=b")</f>
        <v/>
      </c>
      <c r="AV137" s="9" t="str">
        <f>_xll.BQL("CRM US Equity", "BS_EQTY_BEFORE_MINORITY_INT/1M", "FPR=2022Y", "FPT=A", "FA_ACT_EST_DATA=E, EST_SOURCE=PJE", "ACT_EST_MAPPING=PRECISE", "FS=MRC", "CURRENCY=USD", "XLFILL=b")</f>
        <v/>
      </c>
      <c r="AW137" s="9" t="str">
        <f>_xll.BQL("CRM US Equity", "BS_EQTY_BEFORE_MINORITY_INT/1M", "FPR=2022Y", "FPT=A", "FA_ACT_EST_DATA=E, EST_SOURCE=SGE", "ACT_EST_MAPPING=PRECISE", "FS=MRC", "CURRENCY=USD", "XLFILL=b")</f>
        <v/>
      </c>
      <c r="AX137" s="9" t="str">
        <f>_xll.BQL("CRM US Equity", "BS_EQTY_BEFORE_MINORITY_INT/1M", "FPR=2022Y", "FPT=A", "FA_ACT_EST_DATA=E, EST_SOURCE=MZS", "ACT_EST_MAPPING=PRECISE", "FS=MRC", "CURRENCY=USD", "XLFILL=b")</f>
        <v/>
      </c>
      <c r="AY137" s="9" t="str">
        <f>_xll.BQL("CRM US Equity", "BS_EQTY_BEFORE_MINORITY_INT/1M", "FPR=2022Y", "FPT=A", "FA_ACT_EST_DATA=E, EST_SOURCE=RCP", "ACT_EST_MAPPING=PRECISE", "FS=MRC", "CURRENCY=USD", "XLFILL=b")</f>
        <v/>
      </c>
      <c r="AZ137" s="9" t="str">
        <f>_xll.BQL("CRM US Equity", "BS_EQTY_BEFORE_MINORITY_INT/1M", "FPR=2022Y", "FPT=A", "FA_ACT_EST_DATA=E, EST_SOURCE=WFR", "ACT_EST_MAPPING=PRECISE", "FS=MRC", "CURRENCY=USD", "XLFILL=b")</f>
        <v/>
      </c>
      <c r="BA137" s="9" t="str">
        <f>_xll.BQL("CRM US Equity", "BS_EQTY_BEFORE_MINORITY_INT/1M", "FPR=2022Y", "FPT=A", "FA_ACT_EST_DATA=E, EST_SOURCE=NIK", "ACT_EST_MAPPING=PRECISE", "FS=MRC", "CURRENCY=USD", "XLFILL=b")</f>
        <v/>
      </c>
      <c r="BB137" s="9" t="str">
        <f>_xll.BQL("CRM US Equity", "BS_EQTY_BEFORE_MINORITY_INT/1M", "FPR=2022Y", "FPT=A", "FA_ACT_EST_DATA=E, EST_SOURCE=ARE", "ACT_EST_MAPPING=PRECISE", "FS=MRC", "CURRENCY=USD", "XLFILL=b")</f>
        <v/>
      </c>
      <c r="BC137" s="9" t="str">
        <f>_xll.BQL("CRM US Equity", "BS_EQTY_BEFORE_MINORITY_INT/1M", "FPR=2022Y", "FPT=A", "FA_ACT_EST_DATA=E, EST_SOURCE=RED", "ACT_EST_MAPPING=PRECISE", "FS=MRC", "CURRENCY=USD", "XLFILL=b")</f>
        <v/>
      </c>
      <c r="BD137" s="9" t="str">
        <f>_xll.BQL("CRM US Equity", "BS_EQTY_BEFORE_MINORITY_INT/1M", "FPR=2022Y", "FPT=A", "FA_ACT_EST_DATA=E, EST_SOURCE=DIR", "ACT_EST_MAPPING=PRECISE", "FS=MRC", "CURRENCY=USD", "XLFILL=b")</f>
        <v/>
      </c>
    </row>
    <row r="138" spans="1:56" x14ac:dyDescent="0.55000000000000004">
      <c r="A138" s="8" t="s">
        <v>264</v>
      </c>
      <c r="B138" s="5" t="s">
        <v>265</v>
      </c>
      <c r="C138" s="5" t="s">
        <v>266</v>
      </c>
      <c r="D138" s="5"/>
      <c r="E138" s="9">
        <f>_xll.BQL("CRM US Equity", "BS_COMMON_STOCK/1M", "FPR=2022Y", "FPT=A", "FA_ACT_EST_DATA=E", "ACT_EST_MAPPING=PRECISE", "FS=MRC", "CURRENCY=USD", "XLFILL=b")</f>
        <v>1</v>
      </c>
      <c r="F138" s="9">
        <f>_xll.BQL("CRM US Equity", "CONTRIBUTOR_STATS(BS_COMMON_STOCK, MIN)/1M", "FPR=2022Y", "FPT=A", "FA_ACT_EST_DATA=E", "ACT_EST_MAPPING=PRECISE", "FS=MRC", "CURRENCY=USD", "XLFILL=b")</f>
        <v>1</v>
      </c>
      <c r="G138" s="9">
        <f>_xll.BQL("CRM US Equity", "CONTRIBUTOR_STATS(BS_COMMON_STOCK, MAX)/1M", "FPR=2022Y", "FPT=A", "FA_ACT_EST_DATA=E", "ACT_EST_MAPPING=PRECISE", "FS=MRC", "CURRENCY=USD", "XLFILL=b")</f>
        <v>1</v>
      </c>
      <c r="H138" s="9">
        <f>_xll.BQL("CRM US Equity", "CONTRIBUTOR_STATS(BS_COMMON_STOCK, STD)/1M", "FPR=2022Y", "FPT=A", "FA_ACT_EST_DATA=E", "ACT_EST_MAPPING=PRECISE", "FS=MRC", "CURRENCY=USD", "XLFILL=b")</f>
        <v>0</v>
      </c>
      <c r="I138" s="9">
        <f>_xll.BQL("CRM US Equity", "CONTRIBUTOR_STATS(BS_COMMON_STOCK, MEDIAN)/1M", "FPR=2022Y", "FPT=A", "FA_ACT_EST_DATA=E", "ACT_EST_MAPPING=PRECISE", "FS=MRC", "CURRENCY=USD", "XLFILL=b")</f>
        <v>1</v>
      </c>
      <c r="J138" s="9" t="str">
        <f>_xll.BQL("CRM US Equity", "BS_COMMON_STOCK/1M", "FPR=2022Y", "FPT=A", "FA_ACT_EST_DATA=E, EST_SOURCE=CMPY", "ACT_EST_MAPPING=PRECISE", "FS=MRC", "CURRENCY=USD", "XLFILL=b")</f>
        <v/>
      </c>
      <c r="K138" s="9" t="str">
        <f>_xll.BQL("CRM US Equity", "BS_COMMON_STOCK/1M", "FPR=2022Y", "FPT=A", "FA_ACT_EST_DATA=E, EST_SOURCE=WBL", "ACT_EST_MAPPING=PRECISE", "FS=MRC", "CURRENCY=USD", "XLFILL=b")</f>
        <v/>
      </c>
      <c r="L138" s="9" t="str">
        <f>_xll.BQL("CRM US Equity", "BS_COMMON_STOCK/1M", "FPR=2022Y", "FPT=A", "FA_ACT_EST_DATA=E, EST_SOURCE=BMO", "ACT_EST_MAPPING=PRECISE", "FS=MRC", "CURRENCY=USD", "XLFILL=b")</f>
        <v/>
      </c>
      <c r="M138" s="9" t="str">
        <f>_xll.BQL("CRM US Equity", "BS_COMMON_STOCK/1M", "FPR=2022Y", "FPT=A", "FA_ACT_EST_DATA=E, EST_SOURCE=BCA", "ACT_EST_MAPPING=PRECISE", "FS=MRC", "CURRENCY=USD", "XLFILL=b")</f>
        <v/>
      </c>
      <c r="N138" s="9" t="str">
        <f>_xll.BQL("CRM US Equity", "BS_COMMON_STOCK/1M", "FPR=2022Y", "FPT=A", "FA_ACT_EST_DATA=E, EST_SOURCE=SNR", "ACT_EST_MAPPING=PRECISE", "FS=MRC", "CURRENCY=USD", "XLFILL=b")</f>
        <v/>
      </c>
      <c r="O138" s="9">
        <f>_xll.BQL("CRM US Equity", "BS_COMMON_STOCK/1M", "FPR=2022Y", "FPT=A", "FA_ACT_EST_DATA=E, EST_SOURCE=MSV", "ACT_EST_MAPPING=PRECISE", "FS=MRC", "CURRENCY=USD", "XLFILL=b")</f>
        <v>1</v>
      </c>
      <c r="P138" s="9" t="str">
        <f>_xll.BQL("CRM US Equity", "BS_COMMON_STOCK/1M", "FPR=2022Y", "FPT=A", "FA_ACT_EST_DATA=E, EST_SOURCE=DBG", "ACT_EST_MAPPING=PRECISE", "FS=MRC", "CURRENCY=USD", "XLFILL=b")</f>
        <v/>
      </c>
      <c r="Q138" s="9" t="str">
        <f>_xll.BQL("CRM US Equity", "BS_COMMON_STOCK/1M", "FPR=2022Y", "FPT=A", "FA_ACT_EST_DATA=E, EST_SOURCE=NDH", "ACT_EST_MAPPING=PRECISE", "FS=MRC", "CURRENCY=USD", "XLFILL=b")</f>
        <v/>
      </c>
      <c r="R138" s="9" t="str">
        <f>_xll.BQL("CRM US Equity", "BS_COMMON_STOCK/1M", "FPR=2022Y", "FPT=A", "FA_ACT_EST_DATA=E, EST_SOURCE=CAN", "ACT_EST_MAPPING=PRECISE", "FS=MRC", "CURRENCY=USD", "XLFILL=b")</f>
        <v/>
      </c>
      <c r="S138" s="9" t="str">
        <f>_xll.BQL("CRM US Equity", "BS_COMMON_STOCK/1M", "FPR=2022Y", "FPT=A", "FA_ACT_EST_DATA=E, EST_SOURCE=SCB", "ACT_EST_MAPPING=PRECISE", "FS=MRC", "CURRENCY=USD", "XLFILL=b")</f>
        <v/>
      </c>
      <c r="T138" s="9" t="str">
        <f>_xll.BQL("CRM US Equity", "BS_COMMON_STOCK/1M", "FPR=2022Y", "FPT=A", "FA_ACT_EST_DATA=E, EST_SOURCE=JMP", "ACT_EST_MAPPING=PRECISE", "FS=MRC", "CURRENCY=USD", "XLFILL=b")</f>
        <v/>
      </c>
      <c r="U138" s="9" t="str">
        <f>_xll.BQL("CRM US Equity", "BS_COMMON_STOCK/1M", "FPR=2022Y", "FPT=A", "FA_ACT_EST_DATA=E, EST_SOURCE=RJA", "ACT_EST_MAPPING=PRECISE", "FS=MRC", "CURRENCY=USD", "XLFILL=b")</f>
        <v/>
      </c>
      <c r="V138" s="9" t="str">
        <f>_xll.BQL("CRM US Equity", "BS_COMMON_STOCK/1M", "FPR=2022Y", "FPT=A", "FA_ACT_EST_DATA=E, EST_SOURCE=OPY", "ACT_EST_MAPPING=PRECISE", "FS=MRC", "CURRENCY=USD", "XLFILL=b")</f>
        <v/>
      </c>
      <c r="W138" s="9" t="str">
        <f>_xll.BQL("CRM US Equity", "BS_COMMON_STOCK/1M", "FPR=2022Y", "FPT=A", "FA_ACT_EST_DATA=E, EST_SOURCE=JPM", "ACT_EST_MAPPING=PRECISE", "FS=MRC", "CURRENCY=USD", "XLFILL=b")</f>
        <v/>
      </c>
      <c r="X138" s="9" t="str">
        <f>_xll.BQL("CRM US Equity", "BS_COMMON_STOCK/1M", "FPR=2022Y", "FPT=A", "FA_ACT_EST_DATA=E, EST_SOURCE=FBC", "ACT_EST_MAPPING=PRECISE", "FS=MRC", "CURRENCY=USD", "XLFILL=b")</f>
        <v/>
      </c>
      <c r="Y138" s="9" t="str">
        <f>_xll.BQL("CRM US Equity", "BS_COMMON_STOCK/1M", "FPR=2022Y", "FPT=A", "FA_ACT_EST_DATA=E, EST_SOURCE=WMS", "ACT_EST_MAPPING=PRECISE", "FS=MRC", "CURRENCY=USD", "XLFILL=b")</f>
        <v/>
      </c>
      <c r="Z138" s="9" t="str">
        <f>_xll.BQL("CRM US Equity", "BS_COMMON_STOCK/1M", "FPR=2022Y", "FPT=A", "FA_ACT_EST_DATA=E, EST_SOURCE=KEY", "ACT_EST_MAPPING=PRECISE", "FS=MRC", "CURRENCY=USD", "XLFILL=b")</f>
        <v/>
      </c>
      <c r="AA138" s="9" t="str">
        <f>_xll.BQL("CRM US Equity", "BS_COMMON_STOCK/1M", "FPR=2022Y", "FPT=A", "FA_ACT_EST_DATA=E, EST_SOURCE=LCM", "ACT_EST_MAPPING=PRECISE", "FS=MRC", "CURRENCY=USD", "XLFILL=b")</f>
        <v/>
      </c>
      <c r="AB138" s="9" t="str">
        <f>_xll.BQL("CRM US Equity", "BS_COMMON_STOCK/1M", "FPR=2022Y", "FPT=A", "FA_ACT_EST_DATA=E, EST_SOURCE=CWN", "ACT_EST_MAPPING=PRECISE", "FS=MRC", "CURRENCY=USD", "XLFILL=b")</f>
        <v/>
      </c>
      <c r="AC138" s="9" t="str">
        <f>_xll.BQL("CRM US Equity", "BS_COMMON_STOCK/1M", "FPR=2022Y", "FPT=A", "FA_ACT_EST_DATA=E, EST_SOURCE=BNS", "ACT_EST_MAPPING=PRECISE", "FS=MRC", "CURRENCY=USD", "XLFILL=b")</f>
        <v/>
      </c>
      <c r="AD138" s="9" t="str">
        <f>_xll.BQL("CRM US Equity", "BS_COMMON_STOCK/1M", "FPR=2022Y", "FPT=A", "FA_ACT_EST_DATA=E, EST_SOURCE=BAM", "ACT_EST_MAPPING=PRECISE", "FS=MRC", "CURRENCY=USD", "XLFILL=b")</f>
        <v/>
      </c>
      <c r="AE138" s="9" t="str">
        <f>_xll.BQL("CRM US Equity", "BS_COMMON_STOCK/1M", "FPR=2022Y", "FPT=A", "FA_ACT_EST_DATA=E, EST_SOURCE=RBC", "ACT_EST_MAPPING=PRECISE", "FS=MRC", "CURRENCY=USD", "XLFILL=b")</f>
        <v/>
      </c>
      <c r="AF138" s="9" t="str">
        <f>_xll.BQL("CRM US Equity", "BS_COMMON_STOCK/1M", "FPR=2022Y", "FPT=A", "FA_ACT_EST_DATA=E, EST_SOURCE=UBS", "ACT_EST_MAPPING=PRECISE", "FS=MRC", "CURRENCY=USD", "XLFILL=b")</f>
        <v/>
      </c>
      <c r="AG138" s="9" t="str">
        <f>_xll.BQL("CRM US Equity", "BS_COMMON_STOCK/1M", "FPR=2022Y", "FPT=A", "FA_ACT_EST_DATA=E, EST_SOURCE=RHR", "ACT_EST_MAPPING=PRECISE", "FS=MRC", "CURRENCY=USD", "XLFILL=b")</f>
        <v/>
      </c>
      <c r="AH138" s="9" t="str">
        <f>_xll.BQL("CRM US Equity", "BS_COMMON_STOCK/1M", "FPR=2022Y", "FPT=A", "FA_ACT_EST_DATA=E, EST_SOURCE=JEF", "ACT_EST_MAPPING=PRECISE", "FS=MRC", "CURRENCY=USD", "XLFILL=b")</f>
        <v/>
      </c>
      <c r="AI138" s="9" t="str">
        <f>_xll.BQL("CRM US Equity", "BS_COMMON_STOCK/1M", "FPR=2022Y", "FPT=A", "FA_ACT_EST_DATA=E, EST_SOURCE=ATL", "ACT_EST_MAPPING=PRECISE", "FS=MRC", "CURRENCY=USD", "XLFILL=b")</f>
        <v/>
      </c>
      <c r="AJ138" s="9" t="str">
        <f>_xll.BQL("CRM US Equity", "BS_COMMON_STOCK/1M", "FPR=2022Y", "FPT=A", "FA_ACT_EST_DATA=E, EST_SOURCE=MAC", "ACT_EST_MAPPING=PRECISE", "FS=MRC", "CURRENCY=USD", "XLFILL=b")</f>
        <v/>
      </c>
      <c r="AK138" s="9" t="str">
        <f>_xll.BQL("CRM US Equity", "BS_COMMON_STOCK/1M", "FPR=2022Y", "FPT=A", "FA_ACT_EST_DATA=E, EST_SOURCE=EVR", "ACT_EST_MAPPING=PRECISE", "FS=MRC", "CURRENCY=USD", "XLFILL=b")</f>
        <v/>
      </c>
      <c r="AL138" s="9" t="str">
        <f>_xll.BQL("CRM US Equity", "BS_COMMON_STOCK/1M", "FPR=2022Y", "FPT=A", "FA_ACT_EST_DATA=E, EST_SOURCE=MSR", "ACT_EST_MAPPING=PRECISE", "FS=MRC", "CURRENCY=USD", "XLFILL=b")</f>
        <v/>
      </c>
      <c r="AM138" s="9" t="str">
        <f>_xll.BQL("CRM US Equity", "BS_COMMON_STOCK/1M", "FPR=2022Y", "FPT=A", "FA_ACT_EST_DATA=E, EST_SOURCE=KGI", "ACT_EST_MAPPING=PRECISE", "FS=MRC", "CURRENCY=USD", "XLFILL=b")</f>
        <v/>
      </c>
      <c r="AN138" s="9" t="str">
        <f>_xll.BQL("CRM US Equity", "BS_COMMON_STOCK/1M", "FPR=2022Y", "FPT=A", "FA_ACT_EST_DATA=E, EST_SOURCE=ACC", "ACT_EST_MAPPING=PRECISE", "FS=MRC", "CURRENCY=USD", "XLFILL=b")</f>
        <v/>
      </c>
      <c r="AO138" s="9" t="str">
        <f>_xll.BQL("CRM US Equity", "BS_COMMON_STOCK/1M", "FPR=2022Y", "FPT=A", "FA_ACT_EST_DATA=E, EST_SOURCE=GSR", "ACT_EST_MAPPING=PRECISE", "FS=MRC", "CURRENCY=USD", "XLFILL=b")</f>
        <v/>
      </c>
      <c r="AP138" s="9" t="str">
        <f>_xll.BQL("CRM US Equity", "BS_COMMON_STOCK/1M", "FPR=2022Y", "FPT=A", "FA_ACT_EST_DATA=E, EST_SOURCE=PSG", "ACT_EST_MAPPING=PRECISE", "FS=MRC", "CURRENCY=USD", "XLFILL=b")</f>
        <v/>
      </c>
      <c r="AQ138" s="9" t="str">
        <f>_xll.BQL("CRM US Equity", "BS_COMMON_STOCK/1M", "FPR=2022Y", "FPT=A", "FA_ACT_EST_DATA=E, EST_SOURCE=DWI", "ACT_EST_MAPPING=PRECISE", "FS=MRC", "CURRENCY=USD", "XLFILL=b")</f>
        <v/>
      </c>
      <c r="AR138" s="9" t="str">
        <f>_xll.BQL("CRM US Equity", "BS_COMMON_STOCK/1M", "FPR=2022Y", "FPT=A", "FA_ACT_EST_DATA=E, EST_SOURCE=RWB", "ACT_EST_MAPPING=PRECISE", "FS=MRC", "CURRENCY=USD", "XLFILL=b")</f>
        <v/>
      </c>
      <c r="AS138" s="9" t="str">
        <f>_xll.BQL("CRM US Equity", "BS_COMMON_STOCK/1M", "FPR=2022Y", "FPT=A", "FA_ACT_EST_DATA=E, EST_SOURCE=ARG", "ACT_EST_MAPPING=PRECISE", "FS=MRC", "CURRENCY=USD", "XLFILL=b")</f>
        <v/>
      </c>
      <c r="AT138" s="9" t="str">
        <f>_xll.BQL("CRM US Equity", "BS_COMMON_STOCK/1M", "FPR=2022Y", "FPT=A", "FA_ACT_EST_DATA=E, EST_SOURCE=CTI", "ACT_EST_MAPPING=PRECISE", "FS=MRC", "CURRENCY=USD", "XLFILL=b")</f>
        <v/>
      </c>
      <c r="AU138" s="9" t="str">
        <f>_xll.BQL("CRM US Equity", "BS_COMMON_STOCK/1M", "FPR=2022Y", "FPT=A", "FA_ACT_EST_DATA=E, EST_SOURCE=WFT", "ACT_EST_MAPPING=PRECISE", "FS=MRC", "CURRENCY=USD", "XLFILL=b")</f>
        <v/>
      </c>
      <c r="AV138" s="9" t="str">
        <f>_xll.BQL("CRM US Equity", "BS_COMMON_STOCK/1M", "FPR=2022Y", "FPT=A", "FA_ACT_EST_DATA=E, EST_SOURCE=PJE", "ACT_EST_MAPPING=PRECISE", "FS=MRC", "CURRENCY=USD", "XLFILL=b")</f>
        <v/>
      </c>
      <c r="AW138" s="9" t="str">
        <f>_xll.BQL("CRM US Equity", "BS_COMMON_STOCK/1M", "FPR=2022Y", "FPT=A", "FA_ACT_EST_DATA=E, EST_SOURCE=SGE", "ACT_EST_MAPPING=PRECISE", "FS=MRC", "CURRENCY=USD", "XLFILL=b")</f>
        <v/>
      </c>
      <c r="AX138" s="9" t="str">
        <f>_xll.BQL("CRM US Equity", "BS_COMMON_STOCK/1M", "FPR=2022Y", "FPT=A", "FA_ACT_EST_DATA=E, EST_SOURCE=MZS", "ACT_EST_MAPPING=PRECISE", "FS=MRC", "CURRENCY=USD", "XLFILL=b")</f>
        <v/>
      </c>
      <c r="AY138" s="9" t="str">
        <f>_xll.BQL("CRM US Equity", "BS_COMMON_STOCK/1M", "FPR=2022Y", "FPT=A", "FA_ACT_EST_DATA=E, EST_SOURCE=RCP", "ACT_EST_MAPPING=PRECISE", "FS=MRC", "CURRENCY=USD", "XLFILL=b")</f>
        <v/>
      </c>
      <c r="AZ138" s="9" t="str">
        <f>_xll.BQL("CRM US Equity", "BS_COMMON_STOCK/1M", "FPR=2022Y", "FPT=A", "FA_ACT_EST_DATA=E, EST_SOURCE=WFR", "ACT_EST_MAPPING=PRECISE", "FS=MRC", "CURRENCY=USD", "XLFILL=b")</f>
        <v/>
      </c>
      <c r="BA138" s="9" t="str">
        <f>_xll.BQL("CRM US Equity", "BS_COMMON_STOCK/1M", "FPR=2022Y", "FPT=A", "FA_ACT_EST_DATA=E, EST_SOURCE=NIK", "ACT_EST_MAPPING=PRECISE", "FS=MRC", "CURRENCY=USD", "XLFILL=b")</f>
        <v/>
      </c>
      <c r="BB138" s="9" t="str">
        <f>_xll.BQL("CRM US Equity", "BS_COMMON_STOCK/1M", "FPR=2022Y", "FPT=A", "FA_ACT_EST_DATA=E, EST_SOURCE=ARE", "ACT_EST_MAPPING=PRECISE", "FS=MRC", "CURRENCY=USD", "XLFILL=b")</f>
        <v/>
      </c>
      <c r="BC138" s="9" t="str">
        <f>_xll.BQL("CRM US Equity", "BS_COMMON_STOCK/1M", "FPR=2022Y", "FPT=A", "FA_ACT_EST_DATA=E, EST_SOURCE=RED", "ACT_EST_MAPPING=PRECISE", "FS=MRC", "CURRENCY=USD", "XLFILL=b")</f>
        <v/>
      </c>
      <c r="BD138" s="9" t="str">
        <f>_xll.BQL("CRM US Equity", "BS_COMMON_STOCK/1M", "FPR=2022Y", "FPT=A", "FA_ACT_EST_DATA=E, EST_SOURCE=DIR", "ACT_EST_MAPPING=PRECISE", "FS=MRC", "CURRENCY=USD", "XLFILL=b")</f>
        <v/>
      </c>
    </row>
    <row r="139" spans="1:56" x14ac:dyDescent="0.55000000000000004">
      <c r="A139" s="8" t="s">
        <v>267</v>
      </c>
      <c r="B139" s="5" t="s">
        <v>268</v>
      </c>
      <c r="C139" s="5" t="s">
        <v>269</v>
      </c>
      <c r="D139" s="5"/>
      <c r="E139" s="9">
        <f>_xll.BQL("CRM US Equity", "BS_ADD_PAID_IN_CAP/1M", "FPR=2022Y", "FPT=A", "FA_ACT_EST_DATA=E", "ACT_EST_MAPPING=PRECISE", "FS=MRC", "CURRENCY=USD", "XLFILL=b")</f>
        <v>47902.572931001007</v>
      </c>
      <c r="F139" s="9">
        <f>_xll.BQL("CRM US Equity", "CONTRIBUTOR_STATS(BS_ADD_PAID_IN_CAP, MIN)/1M", "FPR=2022Y", "FPT=A", "FA_ACT_EST_DATA=E", "ACT_EST_MAPPING=PRECISE", "FS=MRC", "CURRENCY=USD", "XLFILL=b")</f>
        <v>35601.57</v>
      </c>
      <c r="G139" s="9">
        <f>_xll.BQL("CRM US Equity", "CONTRIBUTOR_STATS(BS_ADD_PAID_IN_CAP, MAX)/1M", "FPR=2022Y", "FPT=A", "FA_ACT_EST_DATA=E", "ACT_EST_MAPPING=PRECISE", "FS=MRC", "CURRENCY=USD", "XLFILL=b")</f>
        <v>51123.578146006126</v>
      </c>
      <c r="H139" s="9">
        <f>_xll.BQL("CRM US Equity", "CONTRIBUTOR_STATS(BS_ADD_PAID_IN_CAP, STD)/1M", "FPR=2022Y", "FPT=A", "FA_ACT_EST_DATA=E", "ACT_EST_MAPPING=PRECISE", "FS=MRC", "CURRENCY=USD", "XLFILL=b")</f>
        <v>6048.9600694241681</v>
      </c>
      <c r="I139" s="9">
        <f>_xll.BQL("CRM US Equity", "CONTRIBUTOR_STATS(BS_ADD_PAID_IN_CAP, MEDIAN)/1M", "FPR=2022Y", "FPT=A", "FA_ACT_EST_DATA=E", "ACT_EST_MAPPING=PRECISE", "FS=MRC", "CURRENCY=USD", "XLFILL=b")</f>
        <v>50167.644719999997</v>
      </c>
      <c r="J139" s="9" t="str">
        <f>_xll.BQL("CRM US Equity", "BS_ADD_PAID_IN_CAP/1M", "FPR=2022Y", "FPT=A", "FA_ACT_EST_DATA=E, EST_SOURCE=CMPY", "ACT_EST_MAPPING=PRECISE", "FS=MRC", "CURRENCY=USD", "XLFILL=b")</f>
        <v/>
      </c>
      <c r="K139" s="9" t="str">
        <f>_xll.BQL("CRM US Equity", "BS_ADD_PAID_IN_CAP/1M", "FPR=2022Y", "FPT=A", "FA_ACT_EST_DATA=E, EST_SOURCE=WBL", "ACT_EST_MAPPING=PRECISE", "FS=MRC", "CURRENCY=USD", "XLFILL=b")</f>
        <v/>
      </c>
      <c r="L139" s="9" t="str">
        <f>_xll.BQL("CRM US Equity", "BS_ADD_PAID_IN_CAP/1M", "FPR=2022Y", "FPT=A", "FA_ACT_EST_DATA=E, EST_SOURCE=BMO", "ACT_EST_MAPPING=PRECISE", "FS=MRC", "CURRENCY=USD", "XLFILL=b")</f>
        <v/>
      </c>
      <c r="M139" s="9">
        <f>_xll.BQL("CRM US Equity", "BS_ADD_PAID_IN_CAP/1M", "FPR=2022Y", "FPT=A", "FA_ACT_EST_DATA=E, EST_SOURCE=BCA", "ACT_EST_MAPPING=PRECISE", "FS=MRC", "CURRENCY=USD", "XLFILL=b")</f>
        <v>50585</v>
      </c>
      <c r="N139" s="9" t="str">
        <f>_xll.BQL("CRM US Equity", "BS_ADD_PAID_IN_CAP/1M", "FPR=2022Y", "FPT=A", "FA_ACT_EST_DATA=E, EST_SOURCE=SNR", "ACT_EST_MAPPING=PRECISE", "FS=MRC", "CURRENCY=USD", "XLFILL=b")</f>
        <v/>
      </c>
      <c r="O139" s="9">
        <f>_xll.BQL("CRM US Equity", "BS_ADD_PAID_IN_CAP/1M", "FPR=2022Y", "FPT=A", "FA_ACT_EST_DATA=E, EST_SOURCE=MSV", "ACT_EST_MAPPING=PRECISE", "FS=MRC", "CURRENCY=USD", "XLFILL=b")</f>
        <v>35601.57</v>
      </c>
      <c r="P139" s="9" t="str">
        <f>_xll.BQL("CRM US Equity", "BS_ADD_PAID_IN_CAP/1M", "FPR=2022Y", "FPT=A", "FA_ACT_EST_DATA=E, EST_SOURCE=DBG", "ACT_EST_MAPPING=PRECISE", "FS=MRC", "CURRENCY=USD", "XLFILL=b")</f>
        <v/>
      </c>
      <c r="Q139" s="9" t="str">
        <f>_xll.BQL("CRM US Equity", "BS_ADD_PAID_IN_CAP/1M", "FPR=2022Y", "FPT=A", "FA_ACT_EST_DATA=E, EST_SOURCE=NDH", "ACT_EST_MAPPING=PRECISE", "FS=MRC", "CURRENCY=USD", "XLFILL=b")</f>
        <v/>
      </c>
      <c r="R139" s="9" t="str">
        <f>_xll.BQL("CRM US Equity", "BS_ADD_PAID_IN_CAP/1M", "FPR=2022Y", "FPT=A", "FA_ACT_EST_DATA=E, EST_SOURCE=CAN", "ACT_EST_MAPPING=PRECISE", "FS=MRC", "CURRENCY=USD", "XLFILL=b")</f>
        <v/>
      </c>
      <c r="S139" s="9" t="str">
        <f>_xll.BQL("CRM US Equity", "BS_ADD_PAID_IN_CAP/1M", "FPR=2022Y", "FPT=A", "FA_ACT_EST_DATA=E, EST_SOURCE=SCB", "ACT_EST_MAPPING=PRECISE", "FS=MRC", "CURRENCY=USD", "XLFILL=b")</f>
        <v/>
      </c>
      <c r="T139" s="9" t="str">
        <f>_xll.BQL("CRM US Equity", "BS_ADD_PAID_IN_CAP/1M", "FPR=2022Y", "FPT=A", "FA_ACT_EST_DATA=E, EST_SOURCE=JMP", "ACT_EST_MAPPING=PRECISE", "FS=MRC", "CURRENCY=USD", "XLFILL=b")</f>
        <v/>
      </c>
      <c r="U139" s="9" t="str">
        <f>_xll.BQL("CRM US Equity", "BS_ADD_PAID_IN_CAP/1M", "FPR=2022Y", "FPT=A", "FA_ACT_EST_DATA=E, EST_SOURCE=RJA", "ACT_EST_MAPPING=PRECISE", "FS=MRC", "CURRENCY=USD", "XLFILL=b")</f>
        <v/>
      </c>
      <c r="V139" s="9" t="str">
        <f>_xll.BQL("CRM US Equity", "BS_ADD_PAID_IN_CAP/1M", "FPR=2022Y", "FPT=A", "FA_ACT_EST_DATA=E, EST_SOURCE=OPY", "ACT_EST_MAPPING=PRECISE", "FS=MRC", "CURRENCY=USD", "XLFILL=b")</f>
        <v/>
      </c>
      <c r="W139" s="9" t="str">
        <f>_xll.BQL("CRM US Equity", "BS_ADD_PAID_IN_CAP/1M", "FPR=2022Y", "FPT=A", "FA_ACT_EST_DATA=E, EST_SOURCE=JPM", "ACT_EST_MAPPING=PRECISE", "FS=MRC", "CURRENCY=USD", "XLFILL=b")</f>
        <v/>
      </c>
      <c r="X139" s="9">
        <f>_xll.BQL("CRM US Equity", "BS_ADD_PAID_IN_CAP/1M", "FPR=2022Y", "FPT=A", "FA_ACT_EST_DATA=E, EST_SOURCE=FBC", "ACT_EST_MAPPING=PRECISE", "FS=MRC", "CURRENCY=USD", "XLFILL=b")</f>
        <v>48769.698052031148</v>
      </c>
      <c r="Y139" s="9" t="str">
        <f>_xll.BQL("CRM US Equity", "BS_ADD_PAID_IN_CAP/1M", "FPR=2022Y", "FPT=A", "FA_ACT_EST_DATA=E, EST_SOURCE=WMS", "ACT_EST_MAPPING=PRECISE", "FS=MRC", "CURRENCY=USD", "XLFILL=b")</f>
        <v/>
      </c>
      <c r="Z139" s="9" t="str">
        <f>_xll.BQL("CRM US Equity", "BS_ADD_PAID_IN_CAP/1M", "FPR=2022Y", "FPT=A", "FA_ACT_EST_DATA=E, EST_SOURCE=KEY", "ACT_EST_MAPPING=PRECISE", "FS=MRC", "CURRENCY=USD", "XLFILL=b")</f>
        <v/>
      </c>
      <c r="AA139" s="9" t="str">
        <f>_xll.BQL("CRM US Equity", "BS_ADD_PAID_IN_CAP/1M", "FPR=2022Y", "FPT=A", "FA_ACT_EST_DATA=E, EST_SOURCE=LCM", "ACT_EST_MAPPING=PRECISE", "FS=MRC", "CURRENCY=USD", "XLFILL=b")</f>
        <v/>
      </c>
      <c r="AB139" s="9" t="str">
        <f>_xll.BQL("CRM US Equity", "BS_ADD_PAID_IN_CAP/1M", "FPR=2022Y", "FPT=A", "FA_ACT_EST_DATA=E, EST_SOURCE=CWN", "ACT_EST_MAPPING=PRECISE", "FS=MRC", "CURRENCY=USD", "XLFILL=b")</f>
        <v/>
      </c>
      <c r="AC139" s="9" t="str">
        <f>_xll.BQL("CRM US Equity", "BS_ADD_PAID_IN_CAP/1M", "FPR=2022Y", "FPT=A", "FA_ACT_EST_DATA=E, EST_SOURCE=BNS", "ACT_EST_MAPPING=PRECISE", "FS=MRC", "CURRENCY=USD", "XLFILL=b")</f>
        <v/>
      </c>
      <c r="AD139" s="9" t="str">
        <f>_xll.BQL("CRM US Equity", "BS_ADD_PAID_IN_CAP/1M", "FPR=2022Y", "FPT=A", "FA_ACT_EST_DATA=E, EST_SOURCE=BAM", "ACT_EST_MAPPING=PRECISE", "FS=MRC", "CURRENCY=USD", "XLFILL=b")</f>
        <v/>
      </c>
      <c r="AE139" s="9" t="str">
        <f>_xll.BQL("CRM US Equity", "BS_ADD_PAID_IN_CAP/1M", "FPR=2022Y", "FPT=A", "FA_ACT_EST_DATA=E, EST_SOURCE=RBC", "ACT_EST_MAPPING=PRECISE", "FS=MRC", "CURRENCY=USD", "XLFILL=b")</f>
        <v/>
      </c>
      <c r="AF139" s="9" t="str">
        <f>_xll.BQL("CRM US Equity", "BS_ADD_PAID_IN_CAP/1M", "FPR=2022Y", "FPT=A", "FA_ACT_EST_DATA=E, EST_SOURCE=UBS", "ACT_EST_MAPPING=PRECISE", "FS=MRC", "CURRENCY=USD", "XLFILL=b")</f>
        <v/>
      </c>
      <c r="AG139" s="9" t="str">
        <f>_xll.BQL("CRM US Equity", "BS_ADD_PAID_IN_CAP/1M", "FPR=2022Y", "FPT=A", "FA_ACT_EST_DATA=E, EST_SOURCE=RHR", "ACT_EST_MAPPING=PRECISE", "FS=MRC", "CURRENCY=USD", "XLFILL=b")</f>
        <v/>
      </c>
      <c r="AH139" s="9" t="str">
        <f>_xll.BQL("CRM US Equity", "BS_ADD_PAID_IN_CAP/1M", "FPR=2022Y", "FPT=A", "FA_ACT_EST_DATA=E, EST_SOURCE=JEF", "ACT_EST_MAPPING=PRECISE", "FS=MRC", "CURRENCY=USD", "XLFILL=b")</f>
        <v/>
      </c>
      <c r="AI139" s="9" t="str">
        <f>_xll.BQL("CRM US Equity", "BS_ADD_PAID_IN_CAP/1M", "FPR=2022Y", "FPT=A", "FA_ACT_EST_DATA=E, EST_SOURCE=ATL", "ACT_EST_MAPPING=PRECISE", "FS=MRC", "CURRENCY=USD", "XLFILL=b")</f>
        <v/>
      </c>
      <c r="AJ139" s="9" t="str">
        <f>_xll.BQL("CRM US Equity", "BS_ADD_PAID_IN_CAP/1M", "FPR=2022Y", "FPT=A", "FA_ACT_EST_DATA=E, EST_SOURCE=MAC", "ACT_EST_MAPPING=PRECISE", "FS=MRC", "CURRENCY=USD", "XLFILL=b")</f>
        <v/>
      </c>
      <c r="AK139" s="9" t="str">
        <f>_xll.BQL("CRM US Equity", "BS_ADD_PAID_IN_CAP/1M", "FPR=2022Y", "FPT=A", "FA_ACT_EST_DATA=E, EST_SOURCE=EVR", "ACT_EST_MAPPING=PRECISE", "FS=MRC", "CURRENCY=USD", "XLFILL=b")</f>
        <v/>
      </c>
      <c r="AL139" s="9" t="str">
        <f>_xll.BQL("CRM US Equity", "BS_ADD_PAID_IN_CAP/1M", "FPR=2022Y", "FPT=A", "FA_ACT_EST_DATA=E, EST_SOURCE=MSR", "ACT_EST_MAPPING=PRECISE", "FS=MRC", "CURRENCY=USD", "XLFILL=b")</f>
        <v/>
      </c>
      <c r="AM139" s="9" t="str">
        <f>_xll.BQL("CRM US Equity", "BS_ADD_PAID_IN_CAP/1M", "FPR=2022Y", "FPT=A", "FA_ACT_EST_DATA=E, EST_SOURCE=KGI", "ACT_EST_MAPPING=PRECISE", "FS=MRC", "CURRENCY=USD", "XLFILL=b")</f>
        <v/>
      </c>
      <c r="AN139" s="9" t="str">
        <f>_xll.BQL("CRM US Equity", "BS_ADD_PAID_IN_CAP/1M", "FPR=2022Y", "FPT=A", "FA_ACT_EST_DATA=E, EST_SOURCE=ACC", "ACT_EST_MAPPING=PRECISE", "FS=MRC", "CURRENCY=USD", "XLFILL=b")</f>
        <v/>
      </c>
      <c r="AO139" s="9" t="str">
        <f>_xll.BQL("CRM US Equity", "BS_ADD_PAID_IN_CAP/1M", "FPR=2022Y", "FPT=A", "FA_ACT_EST_DATA=E, EST_SOURCE=GSR", "ACT_EST_MAPPING=PRECISE", "FS=MRC", "CURRENCY=USD", "XLFILL=b")</f>
        <v/>
      </c>
      <c r="AP139" s="9" t="str">
        <f>_xll.BQL("CRM US Equity", "BS_ADD_PAID_IN_CAP/1M", "FPR=2022Y", "FPT=A", "FA_ACT_EST_DATA=E, EST_SOURCE=PSG", "ACT_EST_MAPPING=PRECISE", "FS=MRC", "CURRENCY=USD", "XLFILL=b")</f>
        <v/>
      </c>
      <c r="AQ139" s="9" t="str">
        <f>_xll.BQL("CRM US Equity", "BS_ADD_PAID_IN_CAP/1M", "FPR=2022Y", "FPT=A", "FA_ACT_EST_DATA=E, EST_SOURCE=DWI", "ACT_EST_MAPPING=PRECISE", "FS=MRC", "CURRENCY=USD", "XLFILL=b")</f>
        <v/>
      </c>
      <c r="AR139" s="9" t="str">
        <f>_xll.BQL("CRM US Equity", "BS_ADD_PAID_IN_CAP/1M", "FPR=2022Y", "FPT=A", "FA_ACT_EST_DATA=E, EST_SOURCE=RWB", "ACT_EST_MAPPING=PRECISE", "FS=MRC", "CURRENCY=USD", "XLFILL=b")</f>
        <v/>
      </c>
      <c r="AS139" s="9" t="str">
        <f>_xll.BQL("CRM US Equity", "BS_ADD_PAID_IN_CAP/1M", "FPR=2022Y", "FPT=A", "FA_ACT_EST_DATA=E, EST_SOURCE=ARG", "ACT_EST_MAPPING=PRECISE", "FS=MRC", "CURRENCY=USD", "XLFILL=b")</f>
        <v/>
      </c>
      <c r="AT139" s="9" t="str">
        <f>_xll.BQL("CRM US Equity", "BS_ADD_PAID_IN_CAP/1M", "FPR=2022Y", "FPT=A", "FA_ACT_EST_DATA=E, EST_SOURCE=CTI", "ACT_EST_MAPPING=PRECISE", "FS=MRC", "CURRENCY=USD", "XLFILL=b")</f>
        <v/>
      </c>
      <c r="AU139" s="9" t="str">
        <f>_xll.BQL("CRM US Equity", "BS_ADD_PAID_IN_CAP/1M", "FPR=2022Y", "FPT=A", "FA_ACT_EST_DATA=E, EST_SOURCE=WFT", "ACT_EST_MAPPING=PRECISE", "FS=MRC", "CURRENCY=USD", "XLFILL=b")</f>
        <v/>
      </c>
      <c r="AV139" s="9" t="str">
        <f>_xll.BQL("CRM US Equity", "BS_ADD_PAID_IN_CAP/1M", "FPR=2022Y", "FPT=A", "FA_ACT_EST_DATA=E, EST_SOURCE=PJE", "ACT_EST_MAPPING=PRECISE", "FS=MRC", "CURRENCY=USD", "XLFILL=b")</f>
        <v/>
      </c>
      <c r="AW139" s="9" t="str">
        <f>_xll.BQL("CRM US Equity", "BS_ADD_PAID_IN_CAP/1M", "FPR=2022Y", "FPT=A", "FA_ACT_EST_DATA=E, EST_SOURCE=SGE", "ACT_EST_MAPPING=PRECISE", "FS=MRC", "CURRENCY=USD", "XLFILL=b")</f>
        <v/>
      </c>
      <c r="AX139" s="9" t="str">
        <f>_xll.BQL("CRM US Equity", "BS_ADD_PAID_IN_CAP/1M", "FPR=2022Y", "FPT=A", "FA_ACT_EST_DATA=E, EST_SOURCE=MZS", "ACT_EST_MAPPING=PRECISE", "FS=MRC", "CURRENCY=USD", "XLFILL=b")</f>
        <v/>
      </c>
      <c r="AY139" s="9" t="str">
        <f>_xll.BQL("CRM US Equity", "BS_ADD_PAID_IN_CAP/1M", "FPR=2022Y", "FPT=A", "FA_ACT_EST_DATA=E, EST_SOURCE=RCP", "ACT_EST_MAPPING=PRECISE", "FS=MRC", "CURRENCY=USD", "XLFILL=b")</f>
        <v/>
      </c>
      <c r="AZ139" s="9" t="str">
        <f>_xll.BQL("CRM US Equity", "BS_ADD_PAID_IN_CAP/1M", "FPR=2022Y", "FPT=A", "FA_ACT_EST_DATA=E, EST_SOURCE=WFR", "ACT_EST_MAPPING=PRECISE", "FS=MRC", "CURRENCY=USD", "XLFILL=b")</f>
        <v/>
      </c>
      <c r="BA139" s="9" t="str">
        <f>_xll.BQL("CRM US Equity", "BS_ADD_PAID_IN_CAP/1M", "FPR=2022Y", "FPT=A", "FA_ACT_EST_DATA=E, EST_SOURCE=NIK", "ACT_EST_MAPPING=PRECISE", "FS=MRC", "CURRENCY=USD", "XLFILL=b")</f>
        <v/>
      </c>
      <c r="BB139" s="9" t="str">
        <f>_xll.BQL("CRM US Equity", "BS_ADD_PAID_IN_CAP/1M", "FPR=2022Y", "FPT=A", "FA_ACT_EST_DATA=E, EST_SOURCE=ARE", "ACT_EST_MAPPING=PRECISE", "FS=MRC", "CURRENCY=USD", "XLFILL=b")</f>
        <v/>
      </c>
      <c r="BC139" s="9" t="str">
        <f>_xll.BQL("CRM US Equity", "BS_ADD_PAID_IN_CAP/1M", "FPR=2022Y", "FPT=A", "FA_ACT_EST_DATA=E, EST_SOURCE=RED", "ACT_EST_MAPPING=PRECISE", "FS=MRC", "CURRENCY=USD", "XLFILL=b")</f>
        <v/>
      </c>
      <c r="BD139" s="9" t="str">
        <f>_xll.BQL("CRM US Equity", "BS_ADD_PAID_IN_CAP/1M", "FPR=2022Y", "FPT=A", "FA_ACT_EST_DATA=E, EST_SOURCE=DIR", "ACT_EST_MAPPING=PRECISE", "FS=MRC", "CURRENCY=USD", "XLFILL=b")</f>
        <v/>
      </c>
    </row>
    <row r="140" spans="1:56" x14ac:dyDescent="0.55000000000000004">
      <c r="A140" s="8" t="s">
        <v>270</v>
      </c>
      <c r="B140" s="5" t="s">
        <v>271</v>
      </c>
      <c r="C140" s="5" t="s">
        <v>272</v>
      </c>
      <c r="D140" s="5"/>
      <c r="E140" s="9">
        <f>_xll.BQL("CRM US Equity", "BS_ACCUMULATED_OTHER_COMP_INC/1M", "FPR=2022Y", "FPT=A", "FA_ACT_EST_DATA=E", "ACT_EST_MAPPING=PRECISE", "FS=MRC", "CURRENCY=USD", "XLFILL=b")</f>
        <v>-122</v>
      </c>
      <c r="F140" s="9">
        <f>_xll.BQL("CRM US Equity", "CONTRIBUTOR_STATS(BS_ACCUMULATED_OTHER_COMP_INC, MIN)/1M", "FPR=2022Y", "FPT=A", "FA_ACT_EST_DATA=E", "ACT_EST_MAPPING=PRECISE", "FS=MRC", "CURRENCY=USD", "XLFILL=b")</f>
        <v>-122</v>
      </c>
      <c r="G140" s="9">
        <f>_xll.BQL("CRM US Equity", "CONTRIBUTOR_STATS(BS_ACCUMULATED_OTHER_COMP_INC, MAX)/1M", "FPR=2022Y", "FPT=A", "FA_ACT_EST_DATA=E", "ACT_EST_MAPPING=PRECISE", "FS=MRC", "CURRENCY=USD", "XLFILL=b")</f>
        <v>-122</v>
      </c>
      <c r="H140" s="9">
        <f>_xll.BQL("CRM US Equity", "CONTRIBUTOR_STATS(BS_ACCUMULATED_OTHER_COMP_INC, STD)/1M", "FPR=2022Y", "FPT=A", "FA_ACT_EST_DATA=E", "ACT_EST_MAPPING=PRECISE", "FS=MRC", "CURRENCY=USD", "XLFILL=b")</f>
        <v>0</v>
      </c>
      <c r="I140" s="9">
        <f>_xll.BQL("CRM US Equity", "CONTRIBUTOR_STATS(BS_ACCUMULATED_OTHER_COMP_INC, MEDIAN)/1M", "FPR=2022Y", "FPT=A", "FA_ACT_EST_DATA=E", "ACT_EST_MAPPING=PRECISE", "FS=MRC", "CURRENCY=USD", "XLFILL=b")</f>
        <v>-122</v>
      </c>
      <c r="J140" s="9" t="str">
        <f>_xll.BQL("CRM US Equity", "BS_ACCUMULATED_OTHER_COMP_INC/1M", "FPR=2022Y", "FPT=A", "FA_ACT_EST_DATA=E, EST_SOURCE=CMPY", "ACT_EST_MAPPING=PRECISE", "FS=MRC", "CURRENCY=USD", "XLFILL=b")</f>
        <v/>
      </c>
      <c r="K140" s="9" t="str">
        <f>_xll.BQL("CRM US Equity", "BS_ACCUMULATED_OTHER_COMP_INC/1M", "FPR=2022Y", "FPT=A", "FA_ACT_EST_DATA=E, EST_SOURCE=WBL", "ACT_EST_MAPPING=PRECISE", "FS=MRC", "CURRENCY=USD", "XLFILL=b")</f>
        <v/>
      </c>
      <c r="L140" s="9" t="str">
        <f>_xll.BQL("CRM US Equity", "BS_ACCUMULATED_OTHER_COMP_INC/1M", "FPR=2022Y", "FPT=A", "FA_ACT_EST_DATA=E, EST_SOURCE=BMO", "ACT_EST_MAPPING=PRECISE", "FS=MRC", "CURRENCY=USD", "XLFILL=b")</f>
        <v/>
      </c>
      <c r="M140" s="9">
        <f>_xll.BQL("CRM US Equity", "BS_ACCUMULATED_OTHER_COMP_INC/1M", "FPR=2022Y", "FPT=A", "FA_ACT_EST_DATA=E, EST_SOURCE=BCA", "ACT_EST_MAPPING=PRECISE", "FS=MRC", "CURRENCY=USD", "XLFILL=b")</f>
        <v>-122</v>
      </c>
      <c r="N140" s="9" t="str">
        <f>_xll.BQL("CRM US Equity", "BS_ACCUMULATED_OTHER_COMP_INC/1M", "FPR=2022Y", "FPT=A", "FA_ACT_EST_DATA=E, EST_SOURCE=SNR", "ACT_EST_MAPPING=PRECISE", "FS=MRC", "CURRENCY=USD", "XLFILL=b")</f>
        <v/>
      </c>
      <c r="O140" s="9">
        <f>_xll.BQL("CRM US Equity", "BS_ACCUMULATED_OTHER_COMP_INC/1M", "FPR=2022Y", "FPT=A", "FA_ACT_EST_DATA=E, EST_SOURCE=MSV", "ACT_EST_MAPPING=PRECISE", "FS=MRC", "CURRENCY=USD", "XLFILL=b")</f>
        <v>-42</v>
      </c>
      <c r="P140" s="9" t="str">
        <f>_xll.BQL("CRM US Equity", "BS_ACCUMULATED_OTHER_COMP_INC/1M", "FPR=2022Y", "FPT=A", "FA_ACT_EST_DATA=E, EST_SOURCE=DBG", "ACT_EST_MAPPING=PRECISE", "FS=MRC", "CURRENCY=USD", "XLFILL=b")</f>
        <v/>
      </c>
      <c r="Q140" s="9" t="str">
        <f>_xll.BQL("CRM US Equity", "BS_ACCUMULATED_OTHER_COMP_INC/1M", "FPR=2022Y", "FPT=A", "FA_ACT_EST_DATA=E, EST_SOURCE=NDH", "ACT_EST_MAPPING=PRECISE", "FS=MRC", "CURRENCY=USD", "XLFILL=b")</f>
        <v/>
      </c>
      <c r="R140" s="9" t="str">
        <f>_xll.BQL("CRM US Equity", "BS_ACCUMULATED_OTHER_COMP_INC/1M", "FPR=2022Y", "FPT=A", "FA_ACT_EST_DATA=E, EST_SOURCE=CAN", "ACT_EST_MAPPING=PRECISE", "FS=MRC", "CURRENCY=USD", "XLFILL=b")</f>
        <v/>
      </c>
      <c r="S140" s="9" t="str">
        <f>_xll.BQL("CRM US Equity", "BS_ACCUMULATED_OTHER_COMP_INC/1M", "FPR=2022Y", "FPT=A", "FA_ACT_EST_DATA=E, EST_SOURCE=SCB", "ACT_EST_MAPPING=PRECISE", "FS=MRC", "CURRENCY=USD", "XLFILL=b")</f>
        <v/>
      </c>
      <c r="T140" s="9" t="str">
        <f>_xll.BQL("CRM US Equity", "BS_ACCUMULATED_OTHER_COMP_INC/1M", "FPR=2022Y", "FPT=A", "FA_ACT_EST_DATA=E, EST_SOURCE=JMP", "ACT_EST_MAPPING=PRECISE", "FS=MRC", "CURRENCY=USD", "XLFILL=b")</f>
        <v/>
      </c>
      <c r="U140" s="9" t="str">
        <f>_xll.BQL("CRM US Equity", "BS_ACCUMULATED_OTHER_COMP_INC/1M", "FPR=2022Y", "FPT=A", "FA_ACT_EST_DATA=E, EST_SOURCE=RJA", "ACT_EST_MAPPING=PRECISE", "FS=MRC", "CURRENCY=USD", "XLFILL=b")</f>
        <v/>
      </c>
      <c r="V140" s="9" t="str">
        <f>_xll.BQL("CRM US Equity", "BS_ACCUMULATED_OTHER_COMP_INC/1M", "FPR=2022Y", "FPT=A", "FA_ACT_EST_DATA=E, EST_SOURCE=OPY", "ACT_EST_MAPPING=PRECISE", "FS=MRC", "CURRENCY=USD", "XLFILL=b")</f>
        <v/>
      </c>
      <c r="W140" s="9" t="str">
        <f>_xll.BQL("CRM US Equity", "BS_ACCUMULATED_OTHER_COMP_INC/1M", "FPR=2022Y", "FPT=A", "FA_ACT_EST_DATA=E, EST_SOURCE=JPM", "ACT_EST_MAPPING=PRECISE", "FS=MRC", "CURRENCY=USD", "XLFILL=b")</f>
        <v/>
      </c>
      <c r="X140" s="9" t="str">
        <f>_xll.BQL("CRM US Equity", "BS_ACCUMULATED_OTHER_COMP_INC/1M", "FPR=2022Y", "FPT=A", "FA_ACT_EST_DATA=E, EST_SOURCE=FBC", "ACT_EST_MAPPING=PRECISE", "FS=MRC", "CURRENCY=USD", "XLFILL=b")</f>
        <v/>
      </c>
      <c r="Y140" s="9" t="str">
        <f>_xll.BQL("CRM US Equity", "BS_ACCUMULATED_OTHER_COMP_INC/1M", "FPR=2022Y", "FPT=A", "FA_ACT_EST_DATA=E, EST_SOURCE=WMS", "ACT_EST_MAPPING=PRECISE", "FS=MRC", "CURRENCY=USD", "XLFILL=b")</f>
        <v/>
      </c>
      <c r="Z140" s="9" t="str">
        <f>_xll.BQL("CRM US Equity", "BS_ACCUMULATED_OTHER_COMP_INC/1M", "FPR=2022Y", "FPT=A", "FA_ACT_EST_DATA=E, EST_SOURCE=KEY", "ACT_EST_MAPPING=PRECISE", "FS=MRC", "CURRENCY=USD", "XLFILL=b")</f>
        <v/>
      </c>
      <c r="AA140" s="9" t="str">
        <f>_xll.BQL("CRM US Equity", "BS_ACCUMULATED_OTHER_COMP_INC/1M", "FPR=2022Y", "FPT=A", "FA_ACT_EST_DATA=E, EST_SOURCE=LCM", "ACT_EST_MAPPING=PRECISE", "FS=MRC", "CURRENCY=USD", "XLFILL=b")</f>
        <v/>
      </c>
      <c r="AB140" s="9" t="str">
        <f>_xll.BQL("CRM US Equity", "BS_ACCUMULATED_OTHER_COMP_INC/1M", "FPR=2022Y", "FPT=A", "FA_ACT_EST_DATA=E, EST_SOURCE=CWN", "ACT_EST_MAPPING=PRECISE", "FS=MRC", "CURRENCY=USD", "XLFILL=b")</f>
        <v/>
      </c>
      <c r="AC140" s="9" t="str">
        <f>_xll.BQL("CRM US Equity", "BS_ACCUMULATED_OTHER_COMP_INC/1M", "FPR=2022Y", "FPT=A", "FA_ACT_EST_DATA=E, EST_SOURCE=BNS", "ACT_EST_MAPPING=PRECISE", "FS=MRC", "CURRENCY=USD", "XLFILL=b")</f>
        <v/>
      </c>
      <c r="AD140" s="9" t="str">
        <f>_xll.BQL("CRM US Equity", "BS_ACCUMULATED_OTHER_COMP_INC/1M", "FPR=2022Y", "FPT=A", "FA_ACT_EST_DATA=E, EST_SOURCE=BAM", "ACT_EST_MAPPING=PRECISE", "FS=MRC", "CURRENCY=USD", "XLFILL=b")</f>
        <v/>
      </c>
      <c r="AE140" s="9" t="str">
        <f>_xll.BQL("CRM US Equity", "BS_ACCUMULATED_OTHER_COMP_INC/1M", "FPR=2022Y", "FPT=A", "FA_ACT_EST_DATA=E, EST_SOURCE=RBC", "ACT_EST_MAPPING=PRECISE", "FS=MRC", "CURRENCY=USD", "XLFILL=b")</f>
        <v/>
      </c>
      <c r="AF140" s="9" t="str">
        <f>_xll.BQL("CRM US Equity", "BS_ACCUMULATED_OTHER_COMP_INC/1M", "FPR=2022Y", "FPT=A", "FA_ACT_EST_DATA=E, EST_SOURCE=UBS", "ACT_EST_MAPPING=PRECISE", "FS=MRC", "CURRENCY=USD", "XLFILL=b")</f>
        <v/>
      </c>
      <c r="AG140" s="9" t="str">
        <f>_xll.BQL("CRM US Equity", "BS_ACCUMULATED_OTHER_COMP_INC/1M", "FPR=2022Y", "FPT=A", "FA_ACT_EST_DATA=E, EST_SOURCE=RHR", "ACT_EST_MAPPING=PRECISE", "FS=MRC", "CURRENCY=USD", "XLFILL=b")</f>
        <v/>
      </c>
      <c r="AH140" s="9" t="str">
        <f>_xll.BQL("CRM US Equity", "BS_ACCUMULATED_OTHER_COMP_INC/1M", "FPR=2022Y", "FPT=A", "FA_ACT_EST_DATA=E, EST_SOURCE=JEF", "ACT_EST_MAPPING=PRECISE", "FS=MRC", "CURRENCY=USD", "XLFILL=b")</f>
        <v/>
      </c>
      <c r="AI140" s="9" t="str">
        <f>_xll.BQL("CRM US Equity", "BS_ACCUMULATED_OTHER_COMP_INC/1M", "FPR=2022Y", "FPT=A", "FA_ACT_EST_DATA=E, EST_SOURCE=ATL", "ACT_EST_MAPPING=PRECISE", "FS=MRC", "CURRENCY=USD", "XLFILL=b")</f>
        <v/>
      </c>
      <c r="AJ140" s="9" t="str">
        <f>_xll.BQL("CRM US Equity", "BS_ACCUMULATED_OTHER_COMP_INC/1M", "FPR=2022Y", "FPT=A", "FA_ACT_EST_DATA=E, EST_SOURCE=MAC", "ACT_EST_MAPPING=PRECISE", "FS=MRC", "CURRENCY=USD", "XLFILL=b")</f>
        <v/>
      </c>
      <c r="AK140" s="9" t="str">
        <f>_xll.BQL("CRM US Equity", "BS_ACCUMULATED_OTHER_COMP_INC/1M", "FPR=2022Y", "FPT=A", "FA_ACT_EST_DATA=E, EST_SOURCE=EVR", "ACT_EST_MAPPING=PRECISE", "FS=MRC", "CURRENCY=USD", "XLFILL=b")</f>
        <v/>
      </c>
      <c r="AL140" s="9" t="str">
        <f>_xll.BQL("CRM US Equity", "BS_ACCUMULATED_OTHER_COMP_INC/1M", "FPR=2022Y", "FPT=A", "FA_ACT_EST_DATA=E, EST_SOURCE=MSR", "ACT_EST_MAPPING=PRECISE", "FS=MRC", "CURRENCY=USD", "XLFILL=b")</f>
        <v/>
      </c>
      <c r="AM140" s="9" t="str">
        <f>_xll.BQL("CRM US Equity", "BS_ACCUMULATED_OTHER_COMP_INC/1M", "FPR=2022Y", "FPT=A", "FA_ACT_EST_DATA=E, EST_SOURCE=KGI", "ACT_EST_MAPPING=PRECISE", "FS=MRC", "CURRENCY=USD", "XLFILL=b")</f>
        <v/>
      </c>
      <c r="AN140" s="9" t="str">
        <f>_xll.BQL("CRM US Equity", "BS_ACCUMULATED_OTHER_COMP_INC/1M", "FPR=2022Y", "FPT=A", "FA_ACT_EST_DATA=E, EST_SOURCE=ACC", "ACT_EST_MAPPING=PRECISE", "FS=MRC", "CURRENCY=USD", "XLFILL=b")</f>
        <v/>
      </c>
      <c r="AO140" s="9" t="str">
        <f>_xll.BQL("CRM US Equity", "BS_ACCUMULATED_OTHER_COMP_INC/1M", "FPR=2022Y", "FPT=A", "FA_ACT_EST_DATA=E, EST_SOURCE=GSR", "ACT_EST_MAPPING=PRECISE", "FS=MRC", "CURRENCY=USD", "XLFILL=b")</f>
        <v/>
      </c>
      <c r="AP140" s="9" t="str">
        <f>_xll.BQL("CRM US Equity", "BS_ACCUMULATED_OTHER_COMP_INC/1M", "FPR=2022Y", "FPT=A", "FA_ACT_EST_DATA=E, EST_SOURCE=PSG", "ACT_EST_MAPPING=PRECISE", "FS=MRC", "CURRENCY=USD", "XLFILL=b")</f>
        <v/>
      </c>
      <c r="AQ140" s="9" t="str">
        <f>_xll.BQL("CRM US Equity", "BS_ACCUMULATED_OTHER_COMP_INC/1M", "FPR=2022Y", "FPT=A", "FA_ACT_EST_DATA=E, EST_SOURCE=DWI", "ACT_EST_MAPPING=PRECISE", "FS=MRC", "CURRENCY=USD", "XLFILL=b")</f>
        <v/>
      </c>
      <c r="AR140" s="9" t="str">
        <f>_xll.BQL("CRM US Equity", "BS_ACCUMULATED_OTHER_COMP_INC/1M", "FPR=2022Y", "FPT=A", "FA_ACT_EST_DATA=E, EST_SOURCE=RWB", "ACT_EST_MAPPING=PRECISE", "FS=MRC", "CURRENCY=USD", "XLFILL=b")</f>
        <v/>
      </c>
      <c r="AS140" s="9" t="str">
        <f>_xll.BQL("CRM US Equity", "BS_ACCUMULATED_OTHER_COMP_INC/1M", "FPR=2022Y", "FPT=A", "FA_ACT_EST_DATA=E, EST_SOURCE=ARG", "ACT_EST_MAPPING=PRECISE", "FS=MRC", "CURRENCY=USD", "XLFILL=b")</f>
        <v/>
      </c>
      <c r="AT140" s="9" t="str">
        <f>_xll.BQL("CRM US Equity", "BS_ACCUMULATED_OTHER_COMP_INC/1M", "FPR=2022Y", "FPT=A", "FA_ACT_EST_DATA=E, EST_SOURCE=CTI", "ACT_EST_MAPPING=PRECISE", "FS=MRC", "CURRENCY=USD", "XLFILL=b")</f>
        <v/>
      </c>
      <c r="AU140" s="9" t="str">
        <f>_xll.BQL("CRM US Equity", "BS_ACCUMULATED_OTHER_COMP_INC/1M", "FPR=2022Y", "FPT=A", "FA_ACT_EST_DATA=E, EST_SOURCE=WFT", "ACT_EST_MAPPING=PRECISE", "FS=MRC", "CURRENCY=USD", "XLFILL=b")</f>
        <v/>
      </c>
      <c r="AV140" s="9" t="str">
        <f>_xll.BQL("CRM US Equity", "BS_ACCUMULATED_OTHER_COMP_INC/1M", "FPR=2022Y", "FPT=A", "FA_ACT_EST_DATA=E, EST_SOURCE=PJE", "ACT_EST_MAPPING=PRECISE", "FS=MRC", "CURRENCY=USD", "XLFILL=b")</f>
        <v/>
      </c>
      <c r="AW140" s="9" t="str">
        <f>_xll.BQL("CRM US Equity", "BS_ACCUMULATED_OTHER_COMP_INC/1M", "FPR=2022Y", "FPT=A", "FA_ACT_EST_DATA=E, EST_SOURCE=SGE", "ACT_EST_MAPPING=PRECISE", "FS=MRC", "CURRENCY=USD", "XLFILL=b")</f>
        <v/>
      </c>
      <c r="AX140" s="9" t="str">
        <f>_xll.BQL("CRM US Equity", "BS_ACCUMULATED_OTHER_COMP_INC/1M", "FPR=2022Y", "FPT=A", "FA_ACT_EST_DATA=E, EST_SOURCE=MZS", "ACT_EST_MAPPING=PRECISE", "FS=MRC", "CURRENCY=USD", "XLFILL=b")</f>
        <v/>
      </c>
      <c r="AY140" s="9" t="str">
        <f>_xll.BQL("CRM US Equity", "BS_ACCUMULATED_OTHER_COMP_INC/1M", "FPR=2022Y", "FPT=A", "FA_ACT_EST_DATA=E, EST_SOURCE=RCP", "ACT_EST_MAPPING=PRECISE", "FS=MRC", "CURRENCY=USD", "XLFILL=b")</f>
        <v/>
      </c>
      <c r="AZ140" s="9" t="str">
        <f>_xll.BQL("CRM US Equity", "BS_ACCUMULATED_OTHER_COMP_INC/1M", "FPR=2022Y", "FPT=A", "FA_ACT_EST_DATA=E, EST_SOURCE=WFR", "ACT_EST_MAPPING=PRECISE", "FS=MRC", "CURRENCY=USD", "XLFILL=b")</f>
        <v/>
      </c>
      <c r="BA140" s="9" t="str">
        <f>_xll.BQL("CRM US Equity", "BS_ACCUMULATED_OTHER_COMP_INC/1M", "FPR=2022Y", "FPT=A", "FA_ACT_EST_DATA=E, EST_SOURCE=NIK", "ACT_EST_MAPPING=PRECISE", "FS=MRC", "CURRENCY=USD", "XLFILL=b")</f>
        <v/>
      </c>
      <c r="BB140" s="9" t="str">
        <f>_xll.BQL("CRM US Equity", "BS_ACCUMULATED_OTHER_COMP_INC/1M", "FPR=2022Y", "FPT=A", "FA_ACT_EST_DATA=E, EST_SOURCE=ARE", "ACT_EST_MAPPING=PRECISE", "FS=MRC", "CURRENCY=USD", "XLFILL=b")</f>
        <v/>
      </c>
      <c r="BC140" s="9" t="str">
        <f>_xll.BQL("CRM US Equity", "BS_ACCUMULATED_OTHER_COMP_INC/1M", "FPR=2022Y", "FPT=A", "FA_ACT_EST_DATA=E, EST_SOURCE=RED", "ACT_EST_MAPPING=PRECISE", "FS=MRC", "CURRENCY=USD", "XLFILL=b")</f>
        <v/>
      </c>
      <c r="BD140" s="9" t="str">
        <f>_xll.BQL("CRM US Equity", "BS_ACCUMULATED_OTHER_COMP_INC/1M", "FPR=2022Y", "FPT=A", "FA_ACT_EST_DATA=E, EST_SOURCE=DIR", "ACT_EST_MAPPING=PRECISE", "FS=MRC", "CURRENCY=USD", "XLFILL=b")</f>
        <v/>
      </c>
    </row>
    <row r="141" spans="1:56" x14ac:dyDescent="0.55000000000000004">
      <c r="A141" s="8" t="s">
        <v>273</v>
      </c>
      <c r="B141" s="5" t="s">
        <v>274</v>
      </c>
      <c r="C141" s="5" t="s">
        <v>275</v>
      </c>
      <c r="D141" s="5"/>
      <c r="E141" s="9">
        <f>_xll.BQL("CRM US Equity", "BS_PURE_RETAINED_EARNINGS/1M", "FPR=2022Y", "FPT=A", "FA_ACT_EST_DATA=E", "ACT_EST_MAPPING=PRECISE", "FS=MRC", "CURRENCY=USD", "XLFILL=b")</f>
        <v>7753.6056340127825</v>
      </c>
      <c r="F141" s="9">
        <f>_xll.BQL("CRM US Equity", "CONTRIBUTOR_STATS(BS_PURE_RETAINED_EARNINGS, MIN)/1M", "FPR=2022Y", "FPT=A", "FA_ACT_EST_DATA=E", "ACT_EST_MAPPING=PRECISE", "FS=MRC", "CURRENCY=USD", "XLFILL=b")</f>
        <v>7168.9196308125938</v>
      </c>
      <c r="G141" s="9">
        <f>_xll.BQL("CRM US Equity", "CONTRIBUTOR_STATS(BS_PURE_RETAINED_EARNINGS, MAX)/1M", "FPR=2022Y", "FPT=A", "FA_ACT_EST_DATA=E", "ACT_EST_MAPPING=PRECISE", "FS=MRC", "CURRENCY=USD", "XLFILL=b")</f>
        <v>8845.9438428012654</v>
      </c>
      <c r="H141" s="9">
        <f>_xll.BQL("CRM US Equity", "CONTRIBUTOR_STATS(BS_PURE_RETAINED_EARNINGS, STD)/1M", "FPR=2022Y", "FPT=A", "FA_ACT_EST_DATA=E", "ACT_EST_MAPPING=PRECISE", "FS=MRC", "CURRENCY=USD", "XLFILL=b")</f>
        <v>628.04940938070376</v>
      </c>
      <c r="I141" s="9">
        <f>_xll.BQL("CRM US Equity", "CONTRIBUTOR_STATS(BS_PURE_RETAINED_EARNINGS, MEDIAN)/1M", "FPR=2022Y", "FPT=A", "FA_ACT_EST_DATA=E", "ACT_EST_MAPPING=PRECISE", "FS=MRC", "CURRENCY=USD", "XLFILL=b")</f>
        <v>7650.5057579047925</v>
      </c>
      <c r="J141" s="9" t="str">
        <f>_xll.BQL("CRM US Equity", "BS_PURE_RETAINED_EARNINGS/1M", "FPR=2022Y", "FPT=A", "FA_ACT_EST_DATA=E, EST_SOURCE=CMPY", "ACT_EST_MAPPING=PRECISE", "FS=MRC", "CURRENCY=USD", "XLFILL=b")</f>
        <v/>
      </c>
      <c r="K141" s="9" t="str">
        <f>_xll.BQL("CRM US Equity", "BS_PURE_RETAINED_EARNINGS/1M", "FPR=2022Y", "FPT=A", "FA_ACT_EST_DATA=E, EST_SOURCE=WBL", "ACT_EST_MAPPING=PRECISE", "FS=MRC", "CURRENCY=USD", "XLFILL=b")</f>
        <v/>
      </c>
      <c r="L141" s="9" t="str">
        <f>_xll.BQL("CRM US Equity", "BS_PURE_RETAINED_EARNINGS/1M", "FPR=2022Y", "FPT=A", "FA_ACT_EST_DATA=E, EST_SOURCE=BMO", "ACT_EST_MAPPING=PRECISE", "FS=MRC", "CURRENCY=USD", "XLFILL=b")</f>
        <v/>
      </c>
      <c r="M141" s="9">
        <f>_xll.BQL("CRM US Equity", "BS_PURE_RETAINED_EARNINGS/1M", "FPR=2022Y", "FPT=A", "FA_ACT_EST_DATA=E, EST_SOURCE=BCA", "ACT_EST_MAPPING=PRECISE", "FS=MRC", "CURRENCY=USD", "XLFILL=b")</f>
        <v>7174.7939114782512</v>
      </c>
      <c r="N141" s="9" t="str">
        <f>_xll.BQL("CRM US Equity", "BS_PURE_RETAINED_EARNINGS/1M", "FPR=2022Y", "FPT=A", "FA_ACT_EST_DATA=E, EST_SOURCE=SNR", "ACT_EST_MAPPING=PRECISE", "FS=MRC", "CURRENCY=USD", "XLFILL=b")</f>
        <v/>
      </c>
      <c r="O141" s="9">
        <f>_xll.BQL("CRM US Equity", "BS_PURE_RETAINED_EARNINGS/1M", "FPR=2022Y", "FPT=A", "FA_ACT_EST_DATA=E, EST_SOURCE=MSV", "ACT_EST_MAPPING=PRECISE", "FS=MRC", "CURRENCY=USD", "XLFILL=b")</f>
        <v>7168.9196308125938</v>
      </c>
      <c r="P141" s="9" t="str">
        <f>_xll.BQL("CRM US Equity", "BS_PURE_RETAINED_EARNINGS/1M", "FPR=2022Y", "FPT=A", "FA_ACT_EST_DATA=E, EST_SOURCE=DBG", "ACT_EST_MAPPING=PRECISE", "FS=MRC", "CURRENCY=USD", "XLFILL=b")</f>
        <v/>
      </c>
      <c r="Q141" s="9" t="str">
        <f>_xll.BQL("CRM US Equity", "BS_PURE_RETAINED_EARNINGS/1M", "FPR=2022Y", "FPT=A", "FA_ACT_EST_DATA=E, EST_SOURCE=NDH", "ACT_EST_MAPPING=PRECISE", "FS=MRC", "CURRENCY=USD", "XLFILL=b")</f>
        <v/>
      </c>
      <c r="R141" s="9" t="str">
        <f>_xll.BQL("CRM US Equity", "BS_PURE_RETAINED_EARNINGS/1M", "FPR=2022Y", "FPT=A", "FA_ACT_EST_DATA=E, EST_SOURCE=CAN", "ACT_EST_MAPPING=PRECISE", "FS=MRC", "CURRENCY=USD", "XLFILL=b")</f>
        <v/>
      </c>
      <c r="S141" s="9" t="str">
        <f>_xll.BQL("CRM US Equity", "BS_PURE_RETAINED_EARNINGS/1M", "FPR=2022Y", "FPT=A", "FA_ACT_EST_DATA=E, EST_SOURCE=SCB", "ACT_EST_MAPPING=PRECISE", "FS=MRC", "CURRENCY=USD", "XLFILL=b")</f>
        <v/>
      </c>
      <c r="T141" s="9" t="str">
        <f>_xll.BQL("CRM US Equity", "BS_PURE_RETAINED_EARNINGS/1M", "FPR=2022Y", "FPT=A", "FA_ACT_EST_DATA=E, EST_SOURCE=JMP", "ACT_EST_MAPPING=PRECISE", "FS=MRC", "CURRENCY=USD", "XLFILL=b")</f>
        <v/>
      </c>
      <c r="U141" s="9" t="str">
        <f>_xll.BQL("CRM US Equity", "BS_PURE_RETAINED_EARNINGS/1M", "FPR=2022Y", "FPT=A", "FA_ACT_EST_DATA=E, EST_SOURCE=RJA", "ACT_EST_MAPPING=PRECISE", "FS=MRC", "CURRENCY=USD", "XLFILL=b")</f>
        <v/>
      </c>
      <c r="V141" s="9" t="str">
        <f>_xll.BQL("CRM US Equity", "BS_PURE_RETAINED_EARNINGS/1M", "FPR=2022Y", "FPT=A", "FA_ACT_EST_DATA=E, EST_SOURCE=OPY", "ACT_EST_MAPPING=PRECISE", "FS=MRC", "CURRENCY=USD", "XLFILL=b")</f>
        <v/>
      </c>
      <c r="W141" s="9" t="str">
        <f>_xll.BQL("CRM US Equity", "BS_PURE_RETAINED_EARNINGS/1M", "FPR=2022Y", "FPT=A", "FA_ACT_EST_DATA=E, EST_SOURCE=JPM", "ACT_EST_MAPPING=PRECISE", "FS=MRC", "CURRENCY=USD", "XLFILL=b")</f>
        <v/>
      </c>
      <c r="X141" s="9" t="str">
        <f>_xll.BQL("CRM US Equity", "BS_PURE_RETAINED_EARNINGS/1M", "FPR=2022Y", "FPT=A", "FA_ACT_EST_DATA=E, EST_SOURCE=FBC", "ACT_EST_MAPPING=PRECISE", "FS=MRC", "CURRENCY=USD", "XLFILL=b")</f>
        <v/>
      </c>
      <c r="Y141" s="9" t="str">
        <f>_xll.BQL("CRM US Equity", "BS_PURE_RETAINED_EARNINGS/1M", "FPR=2022Y", "FPT=A", "FA_ACT_EST_DATA=E, EST_SOURCE=WMS", "ACT_EST_MAPPING=PRECISE", "FS=MRC", "CURRENCY=USD", "XLFILL=b")</f>
        <v/>
      </c>
      <c r="Z141" s="9" t="str">
        <f>_xll.BQL("CRM US Equity", "BS_PURE_RETAINED_EARNINGS/1M", "FPR=2022Y", "FPT=A", "FA_ACT_EST_DATA=E, EST_SOURCE=KEY", "ACT_EST_MAPPING=PRECISE", "FS=MRC", "CURRENCY=USD", "XLFILL=b")</f>
        <v/>
      </c>
      <c r="AA141" s="9" t="str">
        <f>_xll.BQL("CRM US Equity", "BS_PURE_RETAINED_EARNINGS/1M", "FPR=2022Y", "FPT=A", "FA_ACT_EST_DATA=E, EST_SOURCE=LCM", "ACT_EST_MAPPING=PRECISE", "FS=MRC", "CURRENCY=USD", "XLFILL=b")</f>
        <v/>
      </c>
      <c r="AB141" s="9" t="str">
        <f>_xll.BQL("CRM US Equity", "BS_PURE_RETAINED_EARNINGS/1M", "FPR=2022Y", "FPT=A", "FA_ACT_EST_DATA=E, EST_SOURCE=CWN", "ACT_EST_MAPPING=PRECISE", "FS=MRC", "CURRENCY=USD", "XLFILL=b")</f>
        <v/>
      </c>
      <c r="AC141" s="9" t="str">
        <f>_xll.BQL("CRM US Equity", "BS_PURE_RETAINED_EARNINGS/1M", "FPR=2022Y", "FPT=A", "FA_ACT_EST_DATA=E, EST_SOURCE=BNS", "ACT_EST_MAPPING=PRECISE", "FS=MRC", "CURRENCY=USD", "XLFILL=b")</f>
        <v/>
      </c>
      <c r="AD141" s="9" t="str">
        <f>_xll.BQL("CRM US Equity", "BS_PURE_RETAINED_EARNINGS/1M", "FPR=2022Y", "FPT=A", "FA_ACT_EST_DATA=E, EST_SOURCE=BAM", "ACT_EST_MAPPING=PRECISE", "FS=MRC", "CURRENCY=USD", "XLFILL=b")</f>
        <v/>
      </c>
      <c r="AE141" s="9" t="str">
        <f>_xll.BQL("CRM US Equity", "BS_PURE_RETAINED_EARNINGS/1M", "FPR=2022Y", "FPT=A", "FA_ACT_EST_DATA=E, EST_SOURCE=RBC", "ACT_EST_MAPPING=PRECISE", "FS=MRC", "CURRENCY=USD", "XLFILL=b")</f>
        <v/>
      </c>
      <c r="AF141" s="9" t="str">
        <f>_xll.BQL("CRM US Equity", "BS_PURE_RETAINED_EARNINGS/1M", "FPR=2022Y", "FPT=A", "FA_ACT_EST_DATA=E, EST_SOURCE=UBS", "ACT_EST_MAPPING=PRECISE", "FS=MRC", "CURRENCY=USD", "XLFILL=b")</f>
        <v/>
      </c>
      <c r="AG141" s="9" t="str">
        <f>_xll.BQL("CRM US Equity", "BS_PURE_RETAINED_EARNINGS/1M", "FPR=2022Y", "FPT=A", "FA_ACT_EST_DATA=E, EST_SOURCE=RHR", "ACT_EST_MAPPING=PRECISE", "FS=MRC", "CURRENCY=USD", "XLFILL=b")</f>
        <v/>
      </c>
      <c r="AH141" s="9" t="str">
        <f>_xll.BQL("CRM US Equity", "BS_PURE_RETAINED_EARNINGS/1M", "FPR=2022Y", "FPT=A", "FA_ACT_EST_DATA=E, EST_SOURCE=JEF", "ACT_EST_MAPPING=PRECISE", "FS=MRC", "CURRENCY=USD", "XLFILL=b")</f>
        <v/>
      </c>
      <c r="AI141" s="9" t="str">
        <f>_xll.BQL("CRM US Equity", "BS_PURE_RETAINED_EARNINGS/1M", "FPR=2022Y", "FPT=A", "FA_ACT_EST_DATA=E, EST_SOURCE=ATL", "ACT_EST_MAPPING=PRECISE", "FS=MRC", "CURRENCY=USD", "XLFILL=b")</f>
        <v/>
      </c>
      <c r="AJ141" s="9" t="str">
        <f>_xll.BQL("CRM US Equity", "BS_PURE_RETAINED_EARNINGS/1M", "FPR=2022Y", "FPT=A", "FA_ACT_EST_DATA=E, EST_SOURCE=MAC", "ACT_EST_MAPPING=PRECISE", "FS=MRC", "CURRENCY=USD", "XLFILL=b")</f>
        <v/>
      </c>
      <c r="AK141" s="9" t="str">
        <f>_xll.BQL("CRM US Equity", "BS_PURE_RETAINED_EARNINGS/1M", "FPR=2022Y", "FPT=A", "FA_ACT_EST_DATA=E, EST_SOURCE=EVR", "ACT_EST_MAPPING=PRECISE", "FS=MRC", "CURRENCY=USD", "XLFILL=b")</f>
        <v/>
      </c>
      <c r="AL141" s="9" t="str">
        <f>_xll.BQL("CRM US Equity", "BS_PURE_RETAINED_EARNINGS/1M", "FPR=2022Y", "FPT=A", "FA_ACT_EST_DATA=E, EST_SOURCE=MSR", "ACT_EST_MAPPING=PRECISE", "FS=MRC", "CURRENCY=USD", "XLFILL=b")</f>
        <v/>
      </c>
      <c r="AM141" s="9" t="str">
        <f>_xll.BQL("CRM US Equity", "BS_PURE_RETAINED_EARNINGS/1M", "FPR=2022Y", "FPT=A", "FA_ACT_EST_DATA=E, EST_SOURCE=KGI", "ACT_EST_MAPPING=PRECISE", "FS=MRC", "CURRENCY=USD", "XLFILL=b")</f>
        <v/>
      </c>
      <c r="AN141" s="9" t="str">
        <f>_xll.BQL("CRM US Equity", "BS_PURE_RETAINED_EARNINGS/1M", "FPR=2022Y", "FPT=A", "FA_ACT_EST_DATA=E, EST_SOURCE=ACC", "ACT_EST_MAPPING=PRECISE", "FS=MRC", "CURRENCY=USD", "XLFILL=b")</f>
        <v/>
      </c>
      <c r="AO141" s="9" t="str">
        <f>_xll.BQL("CRM US Equity", "BS_PURE_RETAINED_EARNINGS/1M", "FPR=2022Y", "FPT=A", "FA_ACT_EST_DATA=E, EST_SOURCE=GSR", "ACT_EST_MAPPING=PRECISE", "FS=MRC", "CURRENCY=USD", "XLFILL=b")</f>
        <v/>
      </c>
      <c r="AP141" s="9" t="str">
        <f>_xll.BQL("CRM US Equity", "BS_PURE_RETAINED_EARNINGS/1M", "FPR=2022Y", "FPT=A", "FA_ACT_EST_DATA=E, EST_SOURCE=PSG", "ACT_EST_MAPPING=PRECISE", "FS=MRC", "CURRENCY=USD", "XLFILL=b")</f>
        <v/>
      </c>
      <c r="AQ141" s="9" t="str">
        <f>_xll.BQL("CRM US Equity", "BS_PURE_RETAINED_EARNINGS/1M", "FPR=2022Y", "FPT=A", "FA_ACT_EST_DATA=E, EST_SOURCE=DWI", "ACT_EST_MAPPING=PRECISE", "FS=MRC", "CURRENCY=USD", "XLFILL=b")</f>
        <v/>
      </c>
      <c r="AR141" s="9" t="str">
        <f>_xll.BQL("CRM US Equity", "BS_PURE_RETAINED_EARNINGS/1M", "FPR=2022Y", "FPT=A", "FA_ACT_EST_DATA=E, EST_SOURCE=RWB", "ACT_EST_MAPPING=PRECISE", "FS=MRC", "CURRENCY=USD", "XLFILL=b")</f>
        <v/>
      </c>
      <c r="AS141" s="9" t="str">
        <f>_xll.BQL("CRM US Equity", "BS_PURE_RETAINED_EARNINGS/1M", "FPR=2022Y", "FPT=A", "FA_ACT_EST_DATA=E, EST_SOURCE=ARG", "ACT_EST_MAPPING=PRECISE", "FS=MRC", "CURRENCY=USD", "XLFILL=b")</f>
        <v/>
      </c>
      <c r="AT141" s="9" t="str">
        <f>_xll.BQL("CRM US Equity", "BS_PURE_RETAINED_EARNINGS/1M", "FPR=2022Y", "FPT=A", "FA_ACT_EST_DATA=E, EST_SOURCE=CTI", "ACT_EST_MAPPING=PRECISE", "FS=MRC", "CURRENCY=USD", "XLFILL=b")</f>
        <v/>
      </c>
      <c r="AU141" s="9" t="str">
        <f>_xll.BQL("CRM US Equity", "BS_PURE_RETAINED_EARNINGS/1M", "FPR=2022Y", "FPT=A", "FA_ACT_EST_DATA=E, EST_SOURCE=WFT", "ACT_EST_MAPPING=PRECISE", "FS=MRC", "CURRENCY=USD", "XLFILL=b")</f>
        <v/>
      </c>
      <c r="AV141" s="9" t="str">
        <f>_xll.BQL("CRM US Equity", "BS_PURE_RETAINED_EARNINGS/1M", "FPR=2022Y", "FPT=A", "FA_ACT_EST_DATA=E, EST_SOURCE=PJE", "ACT_EST_MAPPING=PRECISE", "FS=MRC", "CURRENCY=USD", "XLFILL=b")</f>
        <v/>
      </c>
      <c r="AW141" s="9" t="str">
        <f>_xll.BQL("CRM US Equity", "BS_PURE_RETAINED_EARNINGS/1M", "FPR=2022Y", "FPT=A", "FA_ACT_EST_DATA=E, EST_SOURCE=SGE", "ACT_EST_MAPPING=PRECISE", "FS=MRC", "CURRENCY=USD", "XLFILL=b")</f>
        <v/>
      </c>
      <c r="AX141" s="9" t="str">
        <f>_xll.BQL("CRM US Equity", "BS_PURE_RETAINED_EARNINGS/1M", "FPR=2022Y", "FPT=A", "FA_ACT_EST_DATA=E, EST_SOURCE=MZS", "ACT_EST_MAPPING=PRECISE", "FS=MRC", "CURRENCY=USD", "XLFILL=b")</f>
        <v/>
      </c>
      <c r="AY141" s="9" t="str">
        <f>_xll.BQL("CRM US Equity", "BS_PURE_RETAINED_EARNINGS/1M", "FPR=2022Y", "FPT=A", "FA_ACT_EST_DATA=E, EST_SOURCE=RCP", "ACT_EST_MAPPING=PRECISE", "FS=MRC", "CURRENCY=USD", "XLFILL=b")</f>
        <v/>
      </c>
      <c r="AZ141" s="9" t="str">
        <f>_xll.BQL("CRM US Equity", "BS_PURE_RETAINED_EARNINGS/1M", "FPR=2022Y", "FPT=A", "FA_ACT_EST_DATA=E, EST_SOURCE=WFR", "ACT_EST_MAPPING=PRECISE", "FS=MRC", "CURRENCY=USD", "XLFILL=b")</f>
        <v/>
      </c>
      <c r="BA141" s="9" t="str">
        <f>_xll.BQL("CRM US Equity", "BS_PURE_RETAINED_EARNINGS/1M", "FPR=2022Y", "FPT=A", "FA_ACT_EST_DATA=E, EST_SOURCE=NIK", "ACT_EST_MAPPING=PRECISE", "FS=MRC", "CURRENCY=USD", "XLFILL=b")</f>
        <v/>
      </c>
      <c r="BB141" s="9" t="str">
        <f>_xll.BQL("CRM US Equity", "BS_PURE_RETAINED_EARNINGS/1M", "FPR=2022Y", "FPT=A", "FA_ACT_EST_DATA=E, EST_SOURCE=ARE", "ACT_EST_MAPPING=PRECISE", "FS=MRC", "CURRENCY=USD", "XLFILL=b")</f>
        <v/>
      </c>
      <c r="BC141" s="9" t="str">
        <f>_xll.BQL("CRM US Equity", "BS_PURE_RETAINED_EARNINGS/1M", "FPR=2022Y", "FPT=A", "FA_ACT_EST_DATA=E, EST_SOURCE=RED", "ACT_EST_MAPPING=PRECISE", "FS=MRC", "CURRENCY=USD", "XLFILL=b")</f>
        <v/>
      </c>
      <c r="BD141" s="9" t="str">
        <f>_xll.BQL("CRM US Equity", "BS_PURE_RETAINED_EARNINGS/1M", "FPR=2022Y", "FPT=A", "FA_ACT_EST_DATA=E, EST_SOURCE=DIR", "ACT_EST_MAPPING=PRECISE", "FS=MRC", "CURRENCY=USD", "XLFILL=b")</f>
        <v/>
      </c>
    </row>
    <row r="142" spans="1:56" x14ac:dyDescent="0.55000000000000004">
      <c r="A142" s="8" t="s">
        <v>276</v>
      </c>
      <c r="B142" s="5" t="s">
        <v>232</v>
      </c>
      <c r="C142" s="5" t="s">
        <v>277</v>
      </c>
      <c r="D142" s="5"/>
      <c r="E142" s="9">
        <f>_xll.BQL("CRM US Equity", "BS_TOT_ASSET/1M", "FPR=2022Y", "FPT=A", "FA_ACT_EST_DATA=E", "ACT_EST_MAPPING=PRECISE", "FS=MRC", "CURRENCY=USD", "XLFILL=b")</f>
        <v>93097.638062725164</v>
      </c>
      <c r="F142" s="9">
        <f>_xll.BQL("CRM US Equity", "CONTRIBUTOR_STATS(BS_TOT_ASSET, MIN)/1M", "FPR=2022Y", "FPT=A", "FA_ACT_EST_DATA=E", "ACT_EST_MAPPING=PRECISE", "FS=MRC", "CURRENCY=USD", "XLFILL=b")</f>
        <v>78968.636644094731</v>
      </c>
      <c r="G142" s="9">
        <f>_xll.BQL("CRM US Equity", "CONTRIBUTOR_STATS(BS_TOT_ASSET, MAX)/1M", "FPR=2022Y", "FPT=A", "FA_ACT_EST_DATA=E", "ACT_EST_MAPPING=PRECISE", "FS=MRC", "CURRENCY=USD", "XLFILL=b")</f>
        <v>96343.390770271333</v>
      </c>
      <c r="H142" s="9">
        <f>_xll.BQL("CRM US Equity", "CONTRIBUTOR_STATS(BS_TOT_ASSET, STD)/1M", "FPR=2022Y", "FPT=A", "FA_ACT_EST_DATA=E", "ACT_EST_MAPPING=PRECISE", "FS=MRC", "CURRENCY=USD", "XLFILL=b")</f>
        <v>4692.4002048577076</v>
      </c>
      <c r="I142" s="9">
        <f>_xll.BQL("CRM US Equity", "CONTRIBUTOR_STATS(BS_TOT_ASSET, MEDIAN)/1M", "FPR=2022Y", "FPT=A", "FA_ACT_EST_DATA=E", "ACT_EST_MAPPING=PRECISE", "FS=MRC", "CURRENCY=USD", "XLFILL=b")</f>
        <v>94587.032565434391</v>
      </c>
      <c r="J142" s="9" t="str">
        <f>_xll.BQL("CRM US Equity", "BS_TOT_ASSET/1M", "FPR=2022Y", "FPT=A", "FA_ACT_EST_DATA=E, EST_SOURCE=CMPY", "ACT_EST_MAPPING=PRECISE", "FS=MRC", "CURRENCY=USD", "XLFILL=b")</f>
        <v/>
      </c>
      <c r="K142" s="9" t="str">
        <f>_xll.BQL("CRM US Equity", "BS_TOT_ASSET/1M", "FPR=2022Y", "FPT=A", "FA_ACT_EST_DATA=E, EST_SOURCE=WBL", "ACT_EST_MAPPING=PRECISE", "FS=MRC", "CURRENCY=USD", "XLFILL=b")</f>
        <v/>
      </c>
      <c r="L142" s="9" t="str">
        <f>_xll.BQL("CRM US Equity", "BS_TOT_ASSET/1M", "FPR=2022Y", "FPT=A", "FA_ACT_EST_DATA=E, EST_SOURCE=BMO", "ACT_EST_MAPPING=PRECISE", "FS=MRC", "CURRENCY=USD", "XLFILL=b")</f>
        <v/>
      </c>
      <c r="M142" s="9">
        <f>_xll.BQL("CRM US Equity", "BS_TOT_ASSET/1M", "FPR=2022Y", "FPT=A", "FA_ACT_EST_DATA=E, EST_SOURCE=BCA", "ACT_EST_MAPPING=PRECISE", "FS=MRC", "CURRENCY=USD", "XLFILL=b")</f>
        <v>94760.387676176368</v>
      </c>
      <c r="N142" s="9" t="str">
        <f>_xll.BQL("CRM US Equity", "BS_TOT_ASSET/1M", "FPR=2022Y", "FPT=A", "FA_ACT_EST_DATA=E, EST_SOURCE=SNR", "ACT_EST_MAPPING=PRECISE", "FS=MRC", "CURRENCY=USD", "XLFILL=b")</f>
        <v/>
      </c>
      <c r="O142" s="9">
        <f>_xll.BQL("CRM US Equity", "BS_TOT_ASSET/1M", "FPR=2022Y", "FPT=A", "FA_ACT_EST_DATA=E, EST_SOURCE=MSV", "ACT_EST_MAPPING=PRECISE", "FS=MRC", "CURRENCY=USD", "XLFILL=b")</f>
        <v>90188.902489366752</v>
      </c>
      <c r="P142" s="9">
        <f>_xll.BQL("CRM US Equity", "BS_TOT_ASSET/1M", "FPR=2022Y", "FPT=A", "FA_ACT_EST_DATA=E, EST_SOURCE=DBG", "ACT_EST_MAPPING=PRECISE", "FS=MRC", "CURRENCY=USD", "XLFILL=b")</f>
        <v>94101.39876649894</v>
      </c>
      <c r="Q142" s="9">
        <f>_xll.BQL("CRM US Equity", "BS_TOT_ASSET/1M", "FPR=2022Y", "FPT=A", "FA_ACT_EST_DATA=E, EST_SOURCE=NDH", "ACT_EST_MAPPING=PRECISE", "FS=MRC", "CURRENCY=USD", "XLFILL=b")</f>
        <v>95568.807149999993</v>
      </c>
      <c r="R142" s="9" t="str">
        <f>_xll.BQL("CRM US Equity", "BS_TOT_ASSET/1M", "FPR=2022Y", "FPT=A", "FA_ACT_EST_DATA=E, EST_SOURCE=CAN", "ACT_EST_MAPPING=PRECISE", "FS=MRC", "CURRENCY=USD", "XLFILL=b")</f>
        <v/>
      </c>
      <c r="S142" s="9" t="str">
        <f>_xll.BQL("CRM US Equity", "BS_TOT_ASSET/1M", "FPR=2022Y", "FPT=A", "FA_ACT_EST_DATA=E, EST_SOURCE=SCB", "ACT_EST_MAPPING=PRECISE", "FS=MRC", "CURRENCY=USD", "XLFILL=b")</f>
        <v/>
      </c>
      <c r="T142" s="9" t="str">
        <f>_xll.BQL("CRM US Equity", "BS_TOT_ASSET/1M", "FPR=2022Y", "FPT=A", "FA_ACT_EST_DATA=E, EST_SOURCE=JMP", "ACT_EST_MAPPING=PRECISE", "FS=MRC", "CURRENCY=USD", "XLFILL=b")</f>
        <v/>
      </c>
      <c r="U142" s="9" t="str">
        <f>_xll.BQL("CRM US Equity", "BS_TOT_ASSET/1M", "FPR=2022Y", "FPT=A", "FA_ACT_EST_DATA=E, EST_SOURCE=RJA", "ACT_EST_MAPPING=PRECISE", "FS=MRC", "CURRENCY=USD", "XLFILL=b")</f>
        <v/>
      </c>
      <c r="V142" s="9" t="str">
        <f>_xll.BQL("CRM US Equity", "BS_TOT_ASSET/1M", "FPR=2022Y", "FPT=A", "FA_ACT_EST_DATA=E, EST_SOURCE=OPY", "ACT_EST_MAPPING=PRECISE", "FS=MRC", "CURRENCY=USD", "XLFILL=b")</f>
        <v/>
      </c>
      <c r="W142" s="9" t="str">
        <f>_xll.BQL("CRM US Equity", "BS_TOT_ASSET/1M", "FPR=2022Y", "FPT=A", "FA_ACT_EST_DATA=E, EST_SOURCE=JPM", "ACT_EST_MAPPING=PRECISE", "FS=MRC", "CURRENCY=USD", "XLFILL=b")</f>
        <v/>
      </c>
      <c r="X142" s="9">
        <f>_xll.BQL("CRM US Equity", "BS_TOT_ASSET/1M", "FPR=2022Y", "FPT=A", "FA_ACT_EST_DATA=E, EST_SOURCE=FBC", "ACT_EST_MAPPING=PRECISE", "FS=MRC", "CURRENCY=USD", "XLFILL=b")</f>
        <v>94256.986543933104</v>
      </c>
      <c r="Y142" s="9" t="str">
        <f>_xll.BQL("CRM US Equity", "BS_TOT_ASSET/1M", "FPR=2022Y", "FPT=A", "FA_ACT_EST_DATA=E, EST_SOURCE=WMS", "ACT_EST_MAPPING=PRECISE", "FS=MRC", "CURRENCY=USD", "XLFILL=b")</f>
        <v/>
      </c>
      <c r="Z142" s="9">
        <f>_xll.BQL("CRM US Equity", "BS_TOT_ASSET/1M", "FPR=2022Y", "FPT=A", "FA_ACT_EST_DATA=E, EST_SOURCE=KEY", "ACT_EST_MAPPING=PRECISE", "FS=MRC", "CURRENCY=USD", "XLFILL=b")</f>
        <v>98269.030339895718</v>
      </c>
      <c r="AA142" s="9" t="str">
        <f>_xll.BQL("CRM US Equity", "BS_TOT_ASSET/1M", "FPR=2022Y", "FPT=A", "FA_ACT_EST_DATA=E, EST_SOURCE=LCM", "ACT_EST_MAPPING=PRECISE", "FS=MRC", "CURRENCY=USD", "XLFILL=b")</f>
        <v/>
      </c>
      <c r="AB142" s="9" t="str">
        <f>_xll.BQL("CRM US Equity", "BS_TOT_ASSET/1M", "FPR=2022Y", "FPT=A", "FA_ACT_EST_DATA=E, EST_SOURCE=CWN", "ACT_EST_MAPPING=PRECISE", "FS=MRC", "CURRENCY=USD", "XLFILL=b")</f>
        <v/>
      </c>
      <c r="AC142" s="9" t="str">
        <f>_xll.BQL("CRM US Equity", "BS_TOT_ASSET/1M", "FPR=2022Y", "FPT=A", "FA_ACT_EST_DATA=E, EST_SOURCE=BNS", "ACT_EST_MAPPING=PRECISE", "FS=MRC", "CURRENCY=USD", "XLFILL=b")</f>
        <v/>
      </c>
      <c r="AD142" s="9" t="str">
        <f>_xll.BQL("CRM US Equity", "BS_TOT_ASSET/1M", "FPR=2022Y", "FPT=A", "FA_ACT_EST_DATA=E, EST_SOURCE=BAM", "ACT_EST_MAPPING=PRECISE", "FS=MRC", "CURRENCY=USD", "XLFILL=b")</f>
        <v/>
      </c>
      <c r="AE142" s="9" t="str">
        <f>_xll.BQL("CRM US Equity", "BS_TOT_ASSET/1M", "FPR=2022Y", "FPT=A", "FA_ACT_EST_DATA=E, EST_SOURCE=RBC", "ACT_EST_MAPPING=PRECISE", "FS=MRC", "CURRENCY=USD", "XLFILL=b")</f>
        <v/>
      </c>
      <c r="AF142" s="9" t="str">
        <f>_xll.BQL("CRM US Equity", "BS_TOT_ASSET/1M", "FPR=2022Y", "FPT=A", "FA_ACT_EST_DATA=E, EST_SOURCE=UBS", "ACT_EST_MAPPING=PRECISE", "FS=MRC", "CURRENCY=USD", "XLFILL=b")</f>
        <v/>
      </c>
      <c r="AG142" s="9" t="str">
        <f>_xll.BQL("CRM US Equity", "BS_TOT_ASSET/1M", "FPR=2022Y", "FPT=A", "FA_ACT_EST_DATA=E, EST_SOURCE=RHR", "ACT_EST_MAPPING=PRECISE", "FS=MRC", "CURRENCY=USD", "XLFILL=b")</f>
        <v/>
      </c>
      <c r="AH142" s="9" t="str">
        <f>_xll.BQL("CRM US Equity", "BS_TOT_ASSET/1M", "FPR=2022Y", "FPT=A", "FA_ACT_EST_DATA=E, EST_SOURCE=JEF", "ACT_EST_MAPPING=PRECISE", "FS=MRC", "CURRENCY=USD", "XLFILL=b")</f>
        <v/>
      </c>
      <c r="AI142" s="9" t="str">
        <f>_xll.BQL("CRM US Equity", "BS_TOT_ASSET/1M", "FPR=2022Y", "FPT=A", "FA_ACT_EST_DATA=E, EST_SOURCE=ATL", "ACT_EST_MAPPING=PRECISE", "FS=MRC", "CURRENCY=USD", "XLFILL=b")</f>
        <v/>
      </c>
      <c r="AJ142" s="9" t="str">
        <f>_xll.BQL("CRM US Equity", "BS_TOT_ASSET/1M", "FPR=2022Y", "FPT=A", "FA_ACT_EST_DATA=E, EST_SOURCE=MAC", "ACT_EST_MAPPING=PRECISE", "FS=MRC", "CURRENCY=USD", "XLFILL=b")</f>
        <v/>
      </c>
      <c r="AK142" s="9" t="str">
        <f>_xll.BQL("CRM US Equity", "BS_TOT_ASSET/1M", "FPR=2022Y", "FPT=A", "FA_ACT_EST_DATA=E, EST_SOURCE=EVR", "ACT_EST_MAPPING=PRECISE", "FS=MRC", "CURRENCY=USD", "XLFILL=b")</f>
        <v/>
      </c>
      <c r="AL142" s="9" t="str">
        <f>_xll.BQL("CRM US Equity", "BS_TOT_ASSET/1M", "FPR=2022Y", "FPT=A", "FA_ACT_EST_DATA=E, EST_SOURCE=MSR", "ACT_EST_MAPPING=PRECISE", "FS=MRC", "CURRENCY=USD", "XLFILL=b")</f>
        <v/>
      </c>
      <c r="AM142" s="9" t="str">
        <f>_xll.BQL("CRM US Equity", "BS_TOT_ASSET/1M", "FPR=2022Y", "FPT=A", "FA_ACT_EST_DATA=E, EST_SOURCE=KGI", "ACT_EST_MAPPING=PRECISE", "FS=MRC", "CURRENCY=USD", "XLFILL=b")</f>
        <v/>
      </c>
      <c r="AN142" s="9" t="str">
        <f>_xll.BQL("CRM US Equity", "BS_TOT_ASSET/1M", "FPR=2022Y", "FPT=A", "FA_ACT_EST_DATA=E, EST_SOURCE=ACC", "ACT_EST_MAPPING=PRECISE", "FS=MRC", "CURRENCY=USD", "XLFILL=b")</f>
        <v/>
      </c>
      <c r="AO142" s="9" t="str">
        <f>_xll.BQL("CRM US Equity", "BS_TOT_ASSET/1M", "FPR=2022Y", "FPT=A", "FA_ACT_EST_DATA=E, EST_SOURCE=GSR", "ACT_EST_MAPPING=PRECISE", "FS=MRC", "CURRENCY=USD", "XLFILL=b")</f>
        <v/>
      </c>
      <c r="AP142" s="9" t="str">
        <f>_xll.BQL("CRM US Equity", "BS_TOT_ASSET/1M", "FPR=2022Y", "FPT=A", "FA_ACT_EST_DATA=E, EST_SOURCE=PSG", "ACT_EST_MAPPING=PRECISE", "FS=MRC", "CURRENCY=USD", "XLFILL=b")</f>
        <v/>
      </c>
      <c r="AQ142" s="9" t="str">
        <f>_xll.BQL("CRM US Equity", "BS_TOT_ASSET/1M", "FPR=2022Y", "FPT=A", "FA_ACT_EST_DATA=E, EST_SOURCE=DWI", "ACT_EST_MAPPING=PRECISE", "FS=MRC", "CURRENCY=USD", "XLFILL=b")</f>
        <v/>
      </c>
      <c r="AR142" s="9" t="str">
        <f>_xll.BQL("CRM US Equity", "BS_TOT_ASSET/1M", "FPR=2022Y", "FPT=A", "FA_ACT_EST_DATA=E, EST_SOURCE=RWB", "ACT_EST_MAPPING=PRECISE", "FS=MRC", "CURRENCY=USD", "XLFILL=b")</f>
        <v/>
      </c>
      <c r="AS142" s="9" t="str">
        <f>_xll.BQL("CRM US Equity", "BS_TOT_ASSET/1M", "FPR=2022Y", "FPT=A", "FA_ACT_EST_DATA=E, EST_SOURCE=ARG", "ACT_EST_MAPPING=PRECISE", "FS=MRC", "CURRENCY=USD", "XLFILL=b")</f>
        <v/>
      </c>
      <c r="AT142" s="9" t="str">
        <f>_xll.BQL("CRM US Equity", "BS_TOT_ASSET/1M", "FPR=2022Y", "FPT=A", "FA_ACT_EST_DATA=E, EST_SOURCE=CTI", "ACT_EST_MAPPING=PRECISE", "FS=MRC", "CURRENCY=USD", "XLFILL=b")</f>
        <v/>
      </c>
      <c r="AU142" s="9" t="str">
        <f>_xll.BQL("CRM US Equity", "BS_TOT_ASSET/1M", "FPR=2022Y", "FPT=A", "FA_ACT_EST_DATA=E, EST_SOURCE=WFT", "ACT_EST_MAPPING=PRECISE", "FS=MRC", "CURRENCY=USD", "XLFILL=b")</f>
        <v/>
      </c>
      <c r="AV142" s="9" t="str">
        <f>_xll.BQL("CRM US Equity", "BS_TOT_ASSET/1M", "FPR=2022Y", "FPT=A", "FA_ACT_EST_DATA=E, EST_SOURCE=PJE", "ACT_EST_MAPPING=PRECISE", "FS=MRC", "CURRENCY=USD", "XLFILL=b")</f>
        <v/>
      </c>
      <c r="AW142" s="9" t="str">
        <f>_xll.BQL("CRM US Equity", "BS_TOT_ASSET/1M", "FPR=2022Y", "FPT=A", "FA_ACT_EST_DATA=E, EST_SOURCE=SGE", "ACT_EST_MAPPING=PRECISE", "FS=MRC", "CURRENCY=USD", "XLFILL=b")</f>
        <v/>
      </c>
      <c r="AX142" s="9" t="str">
        <f>_xll.BQL("CRM US Equity", "BS_TOT_ASSET/1M", "FPR=2022Y", "FPT=A", "FA_ACT_EST_DATA=E, EST_SOURCE=MZS", "ACT_EST_MAPPING=PRECISE", "FS=MRC", "CURRENCY=USD", "XLFILL=b")</f>
        <v/>
      </c>
      <c r="AY142" s="9" t="str">
        <f>_xll.BQL("CRM US Equity", "BS_TOT_ASSET/1M", "FPR=2022Y", "FPT=A", "FA_ACT_EST_DATA=E, EST_SOURCE=RCP", "ACT_EST_MAPPING=PRECISE", "FS=MRC", "CURRENCY=USD", "XLFILL=b")</f>
        <v/>
      </c>
      <c r="AZ142" s="9" t="str">
        <f>_xll.BQL("CRM US Equity", "BS_TOT_ASSET/1M", "FPR=2022Y", "FPT=A", "FA_ACT_EST_DATA=E, EST_SOURCE=WFR", "ACT_EST_MAPPING=PRECISE", "FS=MRC", "CURRENCY=USD", "XLFILL=b")</f>
        <v/>
      </c>
      <c r="BA142" s="9" t="str">
        <f>_xll.BQL("CRM US Equity", "BS_TOT_ASSET/1M", "FPR=2022Y", "FPT=A", "FA_ACT_EST_DATA=E, EST_SOURCE=NIK", "ACT_EST_MAPPING=PRECISE", "FS=MRC", "CURRENCY=USD", "XLFILL=b")</f>
        <v/>
      </c>
      <c r="BB142" s="9" t="str">
        <f>_xll.BQL("CRM US Equity", "BS_TOT_ASSET/1M", "FPR=2022Y", "FPT=A", "FA_ACT_EST_DATA=E, EST_SOURCE=ARE", "ACT_EST_MAPPING=PRECISE", "FS=MRC", "CURRENCY=USD", "XLFILL=b")</f>
        <v/>
      </c>
      <c r="BC142" s="9" t="str">
        <f>_xll.BQL("CRM US Equity", "BS_TOT_ASSET/1M", "FPR=2022Y", "FPT=A", "FA_ACT_EST_DATA=E, EST_SOURCE=RED", "ACT_EST_MAPPING=PRECISE", "FS=MRC", "CURRENCY=USD", "XLFILL=b")</f>
        <v/>
      </c>
      <c r="BD142" s="9" t="str">
        <f>_xll.BQL("CRM US Equity", "BS_TOT_ASSET/1M", "FPR=2022Y", "FPT=A", "FA_ACT_EST_DATA=E, EST_SOURCE=DIR", "ACT_EST_MAPPING=PRECISE", "FS=MRC", "CURRENCY=USD", "XLFILL=b")</f>
        <v/>
      </c>
    </row>
    <row r="143" spans="1:56" x14ac:dyDescent="0.55000000000000004">
      <c r="A143" s="8" t="s">
        <v>26</v>
      </c>
      <c r="B143" s="5"/>
      <c r="C143" s="5"/>
      <c r="D143" s="5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</row>
    <row r="144" spans="1:56" x14ac:dyDescent="0.55000000000000004">
      <c r="A144" s="8" t="s">
        <v>278</v>
      </c>
      <c r="B144" s="5"/>
      <c r="C144" s="5" t="s">
        <v>279</v>
      </c>
      <c r="D144" s="5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</row>
    <row r="145" spans="1:56" x14ac:dyDescent="0.55000000000000004">
      <c r="A145" s="8" t="s">
        <v>280</v>
      </c>
      <c r="B145" s="5" t="s">
        <v>281</v>
      </c>
      <c r="C145" s="5" t="s">
        <v>282</v>
      </c>
      <c r="D145" s="5"/>
      <c r="E145" s="9">
        <f>_xll.BQL("CRM US Equity", "CB_BS_LT_BORROWING/1M", "FPR=2022Y", "FPT=A", "FA_ACT_EST_DATA=E", "ACT_EST_MAPPING=PRECISE", "FS=MRC", "CURRENCY=USD", "XLFILL=b")</f>
        <v>10591</v>
      </c>
      <c r="F145" s="9">
        <f>_xll.BQL("CRM US Equity", "CONTRIBUTOR_STATS(CB_BS_LT_BORROWING, MIN)/1M", "FPR=2022Y", "FPT=A", "FA_ACT_EST_DATA=E", "ACT_EST_MAPPING=PRECISE", "FS=MRC", "CURRENCY=USD", "XLFILL=b")</f>
        <v>10591</v>
      </c>
      <c r="G145" s="9">
        <f>_xll.BQL("CRM US Equity", "CONTRIBUTOR_STATS(CB_BS_LT_BORROWING, MAX)/1M", "FPR=2022Y", "FPT=A", "FA_ACT_EST_DATA=E", "ACT_EST_MAPPING=PRECISE", "FS=MRC", "CURRENCY=USD", "XLFILL=b")</f>
        <v>10591</v>
      </c>
      <c r="H145" s="9">
        <f>_xll.BQL("CRM US Equity", "CONTRIBUTOR_STATS(CB_BS_LT_BORROWING, STD)/1M", "FPR=2022Y", "FPT=A", "FA_ACT_EST_DATA=E", "ACT_EST_MAPPING=PRECISE", "FS=MRC", "CURRENCY=USD", "XLFILL=b")</f>
        <v>0</v>
      </c>
      <c r="I145" s="9">
        <f>_xll.BQL("CRM US Equity", "CONTRIBUTOR_STATS(CB_BS_LT_BORROWING, MEDIAN)/1M", "FPR=2022Y", "FPT=A", "FA_ACT_EST_DATA=E", "ACT_EST_MAPPING=PRECISE", "FS=MRC", "CURRENCY=USD", "XLFILL=b")</f>
        <v>10591</v>
      </c>
      <c r="J145" s="9" t="str">
        <f>_xll.BQL("CRM US Equity", "CB_BS_LT_BORROWING/1M", "FPR=2022Y", "FPT=A", "FA_ACT_EST_DATA=E, EST_SOURCE=CMPY", "ACT_EST_MAPPING=PRECISE", "FS=MRC", "CURRENCY=USD", "XLFILL=b")</f>
        <v/>
      </c>
      <c r="K145" s="9" t="str">
        <f>_xll.BQL("CRM US Equity", "CB_BS_LT_BORROWING/1M", "FPR=2022Y", "FPT=A", "FA_ACT_EST_DATA=E, EST_SOURCE=WBL", "ACT_EST_MAPPING=PRECISE", "FS=MRC", "CURRENCY=USD", "XLFILL=b")</f>
        <v/>
      </c>
      <c r="L145" s="9" t="str">
        <f>_xll.BQL("CRM US Equity", "CB_BS_LT_BORROWING/1M", "FPR=2022Y", "FPT=A", "FA_ACT_EST_DATA=E, EST_SOURCE=BMO", "ACT_EST_MAPPING=PRECISE", "FS=MRC", "CURRENCY=USD", "XLFILL=b")</f>
        <v/>
      </c>
      <c r="M145" s="9" t="str">
        <f>_xll.BQL("CRM US Equity", "CB_BS_LT_BORROWING/1M", "FPR=2022Y", "FPT=A", "FA_ACT_EST_DATA=E, EST_SOURCE=BCA", "ACT_EST_MAPPING=PRECISE", "FS=MRC", "CURRENCY=USD", "XLFILL=b")</f>
        <v/>
      </c>
      <c r="N145" s="9" t="str">
        <f>_xll.BQL("CRM US Equity", "CB_BS_LT_BORROWING/1M", "FPR=2022Y", "FPT=A", "FA_ACT_EST_DATA=E, EST_SOURCE=SNR", "ACT_EST_MAPPING=PRECISE", "FS=MRC", "CURRENCY=USD", "XLFILL=b")</f>
        <v/>
      </c>
      <c r="O145" s="9" t="str">
        <f>_xll.BQL("CRM US Equity", "CB_BS_LT_BORROWING/1M", "FPR=2022Y", "FPT=A", "FA_ACT_EST_DATA=E, EST_SOURCE=MSV", "ACT_EST_MAPPING=PRECISE", "FS=MRC", "CURRENCY=USD", "XLFILL=b")</f>
        <v/>
      </c>
      <c r="P145" s="9" t="str">
        <f>_xll.BQL("CRM US Equity", "CB_BS_LT_BORROWING/1M", "FPR=2022Y", "FPT=A", "FA_ACT_EST_DATA=E, EST_SOURCE=DBG", "ACT_EST_MAPPING=PRECISE", "FS=MRC", "CURRENCY=USD", "XLFILL=b")</f>
        <v/>
      </c>
      <c r="Q145" s="9">
        <f>_xll.BQL("CRM US Equity", "CB_BS_LT_BORROWING/1M", "FPR=2022Y", "FPT=A", "FA_ACT_EST_DATA=E, EST_SOURCE=NDH", "ACT_EST_MAPPING=PRECISE", "FS=MRC", "CURRENCY=USD", "XLFILL=b")</f>
        <v>10591</v>
      </c>
      <c r="R145" s="9" t="str">
        <f>_xll.BQL("CRM US Equity", "CB_BS_LT_BORROWING/1M", "FPR=2022Y", "FPT=A", "FA_ACT_EST_DATA=E, EST_SOURCE=CAN", "ACT_EST_MAPPING=PRECISE", "FS=MRC", "CURRENCY=USD", "XLFILL=b")</f>
        <v/>
      </c>
      <c r="S145" s="9" t="str">
        <f>_xll.BQL("CRM US Equity", "CB_BS_LT_BORROWING/1M", "FPR=2022Y", "FPT=A", "FA_ACT_EST_DATA=E, EST_SOURCE=SCB", "ACT_EST_MAPPING=PRECISE", "FS=MRC", "CURRENCY=USD", "XLFILL=b")</f>
        <v/>
      </c>
      <c r="T145" s="9" t="str">
        <f>_xll.BQL("CRM US Equity", "CB_BS_LT_BORROWING/1M", "FPR=2022Y", "FPT=A", "FA_ACT_EST_DATA=E, EST_SOURCE=JMP", "ACT_EST_MAPPING=PRECISE", "FS=MRC", "CURRENCY=USD", "XLFILL=b")</f>
        <v/>
      </c>
      <c r="U145" s="9" t="str">
        <f>_xll.BQL("CRM US Equity", "CB_BS_LT_BORROWING/1M", "FPR=2022Y", "FPT=A", "FA_ACT_EST_DATA=E, EST_SOURCE=RJA", "ACT_EST_MAPPING=PRECISE", "FS=MRC", "CURRENCY=USD", "XLFILL=b")</f>
        <v/>
      </c>
      <c r="V145" s="9" t="str">
        <f>_xll.BQL("CRM US Equity", "CB_BS_LT_BORROWING/1M", "FPR=2022Y", "FPT=A", "FA_ACT_EST_DATA=E, EST_SOURCE=OPY", "ACT_EST_MAPPING=PRECISE", "FS=MRC", "CURRENCY=USD", "XLFILL=b")</f>
        <v/>
      </c>
      <c r="W145" s="9" t="str">
        <f>_xll.BQL("CRM US Equity", "CB_BS_LT_BORROWING/1M", "FPR=2022Y", "FPT=A", "FA_ACT_EST_DATA=E, EST_SOURCE=JPM", "ACT_EST_MAPPING=PRECISE", "FS=MRC", "CURRENCY=USD", "XLFILL=b")</f>
        <v/>
      </c>
      <c r="X145" s="9" t="str">
        <f>_xll.BQL("CRM US Equity", "CB_BS_LT_BORROWING/1M", "FPR=2022Y", "FPT=A", "FA_ACT_EST_DATA=E, EST_SOURCE=FBC", "ACT_EST_MAPPING=PRECISE", "FS=MRC", "CURRENCY=USD", "XLFILL=b")</f>
        <v/>
      </c>
      <c r="Y145" s="9" t="str">
        <f>_xll.BQL("CRM US Equity", "CB_BS_LT_BORROWING/1M", "FPR=2022Y", "FPT=A", "FA_ACT_EST_DATA=E, EST_SOURCE=WMS", "ACT_EST_MAPPING=PRECISE", "FS=MRC", "CURRENCY=USD", "XLFILL=b")</f>
        <v/>
      </c>
      <c r="Z145" s="9">
        <f>_xll.BQL("CRM US Equity", "CB_BS_LT_BORROWING/1M", "FPR=2022Y", "FPT=A", "FA_ACT_EST_DATA=E, EST_SOURCE=KEY", "ACT_EST_MAPPING=PRECISE", "FS=MRC", "CURRENCY=USD", "XLFILL=b")</f>
        <v>11928</v>
      </c>
      <c r="AA145" s="9" t="str">
        <f>_xll.BQL("CRM US Equity", "CB_BS_LT_BORROWING/1M", "FPR=2022Y", "FPT=A", "FA_ACT_EST_DATA=E, EST_SOURCE=LCM", "ACT_EST_MAPPING=PRECISE", "FS=MRC", "CURRENCY=USD", "XLFILL=b")</f>
        <v/>
      </c>
      <c r="AB145" s="9" t="str">
        <f>_xll.BQL("CRM US Equity", "CB_BS_LT_BORROWING/1M", "FPR=2022Y", "FPT=A", "FA_ACT_EST_DATA=E, EST_SOURCE=CWN", "ACT_EST_MAPPING=PRECISE", "FS=MRC", "CURRENCY=USD", "XLFILL=b")</f>
        <v/>
      </c>
      <c r="AC145" s="9" t="str">
        <f>_xll.BQL("CRM US Equity", "CB_BS_LT_BORROWING/1M", "FPR=2022Y", "FPT=A", "FA_ACT_EST_DATA=E, EST_SOURCE=BNS", "ACT_EST_MAPPING=PRECISE", "FS=MRC", "CURRENCY=USD", "XLFILL=b")</f>
        <v/>
      </c>
      <c r="AD145" s="9" t="str">
        <f>_xll.BQL("CRM US Equity", "CB_BS_LT_BORROWING/1M", "FPR=2022Y", "FPT=A", "FA_ACT_EST_DATA=E, EST_SOURCE=BAM", "ACT_EST_MAPPING=PRECISE", "FS=MRC", "CURRENCY=USD", "XLFILL=b")</f>
        <v/>
      </c>
      <c r="AE145" s="9" t="str">
        <f>_xll.BQL("CRM US Equity", "CB_BS_LT_BORROWING/1M", "FPR=2022Y", "FPT=A", "FA_ACT_EST_DATA=E, EST_SOURCE=RBC", "ACT_EST_MAPPING=PRECISE", "FS=MRC", "CURRENCY=USD", "XLFILL=b")</f>
        <v/>
      </c>
      <c r="AF145" s="9" t="str">
        <f>_xll.BQL("CRM US Equity", "CB_BS_LT_BORROWING/1M", "FPR=2022Y", "FPT=A", "FA_ACT_EST_DATA=E, EST_SOURCE=UBS", "ACT_EST_MAPPING=PRECISE", "FS=MRC", "CURRENCY=USD", "XLFILL=b")</f>
        <v/>
      </c>
      <c r="AG145" s="9" t="str">
        <f>_xll.BQL("CRM US Equity", "CB_BS_LT_BORROWING/1M", "FPR=2022Y", "FPT=A", "FA_ACT_EST_DATA=E, EST_SOURCE=RHR", "ACT_EST_MAPPING=PRECISE", "FS=MRC", "CURRENCY=USD", "XLFILL=b")</f>
        <v/>
      </c>
      <c r="AH145" s="9" t="str">
        <f>_xll.BQL("CRM US Equity", "CB_BS_LT_BORROWING/1M", "FPR=2022Y", "FPT=A", "FA_ACT_EST_DATA=E, EST_SOURCE=JEF", "ACT_EST_MAPPING=PRECISE", "FS=MRC", "CURRENCY=USD", "XLFILL=b")</f>
        <v/>
      </c>
      <c r="AI145" s="9" t="str">
        <f>_xll.BQL("CRM US Equity", "CB_BS_LT_BORROWING/1M", "FPR=2022Y", "FPT=A", "FA_ACT_EST_DATA=E, EST_SOURCE=ATL", "ACT_EST_MAPPING=PRECISE", "FS=MRC", "CURRENCY=USD", "XLFILL=b")</f>
        <v/>
      </c>
      <c r="AJ145" s="9" t="str">
        <f>_xll.BQL("CRM US Equity", "CB_BS_LT_BORROWING/1M", "FPR=2022Y", "FPT=A", "FA_ACT_EST_DATA=E, EST_SOURCE=MAC", "ACT_EST_MAPPING=PRECISE", "FS=MRC", "CURRENCY=USD", "XLFILL=b")</f>
        <v/>
      </c>
      <c r="AK145" s="9" t="str">
        <f>_xll.BQL("CRM US Equity", "CB_BS_LT_BORROWING/1M", "FPR=2022Y", "FPT=A", "FA_ACT_EST_DATA=E, EST_SOURCE=EVR", "ACT_EST_MAPPING=PRECISE", "FS=MRC", "CURRENCY=USD", "XLFILL=b")</f>
        <v/>
      </c>
      <c r="AL145" s="9" t="str">
        <f>_xll.BQL("CRM US Equity", "CB_BS_LT_BORROWING/1M", "FPR=2022Y", "FPT=A", "FA_ACT_EST_DATA=E, EST_SOURCE=MSR", "ACT_EST_MAPPING=PRECISE", "FS=MRC", "CURRENCY=USD", "XLFILL=b")</f>
        <v/>
      </c>
      <c r="AM145" s="9" t="str">
        <f>_xll.BQL("CRM US Equity", "CB_BS_LT_BORROWING/1M", "FPR=2022Y", "FPT=A", "FA_ACT_EST_DATA=E, EST_SOURCE=KGI", "ACT_EST_MAPPING=PRECISE", "FS=MRC", "CURRENCY=USD", "XLFILL=b")</f>
        <v/>
      </c>
      <c r="AN145" s="9" t="str">
        <f>_xll.BQL("CRM US Equity", "CB_BS_LT_BORROWING/1M", "FPR=2022Y", "FPT=A", "FA_ACT_EST_DATA=E, EST_SOURCE=ACC", "ACT_EST_MAPPING=PRECISE", "FS=MRC", "CURRENCY=USD", "XLFILL=b")</f>
        <v/>
      </c>
      <c r="AO145" s="9" t="str">
        <f>_xll.BQL("CRM US Equity", "CB_BS_LT_BORROWING/1M", "FPR=2022Y", "FPT=A", "FA_ACT_EST_DATA=E, EST_SOURCE=GSR", "ACT_EST_MAPPING=PRECISE", "FS=MRC", "CURRENCY=USD", "XLFILL=b")</f>
        <v/>
      </c>
      <c r="AP145" s="9" t="str">
        <f>_xll.BQL("CRM US Equity", "CB_BS_LT_BORROWING/1M", "FPR=2022Y", "FPT=A", "FA_ACT_EST_DATA=E, EST_SOURCE=PSG", "ACT_EST_MAPPING=PRECISE", "FS=MRC", "CURRENCY=USD", "XLFILL=b")</f>
        <v/>
      </c>
      <c r="AQ145" s="9" t="str">
        <f>_xll.BQL("CRM US Equity", "CB_BS_LT_BORROWING/1M", "FPR=2022Y", "FPT=A", "FA_ACT_EST_DATA=E, EST_SOURCE=DWI", "ACT_EST_MAPPING=PRECISE", "FS=MRC", "CURRENCY=USD", "XLFILL=b")</f>
        <v/>
      </c>
      <c r="AR145" s="9" t="str">
        <f>_xll.BQL("CRM US Equity", "CB_BS_LT_BORROWING/1M", "FPR=2022Y", "FPT=A", "FA_ACT_EST_DATA=E, EST_SOURCE=RWB", "ACT_EST_MAPPING=PRECISE", "FS=MRC", "CURRENCY=USD", "XLFILL=b")</f>
        <v/>
      </c>
      <c r="AS145" s="9" t="str">
        <f>_xll.BQL("CRM US Equity", "CB_BS_LT_BORROWING/1M", "FPR=2022Y", "FPT=A", "FA_ACT_EST_DATA=E, EST_SOURCE=ARG", "ACT_EST_MAPPING=PRECISE", "FS=MRC", "CURRENCY=USD", "XLFILL=b")</f>
        <v/>
      </c>
      <c r="AT145" s="9" t="str">
        <f>_xll.BQL("CRM US Equity", "CB_BS_LT_BORROWING/1M", "FPR=2022Y", "FPT=A", "FA_ACT_EST_DATA=E, EST_SOURCE=CTI", "ACT_EST_MAPPING=PRECISE", "FS=MRC", "CURRENCY=USD", "XLFILL=b")</f>
        <v/>
      </c>
      <c r="AU145" s="9" t="str">
        <f>_xll.BQL("CRM US Equity", "CB_BS_LT_BORROWING/1M", "FPR=2022Y", "FPT=A", "FA_ACT_EST_DATA=E, EST_SOURCE=WFT", "ACT_EST_MAPPING=PRECISE", "FS=MRC", "CURRENCY=USD", "XLFILL=b")</f>
        <v/>
      </c>
      <c r="AV145" s="9" t="str">
        <f>_xll.BQL("CRM US Equity", "CB_BS_LT_BORROWING/1M", "FPR=2022Y", "FPT=A", "FA_ACT_EST_DATA=E, EST_SOURCE=PJE", "ACT_EST_MAPPING=PRECISE", "FS=MRC", "CURRENCY=USD", "XLFILL=b")</f>
        <v/>
      </c>
      <c r="AW145" s="9" t="str">
        <f>_xll.BQL("CRM US Equity", "CB_BS_LT_BORROWING/1M", "FPR=2022Y", "FPT=A", "FA_ACT_EST_DATA=E, EST_SOURCE=SGE", "ACT_EST_MAPPING=PRECISE", "FS=MRC", "CURRENCY=USD", "XLFILL=b")</f>
        <v/>
      </c>
      <c r="AX145" s="9" t="str">
        <f>_xll.BQL("CRM US Equity", "CB_BS_LT_BORROWING/1M", "FPR=2022Y", "FPT=A", "FA_ACT_EST_DATA=E, EST_SOURCE=MZS", "ACT_EST_MAPPING=PRECISE", "FS=MRC", "CURRENCY=USD", "XLFILL=b")</f>
        <v/>
      </c>
      <c r="AY145" s="9" t="str">
        <f>_xll.BQL("CRM US Equity", "CB_BS_LT_BORROWING/1M", "FPR=2022Y", "FPT=A", "FA_ACT_EST_DATA=E, EST_SOURCE=RCP", "ACT_EST_MAPPING=PRECISE", "FS=MRC", "CURRENCY=USD", "XLFILL=b")</f>
        <v/>
      </c>
      <c r="AZ145" s="9" t="str">
        <f>_xll.BQL("CRM US Equity", "CB_BS_LT_BORROWING/1M", "FPR=2022Y", "FPT=A", "FA_ACT_EST_DATA=E, EST_SOURCE=WFR", "ACT_EST_MAPPING=PRECISE", "FS=MRC", "CURRENCY=USD", "XLFILL=b")</f>
        <v/>
      </c>
      <c r="BA145" s="9" t="str">
        <f>_xll.BQL("CRM US Equity", "CB_BS_LT_BORROWING/1M", "FPR=2022Y", "FPT=A", "FA_ACT_EST_DATA=E, EST_SOURCE=NIK", "ACT_EST_MAPPING=PRECISE", "FS=MRC", "CURRENCY=USD", "XLFILL=b")</f>
        <v/>
      </c>
      <c r="BB145" s="9" t="str">
        <f>_xll.BQL("CRM US Equity", "CB_BS_LT_BORROWING/1M", "FPR=2022Y", "FPT=A", "FA_ACT_EST_DATA=E, EST_SOURCE=ARE", "ACT_EST_MAPPING=PRECISE", "FS=MRC", "CURRENCY=USD", "XLFILL=b")</f>
        <v/>
      </c>
      <c r="BC145" s="9" t="str">
        <f>_xll.BQL("CRM US Equity", "CB_BS_LT_BORROWING/1M", "FPR=2022Y", "FPT=A", "FA_ACT_EST_DATA=E, EST_SOURCE=RED", "ACT_EST_MAPPING=PRECISE", "FS=MRC", "CURRENCY=USD", "XLFILL=b")</f>
        <v/>
      </c>
      <c r="BD145" s="9" t="str">
        <f>_xll.BQL("CRM US Equity", "CB_BS_LT_BORROWING/1M", "FPR=2022Y", "FPT=A", "FA_ACT_EST_DATA=E, EST_SOURCE=DIR", "ACT_EST_MAPPING=PRECISE", "FS=MRC", "CURRENCY=USD", "XLFILL=b")</f>
        <v/>
      </c>
    </row>
    <row r="146" spans="1:56" x14ac:dyDescent="0.55000000000000004">
      <c r="A146" s="8" t="s">
        <v>283</v>
      </c>
      <c r="B146" s="5" t="s">
        <v>284</v>
      </c>
      <c r="C146" s="5" t="s">
        <v>285</v>
      </c>
      <c r="D146" s="5"/>
      <c r="E146" s="9">
        <f>_xll.BQL("CRM US Equity", "CUR_RATIO", "FPR=2022Y", "FPT=A", "FA_ACT_EST_DATA=E", "ACT_EST_MAPPING=PRECISE", "FS=MRC", "CURRENCY=USD", "XLFILL=b")</f>
        <v>1.039268849133212</v>
      </c>
      <c r="F146" s="9">
        <f>_xll.BQL("CRM US Equity", "CONTRIBUTOR_STATS(CUR_RATIO, MIN)", "FPR=2022Y", "FPT=A", "FA_ACT_EST_DATA=E", "ACT_EST_MAPPING=PRECISE", "FS=MRC", "CURRENCY=USD", "XLFILL=b")</f>
        <v>0.92920327342314724</v>
      </c>
      <c r="G146" s="9">
        <f>_xll.BQL("CRM US Equity", "CONTRIBUTOR_STATS(CUR_RATIO, MAX)", "FPR=2022Y", "FPT=A", "FA_ACT_EST_DATA=E", "ACT_EST_MAPPING=PRECISE", "FS=MRC", "CURRENCY=USD", "XLFILL=b")</f>
        <v>1.117193977189086</v>
      </c>
      <c r="H146" s="9">
        <f>_xll.BQL("CRM US Equity", "CONTRIBUTOR_STATS(CUR_RATIO, STD)", "FPR=2022Y", "FPT=A", "FA_ACT_EST_DATA=E", "ACT_EST_MAPPING=PRECISE", "FS=MRC", "CURRENCY=USD", "XLFILL=b")</f>
        <v>9.8030007942272929E-2</v>
      </c>
      <c r="I146" s="9">
        <f>_xll.BQL("CRM US Equity", "CONTRIBUTOR_STATS(CUR_RATIO, MEDIAN)", "FPR=2022Y", "FPT=A", "FA_ACT_EST_DATA=E", "ACT_EST_MAPPING=PRECISE", "FS=MRC", "CURRENCY=USD", "XLFILL=b")</f>
        <v>1.071409296787402</v>
      </c>
      <c r="J146" s="9" t="str">
        <f>_xll.BQL("CRM US Equity", "CUR_RATIO", "FPR=2022Y", "FPT=A", "FA_ACT_EST_DATA=E, EST_SOURCE=CMPY", "ACT_EST_MAPPING=PRECISE", "FS=MRC", "CURRENCY=USD", "XLFILL=b")</f>
        <v/>
      </c>
      <c r="K146" s="9" t="str">
        <f>_xll.BQL("CRM US Equity", "CUR_RATIO", "FPR=2022Y", "FPT=A", "FA_ACT_EST_DATA=E, EST_SOURCE=WBL", "ACT_EST_MAPPING=PRECISE", "FS=MRC", "CURRENCY=USD", "XLFILL=b")</f>
        <v/>
      </c>
      <c r="L146" s="9" t="str">
        <f>_xll.BQL("CRM US Equity", "CUR_RATIO", "FPR=2022Y", "FPT=A", "FA_ACT_EST_DATA=E, EST_SOURCE=BMO", "ACT_EST_MAPPING=PRECISE", "FS=MRC", "CURRENCY=USD", "XLFILL=b")</f>
        <v/>
      </c>
      <c r="M146" s="9">
        <f>_xll.BQL("CRM US Equity", "CUR_RATIO", "FPR=2022Y", "FPT=A", "FA_ACT_EST_DATA=E, EST_SOURCE=BCA", "ACT_EST_MAPPING=PRECISE", "FS=MRC", "CURRENCY=USD", "XLFILL=b")</f>
        <v>1.078319491834371</v>
      </c>
      <c r="N146" s="9" t="str">
        <f>_xll.BQL("CRM US Equity", "CUR_RATIO", "FPR=2022Y", "FPT=A", "FA_ACT_EST_DATA=E, EST_SOURCE=SNR", "ACT_EST_MAPPING=PRECISE", "FS=MRC", "CURRENCY=USD", "XLFILL=b")</f>
        <v/>
      </c>
      <c r="O146" s="9">
        <f>_xll.BQL("CRM US Equity", "CUR_RATIO", "FPR=2022Y", "FPT=A", "FA_ACT_EST_DATA=E, EST_SOURCE=MSV", "ACT_EST_MAPPING=PRECISE", "FS=MRC", "CURRENCY=USD", "XLFILL=b")</f>
        <v>0.92920327342314724</v>
      </c>
      <c r="P146" s="9">
        <f>_xll.BQL("CRM US Equity", "CUR_RATIO", "FPR=2022Y", "FPT=A", "FA_ACT_EST_DATA=E, EST_SOURCE=DBG", "ACT_EST_MAPPING=PRECISE", "FS=MRC", "CURRENCY=USD", "XLFILL=b")</f>
        <v>1.0683064387282963</v>
      </c>
      <c r="Q146" s="9">
        <f>_xll.BQL("CRM US Equity", "CUR_RATIO", "FPR=2022Y", "FPT=A", "FA_ACT_EST_DATA=E, EST_SOURCE=NDH", "ACT_EST_MAPPING=PRECISE", "FS=MRC", "CURRENCY=USD", "XLFILL=b")</f>
        <v>1.091233258005478</v>
      </c>
      <c r="R146" s="9" t="str">
        <f>_xll.BQL("CRM US Equity", "CUR_RATIO", "FPR=2022Y", "FPT=A", "FA_ACT_EST_DATA=E, EST_SOURCE=CAN", "ACT_EST_MAPPING=PRECISE", "FS=MRC", "CURRENCY=USD", "XLFILL=b")</f>
        <v/>
      </c>
      <c r="S146" s="9" t="str">
        <f>_xll.BQL("CRM US Equity", "CUR_RATIO", "FPR=2022Y", "FPT=A", "FA_ACT_EST_DATA=E, EST_SOURCE=SCB", "ACT_EST_MAPPING=PRECISE", "FS=MRC", "CURRENCY=USD", "XLFILL=b")</f>
        <v/>
      </c>
      <c r="T146" s="9" t="str">
        <f>_xll.BQL("CRM US Equity", "CUR_RATIO", "FPR=2022Y", "FPT=A", "FA_ACT_EST_DATA=E, EST_SOURCE=JMP", "ACT_EST_MAPPING=PRECISE", "FS=MRC", "CURRENCY=USD", "XLFILL=b")</f>
        <v/>
      </c>
      <c r="U146" s="9" t="str">
        <f>_xll.BQL("CRM US Equity", "CUR_RATIO", "FPR=2022Y", "FPT=A", "FA_ACT_EST_DATA=E, EST_SOURCE=RJA", "ACT_EST_MAPPING=PRECISE", "FS=MRC", "CURRENCY=USD", "XLFILL=b")</f>
        <v/>
      </c>
      <c r="V146" s="9" t="str">
        <f>_xll.BQL("CRM US Equity", "CUR_RATIO", "FPR=2022Y", "FPT=A", "FA_ACT_EST_DATA=E, EST_SOURCE=OPY", "ACT_EST_MAPPING=PRECISE", "FS=MRC", "CURRENCY=USD", "XLFILL=b")</f>
        <v/>
      </c>
      <c r="W146" s="9" t="str">
        <f>_xll.BQL("CRM US Equity", "CUR_RATIO", "FPR=2022Y", "FPT=A", "FA_ACT_EST_DATA=E, EST_SOURCE=JPM", "ACT_EST_MAPPING=PRECISE", "FS=MRC", "CURRENCY=USD", "XLFILL=b")</f>
        <v/>
      </c>
      <c r="X146" s="9">
        <f>_xll.BQL("CRM US Equity", "CUR_RATIO", "FPR=2022Y", "FPT=A", "FA_ACT_EST_DATA=E, EST_SOURCE=FBC", "ACT_EST_MAPPING=PRECISE", "FS=MRC", "CURRENCY=USD", "XLFILL=b")</f>
        <v>1.0469290683902923</v>
      </c>
      <c r="Y146" s="9" t="str">
        <f>_xll.BQL("CRM US Equity", "CUR_RATIO", "FPR=2022Y", "FPT=A", "FA_ACT_EST_DATA=E, EST_SOURCE=WMS", "ACT_EST_MAPPING=PRECISE", "FS=MRC", "CURRENCY=USD", "XLFILL=b")</f>
        <v/>
      </c>
      <c r="Z146" s="9">
        <f>_xll.BQL("CRM US Equity", "CUR_RATIO", "FPR=2022Y", "FPT=A", "FA_ACT_EST_DATA=E, EST_SOURCE=KEY", "ACT_EST_MAPPING=PRECISE", "FS=MRC", "CURRENCY=USD", "XLFILL=b")</f>
        <v>1.016914493485773</v>
      </c>
      <c r="AA146" s="9" t="str">
        <f>_xll.BQL("CRM US Equity", "CUR_RATIO", "FPR=2022Y", "FPT=A", "FA_ACT_EST_DATA=E, EST_SOURCE=LCM", "ACT_EST_MAPPING=PRECISE", "FS=MRC", "CURRENCY=USD", "XLFILL=b")</f>
        <v/>
      </c>
      <c r="AB146" s="9" t="str">
        <f>_xll.BQL("CRM US Equity", "CUR_RATIO", "FPR=2022Y", "FPT=A", "FA_ACT_EST_DATA=E, EST_SOURCE=CWN", "ACT_EST_MAPPING=PRECISE", "FS=MRC", "CURRENCY=USD", "XLFILL=b")</f>
        <v/>
      </c>
      <c r="AC146" s="9" t="str">
        <f>_xll.BQL("CRM US Equity", "CUR_RATIO", "FPR=2022Y", "FPT=A", "FA_ACT_EST_DATA=E, EST_SOURCE=BNS", "ACT_EST_MAPPING=PRECISE", "FS=MRC", "CURRENCY=USD", "XLFILL=b")</f>
        <v/>
      </c>
      <c r="AD146" s="9" t="str">
        <f>_xll.BQL("CRM US Equity", "CUR_RATIO", "FPR=2022Y", "FPT=A", "FA_ACT_EST_DATA=E, EST_SOURCE=BAM", "ACT_EST_MAPPING=PRECISE", "FS=MRC", "CURRENCY=USD", "XLFILL=b")</f>
        <v/>
      </c>
      <c r="AE146" s="9" t="str">
        <f>_xll.BQL("CRM US Equity", "CUR_RATIO", "FPR=2022Y", "FPT=A", "FA_ACT_EST_DATA=E, EST_SOURCE=RBC", "ACT_EST_MAPPING=PRECISE", "FS=MRC", "CURRENCY=USD", "XLFILL=b")</f>
        <v/>
      </c>
      <c r="AF146" s="9" t="str">
        <f>_xll.BQL("CRM US Equity", "CUR_RATIO", "FPR=2022Y", "FPT=A", "FA_ACT_EST_DATA=E, EST_SOURCE=UBS", "ACT_EST_MAPPING=PRECISE", "FS=MRC", "CURRENCY=USD", "XLFILL=b")</f>
        <v/>
      </c>
      <c r="AG146" s="9" t="str">
        <f>_xll.BQL("CRM US Equity", "CUR_RATIO", "FPR=2022Y", "FPT=A", "FA_ACT_EST_DATA=E, EST_SOURCE=RHR", "ACT_EST_MAPPING=PRECISE", "FS=MRC", "CURRENCY=USD", "XLFILL=b")</f>
        <v/>
      </c>
      <c r="AH146" s="9" t="str">
        <f>_xll.BQL("CRM US Equity", "CUR_RATIO", "FPR=2022Y", "FPT=A", "FA_ACT_EST_DATA=E, EST_SOURCE=JEF", "ACT_EST_MAPPING=PRECISE", "FS=MRC", "CURRENCY=USD", "XLFILL=b")</f>
        <v/>
      </c>
      <c r="AI146" s="9" t="str">
        <f>_xll.BQL("CRM US Equity", "CUR_RATIO", "FPR=2022Y", "FPT=A", "FA_ACT_EST_DATA=E, EST_SOURCE=ATL", "ACT_EST_MAPPING=PRECISE", "FS=MRC", "CURRENCY=USD", "XLFILL=b")</f>
        <v/>
      </c>
      <c r="AJ146" s="9" t="str">
        <f>_xll.BQL("CRM US Equity", "CUR_RATIO", "FPR=2022Y", "FPT=A", "FA_ACT_EST_DATA=E, EST_SOURCE=MAC", "ACT_EST_MAPPING=PRECISE", "FS=MRC", "CURRENCY=USD", "XLFILL=b")</f>
        <v/>
      </c>
      <c r="AK146" s="9" t="str">
        <f>_xll.BQL("CRM US Equity", "CUR_RATIO", "FPR=2022Y", "FPT=A", "FA_ACT_EST_DATA=E, EST_SOURCE=EVR", "ACT_EST_MAPPING=PRECISE", "FS=MRC", "CURRENCY=USD", "XLFILL=b")</f>
        <v/>
      </c>
      <c r="AL146" s="9" t="str">
        <f>_xll.BQL("CRM US Equity", "CUR_RATIO", "FPR=2022Y", "FPT=A", "FA_ACT_EST_DATA=E, EST_SOURCE=MSR", "ACT_EST_MAPPING=PRECISE", "FS=MRC", "CURRENCY=USD", "XLFILL=b")</f>
        <v/>
      </c>
      <c r="AM146" s="9" t="str">
        <f>_xll.BQL("CRM US Equity", "CUR_RATIO", "FPR=2022Y", "FPT=A", "FA_ACT_EST_DATA=E, EST_SOURCE=KGI", "ACT_EST_MAPPING=PRECISE", "FS=MRC", "CURRENCY=USD", "XLFILL=b")</f>
        <v/>
      </c>
      <c r="AN146" s="9" t="str">
        <f>_xll.BQL("CRM US Equity", "CUR_RATIO", "FPR=2022Y", "FPT=A", "FA_ACT_EST_DATA=E, EST_SOURCE=ACC", "ACT_EST_MAPPING=PRECISE", "FS=MRC", "CURRENCY=USD", "XLFILL=b")</f>
        <v/>
      </c>
      <c r="AO146" s="9" t="str">
        <f>_xll.BQL("CRM US Equity", "CUR_RATIO", "FPR=2022Y", "FPT=A", "FA_ACT_EST_DATA=E, EST_SOURCE=GSR", "ACT_EST_MAPPING=PRECISE", "FS=MRC", "CURRENCY=USD", "XLFILL=b")</f>
        <v/>
      </c>
      <c r="AP146" s="9" t="str">
        <f>_xll.BQL("CRM US Equity", "CUR_RATIO", "FPR=2022Y", "FPT=A", "FA_ACT_EST_DATA=E, EST_SOURCE=PSG", "ACT_EST_MAPPING=PRECISE", "FS=MRC", "CURRENCY=USD", "XLFILL=b")</f>
        <v/>
      </c>
      <c r="AQ146" s="9" t="str">
        <f>_xll.BQL("CRM US Equity", "CUR_RATIO", "FPR=2022Y", "FPT=A", "FA_ACT_EST_DATA=E, EST_SOURCE=DWI", "ACT_EST_MAPPING=PRECISE", "FS=MRC", "CURRENCY=USD", "XLFILL=b")</f>
        <v/>
      </c>
      <c r="AR146" s="9" t="str">
        <f>_xll.BQL("CRM US Equity", "CUR_RATIO", "FPR=2022Y", "FPT=A", "FA_ACT_EST_DATA=E, EST_SOURCE=RWB", "ACT_EST_MAPPING=PRECISE", "FS=MRC", "CURRENCY=USD", "XLFILL=b")</f>
        <v/>
      </c>
      <c r="AS146" s="9" t="str">
        <f>_xll.BQL("CRM US Equity", "CUR_RATIO", "FPR=2022Y", "FPT=A", "FA_ACT_EST_DATA=E, EST_SOURCE=ARG", "ACT_EST_MAPPING=PRECISE", "FS=MRC", "CURRENCY=USD", "XLFILL=b")</f>
        <v/>
      </c>
      <c r="AT146" s="9" t="str">
        <f>_xll.BQL("CRM US Equity", "CUR_RATIO", "FPR=2022Y", "FPT=A", "FA_ACT_EST_DATA=E, EST_SOURCE=CTI", "ACT_EST_MAPPING=PRECISE", "FS=MRC", "CURRENCY=USD", "XLFILL=b")</f>
        <v/>
      </c>
      <c r="AU146" s="9" t="str">
        <f>_xll.BQL("CRM US Equity", "CUR_RATIO", "FPR=2022Y", "FPT=A", "FA_ACT_EST_DATA=E, EST_SOURCE=WFT", "ACT_EST_MAPPING=PRECISE", "FS=MRC", "CURRENCY=USD", "XLFILL=b")</f>
        <v/>
      </c>
      <c r="AV146" s="9" t="str">
        <f>_xll.BQL("CRM US Equity", "CUR_RATIO", "FPR=2022Y", "FPT=A", "FA_ACT_EST_DATA=E, EST_SOURCE=PJE", "ACT_EST_MAPPING=PRECISE", "FS=MRC", "CURRENCY=USD", "XLFILL=b")</f>
        <v/>
      </c>
      <c r="AW146" s="9" t="str">
        <f>_xll.BQL("CRM US Equity", "CUR_RATIO", "FPR=2022Y", "FPT=A", "FA_ACT_EST_DATA=E, EST_SOURCE=SGE", "ACT_EST_MAPPING=PRECISE", "FS=MRC", "CURRENCY=USD", "XLFILL=b")</f>
        <v/>
      </c>
      <c r="AX146" s="9" t="str">
        <f>_xll.BQL("CRM US Equity", "CUR_RATIO", "FPR=2022Y", "FPT=A", "FA_ACT_EST_DATA=E, EST_SOURCE=MZS", "ACT_EST_MAPPING=PRECISE", "FS=MRC", "CURRENCY=USD", "XLFILL=b")</f>
        <v/>
      </c>
      <c r="AY146" s="9" t="str">
        <f>_xll.BQL("CRM US Equity", "CUR_RATIO", "FPR=2022Y", "FPT=A", "FA_ACT_EST_DATA=E, EST_SOURCE=RCP", "ACT_EST_MAPPING=PRECISE", "FS=MRC", "CURRENCY=USD", "XLFILL=b")</f>
        <v/>
      </c>
      <c r="AZ146" s="9" t="str">
        <f>_xll.BQL("CRM US Equity", "CUR_RATIO", "FPR=2022Y", "FPT=A", "FA_ACT_EST_DATA=E, EST_SOURCE=WFR", "ACT_EST_MAPPING=PRECISE", "FS=MRC", "CURRENCY=USD", "XLFILL=b")</f>
        <v/>
      </c>
      <c r="BA146" s="9" t="str">
        <f>_xll.BQL("CRM US Equity", "CUR_RATIO", "FPR=2022Y", "FPT=A", "FA_ACT_EST_DATA=E, EST_SOURCE=NIK", "ACT_EST_MAPPING=PRECISE", "FS=MRC", "CURRENCY=USD", "XLFILL=b")</f>
        <v/>
      </c>
      <c r="BB146" s="9" t="str">
        <f>_xll.BQL("CRM US Equity", "CUR_RATIO", "FPR=2022Y", "FPT=A", "FA_ACT_EST_DATA=E, EST_SOURCE=ARE", "ACT_EST_MAPPING=PRECISE", "FS=MRC", "CURRENCY=USD", "XLFILL=b")</f>
        <v/>
      </c>
      <c r="BC146" s="9" t="str">
        <f>_xll.BQL("CRM US Equity", "CUR_RATIO", "FPR=2022Y", "FPT=A", "FA_ACT_EST_DATA=E, EST_SOURCE=RED", "ACT_EST_MAPPING=PRECISE", "FS=MRC", "CURRENCY=USD", "XLFILL=b")</f>
        <v/>
      </c>
      <c r="BD146" s="9" t="str">
        <f>_xll.BQL("CRM US Equity", "CUR_RATIO", "FPR=2022Y", "FPT=A", "FA_ACT_EST_DATA=E, EST_SOURCE=DIR", "ACT_EST_MAPPING=PRECISE", "FS=MRC", "CURRENCY=USD", "XLFILL=b")</f>
        <v/>
      </c>
    </row>
    <row r="147" spans="1:56" x14ac:dyDescent="0.55000000000000004">
      <c r="A147" s="8" t="s">
        <v>286</v>
      </c>
      <c r="B147" s="5" t="s">
        <v>287</v>
      </c>
      <c r="C147" s="5" t="s">
        <v>288</v>
      </c>
      <c r="D147" s="5"/>
      <c r="E147" s="9">
        <f>_xll.BQL("CRM US Equity", "BV_PER_WEIGHTED_DILUTED_SHARE", "FPR=2022Y", "FPT=A", "FA_ACT_EST_DATA=E", "ACT_EST_MAPPING=PRECISE", "FS=MRC", "CURRENCY=USD", "XLFILL=b")</f>
        <v>55.344174619014836</v>
      </c>
      <c r="F147" s="9">
        <f>_xll.BQL("CRM US Equity", "CONTRIBUTOR_STATS(BV_PER_WEIGHTED_DILUTED_SHARE, MIN)", "FPR=2022Y", "FPT=A", "FA_ACT_EST_DATA=E", "ACT_EST_MAPPING=PRECISE", "FS=MRC", "CURRENCY=USD", "XLFILL=b")</f>
        <v>46.981304413418819</v>
      </c>
      <c r="G147" s="9">
        <f>_xll.BQL("CRM US Equity", "CONTRIBUTOR_STATS(BV_PER_WEIGHTED_DILUTED_SHARE, MAX)", "FPR=2022Y", "FPT=A", "FA_ACT_EST_DATA=E", "ACT_EST_MAPPING=PRECISE", "FS=MRC", "CURRENCY=USD", "XLFILL=b")</f>
        <v>59.708411242703527</v>
      </c>
      <c r="H147" s="9">
        <f>_xll.BQL("CRM US Equity", "CONTRIBUTOR_STATS(BV_PER_WEIGHTED_DILUTED_SHARE, STD)", "FPR=2022Y", "FPT=A", "FA_ACT_EST_DATA=E", "ACT_EST_MAPPING=PRECISE", "FS=MRC", "CURRENCY=USD", "XLFILL=b")</f>
        <v>7.2447646582048586</v>
      </c>
      <c r="I147" s="9">
        <f>_xll.BQL("CRM US Equity", "CONTRIBUTOR_STATS(BV_PER_WEIGHTED_DILUTED_SHARE, MEDIAN)", "FPR=2022Y", "FPT=A", "FA_ACT_EST_DATA=E", "ACT_EST_MAPPING=PRECISE", "FS=MRC", "CURRENCY=USD", "XLFILL=b")</f>
        <v>59.342808200922157</v>
      </c>
      <c r="J147" s="9" t="str">
        <f>_xll.BQL("CRM US Equity", "BV_PER_WEIGHTED_DILUTED_SHARE", "FPR=2022Y", "FPT=A", "FA_ACT_EST_DATA=E, EST_SOURCE=CMPY", "ACT_EST_MAPPING=PRECISE", "FS=MRC", "CURRENCY=USD", "XLFILL=b")</f>
        <v/>
      </c>
      <c r="K147" s="9" t="str">
        <f>_xll.BQL("CRM US Equity", "BV_PER_WEIGHTED_DILUTED_SHARE", "FPR=2022Y", "FPT=A", "FA_ACT_EST_DATA=E, EST_SOURCE=WBL", "ACT_EST_MAPPING=PRECISE", "FS=MRC", "CURRENCY=USD", "XLFILL=b")</f>
        <v/>
      </c>
      <c r="L147" s="9" t="str">
        <f>_xll.BQL("CRM US Equity", "BV_PER_WEIGHTED_DILUTED_SHARE", "FPR=2022Y", "FPT=A", "FA_ACT_EST_DATA=E, EST_SOURCE=BMO", "ACT_EST_MAPPING=PRECISE", "FS=MRC", "CURRENCY=USD", "XLFILL=b")</f>
        <v/>
      </c>
      <c r="M147" s="9" t="str">
        <f>_xll.BQL("CRM US Equity", "BV_PER_WEIGHTED_DILUTED_SHARE", "FPR=2022Y", "FPT=A", "FA_ACT_EST_DATA=E, EST_SOURCE=BCA", "ACT_EST_MAPPING=PRECISE", "FS=MRC", "CURRENCY=USD", "XLFILL=b")</f>
        <v/>
      </c>
      <c r="N147" s="9" t="str">
        <f>_xll.BQL("CRM US Equity", "BV_PER_WEIGHTED_DILUTED_SHARE", "FPR=2022Y", "FPT=A", "FA_ACT_EST_DATA=E, EST_SOURCE=SNR", "ACT_EST_MAPPING=PRECISE", "FS=MRC", "CURRENCY=USD", "XLFILL=b")</f>
        <v/>
      </c>
      <c r="O147" s="9" t="str">
        <f>_xll.BQL("CRM US Equity", "BV_PER_WEIGHTED_DILUTED_SHARE", "FPR=2022Y", "FPT=A", "FA_ACT_EST_DATA=E, EST_SOURCE=MSV", "ACT_EST_MAPPING=PRECISE", "FS=MRC", "CURRENCY=USD", "XLFILL=b")</f>
        <v/>
      </c>
      <c r="P147" s="9" t="str">
        <f>_xll.BQL("CRM US Equity", "BV_PER_WEIGHTED_DILUTED_SHARE", "FPR=2022Y", "FPT=A", "FA_ACT_EST_DATA=E, EST_SOURCE=DBG", "ACT_EST_MAPPING=PRECISE", "FS=MRC", "CURRENCY=USD", "XLFILL=b")</f>
        <v/>
      </c>
      <c r="Q147" s="9" t="str">
        <f>_xll.BQL("CRM US Equity", "BV_PER_WEIGHTED_DILUTED_SHARE", "FPR=2022Y", "FPT=A", "FA_ACT_EST_DATA=E, EST_SOURCE=NDH", "ACT_EST_MAPPING=PRECISE", "FS=MRC", "CURRENCY=USD", "XLFILL=b")</f>
        <v/>
      </c>
      <c r="R147" s="9" t="str">
        <f>_xll.BQL("CRM US Equity", "BV_PER_WEIGHTED_DILUTED_SHARE", "FPR=2022Y", "FPT=A", "FA_ACT_EST_DATA=E, EST_SOURCE=CAN", "ACT_EST_MAPPING=PRECISE", "FS=MRC", "CURRENCY=USD", "XLFILL=b")</f>
        <v/>
      </c>
      <c r="S147" s="9" t="str">
        <f>_xll.BQL("CRM US Equity", "BV_PER_WEIGHTED_DILUTED_SHARE", "FPR=2022Y", "FPT=A", "FA_ACT_EST_DATA=E, EST_SOURCE=SCB", "ACT_EST_MAPPING=PRECISE", "FS=MRC", "CURRENCY=USD", "XLFILL=b")</f>
        <v/>
      </c>
      <c r="T147" s="9" t="str">
        <f>_xll.BQL("CRM US Equity", "BV_PER_WEIGHTED_DILUTED_SHARE", "FPR=2022Y", "FPT=A", "FA_ACT_EST_DATA=E, EST_SOURCE=JMP", "ACT_EST_MAPPING=PRECISE", "FS=MRC", "CURRENCY=USD", "XLFILL=b")</f>
        <v/>
      </c>
      <c r="U147" s="9" t="str">
        <f>_xll.BQL("CRM US Equity", "BV_PER_WEIGHTED_DILUTED_SHARE", "FPR=2022Y", "FPT=A", "FA_ACT_EST_DATA=E, EST_SOURCE=RJA", "ACT_EST_MAPPING=PRECISE", "FS=MRC", "CURRENCY=USD", "XLFILL=b")</f>
        <v/>
      </c>
      <c r="V147" s="9" t="str">
        <f>_xll.BQL("CRM US Equity", "BV_PER_WEIGHTED_DILUTED_SHARE", "FPR=2022Y", "FPT=A", "FA_ACT_EST_DATA=E, EST_SOURCE=OPY", "ACT_EST_MAPPING=PRECISE", "FS=MRC", "CURRENCY=USD", "XLFILL=b")</f>
        <v/>
      </c>
      <c r="W147" s="9" t="str">
        <f>_xll.BQL("CRM US Equity", "BV_PER_WEIGHTED_DILUTED_SHARE", "FPR=2022Y", "FPT=A", "FA_ACT_EST_DATA=E, EST_SOURCE=JPM", "ACT_EST_MAPPING=PRECISE", "FS=MRC", "CURRENCY=USD", "XLFILL=b")</f>
        <v/>
      </c>
      <c r="X147" s="9" t="str">
        <f>_xll.BQL("CRM US Equity", "BV_PER_WEIGHTED_DILUTED_SHARE", "FPR=2022Y", "FPT=A", "FA_ACT_EST_DATA=E, EST_SOURCE=FBC", "ACT_EST_MAPPING=PRECISE", "FS=MRC", "CURRENCY=USD", "XLFILL=b")</f>
        <v/>
      </c>
      <c r="Y147" s="9" t="str">
        <f>_xll.BQL("CRM US Equity", "BV_PER_WEIGHTED_DILUTED_SHARE", "FPR=2022Y", "FPT=A", "FA_ACT_EST_DATA=E, EST_SOURCE=WMS", "ACT_EST_MAPPING=PRECISE", "FS=MRC", "CURRENCY=USD", "XLFILL=b")</f>
        <v/>
      </c>
      <c r="Z147" s="9" t="str">
        <f>_xll.BQL("CRM US Equity", "BV_PER_WEIGHTED_DILUTED_SHARE", "FPR=2022Y", "FPT=A", "FA_ACT_EST_DATA=E, EST_SOURCE=KEY", "ACT_EST_MAPPING=PRECISE", "FS=MRC", "CURRENCY=USD", "XLFILL=b")</f>
        <v/>
      </c>
      <c r="AA147" s="9" t="str">
        <f>_xll.BQL("CRM US Equity", "BV_PER_WEIGHTED_DILUTED_SHARE", "FPR=2022Y", "FPT=A", "FA_ACT_EST_DATA=E, EST_SOURCE=LCM", "ACT_EST_MAPPING=PRECISE", "FS=MRC", "CURRENCY=USD", "XLFILL=b")</f>
        <v/>
      </c>
      <c r="AB147" s="9" t="str">
        <f>_xll.BQL("CRM US Equity", "BV_PER_WEIGHTED_DILUTED_SHARE", "FPR=2022Y", "FPT=A", "FA_ACT_EST_DATA=E, EST_SOURCE=CWN", "ACT_EST_MAPPING=PRECISE", "FS=MRC", "CURRENCY=USD", "XLFILL=b")</f>
        <v/>
      </c>
      <c r="AC147" s="9" t="str">
        <f>_xll.BQL("CRM US Equity", "BV_PER_WEIGHTED_DILUTED_SHARE", "FPR=2022Y", "FPT=A", "FA_ACT_EST_DATA=E, EST_SOURCE=BNS", "ACT_EST_MAPPING=PRECISE", "FS=MRC", "CURRENCY=USD", "XLFILL=b")</f>
        <v/>
      </c>
      <c r="AD147" s="9" t="str">
        <f>_xll.BQL("CRM US Equity", "BV_PER_WEIGHTED_DILUTED_SHARE", "FPR=2022Y", "FPT=A", "FA_ACT_EST_DATA=E, EST_SOURCE=BAM", "ACT_EST_MAPPING=PRECISE", "FS=MRC", "CURRENCY=USD", "XLFILL=b")</f>
        <v/>
      </c>
      <c r="AE147" s="9" t="str">
        <f>_xll.BQL("CRM US Equity", "BV_PER_WEIGHTED_DILUTED_SHARE", "FPR=2022Y", "FPT=A", "FA_ACT_EST_DATA=E, EST_SOURCE=RBC", "ACT_EST_MAPPING=PRECISE", "FS=MRC", "CURRENCY=USD", "XLFILL=b")</f>
        <v/>
      </c>
      <c r="AF147" s="9" t="str">
        <f>_xll.BQL("CRM US Equity", "BV_PER_WEIGHTED_DILUTED_SHARE", "FPR=2022Y", "FPT=A", "FA_ACT_EST_DATA=E, EST_SOURCE=UBS", "ACT_EST_MAPPING=PRECISE", "FS=MRC", "CURRENCY=USD", "XLFILL=b")</f>
        <v/>
      </c>
      <c r="AG147" s="9" t="str">
        <f>_xll.BQL("CRM US Equity", "BV_PER_WEIGHTED_DILUTED_SHARE", "FPR=2022Y", "FPT=A", "FA_ACT_EST_DATA=E, EST_SOURCE=RHR", "ACT_EST_MAPPING=PRECISE", "FS=MRC", "CURRENCY=USD", "XLFILL=b")</f>
        <v/>
      </c>
      <c r="AH147" s="9" t="str">
        <f>_xll.BQL("CRM US Equity", "BV_PER_WEIGHTED_DILUTED_SHARE", "FPR=2022Y", "FPT=A", "FA_ACT_EST_DATA=E, EST_SOURCE=JEF", "ACT_EST_MAPPING=PRECISE", "FS=MRC", "CURRENCY=USD", "XLFILL=b")</f>
        <v/>
      </c>
      <c r="AI147" s="9" t="str">
        <f>_xll.BQL("CRM US Equity", "BV_PER_WEIGHTED_DILUTED_SHARE", "FPR=2022Y", "FPT=A", "FA_ACT_EST_DATA=E, EST_SOURCE=ATL", "ACT_EST_MAPPING=PRECISE", "FS=MRC", "CURRENCY=USD", "XLFILL=b")</f>
        <v/>
      </c>
      <c r="AJ147" s="9" t="str">
        <f>_xll.BQL("CRM US Equity", "BV_PER_WEIGHTED_DILUTED_SHARE", "FPR=2022Y", "FPT=A", "FA_ACT_EST_DATA=E, EST_SOURCE=MAC", "ACT_EST_MAPPING=PRECISE", "FS=MRC", "CURRENCY=USD", "XLFILL=b")</f>
        <v/>
      </c>
      <c r="AK147" s="9" t="str">
        <f>_xll.BQL("CRM US Equity", "BV_PER_WEIGHTED_DILUTED_SHARE", "FPR=2022Y", "FPT=A", "FA_ACT_EST_DATA=E, EST_SOURCE=EVR", "ACT_EST_MAPPING=PRECISE", "FS=MRC", "CURRENCY=USD", "XLFILL=b")</f>
        <v/>
      </c>
      <c r="AL147" s="9" t="str">
        <f>_xll.BQL("CRM US Equity", "BV_PER_WEIGHTED_DILUTED_SHARE", "FPR=2022Y", "FPT=A", "FA_ACT_EST_DATA=E, EST_SOURCE=MSR", "ACT_EST_MAPPING=PRECISE", "FS=MRC", "CURRENCY=USD", "XLFILL=b")</f>
        <v/>
      </c>
      <c r="AM147" s="9" t="str">
        <f>_xll.BQL("CRM US Equity", "BV_PER_WEIGHTED_DILUTED_SHARE", "FPR=2022Y", "FPT=A", "FA_ACT_EST_DATA=E, EST_SOURCE=KGI", "ACT_EST_MAPPING=PRECISE", "FS=MRC", "CURRENCY=USD", "XLFILL=b")</f>
        <v/>
      </c>
      <c r="AN147" s="9" t="str">
        <f>_xll.BQL("CRM US Equity", "BV_PER_WEIGHTED_DILUTED_SHARE", "FPR=2022Y", "FPT=A", "FA_ACT_EST_DATA=E, EST_SOURCE=ACC", "ACT_EST_MAPPING=PRECISE", "FS=MRC", "CURRENCY=USD", "XLFILL=b")</f>
        <v/>
      </c>
      <c r="AO147" s="9" t="str">
        <f>_xll.BQL("CRM US Equity", "BV_PER_WEIGHTED_DILUTED_SHARE", "FPR=2022Y", "FPT=A", "FA_ACT_EST_DATA=E, EST_SOURCE=GSR", "ACT_EST_MAPPING=PRECISE", "FS=MRC", "CURRENCY=USD", "XLFILL=b")</f>
        <v/>
      </c>
      <c r="AP147" s="9" t="str">
        <f>_xll.BQL("CRM US Equity", "BV_PER_WEIGHTED_DILUTED_SHARE", "FPR=2022Y", "FPT=A", "FA_ACT_EST_DATA=E, EST_SOURCE=PSG", "ACT_EST_MAPPING=PRECISE", "FS=MRC", "CURRENCY=USD", "XLFILL=b")</f>
        <v/>
      </c>
      <c r="AQ147" s="9" t="str">
        <f>_xll.BQL("CRM US Equity", "BV_PER_WEIGHTED_DILUTED_SHARE", "FPR=2022Y", "FPT=A", "FA_ACT_EST_DATA=E, EST_SOURCE=DWI", "ACT_EST_MAPPING=PRECISE", "FS=MRC", "CURRENCY=USD", "XLFILL=b")</f>
        <v/>
      </c>
      <c r="AR147" s="9" t="str">
        <f>_xll.BQL("CRM US Equity", "BV_PER_WEIGHTED_DILUTED_SHARE", "FPR=2022Y", "FPT=A", "FA_ACT_EST_DATA=E, EST_SOURCE=RWB", "ACT_EST_MAPPING=PRECISE", "FS=MRC", "CURRENCY=USD", "XLFILL=b")</f>
        <v/>
      </c>
      <c r="AS147" s="9" t="str">
        <f>_xll.BQL("CRM US Equity", "BV_PER_WEIGHTED_DILUTED_SHARE", "FPR=2022Y", "FPT=A", "FA_ACT_EST_DATA=E, EST_SOURCE=ARG", "ACT_EST_MAPPING=PRECISE", "FS=MRC", "CURRENCY=USD", "XLFILL=b")</f>
        <v/>
      </c>
      <c r="AT147" s="9" t="str">
        <f>_xll.BQL("CRM US Equity", "BV_PER_WEIGHTED_DILUTED_SHARE", "FPR=2022Y", "FPT=A", "FA_ACT_EST_DATA=E, EST_SOURCE=CTI", "ACT_EST_MAPPING=PRECISE", "FS=MRC", "CURRENCY=USD", "XLFILL=b")</f>
        <v/>
      </c>
      <c r="AU147" s="9" t="str">
        <f>_xll.BQL("CRM US Equity", "BV_PER_WEIGHTED_DILUTED_SHARE", "FPR=2022Y", "FPT=A", "FA_ACT_EST_DATA=E, EST_SOURCE=WFT", "ACT_EST_MAPPING=PRECISE", "FS=MRC", "CURRENCY=USD", "XLFILL=b")</f>
        <v/>
      </c>
      <c r="AV147" s="9" t="str">
        <f>_xll.BQL("CRM US Equity", "BV_PER_WEIGHTED_DILUTED_SHARE", "FPR=2022Y", "FPT=A", "FA_ACT_EST_DATA=E, EST_SOURCE=PJE", "ACT_EST_MAPPING=PRECISE", "FS=MRC", "CURRENCY=USD", "XLFILL=b")</f>
        <v/>
      </c>
      <c r="AW147" s="9" t="str">
        <f>_xll.BQL("CRM US Equity", "BV_PER_WEIGHTED_DILUTED_SHARE", "FPR=2022Y", "FPT=A", "FA_ACT_EST_DATA=E, EST_SOURCE=SGE", "ACT_EST_MAPPING=PRECISE", "FS=MRC", "CURRENCY=USD", "XLFILL=b")</f>
        <v/>
      </c>
      <c r="AX147" s="9" t="str">
        <f>_xll.BQL("CRM US Equity", "BV_PER_WEIGHTED_DILUTED_SHARE", "FPR=2022Y", "FPT=A", "FA_ACT_EST_DATA=E, EST_SOURCE=MZS", "ACT_EST_MAPPING=PRECISE", "FS=MRC", "CURRENCY=USD", "XLFILL=b")</f>
        <v/>
      </c>
      <c r="AY147" s="9" t="str">
        <f>_xll.BQL("CRM US Equity", "BV_PER_WEIGHTED_DILUTED_SHARE", "FPR=2022Y", "FPT=A", "FA_ACT_EST_DATA=E, EST_SOURCE=RCP", "ACT_EST_MAPPING=PRECISE", "FS=MRC", "CURRENCY=USD", "XLFILL=b")</f>
        <v/>
      </c>
      <c r="AZ147" s="9" t="str">
        <f>_xll.BQL("CRM US Equity", "BV_PER_WEIGHTED_DILUTED_SHARE", "FPR=2022Y", "FPT=A", "FA_ACT_EST_DATA=E, EST_SOURCE=WFR", "ACT_EST_MAPPING=PRECISE", "FS=MRC", "CURRENCY=USD", "XLFILL=b")</f>
        <v/>
      </c>
      <c r="BA147" s="9" t="str">
        <f>_xll.BQL("CRM US Equity", "BV_PER_WEIGHTED_DILUTED_SHARE", "FPR=2022Y", "FPT=A", "FA_ACT_EST_DATA=E, EST_SOURCE=NIK", "ACT_EST_MAPPING=PRECISE", "FS=MRC", "CURRENCY=USD", "XLFILL=b")</f>
        <v/>
      </c>
      <c r="BB147" s="9" t="str">
        <f>_xll.BQL("CRM US Equity", "BV_PER_WEIGHTED_DILUTED_SHARE", "FPR=2022Y", "FPT=A", "FA_ACT_EST_DATA=E, EST_SOURCE=ARE", "ACT_EST_MAPPING=PRECISE", "FS=MRC", "CURRENCY=USD", "XLFILL=b")</f>
        <v/>
      </c>
      <c r="BC147" s="9" t="str">
        <f>_xll.BQL("CRM US Equity", "BV_PER_WEIGHTED_DILUTED_SHARE", "FPR=2022Y", "FPT=A", "FA_ACT_EST_DATA=E, EST_SOURCE=RED", "ACT_EST_MAPPING=PRECISE", "FS=MRC", "CURRENCY=USD", "XLFILL=b")</f>
        <v/>
      </c>
      <c r="BD147" s="9" t="str">
        <f>_xll.BQL("CRM US Equity", "BV_PER_WEIGHTED_DILUTED_SHARE", "FPR=2022Y", "FPT=A", "FA_ACT_EST_DATA=E, EST_SOURCE=DIR", "ACT_EST_MAPPING=PRECISE", "FS=MRC", "CURRENCY=USD", "XLFILL=b")</f>
        <v/>
      </c>
    </row>
    <row r="148" spans="1:56" x14ac:dyDescent="0.55000000000000004">
      <c r="A148" s="8" t="s">
        <v>289</v>
      </c>
      <c r="B148" s="5"/>
      <c r="C148" s="5"/>
      <c r="D148" s="5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</row>
    <row r="149" spans="1:56" x14ac:dyDescent="0.55000000000000004">
      <c r="A149" s="8" t="s">
        <v>290</v>
      </c>
      <c r="B149" s="5" t="s">
        <v>32</v>
      </c>
      <c r="C149" s="5" t="s">
        <v>291</v>
      </c>
      <c r="D149" s="5"/>
      <c r="E149" s="9">
        <f>_xll.BQL("CRM US Equity", "TOT_FUTURE_REV_UNDER_CONTRACT/1M", "FPR=2022Y", "FPT=A", "FA_ACT_EST_DATA=E", "ACT_EST_MAPPING=PRECISE", "FS=MRC", "CURRENCY=USD", "XLFILL=b")</f>
        <v>42302.300000000025</v>
      </c>
      <c r="F149" s="9">
        <f>_xll.BQL("CRM US Equity", "CONTRIBUTOR_STATS(TOT_FUTURE_REV_UNDER_CONTRACT, MIN)/1M", "FPR=2022Y", "FPT=A", "FA_ACT_EST_DATA=E", "ACT_EST_MAPPING=PRECISE", "FS=MRC", "CURRENCY=USD", "XLFILL=b")</f>
        <v>41876</v>
      </c>
      <c r="G149" s="9">
        <f>_xll.BQL("CRM US Equity", "CONTRIBUTOR_STATS(TOT_FUTURE_REV_UNDER_CONTRACT, MAX)/1M", "FPR=2022Y", "FPT=A", "FA_ACT_EST_DATA=E", "ACT_EST_MAPPING=PRECISE", "FS=MRC", "CURRENCY=USD", "XLFILL=b")</f>
        <v>42500.000000000058</v>
      </c>
      <c r="H149" s="9">
        <f>_xll.BQL("CRM US Equity", "CONTRIBUTOR_STATS(TOT_FUTURE_REV_UNDER_CONTRACT, STD)/1M", "FPR=2022Y", "FPT=A", "FA_ACT_EST_DATA=E", "ACT_EST_MAPPING=PRECISE", "FS=MRC", "CURRENCY=USD", "XLFILL=b")</f>
        <v>286.91989590593869</v>
      </c>
      <c r="I149" s="9">
        <f>_xll.BQL("CRM US Equity", "CONTRIBUTOR_STATS(TOT_FUTURE_REV_UNDER_CONTRACT, MEDIAN)/1M", "FPR=2022Y", "FPT=A", "FA_ACT_EST_DATA=E", "ACT_EST_MAPPING=PRECISE", "FS=MRC", "CURRENCY=USD", "XLFILL=b")</f>
        <v>42416.6</v>
      </c>
      <c r="J149" s="9" t="str">
        <f>_xll.BQL("CRM US Equity", "TOT_FUTURE_REV_UNDER_CONTRACT/1M", "FPR=2022Y", "FPT=A", "FA_ACT_EST_DATA=E, EST_SOURCE=CMPY", "ACT_EST_MAPPING=PRECISE", "FS=MRC", "CURRENCY=USD", "XLFILL=b")</f>
        <v/>
      </c>
      <c r="K149" s="9" t="str">
        <f>_xll.BQL("CRM US Equity", "TOT_FUTURE_REV_UNDER_CONTRACT/1M", "FPR=2022Y", "FPT=A", "FA_ACT_EST_DATA=E, EST_SOURCE=WBL", "ACT_EST_MAPPING=PRECISE", "FS=MRC", "CURRENCY=USD", "XLFILL=b")</f>
        <v/>
      </c>
      <c r="L149" s="9" t="str">
        <f>_xll.BQL("CRM US Equity", "TOT_FUTURE_REV_UNDER_CONTRACT/1M", "FPR=2022Y", "FPT=A", "FA_ACT_EST_DATA=E, EST_SOURCE=BMO", "ACT_EST_MAPPING=PRECISE", "FS=MRC", "CURRENCY=USD", "XLFILL=b")</f>
        <v/>
      </c>
      <c r="M149" s="9" t="str">
        <f>_xll.BQL("CRM US Equity", "TOT_FUTURE_REV_UNDER_CONTRACT/1M", "FPR=2022Y", "FPT=A", "FA_ACT_EST_DATA=E, EST_SOURCE=BCA", "ACT_EST_MAPPING=PRECISE", "FS=MRC", "CURRENCY=USD", "XLFILL=b")</f>
        <v/>
      </c>
      <c r="N149" s="9" t="str">
        <f>_xll.BQL("CRM US Equity", "TOT_FUTURE_REV_UNDER_CONTRACT/1M", "FPR=2022Y", "FPT=A", "FA_ACT_EST_DATA=E, EST_SOURCE=SNR", "ACT_EST_MAPPING=PRECISE", "FS=MRC", "CURRENCY=USD", "XLFILL=b")</f>
        <v/>
      </c>
      <c r="O149" s="9" t="str">
        <f>_xll.BQL("CRM US Equity", "TOT_FUTURE_REV_UNDER_CONTRACT/1M", "FPR=2022Y", "FPT=A", "FA_ACT_EST_DATA=E, EST_SOURCE=MSV", "ACT_EST_MAPPING=PRECISE", "FS=MRC", "CURRENCY=USD", "XLFILL=b")</f>
        <v/>
      </c>
      <c r="P149" s="9" t="str">
        <f>_xll.BQL("CRM US Equity", "TOT_FUTURE_REV_UNDER_CONTRACT/1M", "FPR=2022Y", "FPT=A", "FA_ACT_EST_DATA=E, EST_SOURCE=DBG", "ACT_EST_MAPPING=PRECISE", "FS=MRC", "CURRENCY=USD", "XLFILL=b")</f>
        <v/>
      </c>
      <c r="Q149" s="9" t="str">
        <f>_xll.BQL("CRM US Equity", "TOT_FUTURE_REV_UNDER_CONTRACT/1M", "FPR=2022Y", "FPT=A", "FA_ACT_EST_DATA=E, EST_SOURCE=NDH", "ACT_EST_MAPPING=PRECISE", "FS=MRC", "CURRENCY=USD", "XLFILL=b")</f>
        <v/>
      </c>
      <c r="R149" s="9" t="str">
        <f>_xll.BQL("CRM US Equity", "TOT_FUTURE_REV_UNDER_CONTRACT/1M", "FPR=2022Y", "FPT=A", "FA_ACT_EST_DATA=E, EST_SOURCE=CAN", "ACT_EST_MAPPING=PRECISE", "FS=MRC", "CURRENCY=USD", "XLFILL=b")</f>
        <v/>
      </c>
      <c r="S149" s="9" t="str">
        <f>_xll.BQL("CRM US Equity", "TOT_FUTURE_REV_UNDER_CONTRACT/1M", "FPR=2022Y", "FPT=A", "FA_ACT_EST_DATA=E, EST_SOURCE=SCB", "ACT_EST_MAPPING=PRECISE", "FS=MRC", "CURRENCY=USD", "XLFILL=b")</f>
        <v/>
      </c>
      <c r="T149" s="9" t="str">
        <f>_xll.BQL("CRM US Equity", "TOT_FUTURE_REV_UNDER_CONTRACT/1M", "FPR=2022Y", "FPT=A", "FA_ACT_EST_DATA=E, EST_SOURCE=JMP", "ACT_EST_MAPPING=PRECISE", "FS=MRC", "CURRENCY=USD", "XLFILL=b")</f>
        <v/>
      </c>
      <c r="U149" s="9" t="str">
        <f>_xll.BQL("CRM US Equity", "TOT_FUTURE_REV_UNDER_CONTRACT/1M", "FPR=2022Y", "FPT=A", "FA_ACT_EST_DATA=E, EST_SOURCE=RJA", "ACT_EST_MAPPING=PRECISE", "FS=MRC", "CURRENCY=USD", "XLFILL=b")</f>
        <v/>
      </c>
      <c r="V149" s="9" t="str">
        <f>_xll.BQL("CRM US Equity", "TOT_FUTURE_REV_UNDER_CONTRACT/1M", "FPR=2022Y", "FPT=A", "FA_ACT_EST_DATA=E, EST_SOURCE=OPY", "ACT_EST_MAPPING=PRECISE", "FS=MRC", "CURRENCY=USD", "XLFILL=b")</f>
        <v/>
      </c>
      <c r="W149" s="9" t="str">
        <f>_xll.BQL("CRM US Equity", "TOT_FUTURE_REV_UNDER_CONTRACT/1M", "FPR=2022Y", "FPT=A", "FA_ACT_EST_DATA=E, EST_SOURCE=JPM", "ACT_EST_MAPPING=PRECISE", "FS=MRC", "CURRENCY=USD", "XLFILL=b")</f>
        <v/>
      </c>
      <c r="X149" s="9" t="str">
        <f>_xll.BQL("CRM US Equity", "TOT_FUTURE_REV_UNDER_CONTRACT/1M", "FPR=2022Y", "FPT=A", "FA_ACT_EST_DATA=E, EST_SOURCE=FBC", "ACT_EST_MAPPING=PRECISE", "FS=MRC", "CURRENCY=USD", "XLFILL=b")</f>
        <v/>
      </c>
      <c r="Y149" s="9" t="str">
        <f>_xll.BQL("CRM US Equity", "TOT_FUTURE_REV_UNDER_CONTRACT/1M", "FPR=2022Y", "FPT=A", "FA_ACT_EST_DATA=E, EST_SOURCE=WMS", "ACT_EST_MAPPING=PRECISE", "FS=MRC", "CURRENCY=USD", "XLFILL=b")</f>
        <v/>
      </c>
      <c r="Z149" s="9">
        <f>_xll.BQL("CRM US Equity", "TOT_FUTURE_REV_UNDER_CONTRACT/1M", "FPR=2022Y", "FPT=A", "FA_ACT_EST_DATA=E, EST_SOURCE=KEY", "ACT_EST_MAPPING=PRECISE", "FS=MRC", "CURRENCY=USD", "XLFILL=b")</f>
        <v>41876</v>
      </c>
      <c r="AA149" s="9" t="str">
        <f>_xll.BQL("CRM US Equity", "TOT_FUTURE_REV_UNDER_CONTRACT/1M", "FPR=2022Y", "FPT=A", "FA_ACT_EST_DATA=E, EST_SOURCE=LCM", "ACT_EST_MAPPING=PRECISE", "FS=MRC", "CURRENCY=USD", "XLFILL=b")</f>
        <v/>
      </c>
      <c r="AB149" s="9" t="str">
        <f>_xll.BQL("CRM US Equity", "TOT_FUTURE_REV_UNDER_CONTRACT/1M", "FPR=2022Y", "FPT=A", "FA_ACT_EST_DATA=E, EST_SOURCE=CWN", "ACT_EST_MAPPING=PRECISE", "FS=MRC", "CURRENCY=USD", "XLFILL=b")</f>
        <v/>
      </c>
      <c r="AC149" s="9" t="str">
        <f>_xll.BQL("CRM US Equity", "TOT_FUTURE_REV_UNDER_CONTRACT/1M", "FPR=2022Y", "FPT=A", "FA_ACT_EST_DATA=E, EST_SOURCE=BNS", "ACT_EST_MAPPING=PRECISE", "FS=MRC", "CURRENCY=USD", "XLFILL=b")</f>
        <v/>
      </c>
      <c r="AD149" s="9" t="str">
        <f>_xll.BQL("CRM US Equity", "TOT_FUTURE_REV_UNDER_CONTRACT/1M", "FPR=2022Y", "FPT=A", "FA_ACT_EST_DATA=E, EST_SOURCE=BAM", "ACT_EST_MAPPING=PRECISE", "FS=MRC", "CURRENCY=USD", "XLFILL=b")</f>
        <v/>
      </c>
      <c r="AE149" s="9" t="str">
        <f>_xll.BQL("CRM US Equity", "TOT_FUTURE_REV_UNDER_CONTRACT/1M", "FPR=2022Y", "FPT=A", "FA_ACT_EST_DATA=E, EST_SOURCE=RBC", "ACT_EST_MAPPING=PRECISE", "FS=MRC", "CURRENCY=USD", "XLFILL=b")</f>
        <v/>
      </c>
      <c r="AF149" s="9" t="str">
        <f>_xll.BQL("CRM US Equity", "TOT_FUTURE_REV_UNDER_CONTRACT/1M", "FPR=2022Y", "FPT=A", "FA_ACT_EST_DATA=E, EST_SOURCE=UBS", "ACT_EST_MAPPING=PRECISE", "FS=MRC", "CURRENCY=USD", "XLFILL=b")</f>
        <v/>
      </c>
      <c r="AG149" s="9" t="str">
        <f>_xll.BQL("CRM US Equity", "TOT_FUTURE_REV_UNDER_CONTRACT/1M", "FPR=2022Y", "FPT=A", "FA_ACT_EST_DATA=E, EST_SOURCE=RHR", "ACT_EST_MAPPING=PRECISE", "FS=MRC", "CURRENCY=USD", "XLFILL=b")</f>
        <v/>
      </c>
      <c r="AH149" s="9" t="str">
        <f>_xll.BQL("CRM US Equity", "TOT_FUTURE_REV_UNDER_CONTRACT/1M", "FPR=2022Y", "FPT=A", "FA_ACT_EST_DATA=E, EST_SOURCE=JEF", "ACT_EST_MAPPING=PRECISE", "FS=MRC", "CURRENCY=USD", "XLFILL=b")</f>
        <v/>
      </c>
      <c r="AI149" s="9" t="str">
        <f>_xll.BQL("CRM US Equity", "TOT_FUTURE_REV_UNDER_CONTRACT/1M", "FPR=2022Y", "FPT=A", "FA_ACT_EST_DATA=E, EST_SOURCE=ATL", "ACT_EST_MAPPING=PRECISE", "FS=MRC", "CURRENCY=USD", "XLFILL=b")</f>
        <v/>
      </c>
      <c r="AJ149" s="9" t="str">
        <f>_xll.BQL("CRM US Equity", "TOT_FUTURE_REV_UNDER_CONTRACT/1M", "FPR=2022Y", "FPT=A", "FA_ACT_EST_DATA=E, EST_SOURCE=MAC", "ACT_EST_MAPPING=PRECISE", "FS=MRC", "CURRENCY=USD", "XLFILL=b")</f>
        <v/>
      </c>
      <c r="AK149" s="9" t="str">
        <f>_xll.BQL("CRM US Equity", "TOT_FUTURE_REV_UNDER_CONTRACT/1M", "FPR=2022Y", "FPT=A", "FA_ACT_EST_DATA=E, EST_SOURCE=EVR", "ACT_EST_MAPPING=PRECISE", "FS=MRC", "CURRENCY=USD", "XLFILL=b")</f>
        <v/>
      </c>
      <c r="AL149" s="9" t="str">
        <f>_xll.BQL("CRM US Equity", "TOT_FUTURE_REV_UNDER_CONTRACT/1M", "FPR=2022Y", "FPT=A", "FA_ACT_EST_DATA=E, EST_SOURCE=MSR", "ACT_EST_MAPPING=PRECISE", "FS=MRC", "CURRENCY=USD", "XLFILL=b")</f>
        <v/>
      </c>
      <c r="AM149" s="9" t="str">
        <f>_xll.BQL("CRM US Equity", "TOT_FUTURE_REV_UNDER_CONTRACT/1M", "FPR=2022Y", "FPT=A", "FA_ACT_EST_DATA=E, EST_SOURCE=KGI", "ACT_EST_MAPPING=PRECISE", "FS=MRC", "CURRENCY=USD", "XLFILL=b")</f>
        <v/>
      </c>
      <c r="AN149" s="9" t="str">
        <f>_xll.BQL("CRM US Equity", "TOT_FUTURE_REV_UNDER_CONTRACT/1M", "FPR=2022Y", "FPT=A", "FA_ACT_EST_DATA=E, EST_SOURCE=ACC", "ACT_EST_MAPPING=PRECISE", "FS=MRC", "CURRENCY=USD", "XLFILL=b")</f>
        <v/>
      </c>
      <c r="AO149" s="9" t="str">
        <f>_xll.BQL("CRM US Equity", "TOT_FUTURE_REV_UNDER_CONTRACT/1M", "FPR=2022Y", "FPT=A", "FA_ACT_EST_DATA=E, EST_SOURCE=GSR", "ACT_EST_MAPPING=PRECISE", "FS=MRC", "CURRENCY=USD", "XLFILL=b")</f>
        <v/>
      </c>
      <c r="AP149" s="9" t="str">
        <f>_xll.BQL("CRM US Equity", "TOT_FUTURE_REV_UNDER_CONTRACT/1M", "FPR=2022Y", "FPT=A", "FA_ACT_EST_DATA=E, EST_SOURCE=PSG", "ACT_EST_MAPPING=PRECISE", "FS=MRC", "CURRENCY=USD", "XLFILL=b")</f>
        <v/>
      </c>
      <c r="AQ149" s="9" t="str">
        <f>_xll.BQL("CRM US Equity", "TOT_FUTURE_REV_UNDER_CONTRACT/1M", "FPR=2022Y", "FPT=A", "FA_ACT_EST_DATA=E, EST_SOURCE=DWI", "ACT_EST_MAPPING=PRECISE", "FS=MRC", "CURRENCY=USD", "XLFILL=b")</f>
        <v/>
      </c>
      <c r="AR149" s="9" t="str">
        <f>_xll.BQL("CRM US Equity", "TOT_FUTURE_REV_UNDER_CONTRACT/1M", "FPR=2022Y", "FPT=A", "FA_ACT_EST_DATA=E, EST_SOURCE=RWB", "ACT_EST_MAPPING=PRECISE", "FS=MRC", "CURRENCY=USD", "XLFILL=b")</f>
        <v/>
      </c>
      <c r="AS149" s="9" t="str">
        <f>_xll.BQL("CRM US Equity", "TOT_FUTURE_REV_UNDER_CONTRACT/1M", "FPR=2022Y", "FPT=A", "FA_ACT_EST_DATA=E, EST_SOURCE=ARG", "ACT_EST_MAPPING=PRECISE", "FS=MRC", "CURRENCY=USD", "XLFILL=b")</f>
        <v/>
      </c>
      <c r="AT149" s="9" t="str">
        <f>_xll.BQL("CRM US Equity", "TOT_FUTURE_REV_UNDER_CONTRACT/1M", "FPR=2022Y", "FPT=A", "FA_ACT_EST_DATA=E, EST_SOURCE=CTI", "ACT_EST_MAPPING=PRECISE", "FS=MRC", "CURRENCY=USD", "XLFILL=b")</f>
        <v/>
      </c>
      <c r="AU149" s="9" t="str">
        <f>_xll.BQL("CRM US Equity", "TOT_FUTURE_REV_UNDER_CONTRACT/1M", "FPR=2022Y", "FPT=A", "FA_ACT_EST_DATA=E, EST_SOURCE=WFT", "ACT_EST_MAPPING=PRECISE", "FS=MRC", "CURRENCY=USD", "XLFILL=b")</f>
        <v/>
      </c>
      <c r="AV149" s="9" t="str">
        <f>_xll.BQL("CRM US Equity", "TOT_FUTURE_REV_UNDER_CONTRACT/1M", "FPR=2022Y", "FPT=A", "FA_ACT_EST_DATA=E, EST_SOURCE=PJE", "ACT_EST_MAPPING=PRECISE", "FS=MRC", "CURRENCY=USD", "XLFILL=b")</f>
        <v/>
      </c>
      <c r="AW149" s="9" t="str">
        <f>_xll.BQL("CRM US Equity", "TOT_FUTURE_REV_UNDER_CONTRACT/1M", "FPR=2022Y", "FPT=A", "FA_ACT_EST_DATA=E, EST_SOURCE=SGE", "ACT_EST_MAPPING=PRECISE", "FS=MRC", "CURRENCY=USD", "XLFILL=b")</f>
        <v/>
      </c>
      <c r="AX149" s="9" t="str">
        <f>_xll.BQL("CRM US Equity", "TOT_FUTURE_REV_UNDER_CONTRACT/1M", "FPR=2022Y", "FPT=A", "FA_ACT_EST_DATA=E, EST_SOURCE=MZS", "ACT_EST_MAPPING=PRECISE", "FS=MRC", "CURRENCY=USD", "XLFILL=b")</f>
        <v/>
      </c>
      <c r="AY149" s="9" t="str">
        <f>_xll.BQL("CRM US Equity", "TOT_FUTURE_REV_UNDER_CONTRACT/1M", "FPR=2022Y", "FPT=A", "FA_ACT_EST_DATA=E, EST_SOURCE=RCP", "ACT_EST_MAPPING=PRECISE", "FS=MRC", "CURRENCY=USD", "XLFILL=b")</f>
        <v/>
      </c>
      <c r="AZ149" s="9" t="str">
        <f>_xll.BQL("CRM US Equity", "TOT_FUTURE_REV_UNDER_CONTRACT/1M", "FPR=2022Y", "FPT=A", "FA_ACT_EST_DATA=E, EST_SOURCE=WFR", "ACT_EST_MAPPING=PRECISE", "FS=MRC", "CURRENCY=USD", "XLFILL=b")</f>
        <v/>
      </c>
      <c r="BA149" s="9" t="str">
        <f>_xll.BQL("CRM US Equity", "TOT_FUTURE_REV_UNDER_CONTRACT/1M", "FPR=2022Y", "FPT=A", "FA_ACT_EST_DATA=E, EST_SOURCE=NIK", "ACT_EST_MAPPING=PRECISE", "FS=MRC", "CURRENCY=USD", "XLFILL=b")</f>
        <v/>
      </c>
      <c r="BB149" s="9" t="str">
        <f>_xll.BQL("CRM US Equity", "TOT_FUTURE_REV_UNDER_CONTRACT/1M", "FPR=2022Y", "FPT=A", "FA_ACT_EST_DATA=E, EST_SOURCE=ARE", "ACT_EST_MAPPING=PRECISE", "FS=MRC", "CURRENCY=USD", "XLFILL=b")</f>
        <v/>
      </c>
      <c r="BC149" s="9" t="str">
        <f>_xll.BQL("CRM US Equity", "TOT_FUTURE_REV_UNDER_CONTRACT/1M", "FPR=2022Y", "FPT=A", "FA_ACT_EST_DATA=E, EST_SOURCE=RED", "ACT_EST_MAPPING=PRECISE", "FS=MRC", "CURRENCY=USD", "XLFILL=b")</f>
        <v/>
      </c>
      <c r="BD149" s="9" t="str">
        <f>_xll.BQL("CRM US Equity", "TOT_FUTURE_REV_UNDER_CONTRACT/1M", "FPR=2022Y", "FPT=A", "FA_ACT_EST_DATA=E, EST_SOURCE=DIR", "ACT_EST_MAPPING=PRECISE", "FS=MRC", "CURRENCY=USD", "XLFILL=b")</f>
        <v/>
      </c>
    </row>
    <row r="150" spans="1:56" x14ac:dyDescent="0.55000000000000004">
      <c r="A150" s="8" t="s">
        <v>292</v>
      </c>
      <c r="B150" s="5" t="s">
        <v>35</v>
      </c>
      <c r="C150" s="5" t="s">
        <v>293</v>
      </c>
      <c r="D150" s="5"/>
      <c r="E150" s="9">
        <f>_xll.BQL("CRM US Equity", "CURRENT_FUTURE_REV_UNDER_CONTRACT/1M", "FPR=2022Y", "FPT=A", "FA_ACT_EST_DATA=E", "ACT_EST_MAPPING=PRECISE", "FS=MRC", "CURRENCY=USD", "XLFILL=b")</f>
        <v>21434.494285714292</v>
      </c>
      <c r="F150" s="9">
        <f>_xll.BQL("CRM US Equity", "CONTRIBUTOR_STATS(CURRENT_FUTURE_REV_UNDER_CONTRACT, MIN)/1M", "FPR=2022Y", "FPT=A", "FA_ACT_EST_DATA=E", "ACT_EST_MAPPING=PRECISE", "FS=MRC", "CURRENCY=USD", "XLFILL=b")</f>
        <v>21413.200000000001</v>
      </c>
      <c r="G150" s="9">
        <f>_xll.BQL("CRM US Equity", "CONTRIBUTOR_STATS(CURRENT_FUTURE_REV_UNDER_CONTRACT, MAX)/1M", "FPR=2022Y", "FPT=A", "FA_ACT_EST_DATA=E", "ACT_EST_MAPPING=PRECISE", "FS=MRC", "CURRENCY=USD", "XLFILL=b")</f>
        <v>21500</v>
      </c>
      <c r="H150" s="9">
        <f>_xll.BQL("CRM US Equity", "CONTRIBUTOR_STATS(CURRENT_FUTURE_REV_UNDER_CONTRACT, STD)/1M", "FPR=2022Y", "FPT=A", "FA_ACT_EST_DATA=E", "ACT_EST_MAPPING=PRECISE", "FS=MRC", "CURRENCY=USD", "XLFILL=b")</f>
        <v>31.022243018594931</v>
      </c>
      <c r="I150" s="9">
        <f>_xll.BQL("CRM US Equity", "CONTRIBUTOR_STATS(CURRENT_FUTURE_REV_UNDER_CONTRACT, MEDIAN)/1M", "FPR=2022Y", "FPT=A", "FA_ACT_EST_DATA=E", "ACT_EST_MAPPING=PRECISE", "FS=MRC", "CURRENCY=USD", "XLFILL=b")</f>
        <v>21420</v>
      </c>
      <c r="J150" s="9" t="str">
        <f>_xll.BQL("CRM US Equity", "CURRENT_FUTURE_REV_UNDER_CONTRACT/1M", "FPR=2022Y", "FPT=A", "FA_ACT_EST_DATA=E, EST_SOURCE=CMPY", "ACT_EST_MAPPING=PRECISE", "FS=MRC", "CURRENCY=USD", "XLFILL=b")</f>
        <v/>
      </c>
      <c r="K150" s="9" t="str">
        <f>_xll.BQL("CRM US Equity", "CURRENT_FUTURE_REV_UNDER_CONTRACT/1M", "FPR=2022Y", "FPT=A", "FA_ACT_EST_DATA=E, EST_SOURCE=WBL", "ACT_EST_MAPPING=PRECISE", "FS=MRC", "CURRENCY=USD", "XLFILL=b")</f>
        <v/>
      </c>
      <c r="L150" s="9" t="str">
        <f>_xll.BQL("CRM US Equity", "CURRENT_FUTURE_REV_UNDER_CONTRACT/1M", "FPR=2022Y", "FPT=A", "FA_ACT_EST_DATA=E, EST_SOURCE=BMO", "ACT_EST_MAPPING=PRECISE", "FS=MRC", "CURRENCY=USD", "XLFILL=b")</f>
        <v/>
      </c>
      <c r="M150" s="9">
        <f>_xll.BQL("CRM US Equity", "CURRENT_FUTURE_REV_UNDER_CONTRACT/1M", "FPR=2022Y", "FPT=A", "FA_ACT_EST_DATA=E, EST_SOURCE=BCA", "ACT_EST_MAPPING=PRECISE", "FS=MRC", "CURRENCY=USD", "XLFILL=b")</f>
        <v>21420</v>
      </c>
      <c r="N150" s="9" t="str">
        <f>_xll.BQL("CRM US Equity", "CURRENT_FUTURE_REV_UNDER_CONTRACT/1M", "FPR=2022Y", "FPT=A", "FA_ACT_EST_DATA=E, EST_SOURCE=SNR", "ACT_EST_MAPPING=PRECISE", "FS=MRC", "CURRENCY=USD", "XLFILL=b")</f>
        <v/>
      </c>
      <c r="O150" s="9" t="str">
        <f>_xll.BQL("CRM US Equity", "CURRENT_FUTURE_REV_UNDER_CONTRACT/1M", "FPR=2022Y", "FPT=A", "FA_ACT_EST_DATA=E, EST_SOURCE=MSV", "ACT_EST_MAPPING=PRECISE", "FS=MRC", "CURRENCY=USD", "XLFILL=b")</f>
        <v/>
      </c>
      <c r="P150" s="9">
        <f>_xll.BQL("CRM US Equity", "CURRENT_FUTURE_REV_UNDER_CONTRACT/1M", "FPR=2022Y", "FPT=A", "FA_ACT_EST_DATA=E, EST_SOURCE=DBG", "ACT_EST_MAPPING=PRECISE", "FS=MRC", "CURRENCY=USD", "XLFILL=b")</f>
        <v>21448.26</v>
      </c>
      <c r="Q150" s="9" t="str">
        <f>_xll.BQL("CRM US Equity", "CURRENT_FUTURE_REV_UNDER_CONTRACT/1M", "FPR=2022Y", "FPT=A", "FA_ACT_EST_DATA=E, EST_SOURCE=NDH", "ACT_EST_MAPPING=PRECISE", "FS=MRC", "CURRENCY=USD", "XLFILL=b")</f>
        <v/>
      </c>
      <c r="R150" s="9" t="str">
        <f>_xll.BQL("CRM US Equity", "CURRENT_FUTURE_REV_UNDER_CONTRACT/1M", "FPR=2022Y", "FPT=A", "FA_ACT_EST_DATA=E, EST_SOURCE=CAN", "ACT_EST_MAPPING=PRECISE", "FS=MRC", "CURRENCY=USD", "XLFILL=b")</f>
        <v/>
      </c>
      <c r="S150" s="9" t="str">
        <f>_xll.BQL("CRM US Equity", "CURRENT_FUTURE_REV_UNDER_CONTRACT/1M", "FPR=2022Y", "FPT=A", "FA_ACT_EST_DATA=E, EST_SOURCE=SCB", "ACT_EST_MAPPING=PRECISE", "FS=MRC", "CURRENCY=USD", "XLFILL=b")</f>
        <v/>
      </c>
      <c r="T150" s="9" t="str">
        <f>_xll.BQL("CRM US Equity", "CURRENT_FUTURE_REV_UNDER_CONTRACT/1M", "FPR=2022Y", "FPT=A", "FA_ACT_EST_DATA=E, EST_SOURCE=JMP", "ACT_EST_MAPPING=PRECISE", "FS=MRC", "CURRENCY=USD", "XLFILL=b")</f>
        <v/>
      </c>
      <c r="U150" s="9" t="str">
        <f>_xll.BQL("CRM US Equity", "CURRENT_FUTURE_REV_UNDER_CONTRACT/1M", "FPR=2022Y", "FPT=A", "FA_ACT_EST_DATA=E, EST_SOURCE=RJA", "ACT_EST_MAPPING=PRECISE", "FS=MRC", "CURRENCY=USD", "XLFILL=b")</f>
        <v/>
      </c>
      <c r="V150" s="9" t="str">
        <f>_xll.BQL("CRM US Equity", "CURRENT_FUTURE_REV_UNDER_CONTRACT/1M", "FPR=2022Y", "FPT=A", "FA_ACT_EST_DATA=E, EST_SOURCE=OPY", "ACT_EST_MAPPING=PRECISE", "FS=MRC", "CURRENCY=USD", "XLFILL=b")</f>
        <v/>
      </c>
      <c r="W150" s="9" t="str">
        <f>_xll.BQL("CRM US Equity", "CURRENT_FUTURE_REV_UNDER_CONTRACT/1M", "FPR=2022Y", "FPT=A", "FA_ACT_EST_DATA=E, EST_SOURCE=JPM", "ACT_EST_MAPPING=PRECISE", "FS=MRC", "CURRENCY=USD", "XLFILL=b")</f>
        <v/>
      </c>
      <c r="X150" s="9">
        <f>_xll.BQL("CRM US Equity", "CURRENT_FUTURE_REV_UNDER_CONTRACT/1M", "FPR=2022Y", "FPT=A", "FA_ACT_EST_DATA=E, EST_SOURCE=FBC", "ACT_EST_MAPPING=PRECISE", "FS=MRC", "CURRENCY=USD", "XLFILL=b")</f>
        <v>22118</v>
      </c>
      <c r="Y150" s="9" t="str">
        <f>_xll.BQL("CRM US Equity", "CURRENT_FUTURE_REV_UNDER_CONTRACT/1M", "FPR=2022Y", "FPT=A", "FA_ACT_EST_DATA=E, EST_SOURCE=WMS", "ACT_EST_MAPPING=PRECISE", "FS=MRC", "CURRENCY=USD", "XLFILL=b")</f>
        <v/>
      </c>
      <c r="Z150" s="9">
        <f>_xll.BQL("CRM US Equity", "CURRENT_FUTURE_REV_UNDER_CONTRACT/1M", "FPR=2022Y", "FPT=A", "FA_ACT_EST_DATA=E, EST_SOURCE=KEY", "ACT_EST_MAPPING=PRECISE", "FS=MRC", "CURRENCY=USD", "XLFILL=b")</f>
        <v>21147.38</v>
      </c>
      <c r="AA150" s="9" t="str">
        <f>_xll.BQL("CRM US Equity", "CURRENT_FUTURE_REV_UNDER_CONTRACT/1M", "FPR=2022Y", "FPT=A", "FA_ACT_EST_DATA=E, EST_SOURCE=LCM", "ACT_EST_MAPPING=PRECISE", "FS=MRC", "CURRENCY=USD", "XLFILL=b")</f>
        <v/>
      </c>
      <c r="AB150" s="9" t="str">
        <f>_xll.BQL("CRM US Equity", "CURRENT_FUTURE_REV_UNDER_CONTRACT/1M", "FPR=2022Y", "FPT=A", "FA_ACT_EST_DATA=E, EST_SOURCE=CWN", "ACT_EST_MAPPING=PRECISE", "FS=MRC", "CURRENCY=USD", "XLFILL=b")</f>
        <v/>
      </c>
      <c r="AC150" s="9" t="str">
        <f>_xll.BQL("CRM US Equity", "CURRENT_FUTURE_REV_UNDER_CONTRACT/1M", "FPR=2022Y", "FPT=A", "FA_ACT_EST_DATA=E, EST_SOURCE=BNS", "ACT_EST_MAPPING=PRECISE", "FS=MRC", "CURRENCY=USD", "XLFILL=b")</f>
        <v/>
      </c>
      <c r="AD150" s="9" t="str">
        <f>_xll.BQL("CRM US Equity", "CURRENT_FUTURE_REV_UNDER_CONTRACT/1M", "FPR=2022Y", "FPT=A", "FA_ACT_EST_DATA=E, EST_SOURCE=BAM", "ACT_EST_MAPPING=PRECISE", "FS=MRC", "CURRENCY=USD", "XLFILL=b")</f>
        <v/>
      </c>
      <c r="AE150" s="9" t="str">
        <f>_xll.BQL("CRM US Equity", "CURRENT_FUTURE_REV_UNDER_CONTRACT/1M", "FPR=2022Y", "FPT=A", "FA_ACT_EST_DATA=E, EST_SOURCE=RBC", "ACT_EST_MAPPING=PRECISE", "FS=MRC", "CURRENCY=USD", "XLFILL=b")</f>
        <v/>
      </c>
      <c r="AF150" s="9" t="str">
        <f>_xll.BQL("CRM US Equity", "CURRENT_FUTURE_REV_UNDER_CONTRACT/1M", "FPR=2022Y", "FPT=A", "FA_ACT_EST_DATA=E, EST_SOURCE=UBS", "ACT_EST_MAPPING=PRECISE", "FS=MRC", "CURRENCY=USD", "XLFILL=b")</f>
        <v/>
      </c>
      <c r="AG150" s="9" t="str">
        <f>_xll.BQL("CRM US Equity", "CURRENT_FUTURE_REV_UNDER_CONTRACT/1M", "FPR=2022Y", "FPT=A", "FA_ACT_EST_DATA=E, EST_SOURCE=RHR", "ACT_EST_MAPPING=PRECISE", "FS=MRC", "CURRENCY=USD", "XLFILL=b")</f>
        <v/>
      </c>
      <c r="AH150" s="9" t="str">
        <f>_xll.BQL("CRM US Equity", "CURRENT_FUTURE_REV_UNDER_CONTRACT/1M", "FPR=2022Y", "FPT=A", "FA_ACT_EST_DATA=E, EST_SOURCE=JEF", "ACT_EST_MAPPING=PRECISE", "FS=MRC", "CURRENCY=USD", "XLFILL=b")</f>
        <v/>
      </c>
      <c r="AI150" s="9" t="str">
        <f>_xll.BQL("CRM US Equity", "CURRENT_FUTURE_REV_UNDER_CONTRACT/1M", "FPR=2022Y", "FPT=A", "FA_ACT_EST_DATA=E, EST_SOURCE=ATL", "ACT_EST_MAPPING=PRECISE", "FS=MRC", "CURRENCY=USD", "XLFILL=b")</f>
        <v/>
      </c>
      <c r="AJ150" s="9" t="str">
        <f>_xll.BQL("CRM US Equity", "CURRENT_FUTURE_REV_UNDER_CONTRACT/1M", "FPR=2022Y", "FPT=A", "FA_ACT_EST_DATA=E, EST_SOURCE=MAC", "ACT_EST_MAPPING=PRECISE", "FS=MRC", "CURRENCY=USD", "XLFILL=b")</f>
        <v/>
      </c>
      <c r="AK150" s="9" t="str">
        <f>_xll.BQL("CRM US Equity", "CURRENT_FUTURE_REV_UNDER_CONTRACT/1M", "FPR=2022Y", "FPT=A", "FA_ACT_EST_DATA=E, EST_SOURCE=EVR", "ACT_EST_MAPPING=PRECISE", "FS=MRC", "CURRENCY=USD", "XLFILL=b")</f>
        <v/>
      </c>
      <c r="AL150" s="9" t="str">
        <f>_xll.BQL("CRM US Equity", "CURRENT_FUTURE_REV_UNDER_CONTRACT/1M", "FPR=2022Y", "FPT=A", "FA_ACT_EST_DATA=E, EST_SOURCE=MSR", "ACT_EST_MAPPING=PRECISE", "FS=MRC", "CURRENCY=USD", "XLFILL=b")</f>
        <v/>
      </c>
      <c r="AM150" s="9" t="str">
        <f>_xll.BQL("CRM US Equity", "CURRENT_FUTURE_REV_UNDER_CONTRACT/1M", "FPR=2022Y", "FPT=A", "FA_ACT_EST_DATA=E, EST_SOURCE=KGI", "ACT_EST_MAPPING=PRECISE", "FS=MRC", "CURRENCY=USD", "XLFILL=b")</f>
        <v/>
      </c>
      <c r="AN150" s="9" t="str">
        <f>_xll.BQL("CRM US Equity", "CURRENT_FUTURE_REV_UNDER_CONTRACT/1M", "FPR=2022Y", "FPT=A", "FA_ACT_EST_DATA=E, EST_SOURCE=ACC", "ACT_EST_MAPPING=PRECISE", "FS=MRC", "CURRENCY=USD", "XLFILL=b")</f>
        <v/>
      </c>
      <c r="AO150" s="9" t="str">
        <f>_xll.BQL("CRM US Equity", "CURRENT_FUTURE_REV_UNDER_CONTRACT/1M", "FPR=2022Y", "FPT=A", "FA_ACT_EST_DATA=E, EST_SOURCE=GSR", "ACT_EST_MAPPING=PRECISE", "FS=MRC", "CURRENCY=USD", "XLFILL=b")</f>
        <v/>
      </c>
      <c r="AP150" s="9" t="str">
        <f>_xll.BQL("CRM US Equity", "CURRENT_FUTURE_REV_UNDER_CONTRACT/1M", "FPR=2022Y", "FPT=A", "FA_ACT_EST_DATA=E, EST_SOURCE=PSG", "ACT_EST_MAPPING=PRECISE", "FS=MRC", "CURRENCY=USD", "XLFILL=b")</f>
        <v/>
      </c>
      <c r="AQ150" s="9" t="str">
        <f>_xll.BQL("CRM US Equity", "CURRENT_FUTURE_REV_UNDER_CONTRACT/1M", "FPR=2022Y", "FPT=A", "FA_ACT_EST_DATA=E, EST_SOURCE=DWI", "ACT_EST_MAPPING=PRECISE", "FS=MRC", "CURRENCY=USD", "XLFILL=b")</f>
        <v/>
      </c>
      <c r="AR150" s="9" t="str">
        <f>_xll.BQL("CRM US Equity", "CURRENT_FUTURE_REV_UNDER_CONTRACT/1M", "FPR=2022Y", "FPT=A", "FA_ACT_EST_DATA=E, EST_SOURCE=RWB", "ACT_EST_MAPPING=PRECISE", "FS=MRC", "CURRENCY=USD", "XLFILL=b")</f>
        <v/>
      </c>
      <c r="AS150" s="9" t="str">
        <f>_xll.BQL("CRM US Equity", "CURRENT_FUTURE_REV_UNDER_CONTRACT/1M", "FPR=2022Y", "FPT=A", "FA_ACT_EST_DATA=E, EST_SOURCE=ARG", "ACT_EST_MAPPING=PRECISE", "FS=MRC", "CURRENCY=USD", "XLFILL=b")</f>
        <v/>
      </c>
      <c r="AT150" s="9" t="str">
        <f>_xll.BQL("CRM US Equity", "CURRENT_FUTURE_REV_UNDER_CONTRACT/1M", "FPR=2022Y", "FPT=A", "FA_ACT_EST_DATA=E, EST_SOURCE=CTI", "ACT_EST_MAPPING=PRECISE", "FS=MRC", "CURRENCY=USD", "XLFILL=b")</f>
        <v/>
      </c>
      <c r="AU150" s="9" t="str">
        <f>_xll.BQL("CRM US Equity", "CURRENT_FUTURE_REV_UNDER_CONTRACT/1M", "FPR=2022Y", "FPT=A", "FA_ACT_EST_DATA=E, EST_SOURCE=WFT", "ACT_EST_MAPPING=PRECISE", "FS=MRC", "CURRENCY=USD", "XLFILL=b")</f>
        <v/>
      </c>
      <c r="AV150" s="9" t="str">
        <f>_xll.BQL("CRM US Equity", "CURRENT_FUTURE_REV_UNDER_CONTRACT/1M", "FPR=2022Y", "FPT=A", "FA_ACT_EST_DATA=E, EST_SOURCE=PJE", "ACT_EST_MAPPING=PRECISE", "FS=MRC", "CURRENCY=USD", "XLFILL=b")</f>
        <v/>
      </c>
      <c r="AW150" s="9" t="str">
        <f>_xll.BQL("CRM US Equity", "CURRENT_FUTURE_REV_UNDER_CONTRACT/1M", "FPR=2022Y", "FPT=A", "FA_ACT_EST_DATA=E, EST_SOURCE=SGE", "ACT_EST_MAPPING=PRECISE", "FS=MRC", "CURRENCY=USD", "XLFILL=b")</f>
        <v/>
      </c>
      <c r="AX150" s="9" t="str">
        <f>_xll.BQL("CRM US Equity", "CURRENT_FUTURE_REV_UNDER_CONTRACT/1M", "FPR=2022Y", "FPT=A", "FA_ACT_EST_DATA=E, EST_SOURCE=MZS", "ACT_EST_MAPPING=PRECISE", "FS=MRC", "CURRENCY=USD", "XLFILL=b")</f>
        <v/>
      </c>
      <c r="AY150" s="9" t="str">
        <f>_xll.BQL("CRM US Equity", "CURRENT_FUTURE_REV_UNDER_CONTRACT/1M", "FPR=2022Y", "FPT=A", "FA_ACT_EST_DATA=E, EST_SOURCE=RCP", "ACT_EST_MAPPING=PRECISE", "FS=MRC", "CURRENCY=USD", "XLFILL=b")</f>
        <v/>
      </c>
      <c r="AZ150" s="9" t="str">
        <f>_xll.BQL("CRM US Equity", "CURRENT_FUTURE_REV_UNDER_CONTRACT/1M", "FPR=2022Y", "FPT=A", "FA_ACT_EST_DATA=E, EST_SOURCE=WFR", "ACT_EST_MAPPING=PRECISE", "FS=MRC", "CURRENCY=USD", "XLFILL=b")</f>
        <v/>
      </c>
      <c r="BA150" s="9" t="str">
        <f>_xll.BQL("CRM US Equity", "CURRENT_FUTURE_REV_UNDER_CONTRACT/1M", "FPR=2022Y", "FPT=A", "FA_ACT_EST_DATA=E, EST_SOURCE=NIK", "ACT_EST_MAPPING=PRECISE", "FS=MRC", "CURRENCY=USD", "XLFILL=b")</f>
        <v/>
      </c>
      <c r="BB150" s="9" t="str">
        <f>_xll.BQL("CRM US Equity", "CURRENT_FUTURE_REV_UNDER_CONTRACT/1M", "FPR=2022Y", "FPT=A", "FA_ACT_EST_DATA=E, EST_SOURCE=ARE", "ACT_EST_MAPPING=PRECISE", "FS=MRC", "CURRENCY=USD", "XLFILL=b")</f>
        <v/>
      </c>
      <c r="BC150" s="9" t="str">
        <f>_xll.BQL("CRM US Equity", "CURRENT_FUTURE_REV_UNDER_CONTRACT/1M", "FPR=2022Y", "FPT=A", "FA_ACT_EST_DATA=E, EST_SOURCE=RED", "ACT_EST_MAPPING=PRECISE", "FS=MRC", "CURRENCY=USD", "XLFILL=b")</f>
        <v/>
      </c>
      <c r="BD150" s="9" t="str">
        <f>_xll.BQL("CRM US Equity", "CURRENT_FUTURE_REV_UNDER_CONTRACT/1M", "FPR=2022Y", "FPT=A", "FA_ACT_EST_DATA=E, EST_SOURCE=DIR", "ACT_EST_MAPPING=PRECISE", "FS=MRC", "CURRENCY=USD", "XLFILL=b")</f>
        <v/>
      </c>
    </row>
    <row r="151" spans="1:56" x14ac:dyDescent="0.55000000000000004">
      <c r="A151" s="8" t="s">
        <v>294</v>
      </c>
      <c r="B151" s="5" t="s">
        <v>38</v>
      </c>
      <c r="C151" s="5" t="s">
        <v>295</v>
      </c>
      <c r="D151" s="5"/>
      <c r="E151" s="9">
        <f>_xll.BQL("CRM US Equity", "NON_CURRENT_FUTURE_REV_UNDER_CONTRACT/1M", "FPR=2022Y", "FPT=A", "FA_ACT_EST_DATA=E", "ACT_EST_MAPPING=PRECISE", "FS=MRC", "CURRENCY=USD", "XLFILL=b")</f>
        <v>21026.666666666679</v>
      </c>
      <c r="F151" s="9">
        <f>_xll.BQL("CRM US Equity", "CONTRIBUTOR_STATS(NON_CURRENT_FUTURE_REV_UNDER_CONTRACT, MIN)/1M", "FPR=2022Y", "FPT=A", "FA_ACT_EST_DATA=E", "ACT_EST_MAPPING=PRECISE", "FS=MRC", "CURRENCY=USD", "XLFILL=b")</f>
        <v>21000</v>
      </c>
      <c r="G151" s="9">
        <f>_xll.BQL("CRM US Equity", "CONTRIBUTOR_STATS(NON_CURRENT_FUTURE_REV_UNDER_CONTRACT, MAX)/1M", "FPR=2022Y", "FPT=A", "FA_ACT_EST_DATA=E", "ACT_EST_MAPPING=PRECISE", "FS=MRC", "CURRENCY=USD", "XLFILL=b")</f>
        <v>21080.000000000051</v>
      </c>
      <c r="H151" s="9">
        <f>_xll.BQL("CRM US Equity", "CONTRIBUTOR_STATS(NON_CURRENT_FUTURE_REV_UNDER_CONTRACT, STD)/1M", "FPR=2022Y", "FPT=A", "FA_ACT_EST_DATA=E", "ACT_EST_MAPPING=PRECISE", "FS=MRC", "CURRENCY=USD", "XLFILL=b")</f>
        <v>46.188021535200889</v>
      </c>
      <c r="I151" s="9">
        <f>_xll.BQL("CRM US Equity", "CONTRIBUTOR_STATS(NON_CURRENT_FUTURE_REV_UNDER_CONTRACT, MEDIAN)/1M", "FPR=2022Y", "FPT=A", "FA_ACT_EST_DATA=E", "ACT_EST_MAPPING=PRECISE", "FS=MRC", "CURRENCY=USD", "XLFILL=b")</f>
        <v>21000</v>
      </c>
      <c r="J151" s="9" t="str">
        <f>_xll.BQL("CRM US Equity", "NON_CURRENT_FUTURE_REV_UNDER_CONTRACT/1M", "FPR=2022Y", "FPT=A", "FA_ACT_EST_DATA=E, EST_SOURCE=CMPY", "ACT_EST_MAPPING=PRECISE", "FS=MRC", "CURRENCY=USD", "XLFILL=b")</f>
        <v/>
      </c>
      <c r="K151" s="9" t="str">
        <f>_xll.BQL("CRM US Equity", "NON_CURRENT_FUTURE_REV_UNDER_CONTRACT/1M", "FPR=2022Y", "FPT=A", "FA_ACT_EST_DATA=E, EST_SOURCE=WBL", "ACT_EST_MAPPING=PRECISE", "FS=MRC", "CURRENCY=USD", "XLFILL=b")</f>
        <v/>
      </c>
      <c r="L151" s="9" t="str">
        <f>_xll.BQL("CRM US Equity", "NON_CURRENT_FUTURE_REV_UNDER_CONTRACT/1M", "FPR=2022Y", "FPT=A", "FA_ACT_EST_DATA=E, EST_SOURCE=BMO", "ACT_EST_MAPPING=PRECISE", "FS=MRC", "CURRENCY=USD", "XLFILL=b")</f>
        <v/>
      </c>
      <c r="M151" s="9" t="str">
        <f>_xll.BQL("CRM US Equity", "NON_CURRENT_FUTURE_REV_UNDER_CONTRACT/1M", "FPR=2022Y", "FPT=A", "FA_ACT_EST_DATA=E, EST_SOURCE=BCA", "ACT_EST_MAPPING=PRECISE", "FS=MRC", "CURRENCY=USD", "XLFILL=b")</f>
        <v/>
      </c>
      <c r="N151" s="9" t="str">
        <f>_xll.BQL("CRM US Equity", "NON_CURRENT_FUTURE_REV_UNDER_CONTRACT/1M", "FPR=2022Y", "FPT=A", "FA_ACT_EST_DATA=E, EST_SOURCE=SNR", "ACT_EST_MAPPING=PRECISE", "FS=MRC", "CURRENCY=USD", "XLFILL=b")</f>
        <v/>
      </c>
      <c r="O151" s="9" t="str">
        <f>_xll.BQL("CRM US Equity", "NON_CURRENT_FUTURE_REV_UNDER_CONTRACT/1M", "FPR=2022Y", "FPT=A", "FA_ACT_EST_DATA=E, EST_SOURCE=MSV", "ACT_EST_MAPPING=PRECISE", "FS=MRC", "CURRENCY=USD", "XLFILL=b")</f>
        <v/>
      </c>
      <c r="P151" s="9" t="str">
        <f>_xll.BQL("CRM US Equity", "NON_CURRENT_FUTURE_REV_UNDER_CONTRACT/1M", "FPR=2022Y", "FPT=A", "FA_ACT_EST_DATA=E, EST_SOURCE=DBG", "ACT_EST_MAPPING=PRECISE", "FS=MRC", "CURRENCY=USD", "XLFILL=b")</f>
        <v/>
      </c>
      <c r="Q151" s="9" t="str">
        <f>_xll.BQL("CRM US Equity", "NON_CURRENT_FUTURE_REV_UNDER_CONTRACT/1M", "FPR=2022Y", "FPT=A", "FA_ACT_EST_DATA=E, EST_SOURCE=NDH", "ACT_EST_MAPPING=PRECISE", "FS=MRC", "CURRENCY=USD", "XLFILL=b")</f>
        <v/>
      </c>
      <c r="R151" s="9" t="str">
        <f>_xll.BQL("CRM US Equity", "NON_CURRENT_FUTURE_REV_UNDER_CONTRACT/1M", "FPR=2022Y", "FPT=A", "FA_ACT_EST_DATA=E, EST_SOURCE=CAN", "ACT_EST_MAPPING=PRECISE", "FS=MRC", "CURRENCY=USD", "XLFILL=b")</f>
        <v/>
      </c>
      <c r="S151" s="9" t="str">
        <f>_xll.BQL("CRM US Equity", "NON_CURRENT_FUTURE_REV_UNDER_CONTRACT/1M", "FPR=2022Y", "FPT=A", "FA_ACT_EST_DATA=E, EST_SOURCE=SCB", "ACT_EST_MAPPING=PRECISE", "FS=MRC", "CURRENCY=USD", "XLFILL=b")</f>
        <v/>
      </c>
      <c r="T151" s="9" t="str">
        <f>_xll.BQL("CRM US Equity", "NON_CURRENT_FUTURE_REV_UNDER_CONTRACT/1M", "FPR=2022Y", "FPT=A", "FA_ACT_EST_DATA=E, EST_SOURCE=JMP", "ACT_EST_MAPPING=PRECISE", "FS=MRC", "CURRENCY=USD", "XLFILL=b")</f>
        <v/>
      </c>
      <c r="U151" s="9" t="str">
        <f>_xll.BQL("CRM US Equity", "NON_CURRENT_FUTURE_REV_UNDER_CONTRACT/1M", "FPR=2022Y", "FPT=A", "FA_ACT_EST_DATA=E, EST_SOURCE=RJA", "ACT_EST_MAPPING=PRECISE", "FS=MRC", "CURRENCY=USD", "XLFILL=b")</f>
        <v/>
      </c>
      <c r="V151" s="9" t="str">
        <f>_xll.BQL("CRM US Equity", "NON_CURRENT_FUTURE_REV_UNDER_CONTRACT/1M", "FPR=2022Y", "FPT=A", "FA_ACT_EST_DATA=E, EST_SOURCE=OPY", "ACT_EST_MAPPING=PRECISE", "FS=MRC", "CURRENCY=USD", "XLFILL=b")</f>
        <v/>
      </c>
      <c r="W151" s="9" t="str">
        <f>_xll.BQL("CRM US Equity", "NON_CURRENT_FUTURE_REV_UNDER_CONTRACT/1M", "FPR=2022Y", "FPT=A", "FA_ACT_EST_DATA=E, EST_SOURCE=JPM", "ACT_EST_MAPPING=PRECISE", "FS=MRC", "CURRENCY=USD", "XLFILL=b")</f>
        <v/>
      </c>
      <c r="X151" s="9" t="str">
        <f>_xll.BQL("CRM US Equity", "NON_CURRENT_FUTURE_REV_UNDER_CONTRACT/1M", "FPR=2022Y", "FPT=A", "FA_ACT_EST_DATA=E, EST_SOURCE=FBC", "ACT_EST_MAPPING=PRECISE", "FS=MRC", "CURRENCY=USD", "XLFILL=b")</f>
        <v/>
      </c>
      <c r="Y151" s="9" t="str">
        <f>_xll.BQL("CRM US Equity", "NON_CURRENT_FUTURE_REV_UNDER_CONTRACT/1M", "FPR=2022Y", "FPT=A", "FA_ACT_EST_DATA=E, EST_SOURCE=WMS", "ACT_EST_MAPPING=PRECISE", "FS=MRC", "CURRENCY=USD", "XLFILL=b")</f>
        <v/>
      </c>
      <c r="Z151" s="9" t="str">
        <f>_xll.BQL("CRM US Equity", "NON_CURRENT_FUTURE_REV_UNDER_CONTRACT/1M", "FPR=2022Y", "FPT=A", "FA_ACT_EST_DATA=E, EST_SOURCE=KEY", "ACT_EST_MAPPING=PRECISE", "FS=MRC", "CURRENCY=USD", "XLFILL=b")</f>
        <v/>
      </c>
      <c r="AA151" s="9" t="str">
        <f>_xll.BQL("CRM US Equity", "NON_CURRENT_FUTURE_REV_UNDER_CONTRACT/1M", "FPR=2022Y", "FPT=A", "FA_ACT_EST_DATA=E, EST_SOURCE=LCM", "ACT_EST_MAPPING=PRECISE", "FS=MRC", "CURRENCY=USD", "XLFILL=b")</f>
        <v/>
      </c>
      <c r="AB151" s="9" t="str">
        <f>_xll.BQL("CRM US Equity", "NON_CURRENT_FUTURE_REV_UNDER_CONTRACT/1M", "FPR=2022Y", "FPT=A", "FA_ACT_EST_DATA=E, EST_SOURCE=CWN", "ACT_EST_MAPPING=PRECISE", "FS=MRC", "CURRENCY=USD", "XLFILL=b")</f>
        <v/>
      </c>
      <c r="AC151" s="9" t="str">
        <f>_xll.BQL("CRM US Equity", "NON_CURRENT_FUTURE_REV_UNDER_CONTRACT/1M", "FPR=2022Y", "FPT=A", "FA_ACT_EST_DATA=E, EST_SOURCE=BNS", "ACT_EST_MAPPING=PRECISE", "FS=MRC", "CURRENCY=USD", "XLFILL=b")</f>
        <v/>
      </c>
      <c r="AD151" s="9" t="str">
        <f>_xll.BQL("CRM US Equity", "NON_CURRENT_FUTURE_REV_UNDER_CONTRACT/1M", "FPR=2022Y", "FPT=A", "FA_ACT_EST_DATA=E, EST_SOURCE=BAM", "ACT_EST_MAPPING=PRECISE", "FS=MRC", "CURRENCY=USD", "XLFILL=b")</f>
        <v/>
      </c>
      <c r="AE151" s="9" t="str">
        <f>_xll.BQL("CRM US Equity", "NON_CURRENT_FUTURE_REV_UNDER_CONTRACT/1M", "FPR=2022Y", "FPT=A", "FA_ACT_EST_DATA=E, EST_SOURCE=RBC", "ACT_EST_MAPPING=PRECISE", "FS=MRC", "CURRENCY=USD", "XLFILL=b")</f>
        <v/>
      </c>
      <c r="AF151" s="9" t="str">
        <f>_xll.BQL("CRM US Equity", "NON_CURRENT_FUTURE_REV_UNDER_CONTRACT/1M", "FPR=2022Y", "FPT=A", "FA_ACT_EST_DATA=E, EST_SOURCE=UBS", "ACT_EST_MAPPING=PRECISE", "FS=MRC", "CURRENCY=USD", "XLFILL=b")</f>
        <v/>
      </c>
      <c r="AG151" s="9" t="str">
        <f>_xll.BQL("CRM US Equity", "NON_CURRENT_FUTURE_REV_UNDER_CONTRACT/1M", "FPR=2022Y", "FPT=A", "FA_ACT_EST_DATA=E, EST_SOURCE=RHR", "ACT_EST_MAPPING=PRECISE", "FS=MRC", "CURRENCY=USD", "XLFILL=b")</f>
        <v/>
      </c>
      <c r="AH151" s="9" t="str">
        <f>_xll.BQL("CRM US Equity", "NON_CURRENT_FUTURE_REV_UNDER_CONTRACT/1M", "FPR=2022Y", "FPT=A", "FA_ACT_EST_DATA=E, EST_SOURCE=JEF", "ACT_EST_MAPPING=PRECISE", "FS=MRC", "CURRENCY=USD", "XLFILL=b")</f>
        <v/>
      </c>
      <c r="AI151" s="9" t="str">
        <f>_xll.BQL("CRM US Equity", "NON_CURRENT_FUTURE_REV_UNDER_CONTRACT/1M", "FPR=2022Y", "FPT=A", "FA_ACT_EST_DATA=E, EST_SOURCE=ATL", "ACT_EST_MAPPING=PRECISE", "FS=MRC", "CURRENCY=USD", "XLFILL=b")</f>
        <v/>
      </c>
      <c r="AJ151" s="9" t="str">
        <f>_xll.BQL("CRM US Equity", "NON_CURRENT_FUTURE_REV_UNDER_CONTRACT/1M", "FPR=2022Y", "FPT=A", "FA_ACT_EST_DATA=E, EST_SOURCE=MAC", "ACT_EST_MAPPING=PRECISE", "FS=MRC", "CURRENCY=USD", "XLFILL=b")</f>
        <v/>
      </c>
      <c r="AK151" s="9" t="str">
        <f>_xll.BQL("CRM US Equity", "NON_CURRENT_FUTURE_REV_UNDER_CONTRACT/1M", "FPR=2022Y", "FPT=A", "FA_ACT_EST_DATA=E, EST_SOURCE=EVR", "ACT_EST_MAPPING=PRECISE", "FS=MRC", "CURRENCY=USD", "XLFILL=b")</f>
        <v/>
      </c>
      <c r="AL151" s="9" t="str">
        <f>_xll.BQL("CRM US Equity", "NON_CURRENT_FUTURE_REV_UNDER_CONTRACT/1M", "FPR=2022Y", "FPT=A", "FA_ACT_EST_DATA=E, EST_SOURCE=MSR", "ACT_EST_MAPPING=PRECISE", "FS=MRC", "CURRENCY=USD", "XLFILL=b")</f>
        <v/>
      </c>
      <c r="AM151" s="9" t="str">
        <f>_xll.BQL("CRM US Equity", "NON_CURRENT_FUTURE_REV_UNDER_CONTRACT/1M", "FPR=2022Y", "FPT=A", "FA_ACT_EST_DATA=E, EST_SOURCE=KGI", "ACT_EST_MAPPING=PRECISE", "FS=MRC", "CURRENCY=USD", "XLFILL=b")</f>
        <v/>
      </c>
      <c r="AN151" s="9" t="str">
        <f>_xll.BQL("CRM US Equity", "NON_CURRENT_FUTURE_REV_UNDER_CONTRACT/1M", "FPR=2022Y", "FPT=A", "FA_ACT_EST_DATA=E, EST_SOURCE=ACC", "ACT_EST_MAPPING=PRECISE", "FS=MRC", "CURRENCY=USD", "XLFILL=b")</f>
        <v/>
      </c>
      <c r="AO151" s="9" t="str">
        <f>_xll.BQL("CRM US Equity", "NON_CURRENT_FUTURE_REV_UNDER_CONTRACT/1M", "FPR=2022Y", "FPT=A", "FA_ACT_EST_DATA=E, EST_SOURCE=GSR", "ACT_EST_MAPPING=PRECISE", "FS=MRC", "CURRENCY=USD", "XLFILL=b")</f>
        <v/>
      </c>
      <c r="AP151" s="9" t="str">
        <f>_xll.BQL("CRM US Equity", "NON_CURRENT_FUTURE_REV_UNDER_CONTRACT/1M", "FPR=2022Y", "FPT=A", "FA_ACT_EST_DATA=E, EST_SOURCE=PSG", "ACT_EST_MAPPING=PRECISE", "FS=MRC", "CURRENCY=USD", "XLFILL=b")</f>
        <v/>
      </c>
      <c r="AQ151" s="9" t="str">
        <f>_xll.BQL("CRM US Equity", "NON_CURRENT_FUTURE_REV_UNDER_CONTRACT/1M", "FPR=2022Y", "FPT=A", "FA_ACT_EST_DATA=E, EST_SOURCE=DWI", "ACT_EST_MAPPING=PRECISE", "FS=MRC", "CURRENCY=USD", "XLFILL=b")</f>
        <v/>
      </c>
      <c r="AR151" s="9" t="str">
        <f>_xll.BQL("CRM US Equity", "NON_CURRENT_FUTURE_REV_UNDER_CONTRACT/1M", "FPR=2022Y", "FPT=A", "FA_ACT_EST_DATA=E, EST_SOURCE=RWB", "ACT_EST_MAPPING=PRECISE", "FS=MRC", "CURRENCY=USD", "XLFILL=b")</f>
        <v/>
      </c>
      <c r="AS151" s="9" t="str">
        <f>_xll.BQL("CRM US Equity", "NON_CURRENT_FUTURE_REV_UNDER_CONTRACT/1M", "FPR=2022Y", "FPT=A", "FA_ACT_EST_DATA=E, EST_SOURCE=ARG", "ACT_EST_MAPPING=PRECISE", "FS=MRC", "CURRENCY=USD", "XLFILL=b")</f>
        <v/>
      </c>
      <c r="AT151" s="9" t="str">
        <f>_xll.BQL("CRM US Equity", "NON_CURRENT_FUTURE_REV_UNDER_CONTRACT/1M", "FPR=2022Y", "FPT=A", "FA_ACT_EST_DATA=E, EST_SOURCE=CTI", "ACT_EST_MAPPING=PRECISE", "FS=MRC", "CURRENCY=USD", "XLFILL=b")</f>
        <v/>
      </c>
      <c r="AU151" s="9" t="str">
        <f>_xll.BQL("CRM US Equity", "NON_CURRENT_FUTURE_REV_UNDER_CONTRACT/1M", "FPR=2022Y", "FPT=A", "FA_ACT_EST_DATA=E, EST_SOURCE=WFT", "ACT_EST_MAPPING=PRECISE", "FS=MRC", "CURRENCY=USD", "XLFILL=b")</f>
        <v/>
      </c>
      <c r="AV151" s="9" t="str">
        <f>_xll.BQL("CRM US Equity", "NON_CURRENT_FUTURE_REV_UNDER_CONTRACT/1M", "FPR=2022Y", "FPT=A", "FA_ACT_EST_DATA=E, EST_SOURCE=PJE", "ACT_EST_MAPPING=PRECISE", "FS=MRC", "CURRENCY=USD", "XLFILL=b")</f>
        <v/>
      </c>
      <c r="AW151" s="9" t="str">
        <f>_xll.BQL("CRM US Equity", "NON_CURRENT_FUTURE_REV_UNDER_CONTRACT/1M", "FPR=2022Y", "FPT=A", "FA_ACT_EST_DATA=E, EST_SOURCE=SGE", "ACT_EST_MAPPING=PRECISE", "FS=MRC", "CURRENCY=USD", "XLFILL=b")</f>
        <v/>
      </c>
      <c r="AX151" s="9" t="str">
        <f>_xll.BQL("CRM US Equity", "NON_CURRENT_FUTURE_REV_UNDER_CONTRACT/1M", "FPR=2022Y", "FPT=A", "FA_ACT_EST_DATA=E, EST_SOURCE=MZS", "ACT_EST_MAPPING=PRECISE", "FS=MRC", "CURRENCY=USD", "XLFILL=b")</f>
        <v/>
      </c>
      <c r="AY151" s="9" t="str">
        <f>_xll.BQL("CRM US Equity", "NON_CURRENT_FUTURE_REV_UNDER_CONTRACT/1M", "FPR=2022Y", "FPT=A", "FA_ACT_EST_DATA=E, EST_SOURCE=RCP", "ACT_EST_MAPPING=PRECISE", "FS=MRC", "CURRENCY=USD", "XLFILL=b")</f>
        <v/>
      </c>
      <c r="AZ151" s="9" t="str">
        <f>_xll.BQL("CRM US Equity", "NON_CURRENT_FUTURE_REV_UNDER_CONTRACT/1M", "FPR=2022Y", "FPT=A", "FA_ACT_EST_DATA=E, EST_SOURCE=WFR", "ACT_EST_MAPPING=PRECISE", "FS=MRC", "CURRENCY=USD", "XLFILL=b")</f>
        <v/>
      </c>
      <c r="BA151" s="9" t="str">
        <f>_xll.BQL("CRM US Equity", "NON_CURRENT_FUTURE_REV_UNDER_CONTRACT/1M", "FPR=2022Y", "FPT=A", "FA_ACT_EST_DATA=E, EST_SOURCE=NIK", "ACT_EST_MAPPING=PRECISE", "FS=MRC", "CURRENCY=USD", "XLFILL=b")</f>
        <v/>
      </c>
      <c r="BB151" s="9" t="str">
        <f>_xll.BQL("CRM US Equity", "NON_CURRENT_FUTURE_REV_UNDER_CONTRACT/1M", "FPR=2022Y", "FPT=A", "FA_ACT_EST_DATA=E, EST_SOURCE=ARE", "ACT_EST_MAPPING=PRECISE", "FS=MRC", "CURRENCY=USD", "XLFILL=b")</f>
        <v/>
      </c>
      <c r="BC151" s="9" t="str">
        <f>_xll.BQL("CRM US Equity", "NON_CURRENT_FUTURE_REV_UNDER_CONTRACT/1M", "FPR=2022Y", "FPT=A", "FA_ACT_EST_DATA=E, EST_SOURCE=RED", "ACT_EST_MAPPING=PRECISE", "FS=MRC", "CURRENCY=USD", "XLFILL=b")</f>
        <v/>
      </c>
      <c r="BD151" s="9" t="str">
        <f>_xll.BQL("CRM US Equity", "NON_CURRENT_FUTURE_REV_UNDER_CONTRACT/1M", "FPR=2022Y", "FPT=A", "FA_ACT_EST_DATA=E, EST_SOURCE=DIR", "ACT_EST_MAPPING=PRECISE", "FS=MRC", "CURRENCY=USD", "XLFILL=b")</f>
        <v/>
      </c>
    </row>
    <row r="152" spans="1:56" x14ac:dyDescent="0.55000000000000004">
      <c r="A152" s="8" t="s">
        <v>26</v>
      </c>
      <c r="B152" s="5"/>
      <c r="C152" s="5"/>
      <c r="D152" s="5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</row>
    <row r="153" spans="1:56" x14ac:dyDescent="0.55000000000000004">
      <c r="A153" s="8" t="s">
        <v>296</v>
      </c>
      <c r="B153" s="5"/>
      <c r="C153" s="5" t="s">
        <v>297</v>
      </c>
      <c r="D153" s="5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</row>
    <row r="154" spans="1:56" x14ac:dyDescent="0.55000000000000004">
      <c r="A154" s="8" t="s">
        <v>298</v>
      </c>
      <c r="B154" s="5"/>
      <c r="C154" s="5" t="s">
        <v>299</v>
      </c>
      <c r="D154" s="5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</row>
    <row r="155" spans="1:56" x14ac:dyDescent="0.55000000000000004">
      <c r="A155" s="8" t="s">
        <v>159</v>
      </c>
      <c r="B155" s="5" t="s">
        <v>160</v>
      </c>
      <c r="C155" s="5" t="s">
        <v>120</v>
      </c>
      <c r="D155" s="5"/>
      <c r="E155" s="9">
        <f>_xll.BQL("CRM US Equity", "IS_COMP_NET_INCOME_GAAP/1M", "FPR=2022Y", "FPT=A", "FA_ACT_EST_DATA=E", "ACT_EST_MAPPING=PRECISE", "FS=MRC", "CURRENCY=USD", "XLFILL=b")</f>
        <v>1160.3103448275858</v>
      </c>
      <c r="F155" s="9">
        <f>_xll.BQL("CRM US Equity", "CONTRIBUTOR_STATS(IS_COMP_NET_INCOME_GAAP, MIN)/1M", "FPR=2022Y", "FPT=A", "FA_ACT_EST_DATA=E", "ACT_EST_MAPPING=PRECISE", "FS=MRC", "CURRENCY=USD", "XLFILL=b")</f>
        <v>810</v>
      </c>
      <c r="G155" s="9">
        <f>_xll.BQL("CRM US Equity", "CONTRIBUTOR_STATS(IS_COMP_NET_INCOME_GAAP, MAX)/1M", "FPR=2022Y", "FPT=A", "FA_ACT_EST_DATA=E", "ACT_EST_MAPPING=PRECISE", "FS=MRC", "CURRENCY=USD", "XLFILL=b")</f>
        <v>1343</v>
      </c>
      <c r="H155" s="9">
        <f>_xll.BQL("CRM US Equity", "CONTRIBUTOR_STATS(IS_COMP_NET_INCOME_GAAP, STD)/1M", "FPR=2022Y", "FPT=A", "FA_ACT_EST_DATA=E", "ACT_EST_MAPPING=PRECISE", "FS=MRC", "CURRENCY=USD", "XLFILL=b")</f>
        <v>165.05196226129939</v>
      </c>
      <c r="I155" s="9">
        <f>_xll.BQL("CRM US Equity", "CONTRIBUTOR_STATS(IS_COMP_NET_INCOME_GAAP, MEDIAN)/1M", "FPR=2022Y", "FPT=A", "FA_ACT_EST_DATA=E", "ACT_EST_MAPPING=PRECISE", "FS=MRC", "CURRENCY=USD", "XLFILL=b")</f>
        <v>1237</v>
      </c>
      <c r="J155" s="9" t="str">
        <f>_xll.BQL("CRM US Equity", "IS_COMP_NET_INCOME_GAAP/1M", "FPR=2022Y", "FPT=A", "FA_ACT_EST_DATA=E, EST_SOURCE=CMPY", "ACT_EST_MAPPING=PRECISE", "FS=MRC", "CURRENCY=USD", "XLFILL=b")</f>
        <v/>
      </c>
      <c r="K155" s="9">
        <f>_xll.BQL("CRM US Equity", "IS_COMP_NET_INCOME_GAAP/1M", "FPR=2022Y", "FPT=A", "FA_ACT_EST_DATA=E, EST_SOURCE=WBL", "ACT_EST_MAPPING=PRECISE", "FS=MRC", "CURRENCY=USD", "XLFILL=b")</f>
        <v>1235</v>
      </c>
      <c r="L155" s="9">
        <f>_xll.BQL("CRM US Equity", "IS_COMP_NET_INCOME_GAAP/1M", "FPR=2022Y", "FPT=A", "FA_ACT_EST_DATA=E, EST_SOURCE=BMO", "ACT_EST_MAPPING=PRECISE", "FS=MRC", "CURRENCY=USD", "XLFILL=b")</f>
        <v>1226</v>
      </c>
      <c r="M155" s="9">
        <f>_xll.BQL("CRM US Equity", "IS_COMP_NET_INCOME_GAAP/1M", "FPR=2022Y", "FPT=A", "FA_ACT_EST_DATA=E, EST_SOURCE=BCA", "ACT_EST_MAPPING=PRECISE", "FS=MRC", "CURRENCY=USD", "XLFILL=b")</f>
        <v>1242</v>
      </c>
      <c r="N155" s="9">
        <f>_xll.BQL("CRM US Equity", "IS_COMP_NET_INCOME_GAAP/1M", "FPR=2022Y", "FPT=A", "FA_ACT_EST_DATA=E, EST_SOURCE=SNR", "ACT_EST_MAPPING=PRECISE", "FS=MRC", "CURRENCY=USD", "XLFILL=b")</f>
        <v>1242</v>
      </c>
      <c r="O155" s="9">
        <f>_xll.BQL("CRM US Equity", "IS_COMP_NET_INCOME_GAAP/1M", "FPR=2022Y", "FPT=A", "FA_ACT_EST_DATA=E, EST_SOURCE=MSV", "ACT_EST_MAPPING=PRECISE", "FS=MRC", "CURRENCY=USD", "XLFILL=b")</f>
        <v>1236</v>
      </c>
      <c r="P155" s="9">
        <f>_xll.BQL("CRM US Equity", "IS_COMP_NET_INCOME_GAAP/1M", "FPR=2022Y", "FPT=A", "FA_ACT_EST_DATA=E, EST_SOURCE=DBG", "ACT_EST_MAPPING=PRECISE", "FS=MRC", "CURRENCY=USD", "XLFILL=b")</f>
        <v>1244</v>
      </c>
      <c r="Q155" s="9">
        <f>_xll.BQL("CRM US Equity", "IS_COMP_NET_INCOME_GAAP/1M", "FPR=2022Y", "FPT=A", "FA_ACT_EST_DATA=E, EST_SOURCE=NDH", "ACT_EST_MAPPING=PRECISE", "FS=MRC", "CURRENCY=USD", "XLFILL=b")</f>
        <v>1229</v>
      </c>
      <c r="R155" s="9">
        <f>_xll.BQL("CRM US Equity", "IS_COMP_NET_INCOME_GAAP/1M", "FPR=2022Y", "FPT=A", "FA_ACT_EST_DATA=E, EST_SOURCE=CAN", "ACT_EST_MAPPING=PRECISE", "FS=MRC", "CURRENCY=USD", "XLFILL=b")</f>
        <v>1244</v>
      </c>
      <c r="S155" s="9">
        <f>_xll.BQL("CRM US Equity", "IS_COMP_NET_INCOME_GAAP/1M", "FPR=2022Y", "FPT=A", "FA_ACT_EST_DATA=E, EST_SOURCE=SCB", "ACT_EST_MAPPING=PRECISE", "FS=MRC", "CURRENCY=USD", "XLFILL=b")</f>
        <v>1249</v>
      </c>
      <c r="T155" s="9">
        <f>_xll.BQL("CRM US Equity", "IS_COMP_NET_INCOME_GAAP/1M", "FPR=2022Y", "FPT=A", "FA_ACT_EST_DATA=E, EST_SOURCE=JMP", "ACT_EST_MAPPING=PRECISE", "FS=MRC", "CURRENCY=USD", "XLFILL=b")</f>
        <v>1248</v>
      </c>
      <c r="U155" s="9">
        <f>_xll.BQL("CRM US Equity", "IS_COMP_NET_INCOME_GAAP/1M", "FPR=2022Y", "FPT=A", "FA_ACT_EST_DATA=E, EST_SOURCE=RJA", "ACT_EST_MAPPING=PRECISE", "FS=MRC", "CURRENCY=USD", "XLFILL=b")</f>
        <v>1237</v>
      </c>
      <c r="V155" s="9">
        <f>_xll.BQL("CRM US Equity", "IS_COMP_NET_INCOME_GAAP/1M", "FPR=2022Y", "FPT=A", "FA_ACT_EST_DATA=E, EST_SOURCE=OPY", "ACT_EST_MAPPING=PRECISE", "FS=MRC", "CURRENCY=USD", "XLFILL=b")</f>
        <v>1236</v>
      </c>
      <c r="W155" s="9">
        <f>_xll.BQL("CRM US Equity", "IS_COMP_NET_INCOME_GAAP/1M", "FPR=2022Y", "FPT=A", "FA_ACT_EST_DATA=E, EST_SOURCE=JPM", "ACT_EST_MAPPING=PRECISE", "FS=MRC", "CURRENCY=USD", "XLFILL=b")</f>
        <v>1221</v>
      </c>
      <c r="X155" s="9">
        <f>_xll.BQL("CRM US Equity", "IS_COMP_NET_INCOME_GAAP/1M", "FPR=2022Y", "FPT=A", "FA_ACT_EST_DATA=E, EST_SOURCE=FBC", "ACT_EST_MAPPING=PRECISE", "FS=MRC", "CURRENCY=USD", "XLFILL=b")</f>
        <v>810</v>
      </c>
      <c r="Y155" s="9">
        <f>_xll.BQL("CRM US Equity", "IS_COMP_NET_INCOME_GAAP/1M", "FPR=2022Y", "FPT=A", "FA_ACT_EST_DATA=E, EST_SOURCE=WMS", "ACT_EST_MAPPING=PRECISE", "FS=MRC", "CURRENCY=USD", "XLFILL=b")</f>
        <v>1343</v>
      </c>
      <c r="Z155" s="9">
        <f>_xll.BQL("CRM US Equity", "IS_COMP_NET_INCOME_GAAP/1M", "FPR=2022Y", "FPT=A", "FA_ACT_EST_DATA=E, EST_SOURCE=KEY", "ACT_EST_MAPPING=PRECISE", "FS=MRC", "CURRENCY=USD", "XLFILL=b")</f>
        <v>821</v>
      </c>
      <c r="AA155" s="9">
        <f>_xll.BQL("CRM US Equity", "IS_COMP_NET_INCOME_GAAP/1M", "FPR=2022Y", "FPT=A", "FA_ACT_EST_DATA=E, EST_SOURCE=LCM", "ACT_EST_MAPPING=PRECISE", "FS=MRC", "CURRENCY=USD", "XLFILL=b")</f>
        <v>1246</v>
      </c>
      <c r="AB155" s="9">
        <f>_xll.BQL("CRM US Equity", "IS_COMP_NET_INCOME_GAAP/1M", "FPR=2022Y", "FPT=A", "FA_ACT_EST_DATA=E, EST_SOURCE=CWN", "ACT_EST_MAPPING=PRECISE", "FS=MRC", "CURRENCY=USD", "XLFILL=b")</f>
        <v>1256</v>
      </c>
      <c r="AC155" s="9">
        <f>_xll.BQL("CRM US Equity", "IS_COMP_NET_INCOME_GAAP/1M", "FPR=2022Y", "FPT=A", "FA_ACT_EST_DATA=E, EST_SOURCE=BNS", "ACT_EST_MAPPING=PRECISE", "FS=MRC", "CURRENCY=USD", "XLFILL=b")</f>
        <v>1221</v>
      </c>
      <c r="AD155" s="9">
        <f>_xll.BQL("CRM US Equity", "IS_COMP_NET_INCOME_GAAP/1M", "FPR=2022Y", "FPT=A", "FA_ACT_EST_DATA=E, EST_SOURCE=BAM", "ACT_EST_MAPPING=PRECISE", "FS=MRC", "CURRENCY=USD", "XLFILL=b")</f>
        <v>1235</v>
      </c>
      <c r="AE155" s="9" t="str">
        <f>_xll.BQL("CRM US Equity", "IS_COMP_NET_INCOME_GAAP/1M", "FPR=2022Y", "FPT=A", "FA_ACT_EST_DATA=E, EST_SOURCE=RBC", "ACT_EST_MAPPING=PRECISE", "FS=MRC", "CURRENCY=USD", "XLFILL=b")</f>
        <v/>
      </c>
      <c r="AF155" s="9">
        <f>_xll.BQL("CRM US Equity", "IS_COMP_NET_INCOME_GAAP/1M", "FPR=2022Y", "FPT=A", "FA_ACT_EST_DATA=E, EST_SOURCE=UBS", "ACT_EST_MAPPING=PRECISE", "FS=MRC", "CURRENCY=USD", "XLFILL=b")</f>
        <v>1048</v>
      </c>
      <c r="AG155" s="9">
        <f>_xll.BQL("CRM US Equity", "IS_COMP_NET_INCOME_GAAP/1M", "FPR=2022Y", "FPT=A", "FA_ACT_EST_DATA=E, EST_SOURCE=RHR", "ACT_EST_MAPPING=PRECISE", "FS=MRC", "CURRENCY=USD", "XLFILL=b")</f>
        <v>609</v>
      </c>
      <c r="AH155" s="9">
        <f>_xll.BQL("CRM US Equity", "IS_COMP_NET_INCOME_GAAP/1M", "FPR=2022Y", "FPT=A", "FA_ACT_EST_DATA=E, EST_SOURCE=JEF", "ACT_EST_MAPPING=PRECISE", "FS=MRC", "CURRENCY=USD", "XLFILL=b")</f>
        <v>366</v>
      </c>
      <c r="AI155" s="9">
        <f>_xll.BQL("CRM US Equity", "IS_COMP_NET_INCOME_GAAP/1M", "FPR=2022Y", "FPT=A", "FA_ACT_EST_DATA=E, EST_SOURCE=ATL", "ACT_EST_MAPPING=PRECISE", "FS=MRC", "CURRENCY=USD", "XLFILL=b")</f>
        <v>1108</v>
      </c>
      <c r="AJ155" s="9" t="str">
        <f>_xll.BQL("CRM US Equity", "IS_COMP_NET_INCOME_GAAP/1M", "FPR=2022Y", "FPT=A", "FA_ACT_EST_DATA=E, EST_SOURCE=MAC", "ACT_EST_MAPPING=PRECISE", "FS=MRC", "CURRENCY=USD", "XLFILL=b")</f>
        <v/>
      </c>
      <c r="AK155" s="9" t="str">
        <f>_xll.BQL("CRM US Equity", "IS_COMP_NET_INCOME_GAAP/1M", "FPR=2022Y", "FPT=A", "FA_ACT_EST_DATA=E, EST_SOURCE=EVR", "ACT_EST_MAPPING=PRECISE", "FS=MRC", "CURRENCY=USD", "XLFILL=b")</f>
        <v/>
      </c>
      <c r="AL155" s="9" t="str">
        <f>_xll.BQL("CRM US Equity", "IS_COMP_NET_INCOME_GAAP/1M", "FPR=2022Y", "FPT=A", "FA_ACT_EST_DATA=E, EST_SOURCE=MSR", "ACT_EST_MAPPING=PRECISE", "FS=MRC", "CURRENCY=USD", "XLFILL=b")</f>
        <v/>
      </c>
      <c r="AM155" s="9" t="str">
        <f>_xll.BQL("CRM US Equity", "IS_COMP_NET_INCOME_GAAP/1M", "FPR=2022Y", "FPT=A", "FA_ACT_EST_DATA=E, EST_SOURCE=KGI", "ACT_EST_MAPPING=PRECISE", "FS=MRC", "CURRENCY=USD", "XLFILL=b")</f>
        <v/>
      </c>
      <c r="AN155" s="9">
        <f>_xll.BQL("CRM US Equity", "IS_COMP_NET_INCOME_GAAP/1M", "FPR=2022Y", "FPT=A", "FA_ACT_EST_DATA=E, EST_SOURCE=ACC", "ACT_EST_MAPPING=PRECISE", "FS=MRC", "CURRENCY=USD", "XLFILL=b")</f>
        <v>1240</v>
      </c>
      <c r="AO155" s="9" t="str">
        <f>_xll.BQL("CRM US Equity", "IS_COMP_NET_INCOME_GAAP/1M", "FPR=2022Y", "FPT=A", "FA_ACT_EST_DATA=E, EST_SOURCE=GSR", "ACT_EST_MAPPING=PRECISE", "FS=MRC", "CURRENCY=USD", "XLFILL=b")</f>
        <v/>
      </c>
      <c r="AP155" s="9" t="str">
        <f>_xll.BQL("CRM US Equity", "IS_COMP_NET_INCOME_GAAP/1M", "FPR=2022Y", "FPT=A", "FA_ACT_EST_DATA=E, EST_SOURCE=PSG", "ACT_EST_MAPPING=PRECISE", "FS=MRC", "CURRENCY=USD", "XLFILL=b")</f>
        <v/>
      </c>
      <c r="AQ155" s="9" t="str">
        <f>_xll.BQL("CRM US Equity", "IS_COMP_NET_INCOME_GAAP/1M", "FPR=2022Y", "FPT=A", "FA_ACT_EST_DATA=E, EST_SOURCE=DWI", "ACT_EST_MAPPING=PRECISE", "FS=MRC", "CURRENCY=USD", "XLFILL=b")</f>
        <v/>
      </c>
      <c r="AR155" s="9">
        <f>_xll.BQL("CRM US Equity", "IS_COMP_NET_INCOME_GAAP/1M", "FPR=2022Y", "FPT=A", "FA_ACT_EST_DATA=E, EST_SOURCE=RWB", "ACT_EST_MAPPING=PRECISE", "FS=MRC", "CURRENCY=USD", "XLFILL=b")</f>
        <v>584</v>
      </c>
      <c r="AS155" s="9" t="str">
        <f>_xll.BQL("CRM US Equity", "IS_COMP_NET_INCOME_GAAP/1M", "FPR=2022Y", "FPT=A", "FA_ACT_EST_DATA=E, EST_SOURCE=ARG", "ACT_EST_MAPPING=PRECISE", "FS=MRC", "CURRENCY=USD", "XLFILL=b")</f>
        <v/>
      </c>
      <c r="AT155" s="9" t="str">
        <f>_xll.BQL("CRM US Equity", "IS_COMP_NET_INCOME_GAAP/1M", "FPR=2022Y", "FPT=A", "FA_ACT_EST_DATA=E, EST_SOURCE=CTI", "ACT_EST_MAPPING=PRECISE", "FS=MRC", "CURRENCY=USD", "XLFILL=b")</f>
        <v/>
      </c>
      <c r="AU155" s="9" t="str">
        <f>_xll.BQL("CRM US Equity", "IS_COMP_NET_INCOME_GAAP/1M", "FPR=2022Y", "FPT=A", "FA_ACT_EST_DATA=E, EST_SOURCE=WFT", "ACT_EST_MAPPING=PRECISE", "FS=MRC", "CURRENCY=USD", "XLFILL=b")</f>
        <v/>
      </c>
      <c r="AV155" s="9" t="str">
        <f>_xll.BQL("CRM US Equity", "IS_COMP_NET_INCOME_GAAP/1M", "FPR=2022Y", "FPT=A", "FA_ACT_EST_DATA=E, EST_SOURCE=PJE", "ACT_EST_MAPPING=PRECISE", "FS=MRC", "CURRENCY=USD", "XLFILL=b")</f>
        <v/>
      </c>
      <c r="AW155" s="9" t="str">
        <f>_xll.BQL("CRM US Equity", "IS_COMP_NET_INCOME_GAAP/1M", "FPR=2022Y", "FPT=A", "FA_ACT_EST_DATA=E, EST_SOURCE=SGE", "ACT_EST_MAPPING=PRECISE", "FS=MRC", "CURRENCY=USD", "XLFILL=b")</f>
        <v/>
      </c>
      <c r="AX155" s="9" t="str">
        <f>_xll.BQL("CRM US Equity", "IS_COMP_NET_INCOME_GAAP/1M", "FPR=2022Y", "FPT=A", "FA_ACT_EST_DATA=E, EST_SOURCE=MZS", "ACT_EST_MAPPING=PRECISE", "FS=MRC", "CURRENCY=USD", "XLFILL=b")</f>
        <v/>
      </c>
      <c r="AY155" s="9" t="str">
        <f>_xll.BQL("CRM US Equity", "IS_COMP_NET_INCOME_GAAP/1M", "FPR=2022Y", "FPT=A", "FA_ACT_EST_DATA=E, EST_SOURCE=RCP", "ACT_EST_MAPPING=PRECISE", "FS=MRC", "CURRENCY=USD", "XLFILL=b")</f>
        <v/>
      </c>
      <c r="AZ155" s="9" t="str">
        <f>_xll.BQL("CRM US Equity", "IS_COMP_NET_INCOME_GAAP/1M", "FPR=2022Y", "FPT=A", "FA_ACT_EST_DATA=E, EST_SOURCE=WFR", "ACT_EST_MAPPING=PRECISE", "FS=MRC", "CURRENCY=USD", "XLFILL=b")</f>
        <v/>
      </c>
      <c r="BA155" s="9" t="str">
        <f>_xll.BQL("CRM US Equity", "IS_COMP_NET_INCOME_GAAP/1M", "FPR=2022Y", "FPT=A", "FA_ACT_EST_DATA=E, EST_SOURCE=NIK", "ACT_EST_MAPPING=PRECISE", "FS=MRC", "CURRENCY=USD", "XLFILL=b")</f>
        <v/>
      </c>
      <c r="BB155" s="9" t="str">
        <f>_xll.BQL("CRM US Equity", "IS_COMP_NET_INCOME_GAAP/1M", "FPR=2022Y", "FPT=A", "FA_ACT_EST_DATA=E, EST_SOURCE=ARE", "ACT_EST_MAPPING=PRECISE", "FS=MRC", "CURRENCY=USD", "XLFILL=b")</f>
        <v/>
      </c>
      <c r="BC155" s="9" t="str">
        <f>_xll.BQL("CRM US Equity", "IS_COMP_NET_INCOME_GAAP/1M", "FPR=2022Y", "FPT=A", "FA_ACT_EST_DATA=E, EST_SOURCE=RED", "ACT_EST_MAPPING=PRECISE", "FS=MRC", "CURRENCY=USD", "XLFILL=b")</f>
        <v/>
      </c>
      <c r="BD155" s="9" t="str">
        <f>_xll.BQL("CRM US Equity", "IS_COMP_NET_INCOME_GAAP/1M", "FPR=2022Y", "FPT=A", "FA_ACT_EST_DATA=E, EST_SOURCE=DIR", "ACT_EST_MAPPING=PRECISE", "FS=MRC", "CURRENCY=USD", "XLFILL=b")</f>
        <v/>
      </c>
    </row>
    <row r="156" spans="1:56" x14ac:dyDescent="0.55000000000000004">
      <c r="A156" s="8" t="s">
        <v>300</v>
      </c>
      <c r="B156" s="5" t="s">
        <v>104</v>
      </c>
      <c r="C156" s="5" t="s">
        <v>105</v>
      </c>
      <c r="D156" s="5"/>
      <c r="E156" s="9">
        <f>_xll.BQL("CRM US Equity", "CF_DEPR_AMORT/1M", "FPR=2022Y", "FPT=A", "FA_ACT_EST_DATA=E", "ACT_EST_MAPPING=PRECISE", "FS=MRC", "CURRENCY=USD", "XLFILL=b")</f>
        <v>3160.2068607347987</v>
      </c>
      <c r="F156" s="9">
        <f>_xll.BQL("CRM US Equity", "CONTRIBUTOR_STATS(CF_DEPR_AMORT, MIN)/1M", "FPR=2022Y", "FPT=A", "FA_ACT_EST_DATA=E", "ACT_EST_MAPPING=PRECISE", "FS=MRC", "CURRENCY=USD", "XLFILL=b")</f>
        <v>2367</v>
      </c>
      <c r="G156" s="9">
        <f>_xll.BQL("CRM US Equity", "CONTRIBUTOR_STATS(CF_DEPR_AMORT, MAX)/1M", "FPR=2022Y", "FPT=A", "FA_ACT_EST_DATA=E", "ACT_EST_MAPPING=PRECISE", "FS=MRC", "CURRENCY=USD", "XLFILL=b")</f>
        <v>3451.4856</v>
      </c>
      <c r="H156" s="9">
        <f>_xll.BQL("CRM US Equity", "CONTRIBUTOR_STATS(CF_DEPR_AMORT, STD)/1M", "FPR=2022Y", "FPT=A", "FA_ACT_EST_DATA=E", "ACT_EST_MAPPING=PRECISE", "FS=MRC", "CURRENCY=USD", "XLFILL=b")</f>
        <v>267.61063339278911</v>
      </c>
      <c r="I156" s="9">
        <f>_xll.BQL("CRM US Equity", "CONTRIBUTOR_STATS(CF_DEPR_AMORT, MEDIAN)/1M", "FPR=2022Y", "FPT=A", "FA_ACT_EST_DATA=E", "ACT_EST_MAPPING=PRECISE", "FS=MRC", "CURRENCY=USD", "XLFILL=b")</f>
        <v>3166.12</v>
      </c>
      <c r="J156" s="9" t="str">
        <f>_xll.BQL("CRM US Equity", "CF_DEPR_AMORT/1M", "FPR=2022Y", "FPT=A", "FA_ACT_EST_DATA=E, EST_SOURCE=CMPY", "ACT_EST_MAPPING=PRECISE", "FS=MRC", "CURRENCY=USD", "XLFILL=b")</f>
        <v/>
      </c>
      <c r="K156" s="9" t="str">
        <f>_xll.BQL("CRM US Equity", "CF_DEPR_AMORT/1M", "FPR=2022Y", "FPT=A", "FA_ACT_EST_DATA=E, EST_SOURCE=WBL", "ACT_EST_MAPPING=PRECISE", "FS=MRC", "CURRENCY=USD", "XLFILL=b")</f>
        <v/>
      </c>
      <c r="L156" s="9" t="str">
        <f>_xll.BQL("CRM US Equity", "CF_DEPR_AMORT/1M", "FPR=2022Y", "FPT=A", "FA_ACT_EST_DATA=E, EST_SOURCE=BMO", "ACT_EST_MAPPING=PRECISE", "FS=MRC", "CURRENCY=USD", "XLFILL=b")</f>
        <v/>
      </c>
      <c r="M156" s="9">
        <f>_xll.BQL("CRM US Equity", "CF_DEPR_AMORT/1M", "FPR=2022Y", "FPT=A", "FA_ACT_EST_DATA=E, EST_SOURCE=BCA", "ACT_EST_MAPPING=PRECISE", "FS=MRC", "CURRENCY=USD", "XLFILL=b")</f>
        <v>3021.7759999999998</v>
      </c>
      <c r="N156" s="9" t="str">
        <f>_xll.BQL("CRM US Equity", "CF_DEPR_AMORT/1M", "FPR=2022Y", "FPT=A", "FA_ACT_EST_DATA=E, EST_SOURCE=SNR", "ACT_EST_MAPPING=PRECISE", "FS=MRC", "CURRENCY=USD", "XLFILL=b")</f>
        <v/>
      </c>
      <c r="O156" s="9">
        <f>_xll.BQL("CRM US Equity", "CF_DEPR_AMORT/1M", "FPR=2022Y", "FPT=A", "FA_ACT_EST_DATA=E, EST_SOURCE=MSV", "ACT_EST_MAPPING=PRECISE", "FS=MRC", "CURRENCY=USD", "XLFILL=b")</f>
        <v>2367</v>
      </c>
      <c r="P156" s="9">
        <f>_xll.BQL("CRM US Equity", "CF_DEPR_AMORT/1M", "FPR=2022Y", "FPT=A", "FA_ACT_EST_DATA=E, EST_SOURCE=DBG", "ACT_EST_MAPPING=PRECISE", "FS=MRC", "CURRENCY=USD", "XLFILL=b")</f>
        <v>3152.8</v>
      </c>
      <c r="Q156" s="9">
        <f>_xll.BQL("CRM US Equity", "CF_DEPR_AMORT/1M", "FPR=2022Y", "FPT=A", "FA_ACT_EST_DATA=E, EST_SOURCE=NDH", "ACT_EST_MAPPING=PRECISE", "FS=MRC", "CURRENCY=USD", "XLFILL=b")</f>
        <v>3166.12</v>
      </c>
      <c r="R156" s="9" t="str">
        <f>_xll.BQL("CRM US Equity", "CF_DEPR_AMORT/1M", "FPR=2022Y", "FPT=A", "FA_ACT_EST_DATA=E, EST_SOURCE=CAN", "ACT_EST_MAPPING=PRECISE", "FS=MRC", "CURRENCY=USD", "XLFILL=b")</f>
        <v/>
      </c>
      <c r="S156" s="9" t="str">
        <f>_xll.BQL("CRM US Equity", "CF_DEPR_AMORT/1M", "FPR=2022Y", "FPT=A", "FA_ACT_EST_DATA=E, EST_SOURCE=SCB", "ACT_EST_MAPPING=PRECISE", "FS=MRC", "CURRENCY=USD", "XLFILL=b")</f>
        <v/>
      </c>
      <c r="T156" s="9">
        <f>_xll.BQL("CRM US Equity", "CF_DEPR_AMORT/1M", "FPR=2022Y", "FPT=A", "FA_ACT_EST_DATA=E, EST_SOURCE=JMP", "ACT_EST_MAPPING=PRECISE", "FS=MRC", "CURRENCY=USD", "XLFILL=b")</f>
        <v>2967</v>
      </c>
      <c r="U156" s="9">
        <f>_xll.BQL("CRM US Equity", "CF_DEPR_AMORT/1M", "FPR=2022Y", "FPT=A", "FA_ACT_EST_DATA=E, EST_SOURCE=RJA", "ACT_EST_MAPPING=PRECISE", "FS=MRC", "CURRENCY=USD", "XLFILL=b")</f>
        <v>3338.0665805975659</v>
      </c>
      <c r="V156" s="9" t="str">
        <f>_xll.BQL("CRM US Equity", "CF_DEPR_AMORT/1M", "FPR=2022Y", "FPT=A", "FA_ACT_EST_DATA=E, EST_SOURCE=OPY", "ACT_EST_MAPPING=PRECISE", "FS=MRC", "CURRENCY=USD", "XLFILL=b")</f>
        <v/>
      </c>
      <c r="W156" s="9" t="str">
        <f>_xll.BQL("CRM US Equity", "CF_DEPR_AMORT/1M", "FPR=2022Y", "FPT=A", "FA_ACT_EST_DATA=E, EST_SOURCE=JPM", "ACT_EST_MAPPING=PRECISE", "FS=MRC", "CURRENCY=USD", "XLFILL=b")</f>
        <v/>
      </c>
      <c r="X156" s="9">
        <f>_xll.BQL("CRM US Equity", "CF_DEPR_AMORT/1M", "FPR=2022Y", "FPT=A", "FA_ACT_EST_DATA=E, EST_SOURCE=FBC", "ACT_EST_MAPPING=PRECISE", "FS=MRC", "CURRENCY=USD", "XLFILL=b")</f>
        <v>2873.8583723242023</v>
      </c>
      <c r="Y156" s="9">
        <f>_xll.BQL("CRM US Equity", "CF_DEPR_AMORT/1M", "FPR=2022Y", "FPT=A", "FA_ACT_EST_DATA=E, EST_SOURCE=WMS", "ACT_EST_MAPPING=PRECISE", "FS=MRC", "CURRENCY=USD", "XLFILL=b")</f>
        <v>2596</v>
      </c>
      <c r="Z156" s="9">
        <f>_xll.BQL("CRM US Equity", "CF_DEPR_AMORT/1M", "FPR=2022Y", "FPT=A", "FA_ACT_EST_DATA=E, EST_SOURCE=KEY", "ACT_EST_MAPPING=PRECISE", "FS=MRC", "CURRENCY=USD", "XLFILL=b")</f>
        <v>2835.6001919583332</v>
      </c>
      <c r="AA156" s="9" t="str">
        <f>_xll.BQL("CRM US Equity", "CF_DEPR_AMORT/1M", "FPR=2022Y", "FPT=A", "FA_ACT_EST_DATA=E, EST_SOURCE=LCM", "ACT_EST_MAPPING=PRECISE", "FS=MRC", "CURRENCY=USD", "XLFILL=b")</f>
        <v/>
      </c>
      <c r="AB156" s="9" t="str">
        <f>_xll.BQL("CRM US Equity", "CF_DEPR_AMORT/1M", "FPR=2022Y", "FPT=A", "FA_ACT_EST_DATA=E, EST_SOURCE=CWN", "ACT_EST_MAPPING=PRECISE", "FS=MRC", "CURRENCY=USD", "XLFILL=b")</f>
        <v/>
      </c>
      <c r="AC156" s="9" t="str">
        <f>_xll.BQL("CRM US Equity", "CF_DEPR_AMORT/1M", "FPR=2022Y", "FPT=A", "FA_ACT_EST_DATA=E, EST_SOURCE=BNS", "ACT_EST_MAPPING=PRECISE", "FS=MRC", "CURRENCY=USD", "XLFILL=b")</f>
        <v/>
      </c>
      <c r="AD156" s="9" t="str">
        <f>_xll.BQL("CRM US Equity", "CF_DEPR_AMORT/1M", "FPR=2022Y", "FPT=A", "FA_ACT_EST_DATA=E, EST_SOURCE=BAM", "ACT_EST_MAPPING=PRECISE", "FS=MRC", "CURRENCY=USD", "XLFILL=b")</f>
        <v/>
      </c>
      <c r="AE156" s="9" t="str">
        <f>_xll.BQL("CRM US Equity", "CF_DEPR_AMORT/1M", "FPR=2022Y", "FPT=A", "FA_ACT_EST_DATA=E, EST_SOURCE=RBC", "ACT_EST_MAPPING=PRECISE", "FS=MRC", "CURRENCY=USD", "XLFILL=b")</f>
        <v/>
      </c>
      <c r="AF156" s="9" t="str">
        <f>_xll.BQL("CRM US Equity", "CF_DEPR_AMORT/1M", "FPR=2022Y", "FPT=A", "FA_ACT_EST_DATA=E, EST_SOURCE=UBS", "ACT_EST_MAPPING=PRECISE", "FS=MRC", "CURRENCY=USD", "XLFILL=b")</f>
        <v/>
      </c>
      <c r="AG156" s="9" t="str">
        <f>_xll.BQL("CRM US Equity", "CF_DEPR_AMORT/1M", "FPR=2022Y", "FPT=A", "FA_ACT_EST_DATA=E, EST_SOURCE=RHR", "ACT_EST_MAPPING=PRECISE", "FS=MRC", "CURRENCY=USD", "XLFILL=b")</f>
        <v/>
      </c>
      <c r="AH156" s="9" t="str">
        <f>_xll.BQL("CRM US Equity", "CF_DEPR_AMORT/1M", "FPR=2022Y", "FPT=A", "FA_ACT_EST_DATA=E, EST_SOURCE=JEF", "ACT_EST_MAPPING=PRECISE", "FS=MRC", "CURRENCY=USD", "XLFILL=b")</f>
        <v/>
      </c>
      <c r="AI156" s="9" t="str">
        <f>_xll.BQL("CRM US Equity", "CF_DEPR_AMORT/1M", "FPR=2022Y", "FPT=A", "FA_ACT_EST_DATA=E, EST_SOURCE=ATL", "ACT_EST_MAPPING=PRECISE", "FS=MRC", "CURRENCY=USD", "XLFILL=b")</f>
        <v/>
      </c>
      <c r="AJ156" s="9" t="str">
        <f>_xll.BQL("CRM US Equity", "CF_DEPR_AMORT/1M", "FPR=2022Y", "FPT=A", "FA_ACT_EST_DATA=E, EST_SOURCE=MAC", "ACT_EST_MAPPING=PRECISE", "FS=MRC", "CURRENCY=USD", "XLFILL=b")</f>
        <v/>
      </c>
      <c r="AK156" s="9" t="str">
        <f>_xll.BQL("CRM US Equity", "CF_DEPR_AMORT/1M", "FPR=2022Y", "FPT=A", "FA_ACT_EST_DATA=E, EST_SOURCE=EVR", "ACT_EST_MAPPING=PRECISE", "FS=MRC", "CURRENCY=USD", "XLFILL=b")</f>
        <v/>
      </c>
      <c r="AL156" s="9" t="str">
        <f>_xll.BQL("CRM US Equity", "CF_DEPR_AMORT/1M", "FPR=2022Y", "FPT=A", "FA_ACT_EST_DATA=E, EST_SOURCE=MSR", "ACT_EST_MAPPING=PRECISE", "FS=MRC", "CURRENCY=USD", "XLFILL=b")</f>
        <v/>
      </c>
      <c r="AM156" s="9" t="str">
        <f>_xll.BQL("CRM US Equity", "CF_DEPR_AMORT/1M", "FPR=2022Y", "FPT=A", "FA_ACT_EST_DATA=E, EST_SOURCE=KGI", "ACT_EST_MAPPING=PRECISE", "FS=MRC", "CURRENCY=USD", "XLFILL=b")</f>
        <v/>
      </c>
      <c r="AN156" s="9" t="str">
        <f>_xll.BQL("CRM US Equity", "CF_DEPR_AMORT/1M", "FPR=2022Y", "FPT=A", "FA_ACT_EST_DATA=E, EST_SOURCE=ACC", "ACT_EST_MAPPING=PRECISE", "FS=MRC", "CURRENCY=USD", "XLFILL=b")</f>
        <v/>
      </c>
      <c r="AO156" s="9" t="str">
        <f>_xll.BQL("CRM US Equity", "CF_DEPR_AMORT/1M", "FPR=2022Y", "FPT=A", "FA_ACT_EST_DATA=E, EST_SOURCE=GSR", "ACT_EST_MAPPING=PRECISE", "FS=MRC", "CURRENCY=USD", "XLFILL=b")</f>
        <v/>
      </c>
      <c r="AP156" s="9" t="str">
        <f>_xll.BQL("CRM US Equity", "CF_DEPR_AMORT/1M", "FPR=2022Y", "FPT=A", "FA_ACT_EST_DATA=E, EST_SOURCE=PSG", "ACT_EST_MAPPING=PRECISE", "FS=MRC", "CURRENCY=USD", "XLFILL=b")</f>
        <v/>
      </c>
      <c r="AQ156" s="9" t="str">
        <f>_xll.BQL("CRM US Equity", "CF_DEPR_AMORT/1M", "FPR=2022Y", "FPT=A", "FA_ACT_EST_DATA=E, EST_SOURCE=DWI", "ACT_EST_MAPPING=PRECISE", "FS=MRC", "CURRENCY=USD", "XLFILL=b")</f>
        <v/>
      </c>
      <c r="AR156" s="9" t="str">
        <f>_xll.BQL("CRM US Equity", "CF_DEPR_AMORT/1M", "FPR=2022Y", "FPT=A", "FA_ACT_EST_DATA=E, EST_SOURCE=RWB", "ACT_EST_MAPPING=PRECISE", "FS=MRC", "CURRENCY=USD", "XLFILL=b")</f>
        <v/>
      </c>
      <c r="AS156" s="9" t="str">
        <f>_xll.BQL("CRM US Equity", "CF_DEPR_AMORT/1M", "FPR=2022Y", "FPT=A", "FA_ACT_EST_DATA=E, EST_SOURCE=ARG", "ACT_EST_MAPPING=PRECISE", "FS=MRC", "CURRENCY=USD", "XLFILL=b")</f>
        <v/>
      </c>
      <c r="AT156" s="9" t="str">
        <f>_xll.BQL("CRM US Equity", "CF_DEPR_AMORT/1M", "FPR=2022Y", "FPT=A", "FA_ACT_EST_DATA=E, EST_SOURCE=CTI", "ACT_EST_MAPPING=PRECISE", "FS=MRC", "CURRENCY=USD", "XLFILL=b")</f>
        <v/>
      </c>
      <c r="AU156" s="9" t="str">
        <f>_xll.BQL("CRM US Equity", "CF_DEPR_AMORT/1M", "FPR=2022Y", "FPT=A", "FA_ACT_EST_DATA=E, EST_SOURCE=WFT", "ACT_EST_MAPPING=PRECISE", "FS=MRC", "CURRENCY=USD", "XLFILL=b")</f>
        <v/>
      </c>
      <c r="AV156" s="9" t="str">
        <f>_xll.BQL("CRM US Equity", "CF_DEPR_AMORT/1M", "FPR=2022Y", "FPT=A", "FA_ACT_EST_DATA=E, EST_SOURCE=PJE", "ACT_EST_MAPPING=PRECISE", "FS=MRC", "CURRENCY=USD", "XLFILL=b")</f>
        <v/>
      </c>
      <c r="AW156" s="9" t="str">
        <f>_xll.BQL("CRM US Equity", "CF_DEPR_AMORT/1M", "FPR=2022Y", "FPT=A", "FA_ACT_EST_DATA=E, EST_SOURCE=SGE", "ACT_EST_MAPPING=PRECISE", "FS=MRC", "CURRENCY=USD", "XLFILL=b")</f>
        <v/>
      </c>
      <c r="AX156" s="9" t="str">
        <f>_xll.BQL("CRM US Equity", "CF_DEPR_AMORT/1M", "FPR=2022Y", "FPT=A", "FA_ACT_EST_DATA=E, EST_SOURCE=MZS", "ACT_EST_MAPPING=PRECISE", "FS=MRC", "CURRENCY=USD", "XLFILL=b")</f>
        <v/>
      </c>
      <c r="AY156" s="9" t="str">
        <f>_xll.BQL("CRM US Equity", "CF_DEPR_AMORT/1M", "FPR=2022Y", "FPT=A", "FA_ACT_EST_DATA=E, EST_SOURCE=RCP", "ACT_EST_MAPPING=PRECISE", "FS=MRC", "CURRENCY=USD", "XLFILL=b")</f>
        <v/>
      </c>
      <c r="AZ156" s="9" t="str">
        <f>_xll.BQL("CRM US Equity", "CF_DEPR_AMORT/1M", "FPR=2022Y", "FPT=A", "FA_ACT_EST_DATA=E, EST_SOURCE=WFR", "ACT_EST_MAPPING=PRECISE", "FS=MRC", "CURRENCY=USD", "XLFILL=b")</f>
        <v/>
      </c>
      <c r="BA156" s="9" t="str">
        <f>_xll.BQL("CRM US Equity", "CF_DEPR_AMORT/1M", "FPR=2022Y", "FPT=A", "FA_ACT_EST_DATA=E, EST_SOURCE=NIK", "ACT_EST_MAPPING=PRECISE", "FS=MRC", "CURRENCY=USD", "XLFILL=b")</f>
        <v/>
      </c>
      <c r="BB156" s="9" t="str">
        <f>_xll.BQL("CRM US Equity", "CF_DEPR_AMORT/1M", "FPR=2022Y", "FPT=A", "FA_ACT_EST_DATA=E, EST_SOURCE=ARE", "ACT_EST_MAPPING=PRECISE", "FS=MRC", "CURRENCY=USD", "XLFILL=b")</f>
        <v/>
      </c>
      <c r="BC156" s="9" t="str">
        <f>_xll.BQL("CRM US Equity", "CF_DEPR_AMORT/1M", "FPR=2022Y", "FPT=A", "FA_ACT_EST_DATA=E, EST_SOURCE=RED", "ACT_EST_MAPPING=PRECISE", "FS=MRC", "CURRENCY=USD", "XLFILL=b")</f>
        <v/>
      </c>
      <c r="BD156" s="9" t="str">
        <f>_xll.BQL("CRM US Equity", "CF_DEPR_AMORT/1M", "FPR=2022Y", "FPT=A", "FA_ACT_EST_DATA=E, EST_SOURCE=DIR", "ACT_EST_MAPPING=PRECISE", "FS=MRC", "CURRENCY=USD", "XLFILL=b")</f>
        <v/>
      </c>
    </row>
    <row r="157" spans="1:56" x14ac:dyDescent="0.55000000000000004">
      <c r="A157" s="8" t="s">
        <v>301</v>
      </c>
      <c r="B157" s="5" t="s">
        <v>302</v>
      </c>
      <c r="C157" s="5" t="s">
        <v>303</v>
      </c>
      <c r="D157" s="5"/>
      <c r="E157" s="9">
        <f>_xll.BQL("CRM US Equity", "CF_AMORTIZATN_OF_DEFRRD_COMPNSTN/1M", "FPR=2022Y", "FPT=A", "FA_ACT_EST_DATA=E", "ACT_EST_MAPPING=PRECISE", "FS=MRC", "CURRENCY=USD", "XLFILL=b")</f>
        <v>1323.6983379324788</v>
      </c>
      <c r="F157" s="9">
        <f>_xll.BQL("CRM US Equity", "CONTRIBUTOR_STATS(CF_AMORTIZATN_OF_DEFRRD_COMPNSTN, MIN)/1M", "FPR=2022Y", "FPT=A", "FA_ACT_EST_DATA=E", "ACT_EST_MAPPING=PRECISE", "FS=MRC", "CURRENCY=USD", "XLFILL=b")</f>
        <v>992</v>
      </c>
      <c r="G157" s="9">
        <f>_xll.BQL("CRM US Equity", "CONTRIBUTOR_STATS(CF_AMORTIZATN_OF_DEFRRD_COMPNSTN, MAX)/1M", "FPR=2022Y", "FPT=A", "FA_ACT_EST_DATA=E", "ACT_EST_MAPPING=PRECISE", "FS=MRC", "CURRENCY=USD", "XLFILL=b")</f>
        <v>1598.0319999999999</v>
      </c>
      <c r="H157" s="9">
        <f>_xll.BQL("CRM US Equity", "CONTRIBUTOR_STATS(CF_AMORTIZATN_OF_DEFRRD_COMPNSTN, STD)/1M", "FPR=2022Y", "FPT=A", "FA_ACT_EST_DATA=E", "ACT_EST_MAPPING=PRECISE", "FS=MRC", "CURRENCY=USD", "XLFILL=b")</f>
        <v>121.9702288370591</v>
      </c>
      <c r="I157" s="9">
        <f>_xll.BQL("CRM US Equity", "CONTRIBUTOR_STATS(CF_AMORTIZATN_OF_DEFRRD_COMPNSTN, MEDIAN)/1M", "FPR=2022Y", "FPT=A", "FA_ACT_EST_DATA=E", "ACT_EST_MAPPING=PRECISE", "FS=MRC", "CURRENCY=USD", "XLFILL=b")</f>
        <v>1334.704623804764</v>
      </c>
      <c r="J157" s="9" t="str">
        <f>_xll.BQL("CRM US Equity", "CF_AMORTIZATN_OF_DEFRRD_COMPNSTN/1M", "FPR=2022Y", "FPT=A", "FA_ACT_EST_DATA=E, EST_SOURCE=CMPY", "ACT_EST_MAPPING=PRECISE", "FS=MRC", "CURRENCY=USD", "XLFILL=b")</f>
        <v/>
      </c>
      <c r="K157" s="9" t="str">
        <f>_xll.BQL("CRM US Equity", "CF_AMORTIZATN_OF_DEFRRD_COMPNSTN/1M", "FPR=2022Y", "FPT=A", "FA_ACT_EST_DATA=E, EST_SOURCE=WBL", "ACT_EST_MAPPING=PRECISE", "FS=MRC", "CURRENCY=USD", "XLFILL=b")</f>
        <v/>
      </c>
      <c r="L157" s="9" t="str">
        <f>_xll.BQL("CRM US Equity", "CF_AMORTIZATN_OF_DEFRRD_COMPNSTN/1M", "FPR=2022Y", "FPT=A", "FA_ACT_EST_DATA=E, EST_SOURCE=BMO", "ACT_EST_MAPPING=PRECISE", "FS=MRC", "CURRENCY=USD", "XLFILL=b")</f>
        <v/>
      </c>
      <c r="M157" s="9">
        <f>_xll.BQL("CRM US Equity", "CF_AMORTIZATN_OF_DEFRRD_COMPNSTN/1M", "FPR=2022Y", "FPT=A", "FA_ACT_EST_DATA=E, EST_SOURCE=BCA", "ACT_EST_MAPPING=PRECISE", "FS=MRC", "CURRENCY=USD", "XLFILL=b")</f>
        <v>1598.0319999999999</v>
      </c>
      <c r="N157" s="9" t="str">
        <f>_xll.BQL("CRM US Equity", "CF_AMORTIZATN_OF_DEFRRD_COMPNSTN/1M", "FPR=2022Y", "FPT=A", "FA_ACT_EST_DATA=E, EST_SOURCE=SNR", "ACT_EST_MAPPING=PRECISE", "FS=MRC", "CURRENCY=USD", "XLFILL=b")</f>
        <v/>
      </c>
      <c r="O157" s="9">
        <f>_xll.BQL("CRM US Equity", "CF_AMORTIZATN_OF_DEFRRD_COMPNSTN/1M", "FPR=2022Y", "FPT=A", "FA_ACT_EST_DATA=E, EST_SOURCE=MSV", "ACT_EST_MAPPING=PRECISE", "FS=MRC", "CURRENCY=USD", "XLFILL=b")</f>
        <v>992</v>
      </c>
      <c r="P157" s="9">
        <f>_xll.BQL("CRM US Equity", "CF_AMORTIZATN_OF_DEFRRD_COMPNSTN/1M", "FPR=2022Y", "FPT=A", "FA_ACT_EST_DATA=E, EST_SOURCE=DBG", "ACT_EST_MAPPING=PRECISE", "FS=MRC", "CURRENCY=USD", "XLFILL=b")</f>
        <v>1336.06976744186</v>
      </c>
      <c r="Q157" s="9">
        <f>_xll.BQL("CRM US Equity", "CF_AMORTIZATN_OF_DEFRRD_COMPNSTN/1M", "FPR=2022Y", "FPT=A", "FA_ACT_EST_DATA=E, EST_SOURCE=NDH", "ACT_EST_MAPPING=PRECISE", "FS=MRC", "CURRENCY=USD", "XLFILL=b")</f>
        <v>1312</v>
      </c>
      <c r="R157" s="9" t="str">
        <f>_xll.BQL("CRM US Equity", "CF_AMORTIZATN_OF_DEFRRD_COMPNSTN/1M", "FPR=2022Y", "FPT=A", "FA_ACT_EST_DATA=E, EST_SOURCE=CAN", "ACT_EST_MAPPING=PRECISE", "FS=MRC", "CURRENCY=USD", "XLFILL=b")</f>
        <v/>
      </c>
      <c r="S157" s="9" t="str">
        <f>_xll.BQL("CRM US Equity", "CF_AMORTIZATN_OF_DEFRRD_COMPNSTN/1M", "FPR=2022Y", "FPT=A", "FA_ACT_EST_DATA=E, EST_SOURCE=SCB", "ACT_EST_MAPPING=PRECISE", "FS=MRC", "CURRENCY=USD", "XLFILL=b")</f>
        <v/>
      </c>
      <c r="T157" s="9">
        <f>_xll.BQL("CRM US Equity", "CF_AMORTIZATN_OF_DEFRRD_COMPNSTN/1M", "FPR=2022Y", "FPT=A", "FA_ACT_EST_DATA=E, EST_SOURCE=JMP", "ACT_EST_MAPPING=PRECISE", "FS=MRC", "CURRENCY=USD", "XLFILL=b")</f>
        <v>1314</v>
      </c>
      <c r="U157" s="9" t="str">
        <f>_xll.BQL("CRM US Equity", "CF_AMORTIZATN_OF_DEFRRD_COMPNSTN/1M", "FPR=2022Y", "FPT=A", "FA_ACT_EST_DATA=E, EST_SOURCE=RJA", "ACT_EST_MAPPING=PRECISE", "FS=MRC", "CURRENCY=USD", "XLFILL=b")</f>
        <v/>
      </c>
      <c r="V157" s="9" t="str">
        <f>_xll.BQL("CRM US Equity", "CF_AMORTIZATN_OF_DEFRRD_COMPNSTN/1M", "FPR=2022Y", "FPT=A", "FA_ACT_EST_DATA=E, EST_SOURCE=OPY", "ACT_EST_MAPPING=PRECISE", "FS=MRC", "CURRENCY=USD", "XLFILL=b")</f>
        <v/>
      </c>
      <c r="W157" s="9" t="str">
        <f>_xll.BQL("CRM US Equity", "CF_AMORTIZATN_OF_DEFRRD_COMPNSTN/1M", "FPR=2022Y", "FPT=A", "FA_ACT_EST_DATA=E, EST_SOURCE=JPM", "ACT_EST_MAPPING=PRECISE", "FS=MRC", "CURRENCY=USD", "XLFILL=b")</f>
        <v/>
      </c>
      <c r="X157" s="9">
        <f>_xll.BQL("CRM US Equity", "CF_AMORTIZATN_OF_DEFRRD_COMPNSTN/1M", "FPR=2022Y", "FPT=A", "FA_ACT_EST_DATA=E, EST_SOURCE=FBC", "ACT_EST_MAPPING=PRECISE", "FS=MRC", "CURRENCY=USD", "XLFILL=b")</f>
        <v>1370.6227729055049</v>
      </c>
      <c r="Y157" s="9">
        <f>_xll.BQL("CRM US Equity", "CF_AMORTIZATN_OF_DEFRRD_COMPNSTN/1M", "FPR=2022Y", "FPT=A", "FA_ACT_EST_DATA=E, EST_SOURCE=WMS", "ACT_EST_MAPPING=PRECISE", "FS=MRC", "CURRENCY=USD", "XLFILL=b")</f>
        <v>1205.3210020144279</v>
      </c>
      <c r="Z157" s="9">
        <f>_xll.BQL("CRM US Equity", "CF_AMORTIZATN_OF_DEFRRD_COMPNSTN/1M", "FPR=2022Y", "FPT=A", "FA_ACT_EST_DATA=E, EST_SOURCE=KEY", "ACT_EST_MAPPING=PRECISE", "FS=MRC", "CURRENCY=USD", "XLFILL=b")</f>
        <v>1345.0577861236009</v>
      </c>
      <c r="AA157" s="9" t="str">
        <f>_xll.BQL("CRM US Equity", "CF_AMORTIZATN_OF_DEFRRD_COMPNSTN/1M", "FPR=2022Y", "FPT=A", "FA_ACT_EST_DATA=E, EST_SOURCE=LCM", "ACT_EST_MAPPING=PRECISE", "FS=MRC", "CURRENCY=USD", "XLFILL=b")</f>
        <v/>
      </c>
      <c r="AB157" s="9" t="str">
        <f>_xll.BQL("CRM US Equity", "CF_AMORTIZATN_OF_DEFRRD_COMPNSTN/1M", "FPR=2022Y", "FPT=A", "FA_ACT_EST_DATA=E, EST_SOURCE=CWN", "ACT_EST_MAPPING=PRECISE", "FS=MRC", "CURRENCY=USD", "XLFILL=b")</f>
        <v/>
      </c>
      <c r="AC157" s="9" t="str">
        <f>_xll.BQL("CRM US Equity", "CF_AMORTIZATN_OF_DEFRRD_COMPNSTN/1M", "FPR=2022Y", "FPT=A", "FA_ACT_EST_DATA=E, EST_SOURCE=BNS", "ACT_EST_MAPPING=PRECISE", "FS=MRC", "CURRENCY=USD", "XLFILL=b")</f>
        <v/>
      </c>
      <c r="AD157" s="9" t="str">
        <f>_xll.BQL("CRM US Equity", "CF_AMORTIZATN_OF_DEFRRD_COMPNSTN/1M", "FPR=2022Y", "FPT=A", "FA_ACT_EST_DATA=E, EST_SOURCE=BAM", "ACT_EST_MAPPING=PRECISE", "FS=MRC", "CURRENCY=USD", "XLFILL=b")</f>
        <v/>
      </c>
      <c r="AE157" s="9" t="str">
        <f>_xll.BQL("CRM US Equity", "CF_AMORTIZATN_OF_DEFRRD_COMPNSTN/1M", "FPR=2022Y", "FPT=A", "FA_ACT_EST_DATA=E, EST_SOURCE=RBC", "ACT_EST_MAPPING=PRECISE", "FS=MRC", "CURRENCY=USD", "XLFILL=b")</f>
        <v/>
      </c>
      <c r="AF157" s="9" t="str">
        <f>_xll.BQL("CRM US Equity", "CF_AMORTIZATN_OF_DEFRRD_COMPNSTN/1M", "FPR=2022Y", "FPT=A", "FA_ACT_EST_DATA=E, EST_SOURCE=UBS", "ACT_EST_MAPPING=PRECISE", "FS=MRC", "CURRENCY=USD", "XLFILL=b")</f>
        <v/>
      </c>
      <c r="AG157" s="9" t="str">
        <f>_xll.BQL("CRM US Equity", "CF_AMORTIZATN_OF_DEFRRD_COMPNSTN/1M", "FPR=2022Y", "FPT=A", "FA_ACT_EST_DATA=E, EST_SOURCE=RHR", "ACT_EST_MAPPING=PRECISE", "FS=MRC", "CURRENCY=USD", "XLFILL=b")</f>
        <v/>
      </c>
      <c r="AH157" s="9" t="str">
        <f>_xll.BQL("CRM US Equity", "CF_AMORTIZATN_OF_DEFRRD_COMPNSTN/1M", "FPR=2022Y", "FPT=A", "FA_ACT_EST_DATA=E, EST_SOURCE=JEF", "ACT_EST_MAPPING=PRECISE", "FS=MRC", "CURRENCY=USD", "XLFILL=b")</f>
        <v/>
      </c>
      <c r="AI157" s="9" t="str">
        <f>_xll.BQL("CRM US Equity", "CF_AMORTIZATN_OF_DEFRRD_COMPNSTN/1M", "FPR=2022Y", "FPT=A", "FA_ACT_EST_DATA=E, EST_SOURCE=ATL", "ACT_EST_MAPPING=PRECISE", "FS=MRC", "CURRENCY=USD", "XLFILL=b")</f>
        <v/>
      </c>
      <c r="AJ157" s="9" t="str">
        <f>_xll.BQL("CRM US Equity", "CF_AMORTIZATN_OF_DEFRRD_COMPNSTN/1M", "FPR=2022Y", "FPT=A", "FA_ACT_EST_DATA=E, EST_SOURCE=MAC", "ACT_EST_MAPPING=PRECISE", "FS=MRC", "CURRENCY=USD", "XLFILL=b")</f>
        <v/>
      </c>
      <c r="AK157" s="9" t="str">
        <f>_xll.BQL("CRM US Equity", "CF_AMORTIZATN_OF_DEFRRD_COMPNSTN/1M", "FPR=2022Y", "FPT=A", "FA_ACT_EST_DATA=E, EST_SOURCE=EVR", "ACT_EST_MAPPING=PRECISE", "FS=MRC", "CURRENCY=USD", "XLFILL=b")</f>
        <v/>
      </c>
      <c r="AL157" s="9" t="str">
        <f>_xll.BQL("CRM US Equity", "CF_AMORTIZATN_OF_DEFRRD_COMPNSTN/1M", "FPR=2022Y", "FPT=A", "FA_ACT_EST_DATA=E, EST_SOURCE=MSR", "ACT_EST_MAPPING=PRECISE", "FS=MRC", "CURRENCY=USD", "XLFILL=b")</f>
        <v/>
      </c>
      <c r="AM157" s="9" t="str">
        <f>_xll.BQL("CRM US Equity", "CF_AMORTIZATN_OF_DEFRRD_COMPNSTN/1M", "FPR=2022Y", "FPT=A", "FA_ACT_EST_DATA=E, EST_SOURCE=KGI", "ACT_EST_MAPPING=PRECISE", "FS=MRC", "CURRENCY=USD", "XLFILL=b")</f>
        <v/>
      </c>
      <c r="AN157" s="9" t="str">
        <f>_xll.BQL("CRM US Equity", "CF_AMORTIZATN_OF_DEFRRD_COMPNSTN/1M", "FPR=2022Y", "FPT=A", "FA_ACT_EST_DATA=E, EST_SOURCE=ACC", "ACT_EST_MAPPING=PRECISE", "FS=MRC", "CURRENCY=USD", "XLFILL=b")</f>
        <v/>
      </c>
      <c r="AO157" s="9" t="str">
        <f>_xll.BQL("CRM US Equity", "CF_AMORTIZATN_OF_DEFRRD_COMPNSTN/1M", "FPR=2022Y", "FPT=A", "FA_ACT_EST_DATA=E, EST_SOURCE=GSR", "ACT_EST_MAPPING=PRECISE", "FS=MRC", "CURRENCY=USD", "XLFILL=b")</f>
        <v/>
      </c>
      <c r="AP157" s="9" t="str">
        <f>_xll.BQL("CRM US Equity", "CF_AMORTIZATN_OF_DEFRRD_COMPNSTN/1M", "FPR=2022Y", "FPT=A", "FA_ACT_EST_DATA=E, EST_SOURCE=PSG", "ACT_EST_MAPPING=PRECISE", "FS=MRC", "CURRENCY=USD", "XLFILL=b")</f>
        <v/>
      </c>
      <c r="AQ157" s="9" t="str">
        <f>_xll.BQL("CRM US Equity", "CF_AMORTIZATN_OF_DEFRRD_COMPNSTN/1M", "FPR=2022Y", "FPT=A", "FA_ACT_EST_DATA=E, EST_SOURCE=DWI", "ACT_EST_MAPPING=PRECISE", "FS=MRC", "CURRENCY=USD", "XLFILL=b")</f>
        <v/>
      </c>
      <c r="AR157" s="9" t="str">
        <f>_xll.BQL("CRM US Equity", "CF_AMORTIZATN_OF_DEFRRD_COMPNSTN/1M", "FPR=2022Y", "FPT=A", "FA_ACT_EST_DATA=E, EST_SOURCE=RWB", "ACT_EST_MAPPING=PRECISE", "FS=MRC", "CURRENCY=USD", "XLFILL=b")</f>
        <v/>
      </c>
      <c r="AS157" s="9" t="str">
        <f>_xll.BQL("CRM US Equity", "CF_AMORTIZATN_OF_DEFRRD_COMPNSTN/1M", "FPR=2022Y", "FPT=A", "FA_ACT_EST_DATA=E, EST_SOURCE=ARG", "ACT_EST_MAPPING=PRECISE", "FS=MRC", "CURRENCY=USD", "XLFILL=b")</f>
        <v/>
      </c>
      <c r="AT157" s="9" t="str">
        <f>_xll.BQL("CRM US Equity", "CF_AMORTIZATN_OF_DEFRRD_COMPNSTN/1M", "FPR=2022Y", "FPT=A", "FA_ACT_EST_DATA=E, EST_SOURCE=CTI", "ACT_EST_MAPPING=PRECISE", "FS=MRC", "CURRENCY=USD", "XLFILL=b")</f>
        <v/>
      </c>
      <c r="AU157" s="9" t="str">
        <f>_xll.BQL("CRM US Equity", "CF_AMORTIZATN_OF_DEFRRD_COMPNSTN/1M", "FPR=2022Y", "FPT=A", "FA_ACT_EST_DATA=E, EST_SOURCE=WFT", "ACT_EST_MAPPING=PRECISE", "FS=MRC", "CURRENCY=USD", "XLFILL=b")</f>
        <v/>
      </c>
      <c r="AV157" s="9" t="str">
        <f>_xll.BQL("CRM US Equity", "CF_AMORTIZATN_OF_DEFRRD_COMPNSTN/1M", "FPR=2022Y", "FPT=A", "FA_ACT_EST_DATA=E, EST_SOURCE=PJE", "ACT_EST_MAPPING=PRECISE", "FS=MRC", "CURRENCY=USD", "XLFILL=b")</f>
        <v/>
      </c>
      <c r="AW157" s="9" t="str">
        <f>_xll.BQL("CRM US Equity", "CF_AMORTIZATN_OF_DEFRRD_COMPNSTN/1M", "FPR=2022Y", "FPT=A", "FA_ACT_EST_DATA=E, EST_SOURCE=SGE", "ACT_EST_MAPPING=PRECISE", "FS=MRC", "CURRENCY=USD", "XLFILL=b")</f>
        <v/>
      </c>
      <c r="AX157" s="9" t="str">
        <f>_xll.BQL("CRM US Equity", "CF_AMORTIZATN_OF_DEFRRD_COMPNSTN/1M", "FPR=2022Y", "FPT=A", "FA_ACT_EST_DATA=E, EST_SOURCE=MZS", "ACT_EST_MAPPING=PRECISE", "FS=MRC", "CURRENCY=USD", "XLFILL=b")</f>
        <v/>
      </c>
      <c r="AY157" s="9" t="str">
        <f>_xll.BQL("CRM US Equity", "CF_AMORTIZATN_OF_DEFRRD_COMPNSTN/1M", "FPR=2022Y", "FPT=A", "FA_ACT_EST_DATA=E, EST_SOURCE=RCP", "ACT_EST_MAPPING=PRECISE", "FS=MRC", "CURRENCY=USD", "XLFILL=b")</f>
        <v/>
      </c>
      <c r="AZ157" s="9" t="str">
        <f>_xll.BQL("CRM US Equity", "CF_AMORTIZATN_OF_DEFRRD_COMPNSTN/1M", "FPR=2022Y", "FPT=A", "FA_ACT_EST_DATA=E, EST_SOURCE=WFR", "ACT_EST_MAPPING=PRECISE", "FS=MRC", "CURRENCY=USD", "XLFILL=b")</f>
        <v/>
      </c>
      <c r="BA157" s="9" t="str">
        <f>_xll.BQL("CRM US Equity", "CF_AMORTIZATN_OF_DEFRRD_COMPNSTN/1M", "FPR=2022Y", "FPT=A", "FA_ACT_EST_DATA=E, EST_SOURCE=NIK", "ACT_EST_MAPPING=PRECISE", "FS=MRC", "CURRENCY=USD", "XLFILL=b")</f>
        <v/>
      </c>
      <c r="BB157" s="9" t="str">
        <f>_xll.BQL("CRM US Equity", "CF_AMORTIZATN_OF_DEFRRD_COMPNSTN/1M", "FPR=2022Y", "FPT=A", "FA_ACT_EST_DATA=E, EST_SOURCE=ARE", "ACT_EST_MAPPING=PRECISE", "FS=MRC", "CURRENCY=USD", "XLFILL=b")</f>
        <v/>
      </c>
      <c r="BC157" s="9" t="str">
        <f>_xll.BQL("CRM US Equity", "CF_AMORTIZATN_OF_DEFRRD_COMPNSTN/1M", "FPR=2022Y", "FPT=A", "FA_ACT_EST_DATA=E, EST_SOURCE=RED", "ACT_EST_MAPPING=PRECISE", "FS=MRC", "CURRENCY=USD", "XLFILL=b")</f>
        <v/>
      </c>
      <c r="BD157" s="9" t="str">
        <f>_xll.BQL("CRM US Equity", "CF_AMORTIZATN_OF_DEFRRD_COMPNSTN/1M", "FPR=2022Y", "FPT=A", "FA_ACT_EST_DATA=E, EST_SOURCE=DIR", "ACT_EST_MAPPING=PRECISE", "FS=MRC", "CURRENCY=USD", "XLFILL=b")</f>
        <v/>
      </c>
    </row>
    <row r="158" spans="1:56" x14ac:dyDescent="0.55000000000000004">
      <c r="A158" s="8" t="s">
        <v>174</v>
      </c>
      <c r="B158" s="5" t="s">
        <v>175</v>
      </c>
      <c r="C158" s="5" t="s">
        <v>176</v>
      </c>
      <c r="D158" s="5"/>
      <c r="E158" s="9">
        <f>_xll.BQL("CRM US Equity", "IS_SBC_NON_GAAP/1M", "FPR=2022Y", "FPT=A", "FA_ACT_EST_DATA=E", "ACT_EST_MAPPING=PRECISE", "FS=MRC", "CURRENCY=USD", "XLFILL=b")</f>
        <v>2805.9761435853857</v>
      </c>
      <c r="F158" s="9">
        <f>_xll.BQL("CRM US Equity", "CONTRIBUTOR_STATS(IS_SBC_NON_GAAP, MIN)/1M", "FPR=2022Y", "FPT=A", "FA_ACT_EST_DATA=E", "ACT_EST_MAPPING=PRECISE", "FS=MRC", "CURRENCY=USD", "XLFILL=b")</f>
        <v>2738.256647298243</v>
      </c>
      <c r="G158" s="9">
        <f>_xll.BQL("CRM US Equity", "CONTRIBUTOR_STATS(IS_SBC_NON_GAAP, MAX)/1M", "FPR=2022Y", "FPT=A", "FA_ACT_EST_DATA=E", "ACT_EST_MAPPING=PRECISE", "FS=MRC", "CURRENCY=USD", "XLFILL=b")</f>
        <v>2883.4638</v>
      </c>
      <c r="H158" s="9">
        <f>_xll.BQL("CRM US Equity", "CONTRIBUTOR_STATS(IS_SBC_NON_GAAP, STD)/1M", "FPR=2022Y", "FPT=A", "FA_ACT_EST_DATA=E", "ACT_EST_MAPPING=PRECISE", "FS=MRC", "CURRENCY=USD", "XLFILL=b")</f>
        <v>36.218095338121593</v>
      </c>
      <c r="I158" s="9">
        <f>_xll.BQL("CRM US Equity", "CONTRIBUTOR_STATS(IS_SBC_NON_GAAP, MEDIAN)/1M", "FPR=2022Y", "FPT=A", "FA_ACT_EST_DATA=E", "ACT_EST_MAPPING=PRECISE", "FS=MRC", "CURRENCY=USD", "XLFILL=b")</f>
        <v>2796.3566040000001</v>
      </c>
      <c r="J158" s="9" t="str">
        <f>_xll.BQL("CRM US Equity", "IS_SBC_NON_GAAP/1M", "FPR=2022Y", "FPT=A", "FA_ACT_EST_DATA=E, EST_SOURCE=CMPY", "ACT_EST_MAPPING=PRECISE", "FS=MRC", "CURRENCY=USD", "XLFILL=b")</f>
        <v/>
      </c>
      <c r="K158" s="9" t="str">
        <f>_xll.BQL("CRM US Equity", "IS_SBC_NON_GAAP/1M", "FPR=2022Y", "FPT=A", "FA_ACT_EST_DATA=E, EST_SOURCE=WBL", "ACT_EST_MAPPING=PRECISE", "FS=MRC", "CURRENCY=USD", "XLFILL=b")</f>
        <v/>
      </c>
      <c r="L158" s="9" t="str">
        <f>_xll.BQL("CRM US Equity", "IS_SBC_NON_GAAP/1M", "FPR=2022Y", "FPT=A", "FA_ACT_EST_DATA=E, EST_SOURCE=BMO", "ACT_EST_MAPPING=PRECISE", "FS=MRC", "CURRENCY=USD", "XLFILL=b")</f>
        <v/>
      </c>
      <c r="M158" s="9">
        <f>_xll.BQL("CRM US Equity", "IS_SBC_NON_GAAP/1M", "FPR=2022Y", "FPT=A", "FA_ACT_EST_DATA=E, EST_SOURCE=BCA", "ACT_EST_MAPPING=PRECISE", "FS=MRC", "CURRENCY=USD", "XLFILL=b")</f>
        <v>2831</v>
      </c>
      <c r="N158" s="9" t="str">
        <f>_xll.BQL("CRM US Equity", "IS_SBC_NON_GAAP/1M", "FPR=2022Y", "FPT=A", "FA_ACT_EST_DATA=E, EST_SOURCE=SNR", "ACT_EST_MAPPING=PRECISE", "FS=MRC", "CURRENCY=USD", "XLFILL=b")</f>
        <v/>
      </c>
      <c r="O158" s="9">
        <f>_xll.BQL("CRM US Equity", "IS_SBC_NON_GAAP/1M", "FPR=2022Y", "FPT=A", "FA_ACT_EST_DATA=E, EST_SOURCE=MSV", "ACT_EST_MAPPING=PRECISE", "FS=MRC", "CURRENCY=USD", "XLFILL=b")</f>
        <v>2836</v>
      </c>
      <c r="P158" s="9">
        <f>_xll.BQL("CRM US Equity", "IS_SBC_NON_GAAP/1M", "FPR=2022Y", "FPT=A", "FA_ACT_EST_DATA=E, EST_SOURCE=DBG", "ACT_EST_MAPPING=PRECISE", "FS=MRC", "CURRENCY=USD", "XLFILL=b")</f>
        <v>2828</v>
      </c>
      <c r="Q158" s="9">
        <f>_xll.BQL("CRM US Equity", "IS_SBC_NON_GAAP/1M", "FPR=2022Y", "FPT=A", "FA_ACT_EST_DATA=E, EST_SOURCE=NDH", "ACT_EST_MAPPING=PRECISE", "FS=MRC", "CURRENCY=USD", "XLFILL=b")</f>
        <v>2766</v>
      </c>
      <c r="R158" s="9" t="str">
        <f>_xll.BQL("CRM US Equity", "IS_SBC_NON_GAAP/1M", "FPR=2022Y", "FPT=A", "FA_ACT_EST_DATA=E, EST_SOURCE=CAN", "ACT_EST_MAPPING=PRECISE", "FS=MRC", "CURRENCY=USD", "XLFILL=b")</f>
        <v/>
      </c>
      <c r="S158" s="9" t="str">
        <f>_xll.BQL("CRM US Equity", "IS_SBC_NON_GAAP/1M", "FPR=2022Y", "FPT=A", "FA_ACT_EST_DATA=E, EST_SOURCE=SCB", "ACT_EST_MAPPING=PRECISE", "FS=MRC", "CURRENCY=USD", "XLFILL=b")</f>
        <v/>
      </c>
      <c r="T158" s="9">
        <f>_xll.BQL("CRM US Equity", "IS_SBC_NON_GAAP/1M", "FPR=2022Y", "FPT=A", "FA_ACT_EST_DATA=E, EST_SOURCE=JMP", "ACT_EST_MAPPING=PRECISE", "FS=MRC", "CURRENCY=USD", "XLFILL=b")</f>
        <v>2806</v>
      </c>
      <c r="U158" s="9">
        <f>_xll.BQL("CRM US Equity", "IS_SBC_NON_GAAP/1M", "FPR=2022Y", "FPT=A", "FA_ACT_EST_DATA=E, EST_SOURCE=RJA", "ACT_EST_MAPPING=PRECISE", "FS=MRC", "CURRENCY=USD", "XLFILL=b")</f>
        <v>2796</v>
      </c>
      <c r="V158" s="9" t="str">
        <f>_xll.BQL("CRM US Equity", "IS_SBC_NON_GAAP/1M", "FPR=2022Y", "FPT=A", "FA_ACT_EST_DATA=E, EST_SOURCE=OPY", "ACT_EST_MAPPING=PRECISE", "FS=MRC", "CURRENCY=USD", "XLFILL=b")</f>
        <v/>
      </c>
      <c r="W158" s="9">
        <f>_xll.BQL("CRM US Equity", "IS_SBC_NON_GAAP/1M", "FPR=2022Y", "FPT=A", "FA_ACT_EST_DATA=E, EST_SOURCE=JPM", "ACT_EST_MAPPING=PRECISE", "FS=MRC", "CURRENCY=USD", "XLFILL=b")</f>
        <v>2876.2698210783328</v>
      </c>
      <c r="X158" s="9">
        <f>_xll.BQL("CRM US Equity", "IS_SBC_NON_GAAP/1M", "FPR=2022Y", "FPT=A", "FA_ACT_EST_DATA=E, EST_SOURCE=FBC", "ACT_EST_MAPPING=PRECISE", "FS=MRC", "CURRENCY=USD", "XLFILL=b")</f>
        <v>2747.8719999999998</v>
      </c>
      <c r="Y158" s="9">
        <f>_xll.BQL("CRM US Equity", "IS_SBC_NON_GAAP/1M", "FPR=2022Y", "FPT=A", "FA_ACT_EST_DATA=E, EST_SOURCE=WMS", "ACT_EST_MAPPING=PRECISE", "FS=MRC", "CURRENCY=USD", "XLFILL=b")</f>
        <v>2764</v>
      </c>
      <c r="Z158" s="9">
        <f>_xll.BQL("CRM US Equity", "IS_SBC_NON_GAAP/1M", "FPR=2022Y", "FPT=A", "FA_ACT_EST_DATA=E, EST_SOURCE=KEY", "ACT_EST_MAPPING=PRECISE", "FS=MRC", "CURRENCY=USD", "XLFILL=b")</f>
        <v>2803.406265640378</v>
      </c>
      <c r="AA158" s="9" t="str">
        <f>_xll.BQL("CRM US Equity", "IS_SBC_NON_GAAP/1M", "FPR=2022Y", "FPT=A", "FA_ACT_EST_DATA=E, EST_SOURCE=LCM", "ACT_EST_MAPPING=PRECISE", "FS=MRC", "CURRENCY=USD", "XLFILL=b")</f>
        <v/>
      </c>
      <c r="AB158" s="9" t="str">
        <f>_xll.BQL("CRM US Equity", "IS_SBC_NON_GAAP/1M", "FPR=2022Y", "FPT=A", "FA_ACT_EST_DATA=E, EST_SOURCE=CWN", "ACT_EST_MAPPING=PRECISE", "FS=MRC", "CURRENCY=USD", "XLFILL=b")</f>
        <v/>
      </c>
      <c r="AC158" s="9" t="str">
        <f>_xll.BQL("CRM US Equity", "IS_SBC_NON_GAAP/1M", "FPR=2022Y", "FPT=A", "FA_ACT_EST_DATA=E, EST_SOURCE=BNS", "ACT_EST_MAPPING=PRECISE", "FS=MRC", "CURRENCY=USD", "XLFILL=b")</f>
        <v/>
      </c>
      <c r="AD158" s="9" t="str">
        <f>_xll.BQL("CRM US Equity", "IS_SBC_NON_GAAP/1M", "FPR=2022Y", "FPT=A", "FA_ACT_EST_DATA=E, EST_SOURCE=BAM", "ACT_EST_MAPPING=PRECISE", "FS=MRC", "CURRENCY=USD", "XLFILL=b")</f>
        <v/>
      </c>
      <c r="AE158" s="9" t="str">
        <f>_xll.BQL("CRM US Equity", "IS_SBC_NON_GAAP/1M", "FPR=2022Y", "FPT=A", "FA_ACT_EST_DATA=E, EST_SOURCE=RBC", "ACT_EST_MAPPING=PRECISE", "FS=MRC", "CURRENCY=USD", "XLFILL=b")</f>
        <v/>
      </c>
      <c r="AF158" s="9" t="str">
        <f>_xll.BQL("CRM US Equity", "IS_SBC_NON_GAAP/1M", "FPR=2022Y", "FPT=A", "FA_ACT_EST_DATA=E, EST_SOURCE=UBS", "ACT_EST_MAPPING=PRECISE", "FS=MRC", "CURRENCY=USD", "XLFILL=b")</f>
        <v/>
      </c>
      <c r="AG158" s="9" t="str">
        <f>_xll.BQL("CRM US Equity", "IS_SBC_NON_GAAP/1M", "FPR=2022Y", "FPT=A", "FA_ACT_EST_DATA=E, EST_SOURCE=RHR", "ACT_EST_MAPPING=PRECISE", "FS=MRC", "CURRENCY=USD", "XLFILL=b")</f>
        <v/>
      </c>
      <c r="AH158" s="9" t="str">
        <f>_xll.BQL("CRM US Equity", "IS_SBC_NON_GAAP/1M", "FPR=2022Y", "FPT=A", "FA_ACT_EST_DATA=E, EST_SOURCE=JEF", "ACT_EST_MAPPING=PRECISE", "FS=MRC", "CURRENCY=USD", "XLFILL=b")</f>
        <v/>
      </c>
      <c r="AI158" s="9" t="str">
        <f>_xll.BQL("CRM US Equity", "IS_SBC_NON_GAAP/1M", "FPR=2022Y", "FPT=A", "FA_ACT_EST_DATA=E, EST_SOURCE=ATL", "ACT_EST_MAPPING=PRECISE", "FS=MRC", "CURRENCY=USD", "XLFILL=b")</f>
        <v/>
      </c>
      <c r="AJ158" s="9" t="str">
        <f>_xll.BQL("CRM US Equity", "IS_SBC_NON_GAAP/1M", "FPR=2022Y", "FPT=A", "FA_ACT_EST_DATA=E, EST_SOURCE=MAC", "ACT_EST_MAPPING=PRECISE", "FS=MRC", "CURRENCY=USD", "XLFILL=b")</f>
        <v/>
      </c>
      <c r="AK158" s="9" t="str">
        <f>_xll.BQL("CRM US Equity", "IS_SBC_NON_GAAP/1M", "FPR=2022Y", "FPT=A", "FA_ACT_EST_DATA=E, EST_SOURCE=EVR", "ACT_EST_MAPPING=PRECISE", "FS=MRC", "CURRENCY=USD", "XLFILL=b")</f>
        <v/>
      </c>
      <c r="AL158" s="9" t="str">
        <f>_xll.BQL("CRM US Equity", "IS_SBC_NON_GAAP/1M", "FPR=2022Y", "FPT=A", "FA_ACT_EST_DATA=E, EST_SOURCE=MSR", "ACT_EST_MAPPING=PRECISE", "FS=MRC", "CURRENCY=USD", "XLFILL=b")</f>
        <v/>
      </c>
      <c r="AM158" s="9" t="str">
        <f>_xll.BQL("CRM US Equity", "IS_SBC_NON_GAAP/1M", "FPR=2022Y", "FPT=A", "FA_ACT_EST_DATA=E, EST_SOURCE=KGI", "ACT_EST_MAPPING=PRECISE", "FS=MRC", "CURRENCY=USD", "XLFILL=b")</f>
        <v/>
      </c>
      <c r="AN158" s="9" t="str">
        <f>_xll.BQL("CRM US Equity", "IS_SBC_NON_GAAP/1M", "FPR=2022Y", "FPT=A", "FA_ACT_EST_DATA=E, EST_SOURCE=ACC", "ACT_EST_MAPPING=PRECISE", "FS=MRC", "CURRENCY=USD", "XLFILL=b")</f>
        <v/>
      </c>
      <c r="AO158" s="9" t="str">
        <f>_xll.BQL("CRM US Equity", "IS_SBC_NON_GAAP/1M", "FPR=2022Y", "FPT=A", "FA_ACT_EST_DATA=E, EST_SOURCE=GSR", "ACT_EST_MAPPING=PRECISE", "FS=MRC", "CURRENCY=USD", "XLFILL=b")</f>
        <v/>
      </c>
      <c r="AP158" s="9" t="str">
        <f>_xll.BQL("CRM US Equity", "IS_SBC_NON_GAAP/1M", "FPR=2022Y", "FPT=A", "FA_ACT_EST_DATA=E, EST_SOURCE=PSG", "ACT_EST_MAPPING=PRECISE", "FS=MRC", "CURRENCY=USD", "XLFILL=b")</f>
        <v/>
      </c>
      <c r="AQ158" s="9" t="str">
        <f>_xll.BQL("CRM US Equity", "IS_SBC_NON_GAAP/1M", "FPR=2022Y", "FPT=A", "FA_ACT_EST_DATA=E, EST_SOURCE=DWI", "ACT_EST_MAPPING=PRECISE", "FS=MRC", "CURRENCY=USD", "XLFILL=b")</f>
        <v/>
      </c>
      <c r="AR158" s="9" t="str">
        <f>_xll.BQL("CRM US Equity", "IS_SBC_NON_GAAP/1M", "FPR=2022Y", "FPT=A", "FA_ACT_EST_DATA=E, EST_SOURCE=RWB", "ACT_EST_MAPPING=PRECISE", "FS=MRC", "CURRENCY=USD", "XLFILL=b")</f>
        <v/>
      </c>
      <c r="AS158" s="9" t="str">
        <f>_xll.BQL("CRM US Equity", "IS_SBC_NON_GAAP/1M", "FPR=2022Y", "FPT=A", "FA_ACT_EST_DATA=E, EST_SOURCE=ARG", "ACT_EST_MAPPING=PRECISE", "FS=MRC", "CURRENCY=USD", "XLFILL=b")</f>
        <v/>
      </c>
      <c r="AT158" s="9" t="str">
        <f>_xll.BQL("CRM US Equity", "IS_SBC_NON_GAAP/1M", "FPR=2022Y", "FPT=A", "FA_ACT_EST_DATA=E, EST_SOURCE=CTI", "ACT_EST_MAPPING=PRECISE", "FS=MRC", "CURRENCY=USD", "XLFILL=b")</f>
        <v/>
      </c>
      <c r="AU158" s="9" t="str">
        <f>_xll.BQL("CRM US Equity", "IS_SBC_NON_GAAP/1M", "FPR=2022Y", "FPT=A", "FA_ACT_EST_DATA=E, EST_SOURCE=WFT", "ACT_EST_MAPPING=PRECISE", "FS=MRC", "CURRENCY=USD", "XLFILL=b")</f>
        <v/>
      </c>
      <c r="AV158" s="9" t="str">
        <f>_xll.BQL("CRM US Equity", "IS_SBC_NON_GAAP/1M", "FPR=2022Y", "FPT=A", "FA_ACT_EST_DATA=E, EST_SOURCE=PJE", "ACT_EST_MAPPING=PRECISE", "FS=MRC", "CURRENCY=USD", "XLFILL=b")</f>
        <v/>
      </c>
      <c r="AW158" s="9" t="str">
        <f>_xll.BQL("CRM US Equity", "IS_SBC_NON_GAAP/1M", "FPR=2022Y", "FPT=A", "FA_ACT_EST_DATA=E, EST_SOURCE=SGE", "ACT_EST_MAPPING=PRECISE", "FS=MRC", "CURRENCY=USD", "XLFILL=b")</f>
        <v/>
      </c>
      <c r="AX158" s="9" t="str">
        <f>_xll.BQL("CRM US Equity", "IS_SBC_NON_GAAP/1M", "FPR=2022Y", "FPT=A", "FA_ACT_EST_DATA=E, EST_SOURCE=MZS", "ACT_EST_MAPPING=PRECISE", "FS=MRC", "CURRENCY=USD", "XLFILL=b")</f>
        <v/>
      </c>
      <c r="AY158" s="9" t="str">
        <f>_xll.BQL("CRM US Equity", "IS_SBC_NON_GAAP/1M", "FPR=2022Y", "FPT=A", "FA_ACT_EST_DATA=E, EST_SOURCE=RCP", "ACT_EST_MAPPING=PRECISE", "FS=MRC", "CURRENCY=USD", "XLFILL=b")</f>
        <v/>
      </c>
      <c r="AZ158" s="9" t="str">
        <f>_xll.BQL("CRM US Equity", "IS_SBC_NON_GAAP/1M", "FPR=2022Y", "FPT=A", "FA_ACT_EST_DATA=E, EST_SOURCE=WFR", "ACT_EST_MAPPING=PRECISE", "FS=MRC", "CURRENCY=USD", "XLFILL=b")</f>
        <v/>
      </c>
      <c r="BA158" s="9" t="str">
        <f>_xll.BQL("CRM US Equity", "IS_SBC_NON_GAAP/1M", "FPR=2022Y", "FPT=A", "FA_ACT_EST_DATA=E, EST_SOURCE=NIK", "ACT_EST_MAPPING=PRECISE", "FS=MRC", "CURRENCY=USD", "XLFILL=b")</f>
        <v/>
      </c>
      <c r="BB158" s="9" t="str">
        <f>_xll.BQL("CRM US Equity", "IS_SBC_NON_GAAP/1M", "FPR=2022Y", "FPT=A", "FA_ACT_EST_DATA=E, EST_SOURCE=ARE", "ACT_EST_MAPPING=PRECISE", "FS=MRC", "CURRENCY=USD", "XLFILL=b")</f>
        <v/>
      </c>
      <c r="BC158" s="9" t="str">
        <f>_xll.BQL("CRM US Equity", "IS_SBC_NON_GAAP/1M", "FPR=2022Y", "FPT=A", "FA_ACT_EST_DATA=E, EST_SOURCE=RED", "ACT_EST_MAPPING=PRECISE", "FS=MRC", "CURRENCY=USD", "XLFILL=b")</f>
        <v/>
      </c>
      <c r="BD158" s="9" t="str">
        <f>_xll.BQL("CRM US Equity", "IS_SBC_NON_GAAP/1M", "FPR=2022Y", "FPT=A", "FA_ACT_EST_DATA=E, EST_SOURCE=DIR", "ACT_EST_MAPPING=PRECISE", "FS=MRC", "CURRENCY=USD", "XLFILL=b")</f>
        <v/>
      </c>
    </row>
    <row r="159" spans="1:56" x14ac:dyDescent="0.55000000000000004">
      <c r="A159" s="8" t="s">
        <v>78</v>
      </c>
      <c r="B159" s="5" t="s">
        <v>304</v>
      </c>
      <c r="C159" s="5" t="s">
        <v>79</v>
      </c>
      <c r="D159" s="5"/>
      <c r="E159" s="9">
        <f>_xll.BQL("CRM US Equity", "SBC_NON_GAAP_TO_SALES", "FPR=2022Y", "FPT=A", "FA_ACT_EST_DATA=E", "ACT_EST_MAPPING=PRECISE", "FS=MRC", "CURRENCY=USD", "XLFILL=b")</f>
        <v>10.67822379078785</v>
      </c>
      <c r="F159" s="9">
        <f>_xll.BQL("CRM US Equity", "CONTRIBUTOR_STATS(SBC_NON_GAAP_TO_SALES, MIN)", "FPR=2022Y", "FPT=A", "FA_ACT_EST_DATA=E", "ACT_EST_MAPPING=PRECISE", "FS=MRC", "CURRENCY=USD", "XLFILL=b")</f>
        <v>10.568297945494169</v>
      </c>
      <c r="G159" s="9">
        <f>_xll.BQL("CRM US Equity", "CONTRIBUTOR_STATS(SBC_NON_GAAP_TO_SALES, MAX)", "FPR=2022Y", "FPT=A", "FA_ACT_EST_DATA=E", "ACT_EST_MAPPING=PRECISE", "FS=MRC", "CURRENCY=USD", "XLFILL=b")</f>
        <v>10.92433622979318</v>
      </c>
      <c r="H159" s="9">
        <f>_xll.BQL("CRM US Equity", "CONTRIBUTOR_STATS(SBC_NON_GAAP_TO_SALES, STD)", "FPR=2022Y", "FPT=A", "FA_ACT_EST_DATA=E", "ACT_EST_MAPPING=PRECISE", "FS=MRC", "CURRENCY=USD", "XLFILL=b")</f>
        <v>0.13681922396706669</v>
      </c>
      <c r="I159" s="9">
        <f>_xll.BQL("CRM US Equity", "CONTRIBUTOR_STATS(SBC_NON_GAAP_TO_SALES, MEDIAN)", "FPR=2022Y", "FPT=A", "FA_ACT_EST_DATA=E", "ACT_EST_MAPPING=PRECISE", "FS=MRC", "CURRENCY=USD", "XLFILL=b")</f>
        <v>10.630398545234129</v>
      </c>
      <c r="J159" s="9" t="str">
        <f>_xll.BQL("CRM US Equity", "SBC_NON_GAAP_TO_SALES", "FPR=2022Y", "FPT=A", "FA_ACT_EST_DATA=E, EST_SOURCE=CMPY", "ACT_EST_MAPPING=PRECISE", "FS=MRC", "CURRENCY=USD", "XLFILL=b")</f>
        <v/>
      </c>
      <c r="K159" s="9" t="str">
        <f>_xll.BQL("CRM US Equity", "SBC_NON_GAAP_TO_SALES", "FPR=2022Y", "FPT=A", "FA_ACT_EST_DATA=E, EST_SOURCE=WBL", "ACT_EST_MAPPING=PRECISE", "FS=MRC", "CURRENCY=USD", "XLFILL=b")</f>
        <v/>
      </c>
      <c r="L159" s="9" t="str">
        <f>_xll.BQL("CRM US Equity", "SBC_NON_GAAP_TO_SALES", "FPR=2022Y", "FPT=A", "FA_ACT_EST_DATA=E, EST_SOURCE=BMO", "ACT_EST_MAPPING=PRECISE", "FS=MRC", "CURRENCY=USD", "XLFILL=b")</f>
        <v/>
      </c>
      <c r="M159" s="9" t="str">
        <f>_xll.BQL("CRM US Equity", "SBC_NON_GAAP_TO_SALES", "FPR=2022Y", "FPT=A", "FA_ACT_EST_DATA=E, EST_SOURCE=BCA", "ACT_EST_MAPPING=PRECISE", "FS=MRC", "CURRENCY=USD", "XLFILL=b")</f>
        <v/>
      </c>
      <c r="N159" s="9" t="str">
        <f>_xll.BQL("CRM US Equity", "SBC_NON_GAAP_TO_SALES", "FPR=2022Y", "FPT=A", "FA_ACT_EST_DATA=E, EST_SOURCE=SNR", "ACT_EST_MAPPING=PRECISE", "FS=MRC", "CURRENCY=USD", "XLFILL=b")</f>
        <v/>
      </c>
      <c r="O159" s="9">
        <f>_xll.BQL("CRM US Equity", "SBC_NON_GAAP_TO_SALES", "FPR=2022Y", "FPT=A", "FA_ACT_EST_DATA=E, EST_SOURCE=MSV", "ACT_EST_MAPPING=PRECISE", "FS=MRC", "CURRENCY=USD", "XLFILL=b")</f>
        <v>7.4870973196174972</v>
      </c>
      <c r="P159" s="9" t="str">
        <f>_xll.BQL("CRM US Equity", "SBC_NON_GAAP_TO_SALES", "FPR=2022Y", "FPT=A", "FA_ACT_EST_DATA=E, EST_SOURCE=DBG", "ACT_EST_MAPPING=PRECISE", "FS=MRC", "CURRENCY=USD", "XLFILL=b")</f>
        <v/>
      </c>
      <c r="Q159" s="9" t="str">
        <f>_xll.BQL("CRM US Equity", "SBC_NON_GAAP_TO_SALES", "FPR=2022Y", "FPT=A", "FA_ACT_EST_DATA=E, EST_SOURCE=NDH", "ACT_EST_MAPPING=PRECISE", "FS=MRC", "CURRENCY=USD", "XLFILL=b")</f>
        <v/>
      </c>
      <c r="R159" s="9" t="str">
        <f>_xll.BQL("CRM US Equity", "SBC_NON_GAAP_TO_SALES", "FPR=2022Y", "FPT=A", "FA_ACT_EST_DATA=E, EST_SOURCE=CAN", "ACT_EST_MAPPING=PRECISE", "FS=MRC", "CURRENCY=USD", "XLFILL=b")</f>
        <v/>
      </c>
      <c r="S159" s="9" t="str">
        <f>_xll.BQL("CRM US Equity", "SBC_NON_GAAP_TO_SALES", "FPR=2022Y", "FPT=A", "FA_ACT_EST_DATA=E, EST_SOURCE=SCB", "ACT_EST_MAPPING=PRECISE", "FS=MRC", "CURRENCY=USD", "XLFILL=b")</f>
        <v/>
      </c>
      <c r="T159" s="9">
        <f>_xll.BQL("CRM US Equity", "SBC_NON_GAAP_TO_SALES", "FPR=2022Y", "FPT=A", "FA_ACT_EST_DATA=E, EST_SOURCE=JMP", "ACT_EST_MAPPING=PRECISE", "FS=MRC", "CURRENCY=USD", "XLFILL=b")</f>
        <v>10.630398545234129</v>
      </c>
      <c r="U159" s="9" t="str">
        <f>_xll.BQL("CRM US Equity", "SBC_NON_GAAP_TO_SALES", "FPR=2022Y", "FPT=A", "FA_ACT_EST_DATA=E, EST_SOURCE=RJA", "ACT_EST_MAPPING=PRECISE", "FS=MRC", "CURRENCY=USD", "XLFILL=b")</f>
        <v/>
      </c>
      <c r="V159" s="9" t="str">
        <f>_xll.BQL("CRM US Equity", "SBC_NON_GAAP_TO_SALES", "FPR=2022Y", "FPT=A", "FA_ACT_EST_DATA=E, EST_SOURCE=OPY", "ACT_EST_MAPPING=PRECISE", "FS=MRC", "CURRENCY=USD", "XLFILL=b")</f>
        <v/>
      </c>
      <c r="W159" s="9">
        <f>_xll.BQL("CRM US Equity", "SBC_NON_GAAP_TO_SALES", "FPR=2022Y", "FPT=A", "FA_ACT_EST_DATA=E, EST_SOURCE=JPM", "ACT_EST_MAPPING=PRECISE", "FS=MRC", "CURRENCY=USD", "XLFILL=b")</f>
        <v>10.896641342352151</v>
      </c>
      <c r="X159" s="9" t="str">
        <f>_xll.BQL("CRM US Equity", "SBC_NON_GAAP_TO_SALES", "FPR=2022Y", "FPT=A", "FA_ACT_EST_DATA=E, EST_SOURCE=FBC", "ACT_EST_MAPPING=PRECISE", "FS=MRC", "CURRENCY=USD", "XLFILL=b")</f>
        <v/>
      </c>
      <c r="Y159" s="9" t="str">
        <f>_xll.BQL("CRM US Equity", "SBC_NON_GAAP_TO_SALES", "FPR=2022Y", "FPT=A", "FA_ACT_EST_DATA=E, EST_SOURCE=WMS", "ACT_EST_MAPPING=PRECISE", "FS=MRC", "CURRENCY=USD", "XLFILL=b")</f>
        <v/>
      </c>
      <c r="Z159" s="9">
        <f>_xll.BQL("CRM US Equity", "SBC_NON_GAAP_TO_SALES", "FPR=2022Y", "FPT=A", "FA_ACT_EST_DATA=E, EST_SOURCE=KEY", "ACT_EST_MAPPING=PRECISE", "FS=MRC", "CURRENCY=USD", "XLFILL=b")</f>
        <v>10.659768641027711</v>
      </c>
      <c r="AA159" s="9" t="str">
        <f>_xll.BQL("CRM US Equity", "SBC_NON_GAAP_TO_SALES", "FPR=2022Y", "FPT=A", "FA_ACT_EST_DATA=E, EST_SOURCE=LCM", "ACT_EST_MAPPING=PRECISE", "FS=MRC", "CURRENCY=USD", "XLFILL=b")</f>
        <v/>
      </c>
      <c r="AB159" s="9" t="str">
        <f>_xll.BQL("CRM US Equity", "SBC_NON_GAAP_TO_SALES", "FPR=2022Y", "FPT=A", "FA_ACT_EST_DATA=E, EST_SOURCE=CWN", "ACT_EST_MAPPING=PRECISE", "FS=MRC", "CURRENCY=USD", "XLFILL=b")</f>
        <v/>
      </c>
      <c r="AC159" s="9" t="str">
        <f>_xll.BQL("CRM US Equity", "SBC_NON_GAAP_TO_SALES", "FPR=2022Y", "FPT=A", "FA_ACT_EST_DATA=E, EST_SOURCE=BNS", "ACT_EST_MAPPING=PRECISE", "FS=MRC", "CURRENCY=USD", "XLFILL=b")</f>
        <v/>
      </c>
      <c r="AD159" s="9" t="str">
        <f>_xll.BQL("CRM US Equity", "SBC_NON_GAAP_TO_SALES", "FPR=2022Y", "FPT=A", "FA_ACT_EST_DATA=E, EST_SOURCE=BAM", "ACT_EST_MAPPING=PRECISE", "FS=MRC", "CURRENCY=USD", "XLFILL=b")</f>
        <v/>
      </c>
      <c r="AE159" s="9" t="str">
        <f>_xll.BQL("CRM US Equity", "SBC_NON_GAAP_TO_SALES", "FPR=2022Y", "FPT=A", "FA_ACT_EST_DATA=E, EST_SOURCE=RBC", "ACT_EST_MAPPING=PRECISE", "FS=MRC", "CURRENCY=USD", "XLFILL=b")</f>
        <v/>
      </c>
      <c r="AF159" s="9" t="str">
        <f>_xll.BQL("CRM US Equity", "SBC_NON_GAAP_TO_SALES", "FPR=2022Y", "FPT=A", "FA_ACT_EST_DATA=E, EST_SOURCE=UBS", "ACT_EST_MAPPING=PRECISE", "FS=MRC", "CURRENCY=USD", "XLFILL=b")</f>
        <v/>
      </c>
      <c r="AG159" s="9" t="str">
        <f>_xll.BQL("CRM US Equity", "SBC_NON_GAAP_TO_SALES", "FPR=2022Y", "FPT=A", "FA_ACT_EST_DATA=E, EST_SOURCE=RHR", "ACT_EST_MAPPING=PRECISE", "FS=MRC", "CURRENCY=USD", "XLFILL=b")</f>
        <v/>
      </c>
      <c r="AH159" s="9" t="str">
        <f>_xll.BQL("CRM US Equity", "SBC_NON_GAAP_TO_SALES", "FPR=2022Y", "FPT=A", "FA_ACT_EST_DATA=E, EST_SOURCE=JEF", "ACT_EST_MAPPING=PRECISE", "FS=MRC", "CURRENCY=USD", "XLFILL=b")</f>
        <v/>
      </c>
      <c r="AI159" s="9" t="str">
        <f>_xll.BQL("CRM US Equity", "SBC_NON_GAAP_TO_SALES", "FPR=2022Y", "FPT=A", "FA_ACT_EST_DATA=E, EST_SOURCE=ATL", "ACT_EST_MAPPING=PRECISE", "FS=MRC", "CURRENCY=USD", "XLFILL=b")</f>
        <v/>
      </c>
      <c r="AJ159" s="9" t="str">
        <f>_xll.BQL("CRM US Equity", "SBC_NON_GAAP_TO_SALES", "FPR=2022Y", "FPT=A", "FA_ACT_EST_DATA=E, EST_SOURCE=MAC", "ACT_EST_MAPPING=PRECISE", "FS=MRC", "CURRENCY=USD", "XLFILL=b")</f>
        <v/>
      </c>
      <c r="AK159" s="9" t="str">
        <f>_xll.BQL("CRM US Equity", "SBC_NON_GAAP_TO_SALES", "FPR=2022Y", "FPT=A", "FA_ACT_EST_DATA=E, EST_SOURCE=EVR", "ACT_EST_MAPPING=PRECISE", "FS=MRC", "CURRENCY=USD", "XLFILL=b")</f>
        <v/>
      </c>
      <c r="AL159" s="9" t="str">
        <f>_xll.BQL("CRM US Equity", "SBC_NON_GAAP_TO_SALES", "FPR=2022Y", "FPT=A", "FA_ACT_EST_DATA=E, EST_SOURCE=MSR", "ACT_EST_MAPPING=PRECISE", "FS=MRC", "CURRENCY=USD", "XLFILL=b")</f>
        <v/>
      </c>
      <c r="AM159" s="9" t="str">
        <f>_xll.BQL("CRM US Equity", "SBC_NON_GAAP_TO_SALES", "FPR=2022Y", "FPT=A", "FA_ACT_EST_DATA=E, EST_SOURCE=KGI", "ACT_EST_MAPPING=PRECISE", "FS=MRC", "CURRENCY=USD", "XLFILL=b")</f>
        <v/>
      </c>
      <c r="AN159" s="9" t="str">
        <f>_xll.BQL("CRM US Equity", "SBC_NON_GAAP_TO_SALES", "FPR=2022Y", "FPT=A", "FA_ACT_EST_DATA=E, EST_SOURCE=ACC", "ACT_EST_MAPPING=PRECISE", "FS=MRC", "CURRENCY=USD", "XLFILL=b")</f>
        <v/>
      </c>
      <c r="AO159" s="9" t="str">
        <f>_xll.BQL("CRM US Equity", "SBC_NON_GAAP_TO_SALES", "FPR=2022Y", "FPT=A", "FA_ACT_EST_DATA=E, EST_SOURCE=GSR", "ACT_EST_MAPPING=PRECISE", "FS=MRC", "CURRENCY=USD", "XLFILL=b")</f>
        <v/>
      </c>
      <c r="AP159" s="9" t="str">
        <f>_xll.BQL("CRM US Equity", "SBC_NON_GAAP_TO_SALES", "FPR=2022Y", "FPT=A", "FA_ACT_EST_DATA=E, EST_SOURCE=PSG", "ACT_EST_MAPPING=PRECISE", "FS=MRC", "CURRENCY=USD", "XLFILL=b")</f>
        <v/>
      </c>
      <c r="AQ159" s="9" t="str">
        <f>_xll.BQL("CRM US Equity", "SBC_NON_GAAP_TO_SALES", "FPR=2022Y", "FPT=A", "FA_ACT_EST_DATA=E, EST_SOURCE=DWI", "ACT_EST_MAPPING=PRECISE", "FS=MRC", "CURRENCY=USD", "XLFILL=b")</f>
        <v/>
      </c>
      <c r="AR159" s="9" t="str">
        <f>_xll.BQL("CRM US Equity", "SBC_NON_GAAP_TO_SALES", "FPR=2022Y", "FPT=A", "FA_ACT_EST_DATA=E, EST_SOURCE=RWB", "ACT_EST_MAPPING=PRECISE", "FS=MRC", "CURRENCY=USD", "XLFILL=b")</f>
        <v/>
      </c>
      <c r="AS159" s="9" t="str">
        <f>_xll.BQL("CRM US Equity", "SBC_NON_GAAP_TO_SALES", "FPR=2022Y", "FPT=A", "FA_ACT_EST_DATA=E, EST_SOURCE=ARG", "ACT_EST_MAPPING=PRECISE", "FS=MRC", "CURRENCY=USD", "XLFILL=b")</f>
        <v/>
      </c>
      <c r="AT159" s="9" t="str">
        <f>_xll.BQL("CRM US Equity", "SBC_NON_GAAP_TO_SALES", "FPR=2022Y", "FPT=A", "FA_ACT_EST_DATA=E, EST_SOURCE=CTI", "ACT_EST_MAPPING=PRECISE", "FS=MRC", "CURRENCY=USD", "XLFILL=b")</f>
        <v/>
      </c>
      <c r="AU159" s="9" t="str">
        <f>_xll.BQL("CRM US Equity", "SBC_NON_GAAP_TO_SALES", "FPR=2022Y", "FPT=A", "FA_ACT_EST_DATA=E, EST_SOURCE=WFT", "ACT_EST_MAPPING=PRECISE", "FS=MRC", "CURRENCY=USD", "XLFILL=b")</f>
        <v/>
      </c>
      <c r="AV159" s="9" t="str">
        <f>_xll.BQL("CRM US Equity", "SBC_NON_GAAP_TO_SALES", "FPR=2022Y", "FPT=A", "FA_ACT_EST_DATA=E, EST_SOURCE=PJE", "ACT_EST_MAPPING=PRECISE", "FS=MRC", "CURRENCY=USD", "XLFILL=b")</f>
        <v/>
      </c>
      <c r="AW159" s="9" t="str">
        <f>_xll.BQL("CRM US Equity", "SBC_NON_GAAP_TO_SALES", "FPR=2022Y", "FPT=A", "FA_ACT_EST_DATA=E, EST_SOURCE=SGE", "ACT_EST_MAPPING=PRECISE", "FS=MRC", "CURRENCY=USD", "XLFILL=b")</f>
        <v/>
      </c>
      <c r="AX159" s="9" t="str">
        <f>_xll.BQL("CRM US Equity", "SBC_NON_GAAP_TO_SALES", "FPR=2022Y", "FPT=A", "FA_ACT_EST_DATA=E, EST_SOURCE=MZS", "ACT_EST_MAPPING=PRECISE", "FS=MRC", "CURRENCY=USD", "XLFILL=b")</f>
        <v/>
      </c>
      <c r="AY159" s="9" t="str">
        <f>_xll.BQL("CRM US Equity", "SBC_NON_GAAP_TO_SALES", "FPR=2022Y", "FPT=A", "FA_ACT_EST_DATA=E, EST_SOURCE=RCP", "ACT_EST_MAPPING=PRECISE", "FS=MRC", "CURRENCY=USD", "XLFILL=b")</f>
        <v/>
      </c>
      <c r="AZ159" s="9" t="str">
        <f>_xll.BQL("CRM US Equity", "SBC_NON_GAAP_TO_SALES", "FPR=2022Y", "FPT=A", "FA_ACT_EST_DATA=E, EST_SOURCE=WFR", "ACT_EST_MAPPING=PRECISE", "FS=MRC", "CURRENCY=USD", "XLFILL=b")</f>
        <v/>
      </c>
      <c r="BA159" s="9" t="str">
        <f>_xll.BQL("CRM US Equity", "SBC_NON_GAAP_TO_SALES", "FPR=2022Y", "FPT=A", "FA_ACT_EST_DATA=E, EST_SOURCE=NIK", "ACT_EST_MAPPING=PRECISE", "FS=MRC", "CURRENCY=USD", "XLFILL=b")</f>
        <v/>
      </c>
      <c r="BB159" s="9" t="str">
        <f>_xll.BQL("CRM US Equity", "SBC_NON_GAAP_TO_SALES", "FPR=2022Y", "FPT=A", "FA_ACT_EST_DATA=E, EST_SOURCE=ARE", "ACT_EST_MAPPING=PRECISE", "FS=MRC", "CURRENCY=USD", "XLFILL=b")</f>
        <v/>
      </c>
      <c r="BC159" s="9" t="str">
        <f>_xll.BQL("CRM US Equity", "SBC_NON_GAAP_TO_SALES", "FPR=2022Y", "FPT=A", "FA_ACT_EST_DATA=E, EST_SOURCE=RED", "ACT_EST_MAPPING=PRECISE", "FS=MRC", "CURRENCY=USD", "XLFILL=b")</f>
        <v/>
      </c>
      <c r="BD159" s="9" t="str">
        <f>_xll.BQL("CRM US Equity", "SBC_NON_GAAP_TO_SALES", "FPR=2022Y", "FPT=A", "FA_ACT_EST_DATA=E, EST_SOURCE=DIR", "ACT_EST_MAPPING=PRECISE", "FS=MRC", "CURRENCY=USD", "XLFILL=b")</f>
        <v/>
      </c>
    </row>
    <row r="160" spans="1:56" x14ac:dyDescent="0.55000000000000004">
      <c r="A160" s="8" t="s">
        <v>305</v>
      </c>
      <c r="B160" s="5"/>
      <c r="C160" s="5" t="s">
        <v>306</v>
      </c>
      <c r="D160" s="5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</row>
    <row r="161" spans="1:56" x14ac:dyDescent="0.55000000000000004">
      <c r="A161" s="8" t="s">
        <v>200</v>
      </c>
      <c r="B161" s="5" t="s">
        <v>307</v>
      </c>
      <c r="C161" s="5" t="s">
        <v>202</v>
      </c>
      <c r="D161" s="5"/>
      <c r="E161" s="9">
        <f>_xll.BQL("CRM US Equity", "CF_ACCT_RCV_UNBILLED_REV/1M", "FPR=2022Y", "FPT=A", "FA_ACT_EST_DATA=E", "ACT_EST_MAPPING=PRECISE", "FS=MRC", "CURRENCY=USD", "XLFILL=b")</f>
        <v>-1584.734475152814</v>
      </c>
      <c r="F161" s="9">
        <f>_xll.BQL("CRM US Equity", "CONTRIBUTOR_STATS(CF_ACCT_RCV_UNBILLED_REV, MIN)/1M", "FPR=2022Y", "FPT=A", "FA_ACT_EST_DATA=E", "ACT_EST_MAPPING=PRECISE", "FS=MRC", "CURRENCY=USD", "XLFILL=b")</f>
        <v>-2333.1839359999999</v>
      </c>
      <c r="G161" s="9">
        <f>_xll.BQL("CRM US Equity", "CONTRIBUTOR_STATS(CF_ACCT_RCV_UNBILLED_REV, MAX)/1M", "FPR=2022Y", "FPT=A", "FA_ACT_EST_DATA=E", "ACT_EST_MAPPING=PRECISE", "FS=MRC", "CURRENCY=USD", "XLFILL=b")</f>
        <v>-932.04092067452802</v>
      </c>
      <c r="H161" s="9">
        <f>_xll.BQL("CRM US Equity", "CONTRIBUTOR_STATS(CF_ACCT_RCV_UNBILLED_REV, STD)/1M", "FPR=2022Y", "FPT=A", "FA_ACT_EST_DATA=E", "ACT_EST_MAPPING=PRECISE", "FS=MRC", "CURRENCY=USD", "XLFILL=b")</f>
        <v>363.51204967077115</v>
      </c>
      <c r="I161" s="9">
        <f>_xll.BQL("CRM US Equity", "CONTRIBUTOR_STATS(CF_ACCT_RCV_UNBILLED_REV, MEDIAN)/1M", "FPR=2022Y", "FPT=A", "FA_ACT_EST_DATA=E", "ACT_EST_MAPPING=PRECISE", "FS=MRC", "CURRENCY=USD", "XLFILL=b")</f>
        <v>-1484.2850000000001</v>
      </c>
      <c r="J161" s="9" t="str">
        <f>_xll.BQL("CRM US Equity", "CF_ACCT_RCV_UNBILLED_REV/1M", "FPR=2022Y", "FPT=A", "FA_ACT_EST_DATA=E, EST_SOURCE=CMPY", "ACT_EST_MAPPING=PRECISE", "FS=MRC", "CURRENCY=USD", "XLFILL=b")</f>
        <v/>
      </c>
      <c r="K161" s="9" t="str">
        <f>_xll.BQL("CRM US Equity", "CF_ACCT_RCV_UNBILLED_REV/1M", "FPR=2022Y", "FPT=A", "FA_ACT_EST_DATA=E, EST_SOURCE=WBL", "ACT_EST_MAPPING=PRECISE", "FS=MRC", "CURRENCY=USD", "XLFILL=b")</f>
        <v/>
      </c>
      <c r="L161" s="9" t="str">
        <f>_xll.BQL("CRM US Equity", "CF_ACCT_RCV_UNBILLED_REV/1M", "FPR=2022Y", "FPT=A", "FA_ACT_EST_DATA=E, EST_SOURCE=BMO", "ACT_EST_MAPPING=PRECISE", "FS=MRC", "CURRENCY=USD", "XLFILL=b")</f>
        <v/>
      </c>
      <c r="M161" s="9">
        <f>_xll.BQL("CRM US Equity", "CF_ACCT_RCV_UNBILLED_REV/1M", "FPR=2022Y", "FPT=A", "FA_ACT_EST_DATA=E, EST_SOURCE=BCA", "ACT_EST_MAPPING=PRECISE", "FS=MRC", "CURRENCY=USD", "XLFILL=b")</f>
        <v>-688.91422224417704</v>
      </c>
      <c r="N161" s="9" t="str">
        <f>_xll.BQL("CRM US Equity", "CF_ACCT_RCV_UNBILLED_REV/1M", "FPR=2022Y", "FPT=A", "FA_ACT_EST_DATA=E, EST_SOURCE=SNR", "ACT_EST_MAPPING=PRECISE", "FS=MRC", "CURRENCY=USD", "XLFILL=b")</f>
        <v/>
      </c>
      <c r="O161" s="9">
        <f>_xll.BQL("CRM US Equity", "CF_ACCT_RCV_UNBILLED_REV/1M", "FPR=2022Y", "FPT=A", "FA_ACT_EST_DATA=E, EST_SOURCE=MSV", "ACT_EST_MAPPING=PRECISE", "FS=MRC", "CURRENCY=USD", "XLFILL=b")</f>
        <v>-1758.065435616438</v>
      </c>
      <c r="P161" s="9">
        <f>_xll.BQL("CRM US Equity", "CF_ACCT_RCV_UNBILLED_REV/1M", "FPR=2022Y", "FPT=A", "FA_ACT_EST_DATA=E, EST_SOURCE=DBG", "ACT_EST_MAPPING=PRECISE", "FS=MRC", "CURRENCY=USD", "XLFILL=b")</f>
        <v>-932.04092067452802</v>
      </c>
      <c r="Q161" s="9">
        <f>_xll.BQL("CRM US Equity", "CF_ACCT_RCV_UNBILLED_REV/1M", "FPR=2022Y", "FPT=A", "FA_ACT_EST_DATA=E, EST_SOURCE=NDH", "ACT_EST_MAPPING=PRECISE", "FS=MRC", "CURRENCY=USD", "XLFILL=b")</f>
        <v>-1484.2850000000001</v>
      </c>
      <c r="R161" s="9" t="str">
        <f>_xll.BQL("CRM US Equity", "CF_ACCT_RCV_UNBILLED_REV/1M", "FPR=2022Y", "FPT=A", "FA_ACT_EST_DATA=E, EST_SOURCE=CAN", "ACT_EST_MAPPING=PRECISE", "FS=MRC", "CURRENCY=USD", "XLFILL=b")</f>
        <v/>
      </c>
      <c r="S161" s="9" t="str">
        <f>_xll.BQL("CRM US Equity", "CF_ACCT_RCV_UNBILLED_REV/1M", "FPR=2022Y", "FPT=A", "FA_ACT_EST_DATA=E, EST_SOURCE=SCB", "ACT_EST_MAPPING=PRECISE", "FS=MRC", "CURRENCY=USD", "XLFILL=b")</f>
        <v/>
      </c>
      <c r="T161" s="9" t="str">
        <f>_xll.BQL("CRM US Equity", "CF_ACCT_RCV_UNBILLED_REV/1M", "FPR=2022Y", "FPT=A", "FA_ACT_EST_DATA=E, EST_SOURCE=JMP", "ACT_EST_MAPPING=PRECISE", "FS=MRC", "CURRENCY=USD", "XLFILL=b")</f>
        <v/>
      </c>
      <c r="U161" s="9" t="str">
        <f>_xll.BQL("CRM US Equity", "CF_ACCT_RCV_UNBILLED_REV/1M", "FPR=2022Y", "FPT=A", "FA_ACT_EST_DATA=E, EST_SOURCE=RJA", "ACT_EST_MAPPING=PRECISE", "FS=MRC", "CURRENCY=USD", "XLFILL=b")</f>
        <v/>
      </c>
      <c r="V161" s="9" t="str">
        <f>_xll.BQL("CRM US Equity", "CF_ACCT_RCV_UNBILLED_REV/1M", "FPR=2022Y", "FPT=A", "FA_ACT_EST_DATA=E, EST_SOURCE=OPY", "ACT_EST_MAPPING=PRECISE", "FS=MRC", "CURRENCY=USD", "XLFILL=b")</f>
        <v/>
      </c>
      <c r="W161" s="9" t="str">
        <f>_xll.BQL("CRM US Equity", "CF_ACCT_RCV_UNBILLED_REV/1M", "FPR=2022Y", "FPT=A", "FA_ACT_EST_DATA=E, EST_SOURCE=JPM", "ACT_EST_MAPPING=PRECISE", "FS=MRC", "CURRENCY=USD", "XLFILL=b")</f>
        <v/>
      </c>
      <c r="X161" s="9">
        <f>_xll.BQL("CRM US Equity", "CF_ACCT_RCV_UNBILLED_REV/1M", "FPR=2022Y", "FPT=A", "FA_ACT_EST_DATA=E, EST_SOURCE=FBC", "ACT_EST_MAPPING=PRECISE", "FS=MRC", "CURRENCY=USD", "XLFILL=b")</f>
        <v>-127.3315302717447</v>
      </c>
      <c r="Y161" s="9">
        <f>_xll.BQL("CRM US Equity", "CF_ACCT_RCV_UNBILLED_REV/1M", "FPR=2022Y", "FPT=A", "FA_ACT_EST_DATA=E, EST_SOURCE=WMS", "ACT_EST_MAPPING=PRECISE", "FS=MRC", "CURRENCY=USD", "XLFILL=b")</f>
        <v>-1075.8817087269581</v>
      </c>
      <c r="Z161" s="9">
        <f>_xll.BQL("CRM US Equity", "CF_ACCT_RCV_UNBILLED_REV/1M", "FPR=2022Y", "FPT=A", "FA_ACT_EST_DATA=E, EST_SOURCE=KEY", "ACT_EST_MAPPING=PRECISE", "FS=MRC", "CURRENCY=USD", "XLFILL=b")</f>
        <v>-1176.405856637866</v>
      </c>
      <c r="AA161" s="9" t="str">
        <f>_xll.BQL("CRM US Equity", "CF_ACCT_RCV_UNBILLED_REV/1M", "FPR=2022Y", "FPT=A", "FA_ACT_EST_DATA=E, EST_SOURCE=LCM", "ACT_EST_MAPPING=PRECISE", "FS=MRC", "CURRENCY=USD", "XLFILL=b")</f>
        <v/>
      </c>
      <c r="AB161" s="9" t="str">
        <f>_xll.BQL("CRM US Equity", "CF_ACCT_RCV_UNBILLED_REV/1M", "FPR=2022Y", "FPT=A", "FA_ACT_EST_DATA=E, EST_SOURCE=CWN", "ACT_EST_MAPPING=PRECISE", "FS=MRC", "CURRENCY=USD", "XLFILL=b")</f>
        <v/>
      </c>
      <c r="AC161" s="9" t="str">
        <f>_xll.BQL("CRM US Equity", "CF_ACCT_RCV_UNBILLED_REV/1M", "FPR=2022Y", "FPT=A", "FA_ACT_EST_DATA=E, EST_SOURCE=BNS", "ACT_EST_MAPPING=PRECISE", "FS=MRC", "CURRENCY=USD", "XLFILL=b")</f>
        <v/>
      </c>
      <c r="AD161" s="9" t="str">
        <f>_xll.BQL("CRM US Equity", "CF_ACCT_RCV_UNBILLED_REV/1M", "FPR=2022Y", "FPT=A", "FA_ACT_EST_DATA=E, EST_SOURCE=BAM", "ACT_EST_MAPPING=PRECISE", "FS=MRC", "CURRENCY=USD", "XLFILL=b")</f>
        <v/>
      </c>
      <c r="AE161" s="9" t="str">
        <f>_xll.BQL("CRM US Equity", "CF_ACCT_RCV_UNBILLED_REV/1M", "FPR=2022Y", "FPT=A", "FA_ACT_EST_DATA=E, EST_SOURCE=RBC", "ACT_EST_MAPPING=PRECISE", "FS=MRC", "CURRENCY=USD", "XLFILL=b")</f>
        <v/>
      </c>
      <c r="AF161" s="9" t="str">
        <f>_xll.BQL("CRM US Equity", "CF_ACCT_RCV_UNBILLED_REV/1M", "FPR=2022Y", "FPT=A", "FA_ACT_EST_DATA=E, EST_SOURCE=UBS", "ACT_EST_MAPPING=PRECISE", "FS=MRC", "CURRENCY=USD", "XLFILL=b")</f>
        <v/>
      </c>
      <c r="AG161" s="9" t="str">
        <f>_xll.BQL("CRM US Equity", "CF_ACCT_RCV_UNBILLED_REV/1M", "FPR=2022Y", "FPT=A", "FA_ACT_EST_DATA=E, EST_SOURCE=RHR", "ACT_EST_MAPPING=PRECISE", "FS=MRC", "CURRENCY=USD", "XLFILL=b")</f>
        <v/>
      </c>
      <c r="AH161" s="9" t="str">
        <f>_xll.BQL("CRM US Equity", "CF_ACCT_RCV_UNBILLED_REV/1M", "FPR=2022Y", "FPT=A", "FA_ACT_EST_DATA=E, EST_SOURCE=JEF", "ACT_EST_MAPPING=PRECISE", "FS=MRC", "CURRENCY=USD", "XLFILL=b")</f>
        <v/>
      </c>
      <c r="AI161" s="9" t="str">
        <f>_xll.BQL("CRM US Equity", "CF_ACCT_RCV_UNBILLED_REV/1M", "FPR=2022Y", "FPT=A", "FA_ACT_EST_DATA=E, EST_SOURCE=ATL", "ACT_EST_MAPPING=PRECISE", "FS=MRC", "CURRENCY=USD", "XLFILL=b")</f>
        <v/>
      </c>
      <c r="AJ161" s="9" t="str">
        <f>_xll.BQL("CRM US Equity", "CF_ACCT_RCV_UNBILLED_REV/1M", "FPR=2022Y", "FPT=A", "FA_ACT_EST_DATA=E, EST_SOURCE=MAC", "ACT_EST_MAPPING=PRECISE", "FS=MRC", "CURRENCY=USD", "XLFILL=b")</f>
        <v/>
      </c>
      <c r="AK161" s="9" t="str">
        <f>_xll.BQL("CRM US Equity", "CF_ACCT_RCV_UNBILLED_REV/1M", "FPR=2022Y", "FPT=A", "FA_ACT_EST_DATA=E, EST_SOURCE=EVR", "ACT_EST_MAPPING=PRECISE", "FS=MRC", "CURRENCY=USD", "XLFILL=b")</f>
        <v/>
      </c>
      <c r="AL161" s="9" t="str">
        <f>_xll.BQL("CRM US Equity", "CF_ACCT_RCV_UNBILLED_REV/1M", "FPR=2022Y", "FPT=A", "FA_ACT_EST_DATA=E, EST_SOURCE=MSR", "ACT_EST_MAPPING=PRECISE", "FS=MRC", "CURRENCY=USD", "XLFILL=b")</f>
        <v/>
      </c>
      <c r="AM161" s="9" t="str">
        <f>_xll.BQL("CRM US Equity", "CF_ACCT_RCV_UNBILLED_REV/1M", "FPR=2022Y", "FPT=A", "FA_ACT_EST_DATA=E, EST_SOURCE=KGI", "ACT_EST_MAPPING=PRECISE", "FS=MRC", "CURRENCY=USD", "XLFILL=b")</f>
        <v/>
      </c>
      <c r="AN161" s="9" t="str">
        <f>_xll.BQL("CRM US Equity", "CF_ACCT_RCV_UNBILLED_REV/1M", "FPR=2022Y", "FPT=A", "FA_ACT_EST_DATA=E, EST_SOURCE=ACC", "ACT_EST_MAPPING=PRECISE", "FS=MRC", "CURRENCY=USD", "XLFILL=b")</f>
        <v/>
      </c>
      <c r="AO161" s="9" t="str">
        <f>_xll.BQL("CRM US Equity", "CF_ACCT_RCV_UNBILLED_REV/1M", "FPR=2022Y", "FPT=A", "FA_ACT_EST_DATA=E, EST_SOURCE=GSR", "ACT_EST_MAPPING=PRECISE", "FS=MRC", "CURRENCY=USD", "XLFILL=b")</f>
        <v/>
      </c>
      <c r="AP161" s="9" t="str">
        <f>_xll.BQL("CRM US Equity", "CF_ACCT_RCV_UNBILLED_REV/1M", "FPR=2022Y", "FPT=A", "FA_ACT_EST_DATA=E, EST_SOURCE=PSG", "ACT_EST_MAPPING=PRECISE", "FS=MRC", "CURRENCY=USD", "XLFILL=b")</f>
        <v/>
      </c>
      <c r="AQ161" s="9" t="str">
        <f>_xll.BQL("CRM US Equity", "CF_ACCT_RCV_UNBILLED_REV/1M", "FPR=2022Y", "FPT=A", "FA_ACT_EST_DATA=E, EST_SOURCE=DWI", "ACT_EST_MAPPING=PRECISE", "FS=MRC", "CURRENCY=USD", "XLFILL=b")</f>
        <v/>
      </c>
      <c r="AR161" s="9" t="str">
        <f>_xll.BQL("CRM US Equity", "CF_ACCT_RCV_UNBILLED_REV/1M", "FPR=2022Y", "FPT=A", "FA_ACT_EST_DATA=E, EST_SOURCE=RWB", "ACT_EST_MAPPING=PRECISE", "FS=MRC", "CURRENCY=USD", "XLFILL=b")</f>
        <v/>
      </c>
      <c r="AS161" s="9" t="str">
        <f>_xll.BQL("CRM US Equity", "CF_ACCT_RCV_UNBILLED_REV/1M", "FPR=2022Y", "FPT=A", "FA_ACT_EST_DATA=E, EST_SOURCE=ARG", "ACT_EST_MAPPING=PRECISE", "FS=MRC", "CURRENCY=USD", "XLFILL=b")</f>
        <v/>
      </c>
      <c r="AT161" s="9" t="str">
        <f>_xll.BQL("CRM US Equity", "CF_ACCT_RCV_UNBILLED_REV/1M", "FPR=2022Y", "FPT=A", "FA_ACT_EST_DATA=E, EST_SOURCE=CTI", "ACT_EST_MAPPING=PRECISE", "FS=MRC", "CURRENCY=USD", "XLFILL=b")</f>
        <v/>
      </c>
      <c r="AU161" s="9" t="str">
        <f>_xll.BQL("CRM US Equity", "CF_ACCT_RCV_UNBILLED_REV/1M", "FPR=2022Y", "FPT=A", "FA_ACT_EST_DATA=E, EST_SOURCE=WFT", "ACT_EST_MAPPING=PRECISE", "FS=MRC", "CURRENCY=USD", "XLFILL=b")</f>
        <v/>
      </c>
      <c r="AV161" s="9" t="str">
        <f>_xll.BQL("CRM US Equity", "CF_ACCT_RCV_UNBILLED_REV/1M", "FPR=2022Y", "FPT=A", "FA_ACT_EST_DATA=E, EST_SOURCE=PJE", "ACT_EST_MAPPING=PRECISE", "FS=MRC", "CURRENCY=USD", "XLFILL=b")</f>
        <v/>
      </c>
      <c r="AW161" s="9" t="str">
        <f>_xll.BQL("CRM US Equity", "CF_ACCT_RCV_UNBILLED_REV/1M", "FPR=2022Y", "FPT=A", "FA_ACT_EST_DATA=E, EST_SOURCE=SGE", "ACT_EST_MAPPING=PRECISE", "FS=MRC", "CURRENCY=USD", "XLFILL=b")</f>
        <v/>
      </c>
      <c r="AX161" s="9" t="str">
        <f>_xll.BQL("CRM US Equity", "CF_ACCT_RCV_UNBILLED_REV/1M", "FPR=2022Y", "FPT=A", "FA_ACT_EST_DATA=E, EST_SOURCE=MZS", "ACT_EST_MAPPING=PRECISE", "FS=MRC", "CURRENCY=USD", "XLFILL=b")</f>
        <v/>
      </c>
      <c r="AY161" s="9" t="str">
        <f>_xll.BQL("CRM US Equity", "CF_ACCT_RCV_UNBILLED_REV/1M", "FPR=2022Y", "FPT=A", "FA_ACT_EST_DATA=E, EST_SOURCE=RCP", "ACT_EST_MAPPING=PRECISE", "FS=MRC", "CURRENCY=USD", "XLFILL=b")</f>
        <v/>
      </c>
      <c r="AZ161" s="9" t="str">
        <f>_xll.BQL("CRM US Equity", "CF_ACCT_RCV_UNBILLED_REV/1M", "FPR=2022Y", "FPT=A", "FA_ACT_EST_DATA=E, EST_SOURCE=WFR", "ACT_EST_MAPPING=PRECISE", "FS=MRC", "CURRENCY=USD", "XLFILL=b")</f>
        <v/>
      </c>
      <c r="BA161" s="9" t="str">
        <f>_xll.BQL("CRM US Equity", "CF_ACCT_RCV_UNBILLED_REV/1M", "FPR=2022Y", "FPT=A", "FA_ACT_EST_DATA=E, EST_SOURCE=NIK", "ACT_EST_MAPPING=PRECISE", "FS=MRC", "CURRENCY=USD", "XLFILL=b")</f>
        <v/>
      </c>
      <c r="BB161" s="9" t="str">
        <f>_xll.BQL("CRM US Equity", "CF_ACCT_RCV_UNBILLED_REV/1M", "FPR=2022Y", "FPT=A", "FA_ACT_EST_DATA=E, EST_SOURCE=ARE", "ACT_EST_MAPPING=PRECISE", "FS=MRC", "CURRENCY=USD", "XLFILL=b")</f>
        <v/>
      </c>
      <c r="BC161" s="9" t="str">
        <f>_xll.BQL("CRM US Equity", "CF_ACCT_RCV_UNBILLED_REV/1M", "FPR=2022Y", "FPT=A", "FA_ACT_EST_DATA=E, EST_SOURCE=RED", "ACT_EST_MAPPING=PRECISE", "FS=MRC", "CURRENCY=USD", "XLFILL=b")</f>
        <v/>
      </c>
      <c r="BD161" s="9" t="str">
        <f>_xll.BQL("CRM US Equity", "CF_ACCT_RCV_UNBILLED_REV/1M", "FPR=2022Y", "FPT=A", "FA_ACT_EST_DATA=E, EST_SOURCE=DIR", "ACT_EST_MAPPING=PRECISE", "FS=MRC", "CURRENCY=USD", "XLFILL=b")</f>
        <v/>
      </c>
    </row>
    <row r="162" spans="1:56" x14ac:dyDescent="0.55000000000000004">
      <c r="A162" s="8" t="s">
        <v>206</v>
      </c>
      <c r="B162" s="5" t="s">
        <v>308</v>
      </c>
      <c r="C162" s="5" t="s">
        <v>208</v>
      </c>
      <c r="D162" s="5"/>
      <c r="E162" s="9">
        <f>_xll.BQL("CRM US Equity", "CF_CHANGE_IN_PREPAID_EXPNSS/1M", "FPR=2022Y", "FPT=A", "FA_ACT_EST_DATA=E", "ACT_EST_MAPPING=PRECISE", "FS=MRC", "CURRENCY=USD", "XLFILL=b")</f>
        <v>-106.79824097100391</v>
      </c>
      <c r="F162" s="9">
        <f>_xll.BQL("CRM US Equity", "CONTRIBUTOR_STATS(CF_CHANGE_IN_PREPAID_EXPNSS, MIN)/1M", "FPR=2022Y", "FPT=A", "FA_ACT_EST_DATA=E", "ACT_EST_MAPPING=PRECISE", "FS=MRC", "CURRENCY=USD", "XLFILL=b")</f>
        <v>-1487.4</v>
      </c>
      <c r="G162" s="9">
        <f>_xll.BQL("CRM US Equity", "CONTRIBUTOR_STATS(CF_CHANGE_IN_PREPAID_EXPNSS, MAX)/1M", "FPR=2022Y", "FPT=A", "FA_ACT_EST_DATA=E", "ACT_EST_MAPPING=PRECISE", "FS=MRC", "CURRENCY=USD", "XLFILL=b")</f>
        <v>291.8769999999999</v>
      </c>
      <c r="H162" s="9">
        <f>_xll.BQL("CRM US Equity", "CONTRIBUTOR_STATS(CF_CHANGE_IN_PREPAID_EXPNSS, STD)/1M", "FPR=2022Y", "FPT=A", "FA_ACT_EST_DATA=E", "ACT_EST_MAPPING=PRECISE", "FS=MRC", "CURRENCY=USD", "XLFILL=b")</f>
        <v>457.23941336302971</v>
      </c>
      <c r="I162" s="9">
        <f>_xll.BQL("CRM US Equity", "CONTRIBUTOR_STATS(CF_CHANGE_IN_PREPAID_EXPNSS, MEDIAN)/1M", "FPR=2022Y", "FPT=A", "FA_ACT_EST_DATA=E", "ACT_EST_MAPPING=PRECISE", "FS=MRC", "CURRENCY=USD", "XLFILL=b")</f>
        <v>-1</v>
      </c>
      <c r="J162" s="9" t="str">
        <f>_xll.BQL("CRM US Equity", "CF_CHANGE_IN_PREPAID_EXPNSS/1M", "FPR=2022Y", "FPT=A", "FA_ACT_EST_DATA=E, EST_SOURCE=CMPY", "ACT_EST_MAPPING=PRECISE", "FS=MRC", "CURRENCY=USD", "XLFILL=b")</f>
        <v/>
      </c>
      <c r="K162" s="9" t="str">
        <f>_xll.BQL("CRM US Equity", "CF_CHANGE_IN_PREPAID_EXPNSS/1M", "FPR=2022Y", "FPT=A", "FA_ACT_EST_DATA=E, EST_SOURCE=WBL", "ACT_EST_MAPPING=PRECISE", "FS=MRC", "CURRENCY=USD", "XLFILL=b")</f>
        <v/>
      </c>
      <c r="L162" s="9" t="str">
        <f>_xll.BQL("CRM US Equity", "CF_CHANGE_IN_PREPAID_EXPNSS/1M", "FPR=2022Y", "FPT=A", "FA_ACT_EST_DATA=E, EST_SOURCE=BMO", "ACT_EST_MAPPING=PRECISE", "FS=MRC", "CURRENCY=USD", "XLFILL=b")</f>
        <v/>
      </c>
      <c r="M162" s="9">
        <f>_xll.BQL("CRM US Equity", "CF_CHANGE_IN_PREPAID_EXPNSS/1M", "FPR=2022Y", "FPT=A", "FA_ACT_EST_DATA=E, EST_SOURCE=BCA", "ACT_EST_MAPPING=PRECISE", "FS=MRC", "CURRENCY=USD", "XLFILL=b")</f>
        <v>164.35000000000008</v>
      </c>
      <c r="N162" s="9" t="str">
        <f>_xll.BQL("CRM US Equity", "CF_CHANGE_IN_PREPAID_EXPNSS/1M", "FPR=2022Y", "FPT=A", "FA_ACT_EST_DATA=E, EST_SOURCE=SNR", "ACT_EST_MAPPING=PRECISE", "FS=MRC", "CURRENCY=USD", "XLFILL=b")</f>
        <v/>
      </c>
      <c r="O162" s="9">
        <f>_xll.BQL("CRM US Equity", "CF_CHANGE_IN_PREPAID_EXPNSS/1M", "FPR=2022Y", "FPT=A", "FA_ACT_EST_DATA=E, EST_SOURCE=MSV", "ACT_EST_MAPPING=PRECISE", "FS=MRC", "CURRENCY=USD", "XLFILL=b")</f>
        <v>-1</v>
      </c>
      <c r="P162" s="9">
        <f>_xll.BQL("CRM US Equity", "CF_CHANGE_IN_PREPAID_EXPNSS/1M", "FPR=2022Y", "FPT=A", "FA_ACT_EST_DATA=E, EST_SOURCE=DBG", "ACT_EST_MAPPING=PRECISE", "FS=MRC", "CURRENCY=USD", "XLFILL=b")</f>
        <v>-151.20093540008472</v>
      </c>
      <c r="Q162" s="9">
        <f>_xll.BQL("CRM US Equity", "CF_CHANGE_IN_PREPAID_EXPNSS/1M", "FPR=2022Y", "FPT=A", "FA_ACT_EST_DATA=E, EST_SOURCE=NDH", "ACT_EST_MAPPING=PRECISE", "FS=MRC", "CURRENCY=USD", "XLFILL=b")</f>
        <v>291.8769999999999</v>
      </c>
      <c r="R162" s="9" t="str">
        <f>_xll.BQL("CRM US Equity", "CF_CHANGE_IN_PREPAID_EXPNSS/1M", "FPR=2022Y", "FPT=A", "FA_ACT_EST_DATA=E, EST_SOURCE=CAN", "ACT_EST_MAPPING=PRECISE", "FS=MRC", "CURRENCY=USD", "XLFILL=b")</f>
        <v/>
      </c>
      <c r="S162" s="9" t="str">
        <f>_xll.BQL("CRM US Equity", "CF_CHANGE_IN_PREPAID_EXPNSS/1M", "FPR=2022Y", "FPT=A", "FA_ACT_EST_DATA=E, EST_SOURCE=SCB", "ACT_EST_MAPPING=PRECISE", "FS=MRC", "CURRENCY=USD", "XLFILL=b")</f>
        <v/>
      </c>
      <c r="T162" s="9">
        <f>_xll.BQL("CRM US Equity", "CF_CHANGE_IN_PREPAID_EXPNSS/1M", "FPR=2022Y", "FPT=A", "FA_ACT_EST_DATA=E, EST_SOURCE=JMP", "ACT_EST_MAPPING=PRECISE", "FS=MRC", "CURRENCY=USD", "XLFILL=b")</f>
        <v>-1</v>
      </c>
      <c r="U162" s="9" t="str">
        <f>_xll.BQL("CRM US Equity", "CF_CHANGE_IN_PREPAID_EXPNSS/1M", "FPR=2022Y", "FPT=A", "FA_ACT_EST_DATA=E, EST_SOURCE=RJA", "ACT_EST_MAPPING=PRECISE", "FS=MRC", "CURRENCY=USD", "XLFILL=b")</f>
        <v/>
      </c>
      <c r="V162" s="9" t="str">
        <f>_xll.BQL("CRM US Equity", "CF_CHANGE_IN_PREPAID_EXPNSS/1M", "FPR=2022Y", "FPT=A", "FA_ACT_EST_DATA=E, EST_SOURCE=OPY", "ACT_EST_MAPPING=PRECISE", "FS=MRC", "CURRENCY=USD", "XLFILL=b")</f>
        <v/>
      </c>
      <c r="W162" s="9" t="str">
        <f>_xll.BQL("CRM US Equity", "CF_CHANGE_IN_PREPAID_EXPNSS/1M", "FPR=2022Y", "FPT=A", "FA_ACT_EST_DATA=E, EST_SOURCE=JPM", "ACT_EST_MAPPING=PRECISE", "FS=MRC", "CURRENCY=USD", "XLFILL=b")</f>
        <v/>
      </c>
      <c r="X162" s="9">
        <f>_xll.BQL("CRM US Equity", "CF_CHANGE_IN_PREPAID_EXPNSS/1M", "FPR=2022Y", "FPT=A", "FA_ACT_EST_DATA=E, EST_SOURCE=FBC", "ACT_EST_MAPPING=PRECISE", "FS=MRC", "CURRENCY=USD", "XLFILL=b")</f>
        <v>-144.93170415028339</v>
      </c>
      <c r="Y162" s="9">
        <f>_xll.BQL("CRM US Equity", "CF_CHANGE_IN_PREPAID_EXPNSS/1M", "FPR=2022Y", "FPT=A", "FA_ACT_EST_DATA=E, EST_SOURCE=WMS", "ACT_EST_MAPPING=PRECISE", "FS=MRC", "CURRENCY=USD", "XLFILL=b")</f>
        <v>29.426334442199959</v>
      </c>
      <c r="Z162" s="9">
        <f>_xll.BQL("CRM US Equity", "CF_CHANGE_IN_PREPAID_EXPNSS/1M", "FPR=2022Y", "FPT=A", "FA_ACT_EST_DATA=E, EST_SOURCE=KEY", "ACT_EST_MAPPING=PRECISE", "FS=MRC", "CURRENCY=USD", "XLFILL=b")</f>
        <v>-430.21482535199704</v>
      </c>
      <c r="AA162" s="9" t="str">
        <f>_xll.BQL("CRM US Equity", "CF_CHANGE_IN_PREPAID_EXPNSS/1M", "FPR=2022Y", "FPT=A", "FA_ACT_EST_DATA=E, EST_SOURCE=LCM", "ACT_EST_MAPPING=PRECISE", "FS=MRC", "CURRENCY=USD", "XLFILL=b")</f>
        <v/>
      </c>
      <c r="AB162" s="9" t="str">
        <f>_xll.BQL("CRM US Equity", "CF_CHANGE_IN_PREPAID_EXPNSS/1M", "FPR=2022Y", "FPT=A", "FA_ACT_EST_DATA=E, EST_SOURCE=CWN", "ACT_EST_MAPPING=PRECISE", "FS=MRC", "CURRENCY=USD", "XLFILL=b")</f>
        <v/>
      </c>
      <c r="AC162" s="9" t="str">
        <f>_xll.BQL("CRM US Equity", "CF_CHANGE_IN_PREPAID_EXPNSS/1M", "FPR=2022Y", "FPT=A", "FA_ACT_EST_DATA=E, EST_SOURCE=BNS", "ACT_EST_MAPPING=PRECISE", "FS=MRC", "CURRENCY=USD", "XLFILL=b")</f>
        <v/>
      </c>
      <c r="AD162" s="9" t="str">
        <f>_xll.BQL("CRM US Equity", "CF_CHANGE_IN_PREPAID_EXPNSS/1M", "FPR=2022Y", "FPT=A", "FA_ACT_EST_DATA=E, EST_SOURCE=BAM", "ACT_EST_MAPPING=PRECISE", "FS=MRC", "CURRENCY=USD", "XLFILL=b")</f>
        <v/>
      </c>
      <c r="AE162" s="9" t="str">
        <f>_xll.BQL("CRM US Equity", "CF_CHANGE_IN_PREPAID_EXPNSS/1M", "FPR=2022Y", "FPT=A", "FA_ACT_EST_DATA=E, EST_SOURCE=RBC", "ACT_EST_MAPPING=PRECISE", "FS=MRC", "CURRENCY=USD", "XLFILL=b")</f>
        <v/>
      </c>
      <c r="AF162" s="9" t="str">
        <f>_xll.BQL("CRM US Equity", "CF_CHANGE_IN_PREPAID_EXPNSS/1M", "FPR=2022Y", "FPT=A", "FA_ACT_EST_DATA=E, EST_SOURCE=UBS", "ACT_EST_MAPPING=PRECISE", "FS=MRC", "CURRENCY=USD", "XLFILL=b")</f>
        <v/>
      </c>
      <c r="AG162" s="9" t="str">
        <f>_xll.BQL("CRM US Equity", "CF_CHANGE_IN_PREPAID_EXPNSS/1M", "FPR=2022Y", "FPT=A", "FA_ACT_EST_DATA=E, EST_SOURCE=RHR", "ACT_EST_MAPPING=PRECISE", "FS=MRC", "CURRENCY=USD", "XLFILL=b")</f>
        <v/>
      </c>
      <c r="AH162" s="9" t="str">
        <f>_xll.BQL("CRM US Equity", "CF_CHANGE_IN_PREPAID_EXPNSS/1M", "FPR=2022Y", "FPT=A", "FA_ACT_EST_DATA=E, EST_SOURCE=JEF", "ACT_EST_MAPPING=PRECISE", "FS=MRC", "CURRENCY=USD", "XLFILL=b")</f>
        <v/>
      </c>
      <c r="AI162" s="9" t="str">
        <f>_xll.BQL("CRM US Equity", "CF_CHANGE_IN_PREPAID_EXPNSS/1M", "FPR=2022Y", "FPT=A", "FA_ACT_EST_DATA=E, EST_SOURCE=ATL", "ACT_EST_MAPPING=PRECISE", "FS=MRC", "CURRENCY=USD", "XLFILL=b")</f>
        <v/>
      </c>
      <c r="AJ162" s="9" t="str">
        <f>_xll.BQL("CRM US Equity", "CF_CHANGE_IN_PREPAID_EXPNSS/1M", "FPR=2022Y", "FPT=A", "FA_ACT_EST_DATA=E, EST_SOURCE=MAC", "ACT_EST_MAPPING=PRECISE", "FS=MRC", "CURRENCY=USD", "XLFILL=b")</f>
        <v/>
      </c>
      <c r="AK162" s="9" t="str">
        <f>_xll.BQL("CRM US Equity", "CF_CHANGE_IN_PREPAID_EXPNSS/1M", "FPR=2022Y", "FPT=A", "FA_ACT_EST_DATA=E, EST_SOURCE=EVR", "ACT_EST_MAPPING=PRECISE", "FS=MRC", "CURRENCY=USD", "XLFILL=b")</f>
        <v/>
      </c>
      <c r="AL162" s="9" t="str">
        <f>_xll.BQL("CRM US Equity", "CF_CHANGE_IN_PREPAID_EXPNSS/1M", "FPR=2022Y", "FPT=A", "FA_ACT_EST_DATA=E, EST_SOURCE=MSR", "ACT_EST_MAPPING=PRECISE", "FS=MRC", "CURRENCY=USD", "XLFILL=b")</f>
        <v/>
      </c>
      <c r="AM162" s="9" t="str">
        <f>_xll.BQL("CRM US Equity", "CF_CHANGE_IN_PREPAID_EXPNSS/1M", "FPR=2022Y", "FPT=A", "FA_ACT_EST_DATA=E, EST_SOURCE=KGI", "ACT_EST_MAPPING=PRECISE", "FS=MRC", "CURRENCY=USD", "XLFILL=b")</f>
        <v/>
      </c>
      <c r="AN162" s="9" t="str">
        <f>_xll.BQL("CRM US Equity", "CF_CHANGE_IN_PREPAID_EXPNSS/1M", "FPR=2022Y", "FPT=A", "FA_ACT_EST_DATA=E, EST_SOURCE=ACC", "ACT_EST_MAPPING=PRECISE", "FS=MRC", "CURRENCY=USD", "XLFILL=b")</f>
        <v/>
      </c>
      <c r="AO162" s="9" t="str">
        <f>_xll.BQL("CRM US Equity", "CF_CHANGE_IN_PREPAID_EXPNSS/1M", "FPR=2022Y", "FPT=A", "FA_ACT_EST_DATA=E, EST_SOURCE=GSR", "ACT_EST_MAPPING=PRECISE", "FS=MRC", "CURRENCY=USD", "XLFILL=b")</f>
        <v/>
      </c>
      <c r="AP162" s="9" t="str">
        <f>_xll.BQL("CRM US Equity", "CF_CHANGE_IN_PREPAID_EXPNSS/1M", "FPR=2022Y", "FPT=A", "FA_ACT_EST_DATA=E, EST_SOURCE=PSG", "ACT_EST_MAPPING=PRECISE", "FS=MRC", "CURRENCY=USD", "XLFILL=b")</f>
        <v/>
      </c>
      <c r="AQ162" s="9" t="str">
        <f>_xll.BQL("CRM US Equity", "CF_CHANGE_IN_PREPAID_EXPNSS/1M", "FPR=2022Y", "FPT=A", "FA_ACT_EST_DATA=E, EST_SOURCE=DWI", "ACT_EST_MAPPING=PRECISE", "FS=MRC", "CURRENCY=USD", "XLFILL=b")</f>
        <v/>
      </c>
      <c r="AR162" s="9" t="str">
        <f>_xll.BQL("CRM US Equity", "CF_CHANGE_IN_PREPAID_EXPNSS/1M", "FPR=2022Y", "FPT=A", "FA_ACT_EST_DATA=E, EST_SOURCE=RWB", "ACT_EST_MAPPING=PRECISE", "FS=MRC", "CURRENCY=USD", "XLFILL=b")</f>
        <v/>
      </c>
      <c r="AS162" s="9" t="str">
        <f>_xll.BQL("CRM US Equity", "CF_CHANGE_IN_PREPAID_EXPNSS/1M", "FPR=2022Y", "FPT=A", "FA_ACT_EST_DATA=E, EST_SOURCE=ARG", "ACT_EST_MAPPING=PRECISE", "FS=MRC", "CURRENCY=USD", "XLFILL=b")</f>
        <v/>
      </c>
      <c r="AT162" s="9" t="str">
        <f>_xll.BQL("CRM US Equity", "CF_CHANGE_IN_PREPAID_EXPNSS/1M", "FPR=2022Y", "FPT=A", "FA_ACT_EST_DATA=E, EST_SOURCE=CTI", "ACT_EST_MAPPING=PRECISE", "FS=MRC", "CURRENCY=USD", "XLFILL=b")</f>
        <v/>
      </c>
      <c r="AU162" s="9" t="str">
        <f>_xll.BQL("CRM US Equity", "CF_CHANGE_IN_PREPAID_EXPNSS/1M", "FPR=2022Y", "FPT=A", "FA_ACT_EST_DATA=E, EST_SOURCE=WFT", "ACT_EST_MAPPING=PRECISE", "FS=MRC", "CURRENCY=USD", "XLFILL=b")</f>
        <v/>
      </c>
      <c r="AV162" s="9" t="str">
        <f>_xll.BQL("CRM US Equity", "CF_CHANGE_IN_PREPAID_EXPNSS/1M", "FPR=2022Y", "FPT=A", "FA_ACT_EST_DATA=E, EST_SOURCE=PJE", "ACT_EST_MAPPING=PRECISE", "FS=MRC", "CURRENCY=USD", "XLFILL=b")</f>
        <v/>
      </c>
      <c r="AW162" s="9" t="str">
        <f>_xll.BQL("CRM US Equity", "CF_CHANGE_IN_PREPAID_EXPNSS/1M", "FPR=2022Y", "FPT=A", "FA_ACT_EST_DATA=E, EST_SOURCE=SGE", "ACT_EST_MAPPING=PRECISE", "FS=MRC", "CURRENCY=USD", "XLFILL=b")</f>
        <v/>
      </c>
      <c r="AX162" s="9" t="str">
        <f>_xll.BQL("CRM US Equity", "CF_CHANGE_IN_PREPAID_EXPNSS/1M", "FPR=2022Y", "FPT=A", "FA_ACT_EST_DATA=E, EST_SOURCE=MZS", "ACT_EST_MAPPING=PRECISE", "FS=MRC", "CURRENCY=USD", "XLFILL=b")</f>
        <v/>
      </c>
      <c r="AY162" s="9" t="str">
        <f>_xll.BQL("CRM US Equity", "CF_CHANGE_IN_PREPAID_EXPNSS/1M", "FPR=2022Y", "FPT=A", "FA_ACT_EST_DATA=E, EST_SOURCE=RCP", "ACT_EST_MAPPING=PRECISE", "FS=MRC", "CURRENCY=USD", "XLFILL=b")</f>
        <v/>
      </c>
      <c r="AZ162" s="9" t="str">
        <f>_xll.BQL("CRM US Equity", "CF_CHANGE_IN_PREPAID_EXPNSS/1M", "FPR=2022Y", "FPT=A", "FA_ACT_EST_DATA=E, EST_SOURCE=WFR", "ACT_EST_MAPPING=PRECISE", "FS=MRC", "CURRENCY=USD", "XLFILL=b")</f>
        <v/>
      </c>
      <c r="BA162" s="9" t="str">
        <f>_xll.BQL("CRM US Equity", "CF_CHANGE_IN_PREPAID_EXPNSS/1M", "FPR=2022Y", "FPT=A", "FA_ACT_EST_DATA=E, EST_SOURCE=NIK", "ACT_EST_MAPPING=PRECISE", "FS=MRC", "CURRENCY=USD", "XLFILL=b")</f>
        <v/>
      </c>
      <c r="BB162" s="9" t="str">
        <f>_xll.BQL("CRM US Equity", "CF_CHANGE_IN_PREPAID_EXPNSS/1M", "FPR=2022Y", "FPT=A", "FA_ACT_EST_DATA=E, EST_SOURCE=ARE", "ACT_EST_MAPPING=PRECISE", "FS=MRC", "CURRENCY=USD", "XLFILL=b")</f>
        <v/>
      </c>
      <c r="BC162" s="9" t="str">
        <f>_xll.BQL("CRM US Equity", "CF_CHANGE_IN_PREPAID_EXPNSS/1M", "FPR=2022Y", "FPT=A", "FA_ACT_EST_DATA=E, EST_SOURCE=RED", "ACT_EST_MAPPING=PRECISE", "FS=MRC", "CURRENCY=USD", "XLFILL=b")</f>
        <v/>
      </c>
      <c r="BD162" s="9" t="str">
        <f>_xll.BQL("CRM US Equity", "CF_CHANGE_IN_PREPAID_EXPNSS/1M", "FPR=2022Y", "FPT=A", "FA_ACT_EST_DATA=E, EST_SOURCE=DIR", "ACT_EST_MAPPING=PRECISE", "FS=MRC", "CURRENCY=USD", "XLFILL=b")</f>
        <v/>
      </c>
    </row>
    <row r="163" spans="1:56" x14ac:dyDescent="0.55000000000000004">
      <c r="A163" s="8" t="s">
        <v>309</v>
      </c>
      <c r="B163" s="5" t="s">
        <v>310</v>
      </c>
      <c r="C163" s="5" t="s">
        <v>311</v>
      </c>
      <c r="D163" s="5"/>
      <c r="E163" s="9">
        <f>_xll.BQL("CRM US Equity", "CB_CF_OTHR_NONCSH_ITEMS/1M", "FPR=2022Y", "FPT=A", "FA_ACT_EST_DATA=E", "ACT_EST_MAPPING=PRECISE", "FS=MRC", "CURRENCY=USD", "XLFILL=b")</f>
        <v>-1743.2411659197451</v>
      </c>
      <c r="F163" s="9">
        <f>_xll.BQL("CRM US Equity", "CONTRIBUTOR_STATS(CB_CF_OTHR_NONCSH_ITEMS, MIN)/1M", "FPR=2022Y", "FPT=A", "FA_ACT_EST_DATA=E", "ACT_EST_MAPPING=PRECISE", "FS=MRC", "CURRENCY=USD", "XLFILL=b")</f>
        <v>-2029.4</v>
      </c>
      <c r="G163" s="9">
        <f>_xll.BQL("CRM US Equity", "CONTRIBUTOR_STATS(CB_CF_OTHR_NONCSH_ITEMS, MAX)/1M", "FPR=2022Y", "FPT=A", "FA_ACT_EST_DATA=E", "ACT_EST_MAPPING=PRECISE", "FS=MRC", "CURRENCY=USD", "XLFILL=b")</f>
        <v>-1223</v>
      </c>
      <c r="H163" s="9">
        <f>_xll.BQL("CRM US Equity", "CONTRIBUTOR_STATS(CB_CF_OTHR_NONCSH_ITEMS, STD)/1M", "FPR=2022Y", "FPT=A", "FA_ACT_EST_DATA=E", "ACT_EST_MAPPING=PRECISE", "FS=MRC", "CURRENCY=USD", "XLFILL=b")</f>
        <v>296.15057616357984</v>
      </c>
      <c r="I163" s="9">
        <f>_xll.BQL("CRM US Equity", "CONTRIBUTOR_STATS(CB_CF_OTHR_NONCSH_ITEMS, MEDIAN)/1M", "FPR=2022Y", "FPT=A", "FA_ACT_EST_DATA=E", "ACT_EST_MAPPING=PRECISE", "FS=MRC", "CURRENCY=USD", "XLFILL=b")</f>
        <v>-1853.364430809504</v>
      </c>
      <c r="J163" s="9" t="str">
        <f>_xll.BQL("CRM US Equity", "CB_CF_OTHR_NONCSH_ITEMS/1M", "FPR=2022Y", "FPT=A", "FA_ACT_EST_DATA=E, EST_SOURCE=CMPY", "ACT_EST_MAPPING=PRECISE", "FS=MRC", "CURRENCY=USD", "XLFILL=b")</f>
        <v/>
      </c>
      <c r="K163" s="9" t="str">
        <f>_xll.BQL("CRM US Equity", "CB_CF_OTHR_NONCSH_ITEMS/1M", "FPR=2022Y", "FPT=A", "FA_ACT_EST_DATA=E, EST_SOURCE=WBL", "ACT_EST_MAPPING=PRECISE", "FS=MRC", "CURRENCY=USD", "XLFILL=b")</f>
        <v/>
      </c>
      <c r="L163" s="9" t="str">
        <f>_xll.BQL("CRM US Equity", "CB_CF_OTHR_NONCSH_ITEMS/1M", "FPR=2022Y", "FPT=A", "FA_ACT_EST_DATA=E, EST_SOURCE=BMO", "ACT_EST_MAPPING=PRECISE", "FS=MRC", "CURRENCY=USD", "XLFILL=b")</f>
        <v/>
      </c>
      <c r="M163" s="9">
        <f>_xll.BQL("CRM US Equity", "CB_CF_OTHR_NONCSH_ITEMS/1M", "FPR=2022Y", "FPT=A", "FA_ACT_EST_DATA=E, EST_SOURCE=BCA", "ACT_EST_MAPPING=PRECISE", "FS=MRC", "CURRENCY=USD", "XLFILL=b")</f>
        <v>-2701.3849686405438</v>
      </c>
      <c r="N163" s="9" t="str">
        <f>_xll.BQL("CRM US Equity", "CB_CF_OTHR_NONCSH_ITEMS/1M", "FPR=2022Y", "FPT=A", "FA_ACT_EST_DATA=E, EST_SOURCE=SNR", "ACT_EST_MAPPING=PRECISE", "FS=MRC", "CURRENCY=USD", "XLFILL=b")</f>
        <v/>
      </c>
      <c r="O163" s="9">
        <f>_xll.BQL("CRM US Equity", "CB_CF_OTHR_NONCSH_ITEMS/1M", "FPR=2022Y", "FPT=A", "FA_ACT_EST_DATA=E, EST_SOURCE=MSV", "ACT_EST_MAPPING=PRECISE", "FS=MRC", "CURRENCY=USD", "XLFILL=b")</f>
        <v>-1223</v>
      </c>
      <c r="P163" s="9">
        <f>_xll.BQL("CRM US Equity", "CB_CF_OTHR_NONCSH_ITEMS/1M", "FPR=2022Y", "FPT=A", "FA_ACT_EST_DATA=E, EST_SOURCE=DBG", "ACT_EST_MAPPING=PRECISE", "FS=MRC", "CURRENCY=USD", "XLFILL=b")</f>
        <v>-1983.1625975784391</v>
      </c>
      <c r="Q163" s="9">
        <f>_xll.BQL("CRM US Equity", "CB_CF_OTHR_NONCSH_ITEMS/1M", "FPR=2022Y", "FPT=A", "FA_ACT_EST_DATA=E, EST_SOURCE=NDH", "ACT_EST_MAPPING=PRECISE", "FS=MRC", "CURRENCY=USD", "XLFILL=b")</f>
        <v>-1746.89</v>
      </c>
      <c r="R163" s="9" t="str">
        <f>_xll.BQL("CRM US Equity", "CB_CF_OTHR_NONCSH_ITEMS/1M", "FPR=2022Y", "FPT=A", "FA_ACT_EST_DATA=E, EST_SOURCE=CAN", "ACT_EST_MAPPING=PRECISE", "FS=MRC", "CURRENCY=USD", "XLFILL=b")</f>
        <v/>
      </c>
      <c r="S163" s="9" t="str">
        <f>_xll.BQL("CRM US Equity", "CB_CF_OTHR_NONCSH_ITEMS/1M", "FPR=2022Y", "FPT=A", "FA_ACT_EST_DATA=E, EST_SOURCE=SCB", "ACT_EST_MAPPING=PRECISE", "FS=MRC", "CURRENCY=USD", "XLFILL=b")</f>
        <v/>
      </c>
      <c r="T163" s="9">
        <f>_xll.BQL("CRM US Equity", "CB_CF_OTHR_NONCSH_ITEMS/1M", "FPR=2022Y", "FPT=A", "FA_ACT_EST_DATA=E, EST_SOURCE=JMP", "ACT_EST_MAPPING=PRECISE", "FS=MRC", "CURRENCY=USD", "XLFILL=b")</f>
        <v>-1223</v>
      </c>
      <c r="U163" s="9" t="str">
        <f>_xll.BQL("CRM US Equity", "CB_CF_OTHR_NONCSH_ITEMS/1M", "FPR=2022Y", "FPT=A", "FA_ACT_EST_DATA=E, EST_SOURCE=RJA", "ACT_EST_MAPPING=PRECISE", "FS=MRC", "CURRENCY=USD", "XLFILL=b")</f>
        <v/>
      </c>
      <c r="V163" s="9" t="str">
        <f>_xll.BQL("CRM US Equity", "CB_CF_OTHR_NONCSH_ITEMS/1M", "FPR=2022Y", "FPT=A", "FA_ACT_EST_DATA=E, EST_SOURCE=OPY", "ACT_EST_MAPPING=PRECISE", "FS=MRC", "CURRENCY=USD", "XLFILL=b")</f>
        <v/>
      </c>
      <c r="W163" s="9" t="str">
        <f>_xll.BQL("CRM US Equity", "CB_CF_OTHR_NONCSH_ITEMS/1M", "FPR=2022Y", "FPT=A", "FA_ACT_EST_DATA=E, EST_SOURCE=JPM", "ACT_EST_MAPPING=PRECISE", "FS=MRC", "CURRENCY=USD", "XLFILL=b")</f>
        <v/>
      </c>
      <c r="X163" s="9">
        <f>_xll.BQL("CRM US Equity", "CB_CF_OTHR_NONCSH_ITEMS/1M", "FPR=2022Y", "FPT=A", "FA_ACT_EST_DATA=E, EST_SOURCE=FBC", "ACT_EST_MAPPING=PRECISE", "FS=MRC", "CURRENCY=USD", "XLFILL=b")</f>
        <v>-1807.7856006918769</v>
      </c>
      <c r="Y163" s="9">
        <f>_xll.BQL("CRM US Equity", "CB_CF_OTHR_NONCSH_ITEMS/1M", "FPR=2022Y", "FPT=A", "FA_ACT_EST_DATA=E, EST_SOURCE=WMS", "ACT_EST_MAPPING=PRECISE", "FS=MRC", "CURRENCY=USD", "XLFILL=b")</f>
        <v>-1222.4519094509399</v>
      </c>
      <c r="Z163" s="9">
        <f>_xll.BQL("CRM US Equity", "CB_CF_OTHR_NONCSH_ITEMS/1M", "FPR=2022Y", "FPT=A", "FA_ACT_EST_DATA=E, EST_SOURCE=KEY", "ACT_EST_MAPPING=PRECISE", "FS=MRC", "CURRENCY=USD", "XLFILL=b")</f>
        <v>-1623.7775524036231</v>
      </c>
      <c r="AA163" s="9" t="str">
        <f>_xll.BQL("CRM US Equity", "CB_CF_OTHR_NONCSH_ITEMS/1M", "FPR=2022Y", "FPT=A", "FA_ACT_EST_DATA=E, EST_SOURCE=LCM", "ACT_EST_MAPPING=PRECISE", "FS=MRC", "CURRENCY=USD", "XLFILL=b")</f>
        <v/>
      </c>
      <c r="AB163" s="9" t="str">
        <f>_xll.BQL("CRM US Equity", "CB_CF_OTHR_NONCSH_ITEMS/1M", "FPR=2022Y", "FPT=A", "FA_ACT_EST_DATA=E, EST_SOURCE=CWN", "ACT_EST_MAPPING=PRECISE", "FS=MRC", "CURRENCY=USD", "XLFILL=b")</f>
        <v/>
      </c>
      <c r="AC163" s="9" t="str">
        <f>_xll.BQL("CRM US Equity", "CB_CF_OTHR_NONCSH_ITEMS/1M", "FPR=2022Y", "FPT=A", "FA_ACT_EST_DATA=E, EST_SOURCE=BNS", "ACT_EST_MAPPING=PRECISE", "FS=MRC", "CURRENCY=USD", "XLFILL=b")</f>
        <v/>
      </c>
      <c r="AD163" s="9" t="str">
        <f>_xll.BQL("CRM US Equity", "CB_CF_OTHR_NONCSH_ITEMS/1M", "FPR=2022Y", "FPT=A", "FA_ACT_EST_DATA=E, EST_SOURCE=BAM", "ACT_EST_MAPPING=PRECISE", "FS=MRC", "CURRENCY=USD", "XLFILL=b")</f>
        <v/>
      </c>
      <c r="AE163" s="9" t="str">
        <f>_xll.BQL("CRM US Equity", "CB_CF_OTHR_NONCSH_ITEMS/1M", "FPR=2022Y", "FPT=A", "FA_ACT_EST_DATA=E, EST_SOURCE=RBC", "ACT_EST_MAPPING=PRECISE", "FS=MRC", "CURRENCY=USD", "XLFILL=b")</f>
        <v/>
      </c>
      <c r="AF163" s="9" t="str">
        <f>_xll.BQL("CRM US Equity", "CB_CF_OTHR_NONCSH_ITEMS/1M", "FPR=2022Y", "FPT=A", "FA_ACT_EST_DATA=E, EST_SOURCE=UBS", "ACT_EST_MAPPING=PRECISE", "FS=MRC", "CURRENCY=USD", "XLFILL=b")</f>
        <v/>
      </c>
      <c r="AG163" s="9" t="str">
        <f>_xll.BQL("CRM US Equity", "CB_CF_OTHR_NONCSH_ITEMS/1M", "FPR=2022Y", "FPT=A", "FA_ACT_EST_DATA=E, EST_SOURCE=RHR", "ACT_EST_MAPPING=PRECISE", "FS=MRC", "CURRENCY=USD", "XLFILL=b")</f>
        <v/>
      </c>
      <c r="AH163" s="9" t="str">
        <f>_xll.BQL("CRM US Equity", "CB_CF_OTHR_NONCSH_ITEMS/1M", "FPR=2022Y", "FPT=A", "FA_ACT_EST_DATA=E, EST_SOURCE=JEF", "ACT_EST_MAPPING=PRECISE", "FS=MRC", "CURRENCY=USD", "XLFILL=b")</f>
        <v/>
      </c>
      <c r="AI163" s="9" t="str">
        <f>_xll.BQL("CRM US Equity", "CB_CF_OTHR_NONCSH_ITEMS/1M", "FPR=2022Y", "FPT=A", "FA_ACT_EST_DATA=E, EST_SOURCE=ATL", "ACT_EST_MAPPING=PRECISE", "FS=MRC", "CURRENCY=USD", "XLFILL=b")</f>
        <v/>
      </c>
      <c r="AJ163" s="9" t="str">
        <f>_xll.BQL("CRM US Equity", "CB_CF_OTHR_NONCSH_ITEMS/1M", "FPR=2022Y", "FPT=A", "FA_ACT_EST_DATA=E, EST_SOURCE=MAC", "ACT_EST_MAPPING=PRECISE", "FS=MRC", "CURRENCY=USD", "XLFILL=b")</f>
        <v/>
      </c>
      <c r="AK163" s="9" t="str">
        <f>_xll.BQL("CRM US Equity", "CB_CF_OTHR_NONCSH_ITEMS/1M", "FPR=2022Y", "FPT=A", "FA_ACT_EST_DATA=E, EST_SOURCE=EVR", "ACT_EST_MAPPING=PRECISE", "FS=MRC", "CURRENCY=USD", "XLFILL=b")</f>
        <v/>
      </c>
      <c r="AL163" s="9" t="str">
        <f>_xll.BQL("CRM US Equity", "CB_CF_OTHR_NONCSH_ITEMS/1M", "FPR=2022Y", "FPT=A", "FA_ACT_EST_DATA=E, EST_SOURCE=MSR", "ACT_EST_MAPPING=PRECISE", "FS=MRC", "CURRENCY=USD", "XLFILL=b")</f>
        <v/>
      </c>
      <c r="AM163" s="9" t="str">
        <f>_xll.BQL("CRM US Equity", "CB_CF_OTHR_NONCSH_ITEMS/1M", "FPR=2022Y", "FPT=A", "FA_ACT_EST_DATA=E, EST_SOURCE=KGI", "ACT_EST_MAPPING=PRECISE", "FS=MRC", "CURRENCY=USD", "XLFILL=b")</f>
        <v/>
      </c>
      <c r="AN163" s="9" t="str">
        <f>_xll.BQL("CRM US Equity", "CB_CF_OTHR_NONCSH_ITEMS/1M", "FPR=2022Y", "FPT=A", "FA_ACT_EST_DATA=E, EST_SOURCE=ACC", "ACT_EST_MAPPING=PRECISE", "FS=MRC", "CURRENCY=USD", "XLFILL=b")</f>
        <v/>
      </c>
      <c r="AO163" s="9" t="str">
        <f>_xll.BQL("CRM US Equity", "CB_CF_OTHR_NONCSH_ITEMS/1M", "FPR=2022Y", "FPT=A", "FA_ACT_EST_DATA=E, EST_SOURCE=GSR", "ACT_EST_MAPPING=PRECISE", "FS=MRC", "CURRENCY=USD", "XLFILL=b")</f>
        <v/>
      </c>
      <c r="AP163" s="9" t="str">
        <f>_xll.BQL("CRM US Equity", "CB_CF_OTHR_NONCSH_ITEMS/1M", "FPR=2022Y", "FPT=A", "FA_ACT_EST_DATA=E, EST_SOURCE=PSG", "ACT_EST_MAPPING=PRECISE", "FS=MRC", "CURRENCY=USD", "XLFILL=b")</f>
        <v/>
      </c>
      <c r="AQ163" s="9" t="str">
        <f>_xll.BQL("CRM US Equity", "CB_CF_OTHR_NONCSH_ITEMS/1M", "FPR=2022Y", "FPT=A", "FA_ACT_EST_DATA=E, EST_SOURCE=DWI", "ACT_EST_MAPPING=PRECISE", "FS=MRC", "CURRENCY=USD", "XLFILL=b")</f>
        <v/>
      </c>
      <c r="AR163" s="9" t="str">
        <f>_xll.BQL("CRM US Equity", "CB_CF_OTHR_NONCSH_ITEMS/1M", "FPR=2022Y", "FPT=A", "FA_ACT_EST_DATA=E, EST_SOURCE=RWB", "ACT_EST_MAPPING=PRECISE", "FS=MRC", "CURRENCY=USD", "XLFILL=b")</f>
        <v/>
      </c>
      <c r="AS163" s="9" t="str">
        <f>_xll.BQL("CRM US Equity", "CB_CF_OTHR_NONCSH_ITEMS/1M", "FPR=2022Y", "FPT=A", "FA_ACT_EST_DATA=E, EST_SOURCE=ARG", "ACT_EST_MAPPING=PRECISE", "FS=MRC", "CURRENCY=USD", "XLFILL=b")</f>
        <v/>
      </c>
      <c r="AT163" s="9" t="str">
        <f>_xll.BQL("CRM US Equity", "CB_CF_OTHR_NONCSH_ITEMS/1M", "FPR=2022Y", "FPT=A", "FA_ACT_EST_DATA=E, EST_SOURCE=CTI", "ACT_EST_MAPPING=PRECISE", "FS=MRC", "CURRENCY=USD", "XLFILL=b")</f>
        <v/>
      </c>
      <c r="AU163" s="9" t="str">
        <f>_xll.BQL("CRM US Equity", "CB_CF_OTHR_NONCSH_ITEMS/1M", "FPR=2022Y", "FPT=A", "FA_ACT_EST_DATA=E, EST_SOURCE=WFT", "ACT_EST_MAPPING=PRECISE", "FS=MRC", "CURRENCY=USD", "XLFILL=b")</f>
        <v/>
      </c>
      <c r="AV163" s="9" t="str">
        <f>_xll.BQL("CRM US Equity", "CB_CF_OTHR_NONCSH_ITEMS/1M", "FPR=2022Y", "FPT=A", "FA_ACT_EST_DATA=E, EST_SOURCE=PJE", "ACT_EST_MAPPING=PRECISE", "FS=MRC", "CURRENCY=USD", "XLFILL=b")</f>
        <v/>
      </c>
      <c r="AW163" s="9" t="str">
        <f>_xll.BQL("CRM US Equity", "CB_CF_OTHR_NONCSH_ITEMS/1M", "FPR=2022Y", "FPT=A", "FA_ACT_EST_DATA=E, EST_SOURCE=SGE", "ACT_EST_MAPPING=PRECISE", "FS=MRC", "CURRENCY=USD", "XLFILL=b")</f>
        <v/>
      </c>
      <c r="AX163" s="9" t="str">
        <f>_xll.BQL("CRM US Equity", "CB_CF_OTHR_NONCSH_ITEMS/1M", "FPR=2022Y", "FPT=A", "FA_ACT_EST_DATA=E, EST_SOURCE=MZS", "ACT_EST_MAPPING=PRECISE", "FS=MRC", "CURRENCY=USD", "XLFILL=b")</f>
        <v/>
      </c>
      <c r="AY163" s="9" t="str">
        <f>_xll.BQL("CRM US Equity", "CB_CF_OTHR_NONCSH_ITEMS/1M", "FPR=2022Y", "FPT=A", "FA_ACT_EST_DATA=E, EST_SOURCE=RCP", "ACT_EST_MAPPING=PRECISE", "FS=MRC", "CURRENCY=USD", "XLFILL=b")</f>
        <v/>
      </c>
      <c r="AZ163" s="9" t="str">
        <f>_xll.BQL("CRM US Equity", "CB_CF_OTHR_NONCSH_ITEMS/1M", "FPR=2022Y", "FPT=A", "FA_ACT_EST_DATA=E, EST_SOURCE=WFR", "ACT_EST_MAPPING=PRECISE", "FS=MRC", "CURRENCY=USD", "XLFILL=b")</f>
        <v/>
      </c>
      <c r="BA163" s="9" t="str">
        <f>_xll.BQL("CRM US Equity", "CB_CF_OTHR_NONCSH_ITEMS/1M", "FPR=2022Y", "FPT=A", "FA_ACT_EST_DATA=E, EST_SOURCE=NIK", "ACT_EST_MAPPING=PRECISE", "FS=MRC", "CURRENCY=USD", "XLFILL=b")</f>
        <v/>
      </c>
      <c r="BB163" s="9" t="str">
        <f>_xll.BQL("CRM US Equity", "CB_CF_OTHR_NONCSH_ITEMS/1M", "FPR=2022Y", "FPT=A", "FA_ACT_EST_DATA=E, EST_SOURCE=ARE", "ACT_EST_MAPPING=PRECISE", "FS=MRC", "CURRENCY=USD", "XLFILL=b")</f>
        <v/>
      </c>
      <c r="BC163" s="9" t="str">
        <f>_xll.BQL("CRM US Equity", "CB_CF_OTHR_NONCSH_ITEMS/1M", "FPR=2022Y", "FPT=A", "FA_ACT_EST_DATA=E, EST_SOURCE=RED", "ACT_EST_MAPPING=PRECISE", "FS=MRC", "CURRENCY=USD", "XLFILL=b")</f>
        <v/>
      </c>
      <c r="BD163" s="9" t="str">
        <f>_xll.BQL("CRM US Equity", "CB_CF_OTHR_NONCSH_ITEMS/1M", "FPR=2022Y", "FPT=A", "FA_ACT_EST_DATA=E, EST_SOURCE=DIR", "ACT_EST_MAPPING=PRECISE", "FS=MRC", "CURRENCY=USD", "XLFILL=b")</f>
        <v/>
      </c>
    </row>
    <row r="164" spans="1:56" x14ac:dyDescent="0.55000000000000004">
      <c r="A164" s="8" t="s">
        <v>239</v>
      </c>
      <c r="B164" s="5" t="s">
        <v>312</v>
      </c>
      <c r="C164" s="5" t="s">
        <v>241</v>
      </c>
      <c r="D164" s="5"/>
      <c r="E164" s="9">
        <f>_xll.BQL("CRM US Equity", "CHG_IN_ACCT_PYBL_AND_ACC_EXPNSS/1M", "FPR=2022Y", "FPT=A", "FA_ACT_EST_DATA=E", "ACT_EST_MAPPING=PRECISE", "FS=MRC", "CURRENCY=USD", "XLFILL=b")</f>
        <v>26.170916723074701</v>
      </c>
      <c r="F164" s="9">
        <f>_xll.BQL("CRM US Equity", "CONTRIBUTOR_STATS(CHG_IN_ACCT_PYBL_AND_ACC_EXPNSS, MIN)/1M", "FPR=2022Y", "FPT=A", "FA_ACT_EST_DATA=E", "ACT_EST_MAPPING=PRECISE", "FS=MRC", "CURRENCY=USD", "XLFILL=b")</f>
        <v>1.63799999999992</v>
      </c>
      <c r="G164" s="9">
        <f>_xll.BQL("CRM US Equity", "CONTRIBUTOR_STATS(CHG_IN_ACCT_PYBL_AND_ACC_EXPNSS, MAX)/1M", "FPR=2022Y", "FPT=A", "FA_ACT_EST_DATA=E", "ACT_EST_MAPPING=PRECISE", "FS=MRC", "CURRENCY=USD", "XLFILL=b")</f>
        <v>50.703833446149481</v>
      </c>
      <c r="H164" s="9">
        <f>_xll.BQL("CRM US Equity", "CONTRIBUTOR_STATS(CHG_IN_ACCT_PYBL_AND_ACC_EXPNSS, STD)/1M", "FPR=2022Y", "FPT=A", "FA_ACT_EST_DATA=E", "ACT_EST_MAPPING=PRECISE", "FS=MRC", "CURRENCY=USD", "XLFILL=b")</f>
        <v>34.69478355434206</v>
      </c>
      <c r="I164" s="9">
        <f>_xll.BQL("CRM US Equity", "CONTRIBUTOR_STATS(CHG_IN_ACCT_PYBL_AND_ACC_EXPNSS, MEDIAN)/1M", "FPR=2022Y", "FPT=A", "FA_ACT_EST_DATA=E", "ACT_EST_MAPPING=PRECISE", "FS=MRC", "CURRENCY=USD", "XLFILL=b")</f>
        <v>26.170916723074701</v>
      </c>
      <c r="J164" s="9" t="str">
        <f>_xll.BQL("CRM US Equity", "CHG_IN_ACCT_PYBL_AND_ACC_EXPNSS/1M", "FPR=2022Y", "FPT=A", "FA_ACT_EST_DATA=E, EST_SOURCE=CMPY", "ACT_EST_MAPPING=PRECISE", "FS=MRC", "CURRENCY=USD", "XLFILL=b")</f>
        <v/>
      </c>
      <c r="K164" s="9" t="str">
        <f>_xll.BQL("CRM US Equity", "CHG_IN_ACCT_PYBL_AND_ACC_EXPNSS/1M", "FPR=2022Y", "FPT=A", "FA_ACT_EST_DATA=E, EST_SOURCE=WBL", "ACT_EST_MAPPING=PRECISE", "FS=MRC", "CURRENCY=USD", "XLFILL=b")</f>
        <v/>
      </c>
      <c r="L164" s="9" t="str">
        <f>_xll.BQL("CRM US Equity", "CHG_IN_ACCT_PYBL_AND_ACC_EXPNSS/1M", "FPR=2022Y", "FPT=A", "FA_ACT_EST_DATA=E, EST_SOURCE=BMO", "ACT_EST_MAPPING=PRECISE", "FS=MRC", "CURRENCY=USD", "XLFILL=b")</f>
        <v/>
      </c>
      <c r="M164" s="9" t="str">
        <f>_xll.BQL("CRM US Equity", "CHG_IN_ACCT_PYBL_AND_ACC_EXPNSS/1M", "FPR=2022Y", "FPT=A", "FA_ACT_EST_DATA=E, EST_SOURCE=BCA", "ACT_EST_MAPPING=PRECISE", "FS=MRC", "CURRENCY=USD", "XLFILL=b")</f>
        <v/>
      </c>
      <c r="N164" s="9" t="str">
        <f>_xll.BQL("CRM US Equity", "CHG_IN_ACCT_PYBL_AND_ACC_EXPNSS/1M", "FPR=2022Y", "FPT=A", "FA_ACT_EST_DATA=E, EST_SOURCE=SNR", "ACT_EST_MAPPING=PRECISE", "FS=MRC", "CURRENCY=USD", "XLFILL=b")</f>
        <v/>
      </c>
      <c r="O164" s="9">
        <f>_xll.BQL("CRM US Equity", "CHG_IN_ACCT_PYBL_AND_ACC_EXPNSS/1M", "FPR=2022Y", "FPT=A", "FA_ACT_EST_DATA=E, EST_SOURCE=MSV", "ACT_EST_MAPPING=PRECISE", "FS=MRC", "CURRENCY=USD", "XLFILL=b")</f>
        <v>474.6968418395756</v>
      </c>
      <c r="P164" s="9">
        <f>_xll.BQL("CRM US Equity", "CHG_IN_ACCT_PYBL_AND_ACC_EXPNSS/1M", "FPR=2022Y", "FPT=A", "FA_ACT_EST_DATA=E, EST_SOURCE=DBG", "ACT_EST_MAPPING=PRECISE", "FS=MRC", "CURRENCY=USD", "XLFILL=b")</f>
        <v>219.79306547475062</v>
      </c>
      <c r="Q164" s="9" t="str">
        <f>_xll.BQL("CRM US Equity", "CHG_IN_ACCT_PYBL_AND_ACC_EXPNSS/1M", "FPR=2022Y", "FPT=A", "FA_ACT_EST_DATA=E, EST_SOURCE=NDH", "ACT_EST_MAPPING=PRECISE", "FS=MRC", "CURRENCY=USD", "XLFILL=b")</f>
        <v/>
      </c>
      <c r="R164" s="9" t="str">
        <f>_xll.BQL("CRM US Equity", "CHG_IN_ACCT_PYBL_AND_ACC_EXPNSS/1M", "FPR=2022Y", "FPT=A", "FA_ACT_EST_DATA=E, EST_SOURCE=CAN", "ACT_EST_MAPPING=PRECISE", "FS=MRC", "CURRENCY=USD", "XLFILL=b")</f>
        <v/>
      </c>
      <c r="S164" s="9" t="str">
        <f>_xll.BQL("CRM US Equity", "CHG_IN_ACCT_PYBL_AND_ACC_EXPNSS/1M", "FPR=2022Y", "FPT=A", "FA_ACT_EST_DATA=E, EST_SOURCE=SCB", "ACT_EST_MAPPING=PRECISE", "FS=MRC", "CURRENCY=USD", "XLFILL=b")</f>
        <v/>
      </c>
      <c r="T164" s="9" t="str">
        <f>_xll.BQL("CRM US Equity", "CHG_IN_ACCT_PYBL_AND_ACC_EXPNSS/1M", "FPR=2022Y", "FPT=A", "FA_ACT_EST_DATA=E, EST_SOURCE=JMP", "ACT_EST_MAPPING=PRECISE", "FS=MRC", "CURRENCY=USD", "XLFILL=b")</f>
        <v/>
      </c>
      <c r="U164" s="9" t="str">
        <f>_xll.BQL("CRM US Equity", "CHG_IN_ACCT_PYBL_AND_ACC_EXPNSS/1M", "FPR=2022Y", "FPT=A", "FA_ACT_EST_DATA=E, EST_SOURCE=RJA", "ACT_EST_MAPPING=PRECISE", "FS=MRC", "CURRENCY=USD", "XLFILL=b")</f>
        <v/>
      </c>
      <c r="V164" s="9" t="str">
        <f>_xll.BQL("CRM US Equity", "CHG_IN_ACCT_PYBL_AND_ACC_EXPNSS/1M", "FPR=2022Y", "FPT=A", "FA_ACT_EST_DATA=E, EST_SOURCE=OPY", "ACT_EST_MAPPING=PRECISE", "FS=MRC", "CURRENCY=USD", "XLFILL=b")</f>
        <v/>
      </c>
      <c r="W164" s="9" t="str">
        <f>_xll.BQL("CRM US Equity", "CHG_IN_ACCT_PYBL_AND_ACC_EXPNSS/1M", "FPR=2022Y", "FPT=A", "FA_ACT_EST_DATA=E, EST_SOURCE=JPM", "ACT_EST_MAPPING=PRECISE", "FS=MRC", "CURRENCY=USD", "XLFILL=b")</f>
        <v/>
      </c>
      <c r="X164" s="9" t="str">
        <f>_xll.BQL("CRM US Equity", "CHG_IN_ACCT_PYBL_AND_ACC_EXPNSS/1M", "FPR=2022Y", "FPT=A", "FA_ACT_EST_DATA=E, EST_SOURCE=FBC", "ACT_EST_MAPPING=PRECISE", "FS=MRC", "CURRENCY=USD", "XLFILL=b")</f>
        <v/>
      </c>
      <c r="Y164" s="9" t="str">
        <f>_xll.BQL("CRM US Equity", "CHG_IN_ACCT_PYBL_AND_ACC_EXPNSS/1M", "FPR=2022Y", "FPT=A", "FA_ACT_EST_DATA=E, EST_SOURCE=WMS", "ACT_EST_MAPPING=PRECISE", "FS=MRC", "CURRENCY=USD", "XLFILL=b")</f>
        <v/>
      </c>
      <c r="Z164" s="9" t="str">
        <f>_xll.BQL("CRM US Equity", "CHG_IN_ACCT_PYBL_AND_ACC_EXPNSS/1M", "FPR=2022Y", "FPT=A", "FA_ACT_EST_DATA=E, EST_SOURCE=KEY", "ACT_EST_MAPPING=PRECISE", "FS=MRC", "CURRENCY=USD", "XLFILL=b")</f>
        <v/>
      </c>
      <c r="AA164" s="9" t="str">
        <f>_xll.BQL("CRM US Equity", "CHG_IN_ACCT_PYBL_AND_ACC_EXPNSS/1M", "FPR=2022Y", "FPT=A", "FA_ACT_EST_DATA=E, EST_SOURCE=LCM", "ACT_EST_MAPPING=PRECISE", "FS=MRC", "CURRENCY=USD", "XLFILL=b")</f>
        <v/>
      </c>
      <c r="AB164" s="9" t="str">
        <f>_xll.BQL("CRM US Equity", "CHG_IN_ACCT_PYBL_AND_ACC_EXPNSS/1M", "FPR=2022Y", "FPT=A", "FA_ACT_EST_DATA=E, EST_SOURCE=CWN", "ACT_EST_MAPPING=PRECISE", "FS=MRC", "CURRENCY=USD", "XLFILL=b")</f>
        <v/>
      </c>
      <c r="AC164" s="9" t="str">
        <f>_xll.BQL("CRM US Equity", "CHG_IN_ACCT_PYBL_AND_ACC_EXPNSS/1M", "FPR=2022Y", "FPT=A", "FA_ACT_EST_DATA=E, EST_SOURCE=BNS", "ACT_EST_MAPPING=PRECISE", "FS=MRC", "CURRENCY=USD", "XLFILL=b")</f>
        <v/>
      </c>
      <c r="AD164" s="9" t="str">
        <f>_xll.BQL("CRM US Equity", "CHG_IN_ACCT_PYBL_AND_ACC_EXPNSS/1M", "FPR=2022Y", "FPT=A", "FA_ACT_EST_DATA=E, EST_SOURCE=BAM", "ACT_EST_MAPPING=PRECISE", "FS=MRC", "CURRENCY=USD", "XLFILL=b")</f>
        <v/>
      </c>
      <c r="AE164" s="9" t="str">
        <f>_xll.BQL("CRM US Equity", "CHG_IN_ACCT_PYBL_AND_ACC_EXPNSS/1M", "FPR=2022Y", "FPT=A", "FA_ACT_EST_DATA=E, EST_SOURCE=RBC", "ACT_EST_MAPPING=PRECISE", "FS=MRC", "CURRENCY=USD", "XLFILL=b")</f>
        <v/>
      </c>
      <c r="AF164" s="9" t="str">
        <f>_xll.BQL("CRM US Equity", "CHG_IN_ACCT_PYBL_AND_ACC_EXPNSS/1M", "FPR=2022Y", "FPT=A", "FA_ACT_EST_DATA=E, EST_SOURCE=UBS", "ACT_EST_MAPPING=PRECISE", "FS=MRC", "CURRENCY=USD", "XLFILL=b")</f>
        <v/>
      </c>
      <c r="AG164" s="9" t="str">
        <f>_xll.BQL("CRM US Equity", "CHG_IN_ACCT_PYBL_AND_ACC_EXPNSS/1M", "FPR=2022Y", "FPT=A", "FA_ACT_EST_DATA=E, EST_SOURCE=RHR", "ACT_EST_MAPPING=PRECISE", "FS=MRC", "CURRENCY=USD", "XLFILL=b")</f>
        <v/>
      </c>
      <c r="AH164" s="9" t="str">
        <f>_xll.BQL("CRM US Equity", "CHG_IN_ACCT_PYBL_AND_ACC_EXPNSS/1M", "FPR=2022Y", "FPT=A", "FA_ACT_EST_DATA=E, EST_SOURCE=JEF", "ACT_EST_MAPPING=PRECISE", "FS=MRC", "CURRENCY=USD", "XLFILL=b")</f>
        <v/>
      </c>
      <c r="AI164" s="9" t="str">
        <f>_xll.BQL("CRM US Equity", "CHG_IN_ACCT_PYBL_AND_ACC_EXPNSS/1M", "FPR=2022Y", "FPT=A", "FA_ACT_EST_DATA=E, EST_SOURCE=ATL", "ACT_EST_MAPPING=PRECISE", "FS=MRC", "CURRENCY=USD", "XLFILL=b")</f>
        <v/>
      </c>
      <c r="AJ164" s="9" t="str">
        <f>_xll.BQL("CRM US Equity", "CHG_IN_ACCT_PYBL_AND_ACC_EXPNSS/1M", "FPR=2022Y", "FPT=A", "FA_ACT_EST_DATA=E, EST_SOURCE=MAC", "ACT_EST_MAPPING=PRECISE", "FS=MRC", "CURRENCY=USD", "XLFILL=b")</f>
        <v/>
      </c>
      <c r="AK164" s="9" t="str">
        <f>_xll.BQL("CRM US Equity", "CHG_IN_ACCT_PYBL_AND_ACC_EXPNSS/1M", "FPR=2022Y", "FPT=A", "FA_ACT_EST_DATA=E, EST_SOURCE=EVR", "ACT_EST_MAPPING=PRECISE", "FS=MRC", "CURRENCY=USD", "XLFILL=b")</f>
        <v/>
      </c>
      <c r="AL164" s="9" t="str">
        <f>_xll.BQL("CRM US Equity", "CHG_IN_ACCT_PYBL_AND_ACC_EXPNSS/1M", "FPR=2022Y", "FPT=A", "FA_ACT_EST_DATA=E, EST_SOURCE=MSR", "ACT_EST_MAPPING=PRECISE", "FS=MRC", "CURRENCY=USD", "XLFILL=b")</f>
        <v/>
      </c>
      <c r="AM164" s="9" t="str">
        <f>_xll.BQL("CRM US Equity", "CHG_IN_ACCT_PYBL_AND_ACC_EXPNSS/1M", "FPR=2022Y", "FPT=A", "FA_ACT_EST_DATA=E, EST_SOURCE=KGI", "ACT_EST_MAPPING=PRECISE", "FS=MRC", "CURRENCY=USD", "XLFILL=b")</f>
        <v/>
      </c>
      <c r="AN164" s="9" t="str">
        <f>_xll.BQL("CRM US Equity", "CHG_IN_ACCT_PYBL_AND_ACC_EXPNSS/1M", "FPR=2022Y", "FPT=A", "FA_ACT_EST_DATA=E, EST_SOURCE=ACC", "ACT_EST_MAPPING=PRECISE", "FS=MRC", "CURRENCY=USD", "XLFILL=b")</f>
        <v/>
      </c>
      <c r="AO164" s="9" t="str">
        <f>_xll.BQL("CRM US Equity", "CHG_IN_ACCT_PYBL_AND_ACC_EXPNSS/1M", "FPR=2022Y", "FPT=A", "FA_ACT_EST_DATA=E, EST_SOURCE=GSR", "ACT_EST_MAPPING=PRECISE", "FS=MRC", "CURRENCY=USD", "XLFILL=b")</f>
        <v/>
      </c>
      <c r="AP164" s="9" t="str">
        <f>_xll.BQL("CRM US Equity", "CHG_IN_ACCT_PYBL_AND_ACC_EXPNSS/1M", "FPR=2022Y", "FPT=A", "FA_ACT_EST_DATA=E, EST_SOURCE=PSG", "ACT_EST_MAPPING=PRECISE", "FS=MRC", "CURRENCY=USD", "XLFILL=b")</f>
        <v/>
      </c>
      <c r="AQ164" s="9" t="str">
        <f>_xll.BQL("CRM US Equity", "CHG_IN_ACCT_PYBL_AND_ACC_EXPNSS/1M", "FPR=2022Y", "FPT=A", "FA_ACT_EST_DATA=E, EST_SOURCE=DWI", "ACT_EST_MAPPING=PRECISE", "FS=MRC", "CURRENCY=USD", "XLFILL=b")</f>
        <v/>
      </c>
      <c r="AR164" s="9" t="str">
        <f>_xll.BQL("CRM US Equity", "CHG_IN_ACCT_PYBL_AND_ACC_EXPNSS/1M", "FPR=2022Y", "FPT=A", "FA_ACT_EST_DATA=E, EST_SOURCE=RWB", "ACT_EST_MAPPING=PRECISE", "FS=MRC", "CURRENCY=USD", "XLFILL=b")</f>
        <v/>
      </c>
      <c r="AS164" s="9" t="str">
        <f>_xll.BQL("CRM US Equity", "CHG_IN_ACCT_PYBL_AND_ACC_EXPNSS/1M", "FPR=2022Y", "FPT=A", "FA_ACT_EST_DATA=E, EST_SOURCE=ARG", "ACT_EST_MAPPING=PRECISE", "FS=MRC", "CURRENCY=USD", "XLFILL=b")</f>
        <v/>
      </c>
      <c r="AT164" s="9" t="str">
        <f>_xll.BQL("CRM US Equity", "CHG_IN_ACCT_PYBL_AND_ACC_EXPNSS/1M", "FPR=2022Y", "FPT=A", "FA_ACT_EST_DATA=E, EST_SOURCE=CTI", "ACT_EST_MAPPING=PRECISE", "FS=MRC", "CURRENCY=USD", "XLFILL=b")</f>
        <v/>
      </c>
      <c r="AU164" s="9" t="str">
        <f>_xll.BQL("CRM US Equity", "CHG_IN_ACCT_PYBL_AND_ACC_EXPNSS/1M", "FPR=2022Y", "FPT=A", "FA_ACT_EST_DATA=E, EST_SOURCE=WFT", "ACT_EST_MAPPING=PRECISE", "FS=MRC", "CURRENCY=USD", "XLFILL=b")</f>
        <v/>
      </c>
      <c r="AV164" s="9" t="str">
        <f>_xll.BQL("CRM US Equity", "CHG_IN_ACCT_PYBL_AND_ACC_EXPNSS/1M", "FPR=2022Y", "FPT=A", "FA_ACT_EST_DATA=E, EST_SOURCE=PJE", "ACT_EST_MAPPING=PRECISE", "FS=MRC", "CURRENCY=USD", "XLFILL=b")</f>
        <v/>
      </c>
      <c r="AW164" s="9" t="str">
        <f>_xll.BQL("CRM US Equity", "CHG_IN_ACCT_PYBL_AND_ACC_EXPNSS/1M", "FPR=2022Y", "FPT=A", "FA_ACT_EST_DATA=E, EST_SOURCE=SGE", "ACT_EST_MAPPING=PRECISE", "FS=MRC", "CURRENCY=USD", "XLFILL=b")</f>
        <v/>
      </c>
      <c r="AX164" s="9" t="str">
        <f>_xll.BQL("CRM US Equity", "CHG_IN_ACCT_PYBL_AND_ACC_EXPNSS/1M", "FPR=2022Y", "FPT=A", "FA_ACT_EST_DATA=E, EST_SOURCE=MZS", "ACT_EST_MAPPING=PRECISE", "FS=MRC", "CURRENCY=USD", "XLFILL=b")</f>
        <v/>
      </c>
      <c r="AY164" s="9" t="str">
        <f>_xll.BQL("CRM US Equity", "CHG_IN_ACCT_PYBL_AND_ACC_EXPNSS/1M", "FPR=2022Y", "FPT=A", "FA_ACT_EST_DATA=E, EST_SOURCE=RCP", "ACT_EST_MAPPING=PRECISE", "FS=MRC", "CURRENCY=USD", "XLFILL=b")</f>
        <v/>
      </c>
      <c r="AZ164" s="9" t="str">
        <f>_xll.BQL("CRM US Equity", "CHG_IN_ACCT_PYBL_AND_ACC_EXPNSS/1M", "FPR=2022Y", "FPT=A", "FA_ACT_EST_DATA=E, EST_SOURCE=WFR", "ACT_EST_MAPPING=PRECISE", "FS=MRC", "CURRENCY=USD", "XLFILL=b")</f>
        <v/>
      </c>
      <c r="BA164" s="9" t="str">
        <f>_xll.BQL("CRM US Equity", "CHG_IN_ACCT_PYBL_AND_ACC_EXPNSS/1M", "FPR=2022Y", "FPT=A", "FA_ACT_EST_DATA=E, EST_SOURCE=NIK", "ACT_EST_MAPPING=PRECISE", "FS=MRC", "CURRENCY=USD", "XLFILL=b")</f>
        <v/>
      </c>
      <c r="BB164" s="9" t="str">
        <f>_xll.BQL("CRM US Equity", "CHG_IN_ACCT_PYBL_AND_ACC_EXPNSS/1M", "FPR=2022Y", "FPT=A", "FA_ACT_EST_DATA=E, EST_SOURCE=ARE", "ACT_EST_MAPPING=PRECISE", "FS=MRC", "CURRENCY=USD", "XLFILL=b")</f>
        <v/>
      </c>
      <c r="BC164" s="9" t="str">
        <f>_xll.BQL("CRM US Equity", "CHG_IN_ACCT_PYBL_AND_ACC_EXPNSS/1M", "FPR=2022Y", "FPT=A", "FA_ACT_EST_DATA=E, EST_SOURCE=RED", "ACT_EST_MAPPING=PRECISE", "FS=MRC", "CURRENCY=USD", "XLFILL=b")</f>
        <v/>
      </c>
      <c r="BD164" s="9" t="str">
        <f>_xll.BQL("CRM US Equity", "CHG_IN_ACCT_PYBL_AND_ACC_EXPNSS/1M", "FPR=2022Y", "FPT=A", "FA_ACT_EST_DATA=E, EST_SOURCE=DIR", "ACT_EST_MAPPING=PRECISE", "FS=MRC", "CURRENCY=USD", "XLFILL=b")</f>
        <v/>
      </c>
    </row>
    <row r="165" spans="1:56" x14ac:dyDescent="0.55000000000000004">
      <c r="A165" s="8" t="s">
        <v>313</v>
      </c>
      <c r="B165" s="5" t="s">
        <v>314</v>
      </c>
      <c r="C165" s="5" t="s">
        <v>315</v>
      </c>
      <c r="D165" s="5"/>
      <c r="E165" s="9">
        <f>_xll.BQL("CRM US Equity", "CF_CHG_IN_DEFER_UNEARND_REV_ST/1M", "FPR=2022Y", "FPT=A", "FA_ACT_EST_DATA=E", "ACT_EST_MAPPING=PRECISE", "FS=MRC", "CURRENCY=USD", "XLFILL=b")</f>
        <v>2599.2025085469681</v>
      </c>
      <c r="F165" s="9">
        <f>_xll.BQL("CRM US Equity", "CONTRIBUTOR_STATS(CF_CHG_IN_DEFER_UNEARND_REV_ST, MIN)/1M", "FPR=2022Y", "FPT=A", "FA_ACT_EST_DATA=E", "ACT_EST_MAPPING=PRECISE", "FS=MRC", "CURRENCY=USD", "XLFILL=b")</f>
        <v>2259.09744</v>
      </c>
      <c r="G165" s="9">
        <f>_xll.BQL("CRM US Equity", "CONTRIBUTOR_STATS(CF_CHG_IN_DEFER_UNEARND_REV_ST, MAX)/1M", "FPR=2022Y", "FPT=A", "FA_ACT_EST_DATA=E", "ACT_EST_MAPPING=PRECISE", "FS=MRC", "CURRENCY=USD", "XLFILL=b")</f>
        <v>3920.913</v>
      </c>
      <c r="H165" s="9">
        <f>_xll.BQL("CRM US Equity", "CONTRIBUTOR_STATS(CF_CHG_IN_DEFER_UNEARND_REV_ST, STD)/1M", "FPR=2022Y", "FPT=A", "FA_ACT_EST_DATA=E", "ACT_EST_MAPPING=PRECISE", "FS=MRC", "CURRENCY=USD", "XLFILL=b")</f>
        <v>460.1103376897575</v>
      </c>
      <c r="I165" s="9">
        <f>_xll.BQL("CRM US Equity", "CONTRIBUTOR_STATS(CF_CHG_IN_DEFER_UNEARND_REV_ST, MEDIAN)/1M", "FPR=2022Y", "FPT=A", "FA_ACT_EST_DATA=E", "ACT_EST_MAPPING=PRECISE", "FS=MRC", "CURRENCY=USD", "XLFILL=b")</f>
        <v>2464.7918804063979</v>
      </c>
      <c r="J165" s="9" t="str">
        <f>_xll.BQL("CRM US Equity", "CF_CHG_IN_DEFER_UNEARND_REV_ST/1M", "FPR=2022Y", "FPT=A", "FA_ACT_EST_DATA=E, EST_SOURCE=CMPY", "ACT_EST_MAPPING=PRECISE", "FS=MRC", "CURRENCY=USD", "XLFILL=b")</f>
        <v/>
      </c>
      <c r="K165" s="9" t="str">
        <f>_xll.BQL("CRM US Equity", "CF_CHG_IN_DEFER_UNEARND_REV_ST/1M", "FPR=2022Y", "FPT=A", "FA_ACT_EST_DATA=E, EST_SOURCE=WBL", "ACT_EST_MAPPING=PRECISE", "FS=MRC", "CURRENCY=USD", "XLFILL=b")</f>
        <v/>
      </c>
      <c r="L165" s="9" t="str">
        <f>_xll.BQL("CRM US Equity", "CF_CHG_IN_DEFER_UNEARND_REV_ST/1M", "FPR=2022Y", "FPT=A", "FA_ACT_EST_DATA=E, EST_SOURCE=BMO", "ACT_EST_MAPPING=PRECISE", "FS=MRC", "CURRENCY=USD", "XLFILL=b")</f>
        <v/>
      </c>
      <c r="M165" s="9">
        <f>_xll.BQL("CRM US Equity", "CF_CHG_IN_DEFER_UNEARND_REV_ST/1M", "FPR=2022Y", "FPT=A", "FA_ACT_EST_DATA=E, EST_SOURCE=BCA", "ACT_EST_MAPPING=PRECISE", "FS=MRC", "CURRENCY=USD", "XLFILL=b")</f>
        <v>3011.0488392508178</v>
      </c>
      <c r="N165" s="9" t="str">
        <f>_xll.BQL("CRM US Equity", "CF_CHG_IN_DEFER_UNEARND_REV_ST/1M", "FPR=2022Y", "FPT=A", "FA_ACT_EST_DATA=E, EST_SOURCE=SNR", "ACT_EST_MAPPING=PRECISE", "FS=MRC", "CURRENCY=USD", "XLFILL=b")</f>
        <v/>
      </c>
      <c r="O165" s="9">
        <f>_xll.BQL("CRM US Equity", "CF_CHG_IN_DEFER_UNEARND_REV_ST/1M", "FPR=2022Y", "FPT=A", "FA_ACT_EST_DATA=E, EST_SOURCE=MSV", "ACT_EST_MAPPING=PRECISE", "FS=MRC", "CURRENCY=USD", "XLFILL=b")</f>
        <v>2400.0893457599977</v>
      </c>
      <c r="P165" s="9">
        <f>_xll.BQL("CRM US Equity", "CF_CHG_IN_DEFER_UNEARND_REV_ST/1M", "FPR=2022Y", "FPT=A", "FA_ACT_EST_DATA=E, EST_SOURCE=DBG", "ACT_EST_MAPPING=PRECISE", "FS=MRC", "CURRENCY=USD", "XLFILL=b")</f>
        <v>2511.103000000001</v>
      </c>
      <c r="Q165" s="9">
        <f>_xll.BQL("CRM US Equity", "CF_CHG_IN_DEFER_UNEARND_REV_ST/1M", "FPR=2022Y", "FPT=A", "FA_ACT_EST_DATA=E, EST_SOURCE=NDH", "ACT_EST_MAPPING=PRECISE", "FS=MRC", "CURRENCY=USD", "XLFILL=b")</f>
        <v>3920.913</v>
      </c>
      <c r="R165" s="9" t="str">
        <f>_xll.BQL("CRM US Equity", "CF_CHG_IN_DEFER_UNEARND_REV_ST/1M", "FPR=2022Y", "FPT=A", "FA_ACT_EST_DATA=E, EST_SOURCE=CAN", "ACT_EST_MAPPING=PRECISE", "FS=MRC", "CURRENCY=USD", "XLFILL=b")</f>
        <v/>
      </c>
      <c r="S165" s="9" t="str">
        <f>_xll.BQL("CRM US Equity", "CF_CHG_IN_DEFER_UNEARND_REV_ST/1M", "FPR=2022Y", "FPT=A", "FA_ACT_EST_DATA=E, EST_SOURCE=SCB", "ACT_EST_MAPPING=PRECISE", "FS=MRC", "CURRENCY=USD", "XLFILL=b")</f>
        <v/>
      </c>
      <c r="T165" s="9">
        <f>_xll.BQL("CRM US Equity", "CF_CHG_IN_DEFER_UNEARND_REV_ST/1M", "FPR=2022Y", "FPT=A", "FA_ACT_EST_DATA=E, EST_SOURCE=JMP", "ACT_EST_MAPPING=PRECISE", "FS=MRC", "CURRENCY=USD", "XLFILL=b")</f>
        <v>2290</v>
      </c>
      <c r="U165" s="9" t="str">
        <f>_xll.BQL("CRM US Equity", "CF_CHG_IN_DEFER_UNEARND_REV_ST/1M", "FPR=2022Y", "FPT=A", "FA_ACT_EST_DATA=E, EST_SOURCE=RJA", "ACT_EST_MAPPING=PRECISE", "FS=MRC", "CURRENCY=USD", "XLFILL=b")</f>
        <v/>
      </c>
      <c r="V165" s="9" t="str">
        <f>_xll.BQL("CRM US Equity", "CF_CHG_IN_DEFER_UNEARND_REV_ST/1M", "FPR=2022Y", "FPT=A", "FA_ACT_EST_DATA=E, EST_SOURCE=OPY", "ACT_EST_MAPPING=PRECISE", "FS=MRC", "CURRENCY=USD", "XLFILL=b")</f>
        <v/>
      </c>
      <c r="W165" s="9" t="str">
        <f>_xll.BQL("CRM US Equity", "CF_CHG_IN_DEFER_UNEARND_REV_ST/1M", "FPR=2022Y", "FPT=A", "FA_ACT_EST_DATA=E, EST_SOURCE=JPM", "ACT_EST_MAPPING=PRECISE", "FS=MRC", "CURRENCY=USD", "XLFILL=b")</f>
        <v/>
      </c>
      <c r="X165" s="9">
        <f>_xll.BQL("CRM US Equity", "CF_CHG_IN_DEFER_UNEARND_REV_ST/1M", "FPR=2022Y", "FPT=A", "FA_ACT_EST_DATA=E, EST_SOURCE=FBC", "ACT_EST_MAPPING=PRECISE", "FS=MRC", "CURRENCY=USD", "XLFILL=b")</f>
        <v>2245.761911890459</v>
      </c>
      <c r="Y165" s="9">
        <f>_xll.BQL("CRM US Equity", "CF_CHG_IN_DEFER_UNEARND_REV_ST/1M", "FPR=2022Y", "FPT=A", "FA_ACT_EST_DATA=E, EST_SOURCE=WMS", "ACT_EST_MAPPING=PRECISE", "FS=MRC", "CURRENCY=USD", "XLFILL=b")</f>
        <v>3199.2292761362746</v>
      </c>
      <c r="Z165" s="9">
        <f>_xll.BQL("CRM US Equity", "CF_CHG_IN_DEFER_UNEARND_REV_ST/1M", "FPR=2022Y", "FPT=A", "FA_ACT_EST_DATA=E, EST_SOURCE=KEY", "ACT_EST_MAPPING=PRECISE", "FS=MRC", "CURRENCY=USD", "XLFILL=b")</f>
        <v>1885.2599999999982</v>
      </c>
      <c r="AA165" s="9" t="str">
        <f>_xll.BQL("CRM US Equity", "CF_CHG_IN_DEFER_UNEARND_REV_ST/1M", "FPR=2022Y", "FPT=A", "FA_ACT_EST_DATA=E, EST_SOURCE=LCM", "ACT_EST_MAPPING=PRECISE", "FS=MRC", "CURRENCY=USD", "XLFILL=b")</f>
        <v/>
      </c>
      <c r="AB165" s="9" t="str">
        <f>_xll.BQL("CRM US Equity", "CF_CHG_IN_DEFER_UNEARND_REV_ST/1M", "FPR=2022Y", "FPT=A", "FA_ACT_EST_DATA=E, EST_SOURCE=CWN", "ACT_EST_MAPPING=PRECISE", "FS=MRC", "CURRENCY=USD", "XLFILL=b")</f>
        <v/>
      </c>
      <c r="AC165" s="9" t="str">
        <f>_xll.BQL("CRM US Equity", "CF_CHG_IN_DEFER_UNEARND_REV_ST/1M", "FPR=2022Y", "FPT=A", "FA_ACT_EST_DATA=E, EST_SOURCE=BNS", "ACT_EST_MAPPING=PRECISE", "FS=MRC", "CURRENCY=USD", "XLFILL=b")</f>
        <v/>
      </c>
      <c r="AD165" s="9" t="str">
        <f>_xll.BQL("CRM US Equity", "CF_CHG_IN_DEFER_UNEARND_REV_ST/1M", "FPR=2022Y", "FPT=A", "FA_ACT_EST_DATA=E, EST_SOURCE=BAM", "ACT_EST_MAPPING=PRECISE", "FS=MRC", "CURRENCY=USD", "XLFILL=b")</f>
        <v/>
      </c>
      <c r="AE165" s="9" t="str">
        <f>_xll.BQL("CRM US Equity", "CF_CHG_IN_DEFER_UNEARND_REV_ST/1M", "FPR=2022Y", "FPT=A", "FA_ACT_EST_DATA=E, EST_SOURCE=RBC", "ACT_EST_MAPPING=PRECISE", "FS=MRC", "CURRENCY=USD", "XLFILL=b")</f>
        <v/>
      </c>
      <c r="AF165" s="9" t="str">
        <f>_xll.BQL("CRM US Equity", "CF_CHG_IN_DEFER_UNEARND_REV_ST/1M", "FPR=2022Y", "FPT=A", "FA_ACT_EST_DATA=E, EST_SOURCE=UBS", "ACT_EST_MAPPING=PRECISE", "FS=MRC", "CURRENCY=USD", "XLFILL=b")</f>
        <v/>
      </c>
      <c r="AG165" s="9" t="str">
        <f>_xll.BQL("CRM US Equity", "CF_CHG_IN_DEFER_UNEARND_REV_ST/1M", "FPR=2022Y", "FPT=A", "FA_ACT_EST_DATA=E, EST_SOURCE=RHR", "ACT_EST_MAPPING=PRECISE", "FS=MRC", "CURRENCY=USD", "XLFILL=b")</f>
        <v/>
      </c>
      <c r="AH165" s="9" t="str">
        <f>_xll.BQL("CRM US Equity", "CF_CHG_IN_DEFER_UNEARND_REV_ST/1M", "FPR=2022Y", "FPT=A", "FA_ACT_EST_DATA=E, EST_SOURCE=JEF", "ACT_EST_MAPPING=PRECISE", "FS=MRC", "CURRENCY=USD", "XLFILL=b")</f>
        <v/>
      </c>
      <c r="AI165" s="9" t="str">
        <f>_xll.BQL("CRM US Equity", "CF_CHG_IN_DEFER_UNEARND_REV_ST/1M", "FPR=2022Y", "FPT=A", "FA_ACT_EST_DATA=E, EST_SOURCE=ATL", "ACT_EST_MAPPING=PRECISE", "FS=MRC", "CURRENCY=USD", "XLFILL=b")</f>
        <v/>
      </c>
      <c r="AJ165" s="9" t="str">
        <f>_xll.BQL("CRM US Equity", "CF_CHG_IN_DEFER_UNEARND_REV_ST/1M", "FPR=2022Y", "FPT=A", "FA_ACT_EST_DATA=E, EST_SOURCE=MAC", "ACT_EST_MAPPING=PRECISE", "FS=MRC", "CURRENCY=USD", "XLFILL=b")</f>
        <v/>
      </c>
      <c r="AK165" s="9" t="str">
        <f>_xll.BQL("CRM US Equity", "CF_CHG_IN_DEFER_UNEARND_REV_ST/1M", "FPR=2022Y", "FPT=A", "FA_ACT_EST_DATA=E, EST_SOURCE=EVR", "ACT_EST_MAPPING=PRECISE", "FS=MRC", "CURRENCY=USD", "XLFILL=b")</f>
        <v/>
      </c>
      <c r="AL165" s="9" t="str">
        <f>_xll.BQL("CRM US Equity", "CF_CHG_IN_DEFER_UNEARND_REV_ST/1M", "FPR=2022Y", "FPT=A", "FA_ACT_EST_DATA=E, EST_SOURCE=MSR", "ACT_EST_MAPPING=PRECISE", "FS=MRC", "CURRENCY=USD", "XLFILL=b")</f>
        <v/>
      </c>
      <c r="AM165" s="9" t="str">
        <f>_xll.BQL("CRM US Equity", "CF_CHG_IN_DEFER_UNEARND_REV_ST/1M", "FPR=2022Y", "FPT=A", "FA_ACT_EST_DATA=E, EST_SOURCE=KGI", "ACT_EST_MAPPING=PRECISE", "FS=MRC", "CURRENCY=USD", "XLFILL=b")</f>
        <v/>
      </c>
      <c r="AN165" s="9" t="str">
        <f>_xll.BQL("CRM US Equity", "CF_CHG_IN_DEFER_UNEARND_REV_ST/1M", "FPR=2022Y", "FPT=A", "FA_ACT_EST_DATA=E, EST_SOURCE=ACC", "ACT_EST_MAPPING=PRECISE", "FS=MRC", "CURRENCY=USD", "XLFILL=b")</f>
        <v/>
      </c>
      <c r="AO165" s="9" t="str">
        <f>_xll.BQL("CRM US Equity", "CF_CHG_IN_DEFER_UNEARND_REV_ST/1M", "FPR=2022Y", "FPT=A", "FA_ACT_EST_DATA=E, EST_SOURCE=GSR", "ACT_EST_MAPPING=PRECISE", "FS=MRC", "CURRENCY=USD", "XLFILL=b")</f>
        <v/>
      </c>
      <c r="AP165" s="9" t="str">
        <f>_xll.BQL("CRM US Equity", "CF_CHG_IN_DEFER_UNEARND_REV_ST/1M", "FPR=2022Y", "FPT=A", "FA_ACT_EST_DATA=E, EST_SOURCE=PSG", "ACT_EST_MAPPING=PRECISE", "FS=MRC", "CURRENCY=USD", "XLFILL=b")</f>
        <v/>
      </c>
      <c r="AQ165" s="9" t="str">
        <f>_xll.BQL("CRM US Equity", "CF_CHG_IN_DEFER_UNEARND_REV_ST/1M", "FPR=2022Y", "FPT=A", "FA_ACT_EST_DATA=E, EST_SOURCE=DWI", "ACT_EST_MAPPING=PRECISE", "FS=MRC", "CURRENCY=USD", "XLFILL=b")</f>
        <v/>
      </c>
      <c r="AR165" s="9" t="str">
        <f>_xll.BQL("CRM US Equity", "CF_CHG_IN_DEFER_UNEARND_REV_ST/1M", "FPR=2022Y", "FPT=A", "FA_ACT_EST_DATA=E, EST_SOURCE=RWB", "ACT_EST_MAPPING=PRECISE", "FS=MRC", "CURRENCY=USD", "XLFILL=b")</f>
        <v/>
      </c>
      <c r="AS165" s="9" t="str">
        <f>_xll.BQL("CRM US Equity", "CF_CHG_IN_DEFER_UNEARND_REV_ST/1M", "FPR=2022Y", "FPT=A", "FA_ACT_EST_DATA=E, EST_SOURCE=ARG", "ACT_EST_MAPPING=PRECISE", "FS=MRC", "CURRENCY=USD", "XLFILL=b")</f>
        <v/>
      </c>
      <c r="AT165" s="9" t="str">
        <f>_xll.BQL("CRM US Equity", "CF_CHG_IN_DEFER_UNEARND_REV_ST/1M", "FPR=2022Y", "FPT=A", "FA_ACT_EST_DATA=E, EST_SOURCE=CTI", "ACT_EST_MAPPING=PRECISE", "FS=MRC", "CURRENCY=USD", "XLFILL=b")</f>
        <v/>
      </c>
      <c r="AU165" s="9" t="str">
        <f>_xll.BQL("CRM US Equity", "CF_CHG_IN_DEFER_UNEARND_REV_ST/1M", "FPR=2022Y", "FPT=A", "FA_ACT_EST_DATA=E, EST_SOURCE=WFT", "ACT_EST_MAPPING=PRECISE", "FS=MRC", "CURRENCY=USD", "XLFILL=b")</f>
        <v/>
      </c>
      <c r="AV165" s="9" t="str">
        <f>_xll.BQL("CRM US Equity", "CF_CHG_IN_DEFER_UNEARND_REV_ST/1M", "FPR=2022Y", "FPT=A", "FA_ACT_EST_DATA=E, EST_SOURCE=PJE", "ACT_EST_MAPPING=PRECISE", "FS=MRC", "CURRENCY=USD", "XLFILL=b")</f>
        <v/>
      </c>
      <c r="AW165" s="9" t="str">
        <f>_xll.BQL("CRM US Equity", "CF_CHG_IN_DEFER_UNEARND_REV_ST/1M", "FPR=2022Y", "FPT=A", "FA_ACT_EST_DATA=E, EST_SOURCE=SGE", "ACT_EST_MAPPING=PRECISE", "FS=MRC", "CURRENCY=USD", "XLFILL=b")</f>
        <v/>
      </c>
      <c r="AX165" s="9" t="str">
        <f>_xll.BQL("CRM US Equity", "CF_CHG_IN_DEFER_UNEARND_REV_ST/1M", "FPR=2022Y", "FPT=A", "FA_ACT_EST_DATA=E, EST_SOURCE=MZS", "ACT_EST_MAPPING=PRECISE", "FS=MRC", "CURRENCY=USD", "XLFILL=b")</f>
        <v/>
      </c>
      <c r="AY165" s="9" t="str">
        <f>_xll.BQL("CRM US Equity", "CF_CHG_IN_DEFER_UNEARND_REV_ST/1M", "FPR=2022Y", "FPT=A", "FA_ACT_EST_DATA=E, EST_SOURCE=RCP", "ACT_EST_MAPPING=PRECISE", "FS=MRC", "CURRENCY=USD", "XLFILL=b")</f>
        <v/>
      </c>
      <c r="AZ165" s="9" t="str">
        <f>_xll.BQL("CRM US Equity", "CF_CHG_IN_DEFER_UNEARND_REV_ST/1M", "FPR=2022Y", "FPT=A", "FA_ACT_EST_DATA=E, EST_SOURCE=WFR", "ACT_EST_MAPPING=PRECISE", "FS=MRC", "CURRENCY=USD", "XLFILL=b")</f>
        <v/>
      </c>
      <c r="BA165" s="9" t="str">
        <f>_xll.BQL("CRM US Equity", "CF_CHG_IN_DEFER_UNEARND_REV_ST/1M", "FPR=2022Y", "FPT=A", "FA_ACT_EST_DATA=E, EST_SOURCE=NIK", "ACT_EST_MAPPING=PRECISE", "FS=MRC", "CURRENCY=USD", "XLFILL=b")</f>
        <v/>
      </c>
      <c r="BB165" s="9" t="str">
        <f>_xll.BQL("CRM US Equity", "CF_CHG_IN_DEFER_UNEARND_REV_ST/1M", "FPR=2022Y", "FPT=A", "FA_ACT_EST_DATA=E, EST_SOURCE=ARE", "ACT_EST_MAPPING=PRECISE", "FS=MRC", "CURRENCY=USD", "XLFILL=b")</f>
        <v/>
      </c>
      <c r="BC165" s="9" t="str">
        <f>_xll.BQL("CRM US Equity", "CF_CHG_IN_DEFER_UNEARND_REV_ST/1M", "FPR=2022Y", "FPT=A", "FA_ACT_EST_DATA=E, EST_SOURCE=RED", "ACT_EST_MAPPING=PRECISE", "FS=MRC", "CURRENCY=USD", "XLFILL=b")</f>
        <v/>
      </c>
      <c r="BD165" s="9" t="str">
        <f>_xll.BQL("CRM US Equity", "CF_CHG_IN_DEFER_UNEARND_REV_ST/1M", "FPR=2022Y", "FPT=A", "FA_ACT_EST_DATA=E, EST_SOURCE=DIR", "ACT_EST_MAPPING=PRECISE", "FS=MRC", "CURRENCY=USD", "XLFILL=b")</f>
        <v/>
      </c>
    </row>
    <row r="166" spans="1:56" x14ac:dyDescent="0.55000000000000004">
      <c r="A166" s="8" t="s">
        <v>242</v>
      </c>
      <c r="B166" s="5" t="s">
        <v>316</v>
      </c>
      <c r="C166" s="5" t="s">
        <v>244</v>
      </c>
      <c r="D166" s="5"/>
      <c r="E166" s="9">
        <f>_xll.BQL("CRM US Equity", "CF_CHANGE_IN_OPER_LEASE_LIBLTS/1M", "FPR=2022Y", "FPT=A", "FA_ACT_EST_DATA=E", "ACT_EST_MAPPING=PRECISE", "FS=MRC", "CURRENCY=USD", "XLFILL=b")</f>
        <v>-680.875</v>
      </c>
      <c r="F166" s="9">
        <f>_xll.BQL("CRM US Equity", "CONTRIBUTOR_STATS(CF_CHANGE_IN_OPER_LEASE_LIBLTS, MIN)/1M", "FPR=2022Y", "FPT=A", "FA_ACT_EST_DATA=E", "ACT_EST_MAPPING=PRECISE", "FS=MRC", "CURRENCY=USD", "XLFILL=b")</f>
        <v>-807</v>
      </c>
      <c r="G166" s="9">
        <f>_xll.BQL("CRM US Equity", "CONTRIBUTOR_STATS(CF_CHANGE_IN_OPER_LEASE_LIBLTS, MAX)/1M", "FPR=2022Y", "FPT=A", "FA_ACT_EST_DATA=E", "ACT_EST_MAPPING=PRECISE", "FS=MRC", "CURRENCY=USD", "XLFILL=b")</f>
        <v>-607</v>
      </c>
      <c r="H166" s="9">
        <f>_xll.BQL("CRM US Equity", "CONTRIBUTOR_STATS(CF_CHANGE_IN_OPER_LEASE_LIBLTS, STD)/1M", "FPR=2022Y", "FPT=A", "FA_ACT_EST_DATA=E", "ACT_EST_MAPPING=PRECISE", "FS=MRC", "CURRENCY=USD", "XLFILL=b")</f>
        <v>101.9950103821611</v>
      </c>
      <c r="I166" s="9">
        <f>_xll.BQL("CRM US Equity", "CONTRIBUTOR_STATS(CF_CHANGE_IN_OPER_LEASE_LIBLTS, MEDIAN)/1M", "FPR=2022Y", "FPT=A", "FA_ACT_EST_DATA=E", "ACT_EST_MAPPING=PRECISE", "FS=MRC", "CURRENCY=USD", "XLFILL=b")</f>
        <v>-607</v>
      </c>
      <c r="J166" s="9" t="str">
        <f>_xll.BQL("CRM US Equity", "CF_CHANGE_IN_OPER_LEASE_LIBLTS/1M", "FPR=2022Y", "FPT=A", "FA_ACT_EST_DATA=E, EST_SOURCE=CMPY", "ACT_EST_MAPPING=PRECISE", "FS=MRC", "CURRENCY=USD", "XLFILL=b")</f>
        <v/>
      </c>
      <c r="K166" s="9" t="str">
        <f>_xll.BQL("CRM US Equity", "CF_CHANGE_IN_OPER_LEASE_LIBLTS/1M", "FPR=2022Y", "FPT=A", "FA_ACT_EST_DATA=E, EST_SOURCE=WBL", "ACT_EST_MAPPING=PRECISE", "FS=MRC", "CURRENCY=USD", "XLFILL=b")</f>
        <v/>
      </c>
      <c r="L166" s="9" t="str">
        <f>_xll.BQL("CRM US Equity", "CF_CHANGE_IN_OPER_LEASE_LIBLTS/1M", "FPR=2022Y", "FPT=A", "FA_ACT_EST_DATA=E, EST_SOURCE=BMO", "ACT_EST_MAPPING=PRECISE", "FS=MRC", "CURRENCY=USD", "XLFILL=b")</f>
        <v/>
      </c>
      <c r="M166" s="9" t="str">
        <f>_xll.BQL("CRM US Equity", "CF_CHANGE_IN_OPER_LEASE_LIBLTS/1M", "FPR=2022Y", "FPT=A", "FA_ACT_EST_DATA=E, EST_SOURCE=BCA", "ACT_EST_MAPPING=PRECISE", "FS=MRC", "CURRENCY=USD", "XLFILL=b")</f>
        <v/>
      </c>
      <c r="N166" s="9" t="str">
        <f>_xll.BQL("CRM US Equity", "CF_CHANGE_IN_OPER_LEASE_LIBLTS/1M", "FPR=2022Y", "FPT=A", "FA_ACT_EST_DATA=E, EST_SOURCE=SNR", "ACT_EST_MAPPING=PRECISE", "FS=MRC", "CURRENCY=USD", "XLFILL=b")</f>
        <v/>
      </c>
      <c r="O166" s="9" t="str">
        <f>_xll.BQL("CRM US Equity", "CF_CHANGE_IN_OPER_LEASE_LIBLTS/1M", "FPR=2022Y", "FPT=A", "FA_ACT_EST_DATA=E, EST_SOURCE=MSV", "ACT_EST_MAPPING=PRECISE", "FS=MRC", "CURRENCY=USD", "XLFILL=b")</f>
        <v/>
      </c>
      <c r="P166" s="9">
        <f>_xll.BQL("CRM US Equity", "CF_CHANGE_IN_OPER_LEASE_LIBLTS/1M", "FPR=2022Y", "FPT=A", "FA_ACT_EST_DATA=E, EST_SOURCE=DBG", "ACT_EST_MAPPING=PRECISE", "FS=MRC", "CURRENCY=USD", "XLFILL=b")</f>
        <v>-798</v>
      </c>
      <c r="Q166" s="9">
        <f>_xll.BQL("CRM US Equity", "CF_CHANGE_IN_OPER_LEASE_LIBLTS/1M", "FPR=2022Y", "FPT=A", "FA_ACT_EST_DATA=E, EST_SOURCE=NDH", "ACT_EST_MAPPING=PRECISE", "FS=MRC", "CURRENCY=USD", "XLFILL=b")</f>
        <v>-607</v>
      </c>
      <c r="R166" s="9" t="str">
        <f>_xll.BQL("CRM US Equity", "CF_CHANGE_IN_OPER_LEASE_LIBLTS/1M", "FPR=2022Y", "FPT=A", "FA_ACT_EST_DATA=E, EST_SOURCE=CAN", "ACT_EST_MAPPING=PRECISE", "FS=MRC", "CURRENCY=USD", "XLFILL=b")</f>
        <v/>
      </c>
      <c r="S166" s="9" t="str">
        <f>_xll.BQL("CRM US Equity", "CF_CHANGE_IN_OPER_LEASE_LIBLTS/1M", "FPR=2022Y", "FPT=A", "FA_ACT_EST_DATA=E, EST_SOURCE=SCB", "ACT_EST_MAPPING=PRECISE", "FS=MRC", "CURRENCY=USD", "XLFILL=b")</f>
        <v/>
      </c>
      <c r="T166" s="9">
        <f>_xll.BQL("CRM US Equity", "CF_CHANGE_IN_OPER_LEASE_LIBLTS/1M", "FPR=2022Y", "FPT=A", "FA_ACT_EST_DATA=E, EST_SOURCE=JMP", "ACT_EST_MAPPING=PRECISE", "FS=MRC", "CURRENCY=USD", "XLFILL=b")</f>
        <v>-607</v>
      </c>
      <c r="U166" s="9" t="str">
        <f>_xll.BQL("CRM US Equity", "CF_CHANGE_IN_OPER_LEASE_LIBLTS/1M", "FPR=2022Y", "FPT=A", "FA_ACT_EST_DATA=E, EST_SOURCE=RJA", "ACT_EST_MAPPING=PRECISE", "FS=MRC", "CURRENCY=USD", "XLFILL=b")</f>
        <v/>
      </c>
      <c r="V166" s="9" t="str">
        <f>_xll.BQL("CRM US Equity", "CF_CHANGE_IN_OPER_LEASE_LIBLTS/1M", "FPR=2022Y", "FPT=A", "FA_ACT_EST_DATA=E, EST_SOURCE=OPY", "ACT_EST_MAPPING=PRECISE", "FS=MRC", "CURRENCY=USD", "XLFILL=b")</f>
        <v/>
      </c>
      <c r="W166" s="9" t="str">
        <f>_xll.BQL("CRM US Equity", "CF_CHANGE_IN_OPER_LEASE_LIBLTS/1M", "FPR=2022Y", "FPT=A", "FA_ACT_EST_DATA=E, EST_SOURCE=JPM", "ACT_EST_MAPPING=PRECISE", "FS=MRC", "CURRENCY=USD", "XLFILL=b")</f>
        <v/>
      </c>
      <c r="X166" s="9" t="str">
        <f>_xll.BQL("CRM US Equity", "CF_CHANGE_IN_OPER_LEASE_LIBLTS/1M", "FPR=2022Y", "FPT=A", "FA_ACT_EST_DATA=E, EST_SOURCE=FBC", "ACT_EST_MAPPING=PRECISE", "FS=MRC", "CURRENCY=USD", "XLFILL=b")</f>
        <v/>
      </c>
      <c r="Y166" s="9" t="str">
        <f>_xll.BQL("CRM US Equity", "CF_CHANGE_IN_OPER_LEASE_LIBLTS/1M", "FPR=2022Y", "FPT=A", "FA_ACT_EST_DATA=E, EST_SOURCE=WMS", "ACT_EST_MAPPING=PRECISE", "FS=MRC", "CURRENCY=USD", "XLFILL=b")</f>
        <v/>
      </c>
      <c r="Z166" s="9" t="str">
        <f>_xll.BQL("CRM US Equity", "CF_CHANGE_IN_OPER_LEASE_LIBLTS/1M", "FPR=2022Y", "FPT=A", "FA_ACT_EST_DATA=E, EST_SOURCE=KEY", "ACT_EST_MAPPING=PRECISE", "FS=MRC", "CURRENCY=USD", "XLFILL=b")</f>
        <v/>
      </c>
      <c r="AA166" s="9" t="str">
        <f>_xll.BQL("CRM US Equity", "CF_CHANGE_IN_OPER_LEASE_LIBLTS/1M", "FPR=2022Y", "FPT=A", "FA_ACT_EST_DATA=E, EST_SOURCE=LCM", "ACT_EST_MAPPING=PRECISE", "FS=MRC", "CURRENCY=USD", "XLFILL=b")</f>
        <v/>
      </c>
      <c r="AB166" s="9" t="str">
        <f>_xll.BQL("CRM US Equity", "CF_CHANGE_IN_OPER_LEASE_LIBLTS/1M", "FPR=2022Y", "FPT=A", "FA_ACT_EST_DATA=E, EST_SOURCE=CWN", "ACT_EST_MAPPING=PRECISE", "FS=MRC", "CURRENCY=USD", "XLFILL=b")</f>
        <v/>
      </c>
      <c r="AC166" s="9" t="str">
        <f>_xll.BQL("CRM US Equity", "CF_CHANGE_IN_OPER_LEASE_LIBLTS/1M", "FPR=2022Y", "FPT=A", "FA_ACT_EST_DATA=E, EST_SOURCE=BNS", "ACT_EST_MAPPING=PRECISE", "FS=MRC", "CURRENCY=USD", "XLFILL=b")</f>
        <v/>
      </c>
      <c r="AD166" s="9" t="str">
        <f>_xll.BQL("CRM US Equity", "CF_CHANGE_IN_OPER_LEASE_LIBLTS/1M", "FPR=2022Y", "FPT=A", "FA_ACT_EST_DATA=E, EST_SOURCE=BAM", "ACT_EST_MAPPING=PRECISE", "FS=MRC", "CURRENCY=USD", "XLFILL=b")</f>
        <v/>
      </c>
      <c r="AE166" s="9" t="str">
        <f>_xll.BQL("CRM US Equity", "CF_CHANGE_IN_OPER_LEASE_LIBLTS/1M", "FPR=2022Y", "FPT=A", "FA_ACT_EST_DATA=E, EST_SOURCE=RBC", "ACT_EST_MAPPING=PRECISE", "FS=MRC", "CURRENCY=USD", "XLFILL=b")</f>
        <v/>
      </c>
      <c r="AF166" s="9" t="str">
        <f>_xll.BQL("CRM US Equity", "CF_CHANGE_IN_OPER_LEASE_LIBLTS/1M", "FPR=2022Y", "FPT=A", "FA_ACT_EST_DATA=E, EST_SOURCE=UBS", "ACT_EST_MAPPING=PRECISE", "FS=MRC", "CURRENCY=USD", "XLFILL=b")</f>
        <v/>
      </c>
      <c r="AG166" s="9" t="str">
        <f>_xll.BQL("CRM US Equity", "CF_CHANGE_IN_OPER_LEASE_LIBLTS/1M", "FPR=2022Y", "FPT=A", "FA_ACT_EST_DATA=E, EST_SOURCE=RHR", "ACT_EST_MAPPING=PRECISE", "FS=MRC", "CURRENCY=USD", "XLFILL=b")</f>
        <v/>
      </c>
      <c r="AH166" s="9" t="str">
        <f>_xll.BQL("CRM US Equity", "CF_CHANGE_IN_OPER_LEASE_LIBLTS/1M", "FPR=2022Y", "FPT=A", "FA_ACT_EST_DATA=E, EST_SOURCE=JEF", "ACT_EST_MAPPING=PRECISE", "FS=MRC", "CURRENCY=USD", "XLFILL=b")</f>
        <v/>
      </c>
      <c r="AI166" s="9" t="str">
        <f>_xll.BQL("CRM US Equity", "CF_CHANGE_IN_OPER_LEASE_LIBLTS/1M", "FPR=2022Y", "FPT=A", "FA_ACT_EST_DATA=E, EST_SOURCE=ATL", "ACT_EST_MAPPING=PRECISE", "FS=MRC", "CURRENCY=USD", "XLFILL=b")</f>
        <v/>
      </c>
      <c r="AJ166" s="9" t="str">
        <f>_xll.BQL("CRM US Equity", "CF_CHANGE_IN_OPER_LEASE_LIBLTS/1M", "FPR=2022Y", "FPT=A", "FA_ACT_EST_DATA=E, EST_SOURCE=MAC", "ACT_EST_MAPPING=PRECISE", "FS=MRC", "CURRENCY=USD", "XLFILL=b")</f>
        <v/>
      </c>
      <c r="AK166" s="9" t="str">
        <f>_xll.BQL("CRM US Equity", "CF_CHANGE_IN_OPER_LEASE_LIBLTS/1M", "FPR=2022Y", "FPT=A", "FA_ACT_EST_DATA=E, EST_SOURCE=EVR", "ACT_EST_MAPPING=PRECISE", "FS=MRC", "CURRENCY=USD", "XLFILL=b")</f>
        <v/>
      </c>
      <c r="AL166" s="9" t="str">
        <f>_xll.BQL("CRM US Equity", "CF_CHANGE_IN_OPER_LEASE_LIBLTS/1M", "FPR=2022Y", "FPT=A", "FA_ACT_EST_DATA=E, EST_SOURCE=MSR", "ACT_EST_MAPPING=PRECISE", "FS=MRC", "CURRENCY=USD", "XLFILL=b")</f>
        <v/>
      </c>
      <c r="AM166" s="9" t="str">
        <f>_xll.BQL("CRM US Equity", "CF_CHANGE_IN_OPER_LEASE_LIBLTS/1M", "FPR=2022Y", "FPT=A", "FA_ACT_EST_DATA=E, EST_SOURCE=KGI", "ACT_EST_MAPPING=PRECISE", "FS=MRC", "CURRENCY=USD", "XLFILL=b")</f>
        <v/>
      </c>
      <c r="AN166" s="9" t="str">
        <f>_xll.BQL("CRM US Equity", "CF_CHANGE_IN_OPER_LEASE_LIBLTS/1M", "FPR=2022Y", "FPT=A", "FA_ACT_EST_DATA=E, EST_SOURCE=ACC", "ACT_EST_MAPPING=PRECISE", "FS=MRC", "CURRENCY=USD", "XLFILL=b")</f>
        <v/>
      </c>
      <c r="AO166" s="9" t="str">
        <f>_xll.BQL("CRM US Equity", "CF_CHANGE_IN_OPER_LEASE_LIBLTS/1M", "FPR=2022Y", "FPT=A", "FA_ACT_EST_DATA=E, EST_SOURCE=GSR", "ACT_EST_MAPPING=PRECISE", "FS=MRC", "CURRENCY=USD", "XLFILL=b")</f>
        <v/>
      </c>
      <c r="AP166" s="9" t="str">
        <f>_xll.BQL("CRM US Equity", "CF_CHANGE_IN_OPER_LEASE_LIBLTS/1M", "FPR=2022Y", "FPT=A", "FA_ACT_EST_DATA=E, EST_SOURCE=PSG", "ACT_EST_MAPPING=PRECISE", "FS=MRC", "CURRENCY=USD", "XLFILL=b")</f>
        <v/>
      </c>
      <c r="AQ166" s="9" t="str">
        <f>_xll.BQL("CRM US Equity", "CF_CHANGE_IN_OPER_LEASE_LIBLTS/1M", "FPR=2022Y", "FPT=A", "FA_ACT_EST_DATA=E, EST_SOURCE=DWI", "ACT_EST_MAPPING=PRECISE", "FS=MRC", "CURRENCY=USD", "XLFILL=b")</f>
        <v/>
      </c>
      <c r="AR166" s="9" t="str">
        <f>_xll.BQL("CRM US Equity", "CF_CHANGE_IN_OPER_LEASE_LIBLTS/1M", "FPR=2022Y", "FPT=A", "FA_ACT_EST_DATA=E, EST_SOURCE=RWB", "ACT_EST_MAPPING=PRECISE", "FS=MRC", "CURRENCY=USD", "XLFILL=b")</f>
        <v/>
      </c>
      <c r="AS166" s="9" t="str">
        <f>_xll.BQL("CRM US Equity", "CF_CHANGE_IN_OPER_LEASE_LIBLTS/1M", "FPR=2022Y", "FPT=A", "FA_ACT_EST_DATA=E, EST_SOURCE=ARG", "ACT_EST_MAPPING=PRECISE", "FS=MRC", "CURRENCY=USD", "XLFILL=b")</f>
        <v/>
      </c>
      <c r="AT166" s="9" t="str">
        <f>_xll.BQL("CRM US Equity", "CF_CHANGE_IN_OPER_LEASE_LIBLTS/1M", "FPR=2022Y", "FPT=A", "FA_ACT_EST_DATA=E, EST_SOURCE=CTI", "ACT_EST_MAPPING=PRECISE", "FS=MRC", "CURRENCY=USD", "XLFILL=b")</f>
        <v/>
      </c>
      <c r="AU166" s="9" t="str">
        <f>_xll.BQL("CRM US Equity", "CF_CHANGE_IN_OPER_LEASE_LIBLTS/1M", "FPR=2022Y", "FPT=A", "FA_ACT_EST_DATA=E, EST_SOURCE=WFT", "ACT_EST_MAPPING=PRECISE", "FS=MRC", "CURRENCY=USD", "XLFILL=b")</f>
        <v/>
      </c>
      <c r="AV166" s="9" t="str">
        <f>_xll.BQL("CRM US Equity", "CF_CHANGE_IN_OPER_LEASE_LIBLTS/1M", "FPR=2022Y", "FPT=A", "FA_ACT_EST_DATA=E, EST_SOURCE=PJE", "ACT_EST_MAPPING=PRECISE", "FS=MRC", "CURRENCY=USD", "XLFILL=b")</f>
        <v/>
      </c>
      <c r="AW166" s="9" t="str">
        <f>_xll.BQL("CRM US Equity", "CF_CHANGE_IN_OPER_LEASE_LIBLTS/1M", "FPR=2022Y", "FPT=A", "FA_ACT_EST_DATA=E, EST_SOURCE=SGE", "ACT_EST_MAPPING=PRECISE", "FS=MRC", "CURRENCY=USD", "XLFILL=b")</f>
        <v/>
      </c>
      <c r="AX166" s="9" t="str">
        <f>_xll.BQL("CRM US Equity", "CF_CHANGE_IN_OPER_LEASE_LIBLTS/1M", "FPR=2022Y", "FPT=A", "FA_ACT_EST_DATA=E, EST_SOURCE=MZS", "ACT_EST_MAPPING=PRECISE", "FS=MRC", "CURRENCY=USD", "XLFILL=b")</f>
        <v/>
      </c>
      <c r="AY166" s="9" t="str">
        <f>_xll.BQL("CRM US Equity", "CF_CHANGE_IN_OPER_LEASE_LIBLTS/1M", "FPR=2022Y", "FPT=A", "FA_ACT_EST_DATA=E, EST_SOURCE=RCP", "ACT_EST_MAPPING=PRECISE", "FS=MRC", "CURRENCY=USD", "XLFILL=b")</f>
        <v/>
      </c>
      <c r="AZ166" s="9" t="str">
        <f>_xll.BQL("CRM US Equity", "CF_CHANGE_IN_OPER_LEASE_LIBLTS/1M", "FPR=2022Y", "FPT=A", "FA_ACT_EST_DATA=E, EST_SOURCE=WFR", "ACT_EST_MAPPING=PRECISE", "FS=MRC", "CURRENCY=USD", "XLFILL=b")</f>
        <v/>
      </c>
      <c r="BA166" s="9" t="str">
        <f>_xll.BQL("CRM US Equity", "CF_CHANGE_IN_OPER_LEASE_LIBLTS/1M", "FPR=2022Y", "FPT=A", "FA_ACT_EST_DATA=E, EST_SOURCE=NIK", "ACT_EST_MAPPING=PRECISE", "FS=MRC", "CURRENCY=USD", "XLFILL=b")</f>
        <v/>
      </c>
      <c r="BB166" s="9" t="str">
        <f>_xll.BQL("CRM US Equity", "CF_CHANGE_IN_OPER_LEASE_LIBLTS/1M", "FPR=2022Y", "FPT=A", "FA_ACT_EST_DATA=E, EST_SOURCE=ARE", "ACT_EST_MAPPING=PRECISE", "FS=MRC", "CURRENCY=USD", "XLFILL=b")</f>
        <v/>
      </c>
      <c r="BC166" s="9" t="str">
        <f>_xll.BQL("CRM US Equity", "CF_CHANGE_IN_OPER_LEASE_LIBLTS/1M", "FPR=2022Y", "FPT=A", "FA_ACT_EST_DATA=E, EST_SOURCE=RED", "ACT_EST_MAPPING=PRECISE", "FS=MRC", "CURRENCY=USD", "XLFILL=b")</f>
        <v/>
      </c>
      <c r="BD166" s="9" t="str">
        <f>_xll.BQL("CRM US Equity", "CF_CHANGE_IN_OPER_LEASE_LIBLTS/1M", "FPR=2022Y", "FPT=A", "FA_ACT_EST_DATA=E, EST_SOURCE=DIR", "ACT_EST_MAPPING=PRECISE", "FS=MRC", "CURRENCY=USD", "XLFILL=b")</f>
        <v/>
      </c>
    </row>
    <row r="167" spans="1:56" x14ac:dyDescent="0.55000000000000004">
      <c r="A167" s="8" t="s">
        <v>317</v>
      </c>
      <c r="B167" s="5" t="s">
        <v>318</v>
      </c>
      <c r="C167" s="5" t="s">
        <v>319</v>
      </c>
      <c r="D167" s="5"/>
      <c r="E167" s="9">
        <f>_xll.BQL("CRM US Equity", "CB_CF_NET_CASH_OPERATING_ACT/1M", "FPR=2022Y", "FPT=A", "FA_ACT_EST_DATA=E", "ACT_EST_MAPPING=PRECISE", "FS=MRC", "CURRENCY=USD", "XLFILL=b")</f>
        <v>5897.5619665734903</v>
      </c>
      <c r="F167" s="9">
        <f>_xll.BQL("CRM US Equity", "CONTRIBUTOR_STATS(CB_CF_NET_CASH_OPERATING_ACT, MIN)/1M", "FPR=2022Y", "FPT=A", "FA_ACT_EST_DATA=E", "ACT_EST_MAPPING=PRECISE", "FS=MRC", "CURRENCY=USD", "XLFILL=b")</f>
        <v>5670.5049031750004</v>
      </c>
      <c r="G167" s="9">
        <f>_xll.BQL("CRM US Equity", "CONTRIBUTOR_STATS(CB_CF_NET_CASH_OPERATING_ACT, MAX)/1M", "FPR=2022Y", "FPT=A", "FA_ACT_EST_DATA=E", "ACT_EST_MAPPING=PRECISE", "FS=MRC", "CURRENCY=USD", "XLFILL=b")</f>
        <v>7302.6291499999998</v>
      </c>
      <c r="H167" s="9">
        <f>_xll.BQL("CRM US Equity", "CONTRIBUTOR_STATS(CB_CF_NET_CASH_OPERATING_ACT, STD)/1M", "FPR=2022Y", "FPT=A", "FA_ACT_EST_DATA=E", "ACT_EST_MAPPING=PRECISE", "FS=MRC", "CURRENCY=USD", "XLFILL=b")</f>
        <v>537.86101398141273</v>
      </c>
      <c r="I167" s="9">
        <f>_xll.BQL("CRM US Equity", "CONTRIBUTOR_STATS(CB_CF_NET_CASH_OPERATING_ACT, MEDIAN)/1M", "FPR=2022Y", "FPT=A", "FA_ACT_EST_DATA=E", "ACT_EST_MAPPING=PRECISE", "FS=MRC", "CURRENCY=USD", "XLFILL=b")</f>
        <v>5699.8640802877599</v>
      </c>
      <c r="J167" s="9" t="str">
        <f>_xll.BQL("CRM US Equity", "CB_CF_NET_CASH_OPERATING_ACT/1M", "FPR=2022Y", "FPT=A", "FA_ACT_EST_DATA=E, EST_SOURCE=CMPY", "ACT_EST_MAPPING=PRECISE", "FS=MRC", "CURRENCY=USD", "XLFILL=b")</f>
        <v/>
      </c>
      <c r="K167" s="9" t="str">
        <f>_xll.BQL("CRM US Equity", "CB_CF_NET_CASH_OPERATING_ACT/1M", "FPR=2022Y", "FPT=A", "FA_ACT_EST_DATA=E, EST_SOURCE=WBL", "ACT_EST_MAPPING=PRECISE", "FS=MRC", "CURRENCY=USD", "XLFILL=b")</f>
        <v/>
      </c>
      <c r="L167" s="9" t="str">
        <f>_xll.BQL("CRM US Equity", "CB_CF_NET_CASH_OPERATING_ACT/1M", "FPR=2022Y", "FPT=A", "FA_ACT_EST_DATA=E, EST_SOURCE=BMO", "ACT_EST_MAPPING=PRECISE", "FS=MRC", "CURRENCY=USD", "XLFILL=b")</f>
        <v/>
      </c>
      <c r="M167" s="9">
        <f>_xll.BQL("CRM US Equity", "CB_CF_NET_CASH_OPERATING_ACT/1M", "FPR=2022Y", "FPT=A", "FA_ACT_EST_DATA=E, EST_SOURCE=BCA", "ACT_EST_MAPPING=PRECISE", "FS=MRC", "CURRENCY=USD", "XLFILL=b")</f>
        <v>5691.6109343772123</v>
      </c>
      <c r="N167" s="9" t="str">
        <f>_xll.BQL("CRM US Equity", "CB_CF_NET_CASH_OPERATING_ACT/1M", "FPR=2022Y", "FPT=A", "FA_ACT_EST_DATA=E, EST_SOURCE=SNR", "ACT_EST_MAPPING=PRECISE", "FS=MRC", "CURRENCY=USD", "XLFILL=b")</f>
        <v/>
      </c>
      <c r="O167" s="9">
        <f>_xll.BQL("CRM US Equity", "CB_CF_NET_CASH_OPERATING_ACT/1M", "FPR=2022Y", "FPT=A", "FA_ACT_EST_DATA=E, EST_SOURCE=MSV", "ACT_EST_MAPPING=PRECISE", "FS=MRC", "CURRENCY=USD", "XLFILL=b")</f>
        <v>6364.2798060007472</v>
      </c>
      <c r="P167" s="9">
        <f>_xll.BQL("CRM US Equity", "CB_CF_NET_CASH_OPERATING_ACT/1M", "FPR=2022Y", "FPT=A", "FA_ACT_EST_DATA=E, EST_SOURCE=DBG", "ACT_EST_MAPPING=PRECISE", "FS=MRC", "CURRENCY=USD", "XLFILL=b")</f>
        <v>5699.8640802877599</v>
      </c>
      <c r="Q167" s="9">
        <f>_xll.BQL("CRM US Equity", "CB_CF_NET_CASH_OPERATING_ACT/1M", "FPR=2022Y", "FPT=A", "FA_ACT_EST_DATA=E, EST_SOURCE=NDH", "ACT_EST_MAPPING=PRECISE", "FS=MRC", "CURRENCY=USD", "XLFILL=b")</f>
        <v>7302.6291499999998</v>
      </c>
      <c r="R167" s="9" t="str">
        <f>_xll.BQL("CRM US Equity", "CB_CF_NET_CASH_OPERATING_ACT/1M", "FPR=2022Y", "FPT=A", "FA_ACT_EST_DATA=E, EST_SOURCE=CAN", "ACT_EST_MAPPING=PRECISE", "FS=MRC", "CURRENCY=USD", "XLFILL=b")</f>
        <v/>
      </c>
      <c r="S167" s="9" t="str">
        <f>_xll.BQL("CRM US Equity", "CB_CF_NET_CASH_OPERATING_ACT/1M", "FPR=2022Y", "FPT=A", "FA_ACT_EST_DATA=E, EST_SOURCE=SCB", "ACT_EST_MAPPING=PRECISE", "FS=MRC", "CURRENCY=USD", "XLFILL=b")</f>
        <v/>
      </c>
      <c r="T167" s="9">
        <f>_xll.BQL("CRM US Equity", "CB_CF_NET_CASH_OPERATING_ACT/1M", "FPR=2022Y", "FPT=A", "FA_ACT_EST_DATA=E, EST_SOURCE=JMP", "ACT_EST_MAPPING=PRECISE", "FS=MRC", "CURRENCY=USD", "XLFILL=b")</f>
        <v>5676.3850000000002</v>
      </c>
      <c r="U167" s="9">
        <f>_xll.BQL("CRM US Equity", "CB_CF_NET_CASH_OPERATING_ACT/1M", "FPR=2022Y", "FPT=A", "FA_ACT_EST_DATA=E, EST_SOURCE=RJA", "ACT_EST_MAPPING=PRECISE", "FS=MRC", "CURRENCY=USD", "XLFILL=b")</f>
        <v>5680.4728187291703</v>
      </c>
      <c r="V167" s="9" t="str">
        <f>_xll.BQL("CRM US Equity", "CB_CF_NET_CASH_OPERATING_ACT/1M", "FPR=2022Y", "FPT=A", "FA_ACT_EST_DATA=E, EST_SOURCE=OPY", "ACT_EST_MAPPING=PRECISE", "FS=MRC", "CURRENCY=USD", "XLFILL=b")</f>
        <v/>
      </c>
      <c r="W167" s="9" t="str">
        <f>_xll.BQL("CRM US Equity", "CB_CF_NET_CASH_OPERATING_ACT/1M", "FPR=2022Y", "FPT=A", "FA_ACT_EST_DATA=E, EST_SOURCE=JPM", "ACT_EST_MAPPING=PRECISE", "FS=MRC", "CURRENCY=USD", "XLFILL=b")</f>
        <v/>
      </c>
      <c r="X167" s="9">
        <f>_xll.BQL("CRM US Equity", "CB_CF_NET_CASH_OPERATING_ACT/1M", "FPR=2022Y", "FPT=A", "FA_ACT_EST_DATA=E, EST_SOURCE=FBC", "ACT_EST_MAPPING=PRECISE", "FS=MRC", "CURRENCY=USD", "XLFILL=b")</f>
        <v>5616.431827569917</v>
      </c>
      <c r="Y167" s="9">
        <f>_xll.BQL("CRM US Equity", "CB_CF_NET_CASH_OPERATING_ACT/1M", "FPR=2022Y", "FPT=A", "FA_ACT_EST_DATA=E, EST_SOURCE=WMS", "ACT_EST_MAPPING=PRECISE", "FS=MRC", "CURRENCY=USD", "XLFILL=b")</f>
        <v>6765.1169246127474</v>
      </c>
      <c r="Z167" s="9">
        <f>_xll.BQL("CRM US Equity", "CB_CF_NET_CASH_OPERATING_ACT/1M", "FPR=2022Y", "FPT=A", "FA_ACT_EST_DATA=E, EST_SOURCE=KEY", "ACT_EST_MAPPING=PRECISE", "FS=MRC", "CURRENCY=USD", "XLFILL=b")</f>
        <v>5548.806199247887</v>
      </c>
      <c r="AA167" s="9" t="str">
        <f>_xll.BQL("CRM US Equity", "CB_CF_NET_CASH_OPERATING_ACT/1M", "FPR=2022Y", "FPT=A", "FA_ACT_EST_DATA=E, EST_SOURCE=LCM", "ACT_EST_MAPPING=PRECISE", "FS=MRC", "CURRENCY=USD", "XLFILL=b")</f>
        <v/>
      </c>
      <c r="AB167" s="9" t="str">
        <f>_xll.BQL("CRM US Equity", "CB_CF_NET_CASH_OPERATING_ACT/1M", "FPR=2022Y", "FPT=A", "FA_ACT_EST_DATA=E, EST_SOURCE=CWN", "ACT_EST_MAPPING=PRECISE", "FS=MRC", "CURRENCY=USD", "XLFILL=b")</f>
        <v/>
      </c>
      <c r="AC167" s="9" t="str">
        <f>_xll.BQL("CRM US Equity", "CB_CF_NET_CASH_OPERATING_ACT/1M", "FPR=2022Y", "FPT=A", "FA_ACT_EST_DATA=E, EST_SOURCE=BNS", "ACT_EST_MAPPING=PRECISE", "FS=MRC", "CURRENCY=USD", "XLFILL=b")</f>
        <v/>
      </c>
      <c r="AD167" s="9" t="str">
        <f>_xll.BQL("CRM US Equity", "CB_CF_NET_CASH_OPERATING_ACT/1M", "FPR=2022Y", "FPT=A", "FA_ACT_EST_DATA=E, EST_SOURCE=BAM", "ACT_EST_MAPPING=PRECISE", "FS=MRC", "CURRENCY=USD", "XLFILL=b")</f>
        <v/>
      </c>
      <c r="AE167" s="9" t="str">
        <f>_xll.BQL("CRM US Equity", "CB_CF_NET_CASH_OPERATING_ACT/1M", "FPR=2022Y", "FPT=A", "FA_ACT_EST_DATA=E, EST_SOURCE=RBC", "ACT_EST_MAPPING=PRECISE", "FS=MRC", "CURRENCY=USD", "XLFILL=b")</f>
        <v/>
      </c>
      <c r="AF167" s="9" t="str">
        <f>_xll.BQL("CRM US Equity", "CB_CF_NET_CASH_OPERATING_ACT/1M", "FPR=2022Y", "FPT=A", "FA_ACT_EST_DATA=E, EST_SOURCE=UBS", "ACT_EST_MAPPING=PRECISE", "FS=MRC", "CURRENCY=USD", "XLFILL=b")</f>
        <v/>
      </c>
      <c r="AG167" s="9" t="str">
        <f>_xll.BQL("CRM US Equity", "CB_CF_NET_CASH_OPERATING_ACT/1M", "FPR=2022Y", "FPT=A", "FA_ACT_EST_DATA=E, EST_SOURCE=RHR", "ACT_EST_MAPPING=PRECISE", "FS=MRC", "CURRENCY=USD", "XLFILL=b")</f>
        <v/>
      </c>
      <c r="AH167" s="9" t="str">
        <f>_xll.BQL("CRM US Equity", "CB_CF_NET_CASH_OPERATING_ACT/1M", "FPR=2022Y", "FPT=A", "FA_ACT_EST_DATA=E, EST_SOURCE=JEF", "ACT_EST_MAPPING=PRECISE", "FS=MRC", "CURRENCY=USD", "XLFILL=b")</f>
        <v/>
      </c>
      <c r="AI167" s="9" t="str">
        <f>_xll.BQL("CRM US Equity", "CB_CF_NET_CASH_OPERATING_ACT/1M", "FPR=2022Y", "FPT=A", "FA_ACT_EST_DATA=E, EST_SOURCE=ATL", "ACT_EST_MAPPING=PRECISE", "FS=MRC", "CURRENCY=USD", "XLFILL=b")</f>
        <v/>
      </c>
      <c r="AJ167" s="9" t="str">
        <f>_xll.BQL("CRM US Equity", "CB_CF_NET_CASH_OPERATING_ACT/1M", "FPR=2022Y", "FPT=A", "FA_ACT_EST_DATA=E, EST_SOURCE=MAC", "ACT_EST_MAPPING=PRECISE", "FS=MRC", "CURRENCY=USD", "XLFILL=b")</f>
        <v/>
      </c>
      <c r="AK167" s="9" t="str">
        <f>_xll.BQL("CRM US Equity", "CB_CF_NET_CASH_OPERATING_ACT/1M", "FPR=2022Y", "FPT=A", "FA_ACT_EST_DATA=E, EST_SOURCE=EVR", "ACT_EST_MAPPING=PRECISE", "FS=MRC", "CURRENCY=USD", "XLFILL=b")</f>
        <v/>
      </c>
      <c r="AL167" s="9" t="str">
        <f>_xll.BQL("CRM US Equity", "CB_CF_NET_CASH_OPERATING_ACT/1M", "FPR=2022Y", "FPT=A", "FA_ACT_EST_DATA=E, EST_SOURCE=MSR", "ACT_EST_MAPPING=PRECISE", "FS=MRC", "CURRENCY=USD", "XLFILL=b")</f>
        <v/>
      </c>
      <c r="AM167" s="9" t="str">
        <f>_xll.BQL("CRM US Equity", "CB_CF_NET_CASH_OPERATING_ACT/1M", "FPR=2022Y", "FPT=A", "FA_ACT_EST_DATA=E, EST_SOURCE=KGI", "ACT_EST_MAPPING=PRECISE", "FS=MRC", "CURRENCY=USD", "XLFILL=b")</f>
        <v/>
      </c>
      <c r="AN167" s="9" t="str">
        <f>_xll.BQL("CRM US Equity", "CB_CF_NET_CASH_OPERATING_ACT/1M", "FPR=2022Y", "FPT=A", "FA_ACT_EST_DATA=E, EST_SOURCE=ACC", "ACT_EST_MAPPING=PRECISE", "FS=MRC", "CURRENCY=USD", "XLFILL=b")</f>
        <v/>
      </c>
      <c r="AO167" s="9" t="str">
        <f>_xll.BQL("CRM US Equity", "CB_CF_NET_CASH_OPERATING_ACT/1M", "FPR=2022Y", "FPT=A", "FA_ACT_EST_DATA=E, EST_SOURCE=GSR", "ACT_EST_MAPPING=PRECISE", "FS=MRC", "CURRENCY=USD", "XLFILL=b")</f>
        <v/>
      </c>
      <c r="AP167" s="9" t="str">
        <f>_xll.BQL("CRM US Equity", "CB_CF_NET_CASH_OPERATING_ACT/1M", "FPR=2022Y", "FPT=A", "FA_ACT_EST_DATA=E, EST_SOURCE=PSG", "ACT_EST_MAPPING=PRECISE", "FS=MRC", "CURRENCY=USD", "XLFILL=b")</f>
        <v/>
      </c>
      <c r="AQ167" s="9" t="str">
        <f>_xll.BQL("CRM US Equity", "CB_CF_NET_CASH_OPERATING_ACT/1M", "FPR=2022Y", "FPT=A", "FA_ACT_EST_DATA=E, EST_SOURCE=DWI", "ACT_EST_MAPPING=PRECISE", "FS=MRC", "CURRENCY=USD", "XLFILL=b")</f>
        <v/>
      </c>
      <c r="AR167" s="9" t="str">
        <f>_xll.BQL("CRM US Equity", "CB_CF_NET_CASH_OPERATING_ACT/1M", "FPR=2022Y", "FPT=A", "FA_ACT_EST_DATA=E, EST_SOURCE=RWB", "ACT_EST_MAPPING=PRECISE", "FS=MRC", "CURRENCY=USD", "XLFILL=b")</f>
        <v/>
      </c>
      <c r="AS167" s="9" t="str">
        <f>_xll.BQL("CRM US Equity", "CB_CF_NET_CASH_OPERATING_ACT/1M", "FPR=2022Y", "FPT=A", "FA_ACT_EST_DATA=E, EST_SOURCE=ARG", "ACT_EST_MAPPING=PRECISE", "FS=MRC", "CURRENCY=USD", "XLFILL=b")</f>
        <v/>
      </c>
      <c r="AT167" s="9" t="str">
        <f>_xll.BQL("CRM US Equity", "CB_CF_NET_CASH_OPERATING_ACT/1M", "FPR=2022Y", "FPT=A", "FA_ACT_EST_DATA=E, EST_SOURCE=CTI", "ACT_EST_MAPPING=PRECISE", "FS=MRC", "CURRENCY=USD", "XLFILL=b")</f>
        <v/>
      </c>
      <c r="AU167" s="9" t="str">
        <f>_xll.BQL("CRM US Equity", "CB_CF_NET_CASH_OPERATING_ACT/1M", "FPR=2022Y", "FPT=A", "FA_ACT_EST_DATA=E, EST_SOURCE=WFT", "ACT_EST_MAPPING=PRECISE", "FS=MRC", "CURRENCY=USD", "XLFILL=b")</f>
        <v/>
      </c>
      <c r="AV167" s="9" t="str">
        <f>_xll.BQL("CRM US Equity", "CB_CF_NET_CASH_OPERATING_ACT/1M", "FPR=2022Y", "FPT=A", "FA_ACT_EST_DATA=E, EST_SOURCE=PJE", "ACT_EST_MAPPING=PRECISE", "FS=MRC", "CURRENCY=USD", "XLFILL=b")</f>
        <v/>
      </c>
      <c r="AW167" s="9" t="str">
        <f>_xll.BQL("CRM US Equity", "CB_CF_NET_CASH_OPERATING_ACT/1M", "FPR=2022Y", "FPT=A", "FA_ACT_EST_DATA=E, EST_SOURCE=SGE", "ACT_EST_MAPPING=PRECISE", "FS=MRC", "CURRENCY=USD", "XLFILL=b")</f>
        <v/>
      </c>
      <c r="AX167" s="9" t="str">
        <f>_xll.BQL("CRM US Equity", "CB_CF_NET_CASH_OPERATING_ACT/1M", "FPR=2022Y", "FPT=A", "FA_ACT_EST_DATA=E, EST_SOURCE=MZS", "ACT_EST_MAPPING=PRECISE", "FS=MRC", "CURRENCY=USD", "XLFILL=b")</f>
        <v/>
      </c>
      <c r="AY167" s="9" t="str">
        <f>_xll.BQL("CRM US Equity", "CB_CF_NET_CASH_OPERATING_ACT/1M", "FPR=2022Y", "FPT=A", "FA_ACT_EST_DATA=E, EST_SOURCE=RCP", "ACT_EST_MAPPING=PRECISE", "FS=MRC", "CURRENCY=USD", "XLFILL=b")</f>
        <v/>
      </c>
      <c r="AZ167" s="9" t="str">
        <f>_xll.BQL("CRM US Equity", "CB_CF_NET_CASH_OPERATING_ACT/1M", "FPR=2022Y", "FPT=A", "FA_ACT_EST_DATA=E, EST_SOURCE=WFR", "ACT_EST_MAPPING=PRECISE", "FS=MRC", "CURRENCY=USD", "XLFILL=b")</f>
        <v/>
      </c>
      <c r="BA167" s="9" t="str">
        <f>_xll.BQL("CRM US Equity", "CB_CF_NET_CASH_OPERATING_ACT/1M", "FPR=2022Y", "FPT=A", "FA_ACT_EST_DATA=E, EST_SOURCE=NIK", "ACT_EST_MAPPING=PRECISE", "FS=MRC", "CURRENCY=USD", "XLFILL=b")</f>
        <v/>
      </c>
      <c r="BB167" s="9" t="str">
        <f>_xll.BQL("CRM US Equity", "CB_CF_NET_CASH_OPERATING_ACT/1M", "FPR=2022Y", "FPT=A", "FA_ACT_EST_DATA=E, EST_SOURCE=ARE", "ACT_EST_MAPPING=PRECISE", "FS=MRC", "CURRENCY=USD", "XLFILL=b")</f>
        <v/>
      </c>
      <c r="BC167" s="9" t="str">
        <f>_xll.BQL("CRM US Equity", "CB_CF_NET_CASH_OPERATING_ACT/1M", "FPR=2022Y", "FPT=A", "FA_ACT_EST_DATA=E, EST_SOURCE=RED", "ACT_EST_MAPPING=PRECISE", "FS=MRC", "CURRENCY=USD", "XLFILL=b")</f>
        <v/>
      </c>
      <c r="BD167" s="9" t="str">
        <f>_xll.BQL("CRM US Equity", "CB_CF_NET_CASH_OPERATING_ACT/1M", "FPR=2022Y", "FPT=A", "FA_ACT_EST_DATA=E, EST_SOURCE=DIR", "ACT_EST_MAPPING=PRECISE", "FS=MRC", "CURRENCY=USD", "XLFILL=b")</f>
        <v/>
      </c>
    </row>
    <row r="168" spans="1:56" x14ac:dyDescent="0.55000000000000004">
      <c r="A168" s="8" t="s">
        <v>26</v>
      </c>
      <c r="B168" s="5"/>
      <c r="C168" s="5"/>
      <c r="D168" s="5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</row>
    <row r="169" spans="1:56" x14ac:dyDescent="0.55000000000000004">
      <c r="A169" s="8" t="s">
        <v>320</v>
      </c>
      <c r="B169" s="5"/>
      <c r="C169" s="5" t="s">
        <v>321</v>
      </c>
      <c r="D169" s="5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</row>
    <row r="170" spans="1:56" x14ac:dyDescent="0.55000000000000004">
      <c r="A170" s="8" t="s">
        <v>322</v>
      </c>
      <c r="B170" s="5" t="s">
        <v>323</v>
      </c>
      <c r="C170" s="5" t="s">
        <v>324</v>
      </c>
      <c r="D170" s="5"/>
      <c r="E170" s="9">
        <f>_xll.BQL("CRM US Equity", "CF_CASH_FOR_ACQUIS_SUBSIDIARIES/1M", "FPR=2022Y", "FPT=A", "FA_ACT_EST_DATA=E", "ACT_EST_MAPPING=PRECISE", "FS=MRC", "CURRENCY=USD", "XLFILL=b")</f>
        <v>-14816</v>
      </c>
      <c r="F170" s="9">
        <f>_xll.BQL("CRM US Equity", "CONTRIBUTOR_STATS(CF_CASH_FOR_ACQUIS_SUBSIDIARIES, MIN)/1M", "FPR=2022Y", "FPT=A", "FA_ACT_EST_DATA=E", "ACT_EST_MAPPING=PRECISE", "FS=MRC", "CURRENCY=USD", "XLFILL=b")</f>
        <v>-14816</v>
      </c>
      <c r="G170" s="9">
        <f>_xll.BQL("CRM US Equity", "CONTRIBUTOR_STATS(CF_CASH_FOR_ACQUIS_SUBSIDIARIES, MAX)/1M", "FPR=2022Y", "FPT=A", "FA_ACT_EST_DATA=E", "ACT_EST_MAPPING=PRECISE", "FS=MRC", "CURRENCY=USD", "XLFILL=b")</f>
        <v>-14816</v>
      </c>
      <c r="H170" s="9">
        <f>_xll.BQL("CRM US Equity", "CONTRIBUTOR_STATS(CF_CASH_FOR_ACQUIS_SUBSIDIARIES, STD)/1M", "FPR=2022Y", "FPT=A", "FA_ACT_EST_DATA=E", "ACT_EST_MAPPING=PRECISE", "FS=MRC", "CURRENCY=USD", "XLFILL=b")</f>
        <v>0</v>
      </c>
      <c r="I170" s="9">
        <f>_xll.BQL("CRM US Equity", "CONTRIBUTOR_STATS(CF_CASH_FOR_ACQUIS_SUBSIDIARIES, MEDIAN)/1M", "FPR=2022Y", "FPT=A", "FA_ACT_EST_DATA=E", "ACT_EST_MAPPING=PRECISE", "FS=MRC", "CURRENCY=USD", "XLFILL=b")</f>
        <v>-14816</v>
      </c>
      <c r="J170" s="9" t="str">
        <f>_xll.BQL("CRM US Equity", "CF_CASH_FOR_ACQUIS_SUBSIDIARIES/1M", "FPR=2022Y", "FPT=A", "FA_ACT_EST_DATA=E, EST_SOURCE=CMPY", "ACT_EST_MAPPING=PRECISE", "FS=MRC", "CURRENCY=USD", "XLFILL=b")</f>
        <v/>
      </c>
      <c r="K170" s="9" t="str">
        <f>_xll.BQL("CRM US Equity", "CF_CASH_FOR_ACQUIS_SUBSIDIARIES/1M", "FPR=2022Y", "FPT=A", "FA_ACT_EST_DATA=E, EST_SOURCE=WBL", "ACT_EST_MAPPING=PRECISE", "FS=MRC", "CURRENCY=USD", "XLFILL=b")</f>
        <v/>
      </c>
      <c r="L170" s="9" t="str">
        <f>_xll.BQL("CRM US Equity", "CF_CASH_FOR_ACQUIS_SUBSIDIARIES/1M", "FPR=2022Y", "FPT=A", "FA_ACT_EST_DATA=E, EST_SOURCE=BMO", "ACT_EST_MAPPING=PRECISE", "FS=MRC", "CURRENCY=USD", "XLFILL=b")</f>
        <v/>
      </c>
      <c r="M170" s="9">
        <f>_xll.BQL("CRM US Equity", "CF_CASH_FOR_ACQUIS_SUBSIDIARIES/1M", "FPR=2022Y", "FPT=A", "FA_ACT_EST_DATA=E, EST_SOURCE=BCA", "ACT_EST_MAPPING=PRECISE", "FS=MRC", "CURRENCY=USD", "XLFILL=b")</f>
        <v>-14816</v>
      </c>
      <c r="N170" s="9" t="str">
        <f>_xll.BQL("CRM US Equity", "CF_CASH_FOR_ACQUIS_SUBSIDIARIES/1M", "FPR=2022Y", "FPT=A", "FA_ACT_EST_DATA=E, EST_SOURCE=SNR", "ACT_EST_MAPPING=PRECISE", "FS=MRC", "CURRENCY=USD", "XLFILL=b")</f>
        <v/>
      </c>
      <c r="O170" s="9">
        <f>_xll.BQL("CRM US Equity", "CF_CASH_FOR_ACQUIS_SUBSIDIARIES/1M", "FPR=2022Y", "FPT=A", "FA_ACT_EST_DATA=E, EST_SOURCE=MSV", "ACT_EST_MAPPING=PRECISE", "FS=MRC", "CURRENCY=USD", "XLFILL=b")</f>
        <v>-14816</v>
      </c>
      <c r="P170" s="9">
        <f>_xll.BQL("CRM US Equity", "CF_CASH_FOR_ACQUIS_SUBSIDIARIES/1M", "FPR=2022Y", "FPT=A", "FA_ACT_EST_DATA=E, EST_SOURCE=DBG", "ACT_EST_MAPPING=PRECISE", "FS=MRC", "CURRENCY=USD", "XLFILL=b")</f>
        <v>-14816</v>
      </c>
      <c r="Q170" s="9">
        <f>_xll.BQL("CRM US Equity", "CF_CASH_FOR_ACQUIS_SUBSIDIARIES/1M", "FPR=2022Y", "FPT=A", "FA_ACT_EST_DATA=E, EST_SOURCE=NDH", "ACT_EST_MAPPING=PRECISE", "FS=MRC", "CURRENCY=USD", "XLFILL=b")</f>
        <v>-14816</v>
      </c>
      <c r="R170" s="9" t="str">
        <f>_xll.BQL("CRM US Equity", "CF_CASH_FOR_ACQUIS_SUBSIDIARIES/1M", "FPR=2022Y", "FPT=A", "FA_ACT_EST_DATA=E, EST_SOURCE=CAN", "ACT_EST_MAPPING=PRECISE", "FS=MRC", "CURRENCY=USD", "XLFILL=b")</f>
        <v/>
      </c>
      <c r="S170" s="9" t="str">
        <f>_xll.BQL("CRM US Equity", "CF_CASH_FOR_ACQUIS_SUBSIDIARIES/1M", "FPR=2022Y", "FPT=A", "FA_ACT_EST_DATA=E, EST_SOURCE=SCB", "ACT_EST_MAPPING=PRECISE", "FS=MRC", "CURRENCY=USD", "XLFILL=b")</f>
        <v/>
      </c>
      <c r="T170" s="9">
        <f>_xll.BQL("CRM US Equity", "CF_CASH_FOR_ACQUIS_SUBSIDIARIES/1M", "FPR=2022Y", "FPT=A", "FA_ACT_EST_DATA=E, EST_SOURCE=JMP", "ACT_EST_MAPPING=PRECISE", "FS=MRC", "CURRENCY=USD", "XLFILL=b")</f>
        <v>-14816</v>
      </c>
      <c r="U170" s="9" t="str">
        <f>_xll.BQL("CRM US Equity", "CF_CASH_FOR_ACQUIS_SUBSIDIARIES/1M", "FPR=2022Y", "FPT=A", "FA_ACT_EST_DATA=E, EST_SOURCE=RJA", "ACT_EST_MAPPING=PRECISE", "FS=MRC", "CURRENCY=USD", "XLFILL=b")</f>
        <v/>
      </c>
      <c r="V170" s="9" t="str">
        <f>_xll.BQL("CRM US Equity", "CF_CASH_FOR_ACQUIS_SUBSIDIARIES/1M", "FPR=2022Y", "FPT=A", "FA_ACT_EST_DATA=E, EST_SOURCE=OPY", "ACT_EST_MAPPING=PRECISE", "FS=MRC", "CURRENCY=USD", "XLFILL=b")</f>
        <v/>
      </c>
      <c r="W170" s="9" t="str">
        <f>_xll.BQL("CRM US Equity", "CF_CASH_FOR_ACQUIS_SUBSIDIARIES/1M", "FPR=2022Y", "FPT=A", "FA_ACT_EST_DATA=E, EST_SOURCE=JPM", "ACT_EST_MAPPING=PRECISE", "FS=MRC", "CURRENCY=USD", "XLFILL=b")</f>
        <v/>
      </c>
      <c r="X170" s="9">
        <f>_xll.BQL("CRM US Equity", "CF_CASH_FOR_ACQUIS_SUBSIDIARIES/1M", "FPR=2022Y", "FPT=A", "FA_ACT_EST_DATA=E, EST_SOURCE=FBC", "ACT_EST_MAPPING=PRECISE", "FS=MRC", "CURRENCY=USD", "XLFILL=b")</f>
        <v>-14781</v>
      </c>
      <c r="Y170" s="9" t="str">
        <f>_xll.BQL("CRM US Equity", "CF_CASH_FOR_ACQUIS_SUBSIDIARIES/1M", "FPR=2022Y", "FPT=A", "FA_ACT_EST_DATA=E, EST_SOURCE=WMS", "ACT_EST_MAPPING=PRECISE", "FS=MRC", "CURRENCY=USD", "XLFILL=b")</f>
        <v/>
      </c>
      <c r="Z170" s="9">
        <f>_xll.BQL("CRM US Equity", "CF_CASH_FOR_ACQUIS_SUBSIDIARIES/1M", "FPR=2022Y", "FPT=A", "FA_ACT_EST_DATA=E, EST_SOURCE=KEY", "ACT_EST_MAPPING=PRECISE", "FS=MRC", "CURRENCY=USD", "XLFILL=b")</f>
        <v>-14781</v>
      </c>
      <c r="AA170" s="9" t="str">
        <f>_xll.BQL("CRM US Equity", "CF_CASH_FOR_ACQUIS_SUBSIDIARIES/1M", "FPR=2022Y", "FPT=A", "FA_ACT_EST_DATA=E, EST_SOURCE=LCM", "ACT_EST_MAPPING=PRECISE", "FS=MRC", "CURRENCY=USD", "XLFILL=b")</f>
        <v/>
      </c>
      <c r="AB170" s="9" t="str">
        <f>_xll.BQL("CRM US Equity", "CF_CASH_FOR_ACQUIS_SUBSIDIARIES/1M", "FPR=2022Y", "FPT=A", "FA_ACT_EST_DATA=E, EST_SOURCE=CWN", "ACT_EST_MAPPING=PRECISE", "FS=MRC", "CURRENCY=USD", "XLFILL=b")</f>
        <v/>
      </c>
      <c r="AC170" s="9" t="str">
        <f>_xll.BQL("CRM US Equity", "CF_CASH_FOR_ACQUIS_SUBSIDIARIES/1M", "FPR=2022Y", "FPT=A", "FA_ACT_EST_DATA=E, EST_SOURCE=BNS", "ACT_EST_MAPPING=PRECISE", "FS=MRC", "CURRENCY=USD", "XLFILL=b")</f>
        <v/>
      </c>
      <c r="AD170" s="9" t="str">
        <f>_xll.BQL("CRM US Equity", "CF_CASH_FOR_ACQUIS_SUBSIDIARIES/1M", "FPR=2022Y", "FPT=A", "FA_ACT_EST_DATA=E, EST_SOURCE=BAM", "ACT_EST_MAPPING=PRECISE", "FS=MRC", "CURRENCY=USD", "XLFILL=b")</f>
        <v/>
      </c>
      <c r="AE170" s="9" t="str">
        <f>_xll.BQL("CRM US Equity", "CF_CASH_FOR_ACQUIS_SUBSIDIARIES/1M", "FPR=2022Y", "FPT=A", "FA_ACT_EST_DATA=E, EST_SOURCE=RBC", "ACT_EST_MAPPING=PRECISE", "FS=MRC", "CURRENCY=USD", "XLFILL=b")</f>
        <v/>
      </c>
      <c r="AF170" s="9" t="str">
        <f>_xll.BQL("CRM US Equity", "CF_CASH_FOR_ACQUIS_SUBSIDIARIES/1M", "FPR=2022Y", "FPT=A", "FA_ACT_EST_DATA=E, EST_SOURCE=UBS", "ACT_EST_MAPPING=PRECISE", "FS=MRC", "CURRENCY=USD", "XLFILL=b")</f>
        <v/>
      </c>
      <c r="AG170" s="9" t="str">
        <f>_xll.BQL("CRM US Equity", "CF_CASH_FOR_ACQUIS_SUBSIDIARIES/1M", "FPR=2022Y", "FPT=A", "FA_ACT_EST_DATA=E, EST_SOURCE=RHR", "ACT_EST_MAPPING=PRECISE", "FS=MRC", "CURRENCY=USD", "XLFILL=b")</f>
        <v/>
      </c>
      <c r="AH170" s="9" t="str">
        <f>_xll.BQL("CRM US Equity", "CF_CASH_FOR_ACQUIS_SUBSIDIARIES/1M", "FPR=2022Y", "FPT=A", "FA_ACT_EST_DATA=E, EST_SOURCE=JEF", "ACT_EST_MAPPING=PRECISE", "FS=MRC", "CURRENCY=USD", "XLFILL=b")</f>
        <v/>
      </c>
      <c r="AI170" s="9" t="str">
        <f>_xll.BQL("CRM US Equity", "CF_CASH_FOR_ACQUIS_SUBSIDIARIES/1M", "FPR=2022Y", "FPT=A", "FA_ACT_EST_DATA=E, EST_SOURCE=ATL", "ACT_EST_MAPPING=PRECISE", "FS=MRC", "CURRENCY=USD", "XLFILL=b")</f>
        <v/>
      </c>
      <c r="AJ170" s="9" t="str">
        <f>_xll.BQL("CRM US Equity", "CF_CASH_FOR_ACQUIS_SUBSIDIARIES/1M", "FPR=2022Y", "FPT=A", "FA_ACT_EST_DATA=E, EST_SOURCE=MAC", "ACT_EST_MAPPING=PRECISE", "FS=MRC", "CURRENCY=USD", "XLFILL=b")</f>
        <v/>
      </c>
      <c r="AK170" s="9" t="str">
        <f>_xll.BQL("CRM US Equity", "CF_CASH_FOR_ACQUIS_SUBSIDIARIES/1M", "FPR=2022Y", "FPT=A", "FA_ACT_EST_DATA=E, EST_SOURCE=EVR", "ACT_EST_MAPPING=PRECISE", "FS=MRC", "CURRENCY=USD", "XLFILL=b")</f>
        <v/>
      </c>
      <c r="AL170" s="9" t="str">
        <f>_xll.BQL("CRM US Equity", "CF_CASH_FOR_ACQUIS_SUBSIDIARIES/1M", "FPR=2022Y", "FPT=A", "FA_ACT_EST_DATA=E, EST_SOURCE=MSR", "ACT_EST_MAPPING=PRECISE", "FS=MRC", "CURRENCY=USD", "XLFILL=b")</f>
        <v/>
      </c>
      <c r="AM170" s="9" t="str">
        <f>_xll.BQL("CRM US Equity", "CF_CASH_FOR_ACQUIS_SUBSIDIARIES/1M", "FPR=2022Y", "FPT=A", "FA_ACT_EST_DATA=E, EST_SOURCE=KGI", "ACT_EST_MAPPING=PRECISE", "FS=MRC", "CURRENCY=USD", "XLFILL=b")</f>
        <v/>
      </c>
      <c r="AN170" s="9" t="str">
        <f>_xll.BQL("CRM US Equity", "CF_CASH_FOR_ACQUIS_SUBSIDIARIES/1M", "FPR=2022Y", "FPT=A", "FA_ACT_EST_DATA=E, EST_SOURCE=ACC", "ACT_EST_MAPPING=PRECISE", "FS=MRC", "CURRENCY=USD", "XLFILL=b")</f>
        <v/>
      </c>
      <c r="AO170" s="9" t="str">
        <f>_xll.BQL("CRM US Equity", "CF_CASH_FOR_ACQUIS_SUBSIDIARIES/1M", "FPR=2022Y", "FPT=A", "FA_ACT_EST_DATA=E, EST_SOURCE=GSR", "ACT_EST_MAPPING=PRECISE", "FS=MRC", "CURRENCY=USD", "XLFILL=b")</f>
        <v/>
      </c>
      <c r="AP170" s="9" t="str">
        <f>_xll.BQL("CRM US Equity", "CF_CASH_FOR_ACQUIS_SUBSIDIARIES/1M", "FPR=2022Y", "FPT=A", "FA_ACT_EST_DATA=E, EST_SOURCE=PSG", "ACT_EST_MAPPING=PRECISE", "FS=MRC", "CURRENCY=USD", "XLFILL=b")</f>
        <v/>
      </c>
      <c r="AQ170" s="9" t="str">
        <f>_xll.BQL("CRM US Equity", "CF_CASH_FOR_ACQUIS_SUBSIDIARIES/1M", "FPR=2022Y", "FPT=A", "FA_ACT_EST_DATA=E, EST_SOURCE=DWI", "ACT_EST_MAPPING=PRECISE", "FS=MRC", "CURRENCY=USD", "XLFILL=b")</f>
        <v/>
      </c>
      <c r="AR170" s="9" t="str">
        <f>_xll.BQL("CRM US Equity", "CF_CASH_FOR_ACQUIS_SUBSIDIARIES/1M", "FPR=2022Y", "FPT=A", "FA_ACT_EST_DATA=E, EST_SOURCE=RWB", "ACT_EST_MAPPING=PRECISE", "FS=MRC", "CURRENCY=USD", "XLFILL=b")</f>
        <v/>
      </c>
      <c r="AS170" s="9" t="str">
        <f>_xll.BQL("CRM US Equity", "CF_CASH_FOR_ACQUIS_SUBSIDIARIES/1M", "FPR=2022Y", "FPT=A", "FA_ACT_EST_DATA=E, EST_SOURCE=ARG", "ACT_EST_MAPPING=PRECISE", "FS=MRC", "CURRENCY=USD", "XLFILL=b")</f>
        <v/>
      </c>
      <c r="AT170" s="9" t="str">
        <f>_xll.BQL("CRM US Equity", "CF_CASH_FOR_ACQUIS_SUBSIDIARIES/1M", "FPR=2022Y", "FPT=A", "FA_ACT_EST_DATA=E, EST_SOURCE=CTI", "ACT_EST_MAPPING=PRECISE", "FS=MRC", "CURRENCY=USD", "XLFILL=b")</f>
        <v/>
      </c>
      <c r="AU170" s="9" t="str">
        <f>_xll.BQL("CRM US Equity", "CF_CASH_FOR_ACQUIS_SUBSIDIARIES/1M", "FPR=2022Y", "FPT=A", "FA_ACT_EST_DATA=E, EST_SOURCE=WFT", "ACT_EST_MAPPING=PRECISE", "FS=MRC", "CURRENCY=USD", "XLFILL=b")</f>
        <v/>
      </c>
      <c r="AV170" s="9" t="str">
        <f>_xll.BQL("CRM US Equity", "CF_CASH_FOR_ACQUIS_SUBSIDIARIES/1M", "FPR=2022Y", "FPT=A", "FA_ACT_EST_DATA=E, EST_SOURCE=PJE", "ACT_EST_MAPPING=PRECISE", "FS=MRC", "CURRENCY=USD", "XLFILL=b")</f>
        <v/>
      </c>
      <c r="AW170" s="9" t="str">
        <f>_xll.BQL("CRM US Equity", "CF_CASH_FOR_ACQUIS_SUBSIDIARIES/1M", "FPR=2022Y", "FPT=A", "FA_ACT_EST_DATA=E, EST_SOURCE=SGE", "ACT_EST_MAPPING=PRECISE", "FS=MRC", "CURRENCY=USD", "XLFILL=b")</f>
        <v/>
      </c>
      <c r="AX170" s="9" t="str">
        <f>_xll.BQL("CRM US Equity", "CF_CASH_FOR_ACQUIS_SUBSIDIARIES/1M", "FPR=2022Y", "FPT=A", "FA_ACT_EST_DATA=E, EST_SOURCE=MZS", "ACT_EST_MAPPING=PRECISE", "FS=MRC", "CURRENCY=USD", "XLFILL=b")</f>
        <v/>
      </c>
      <c r="AY170" s="9" t="str">
        <f>_xll.BQL("CRM US Equity", "CF_CASH_FOR_ACQUIS_SUBSIDIARIES/1M", "FPR=2022Y", "FPT=A", "FA_ACT_EST_DATA=E, EST_SOURCE=RCP", "ACT_EST_MAPPING=PRECISE", "FS=MRC", "CURRENCY=USD", "XLFILL=b")</f>
        <v/>
      </c>
      <c r="AZ170" s="9" t="str">
        <f>_xll.BQL("CRM US Equity", "CF_CASH_FOR_ACQUIS_SUBSIDIARIES/1M", "FPR=2022Y", "FPT=A", "FA_ACT_EST_DATA=E, EST_SOURCE=WFR", "ACT_EST_MAPPING=PRECISE", "FS=MRC", "CURRENCY=USD", "XLFILL=b")</f>
        <v/>
      </c>
      <c r="BA170" s="9" t="str">
        <f>_xll.BQL("CRM US Equity", "CF_CASH_FOR_ACQUIS_SUBSIDIARIES/1M", "FPR=2022Y", "FPT=A", "FA_ACT_EST_DATA=E, EST_SOURCE=NIK", "ACT_EST_MAPPING=PRECISE", "FS=MRC", "CURRENCY=USD", "XLFILL=b")</f>
        <v/>
      </c>
      <c r="BB170" s="9" t="str">
        <f>_xll.BQL("CRM US Equity", "CF_CASH_FOR_ACQUIS_SUBSIDIARIES/1M", "FPR=2022Y", "FPT=A", "FA_ACT_EST_DATA=E, EST_SOURCE=ARE", "ACT_EST_MAPPING=PRECISE", "FS=MRC", "CURRENCY=USD", "XLFILL=b")</f>
        <v/>
      </c>
      <c r="BC170" s="9" t="str">
        <f>_xll.BQL("CRM US Equity", "CF_CASH_FOR_ACQUIS_SUBSIDIARIES/1M", "FPR=2022Y", "FPT=A", "FA_ACT_EST_DATA=E, EST_SOURCE=RED", "ACT_EST_MAPPING=PRECISE", "FS=MRC", "CURRENCY=USD", "XLFILL=b")</f>
        <v/>
      </c>
      <c r="BD170" s="9" t="str">
        <f>_xll.BQL("CRM US Equity", "CF_CASH_FOR_ACQUIS_SUBSIDIARIES/1M", "FPR=2022Y", "FPT=A", "FA_ACT_EST_DATA=E, EST_SOURCE=DIR", "ACT_EST_MAPPING=PRECISE", "FS=MRC", "CURRENCY=USD", "XLFILL=b")</f>
        <v/>
      </c>
    </row>
    <row r="171" spans="1:56" x14ac:dyDescent="0.55000000000000004">
      <c r="A171" s="8" t="s">
        <v>325</v>
      </c>
      <c r="B171" s="5" t="s">
        <v>326</v>
      </c>
      <c r="C171" s="5" t="s">
        <v>327</v>
      </c>
      <c r="D171" s="5"/>
      <c r="E171" s="9">
        <f>_xll.BQL("CRM US Equity", "CF_PURCHASE_OF_FIXED_PROD_ASSETS/1M", "FPR=2022Y", "FPT=A", "FA_ACT_EST_DATA=E", "ACT_EST_MAPPING=PRECISE", "FS=MRC", "CURRENCY=USD", "XLFILL=b")</f>
        <v>-781.12238521308257</v>
      </c>
      <c r="F171" s="9">
        <f>_xll.BQL("CRM US Equity", "CONTRIBUTOR_STATS(CF_PURCHASE_OF_FIXED_PROD_ASSETS, MIN)/1M", "FPR=2022Y", "FPT=A", "FA_ACT_EST_DATA=E", "ACT_EST_MAPPING=PRECISE", "FS=MRC", "CURRENCY=USD", "XLFILL=b")</f>
        <v>-937.38639200528155</v>
      </c>
      <c r="G171" s="9">
        <f>_xll.BQL("CRM US Equity", "CONTRIBUTOR_STATS(CF_PURCHASE_OF_FIXED_PROD_ASSETS, MAX)/1M", "FPR=2022Y", "FPT=A", "FA_ACT_EST_DATA=E", "ACT_EST_MAPPING=PRECISE", "FS=MRC", "CURRENCY=USD", "XLFILL=b")</f>
        <v>-727.32658621805331</v>
      </c>
      <c r="H171" s="9">
        <f>_xll.BQL("CRM US Equity", "CONTRIBUTOR_STATS(CF_PURCHASE_OF_FIXED_PROD_ASSETS, STD)/1M", "FPR=2022Y", "FPT=A", "FA_ACT_EST_DATA=E", "ACT_EST_MAPPING=PRECISE", "FS=MRC", "CURRENCY=USD", "XLFILL=b")</f>
        <v>45.701112655461401</v>
      </c>
      <c r="I171" s="9">
        <f>_xll.BQL("CRM US Equity", "CONTRIBUTOR_STATS(CF_PURCHASE_OF_FIXED_PROD_ASSETS, MEDIAN)/1M", "FPR=2022Y", "FPT=A", "FA_ACT_EST_DATA=E", "ACT_EST_MAPPING=PRECISE", "FS=MRC", "CURRENCY=USD", "XLFILL=b")</f>
        <v>-774.99999999999932</v>
      </c>
      <c r="J171" s="9" t="str">
        <f>_xll.BQL("CRM US Equity", "CF_PURCHASE_OF_FIXED_PROD_ASSETS/1M", "FPR=2022Y", "FPT=A", "FA_ACT_EST_DATA=E, EST_SOURCE=CMPY", "ACT_EST_MAPPING=PRECISE", "FS=MRC", "CURRENCY=USD", "XLFILL=b")</f>
        <v/>
      </c>
      <c r="K171" s="9" t="str">
        <f>_xll.BQL("CRM US Equity", "CF_PURCHASE_OF_FIXED_PROD_ASSETS/1M", "FPR=2022Y", "FPT=A", "FA_ACT_EST_DATA=E, EST_SOURCE=WBL", "ACT_EST_MAPPING=PRECISE", "FS=MRC", "CURRENCY=USD", "XLFILL=b")</f>
        <v/>
      </c>
      <c r="L171" s="9" t="str">
        <f>_xll.BQL("CRM US Equity", "CF_PURCHASE_OF_FIXED_PROD_ASSETS/1M", "FPR=2022Y", "FPT=A", "FA_ACT_EST_DATA=E, EST_SOURCE=BMO", "ACT_EST_MAPPING=PRECISE", "FS=MRC", "CURRENCY=USD", "XLFILL=b")</f>
        <v/>
      </c>
      <c r="M171" s="9">
        <f>_xll.BQL("CRM US Equity", "CF_PURCHASE_OF_FIXED_PROD_ASSETS/1M", "FPR=2022Y", "FPT=A", "FA_ACT_EST_DATA=E, EST_SOURCE=BCA", "ACT_EST_MAPPING=PRECISE", "FS=MRC", "CURRENCY=USD", "XLFILL=b")</f>
        <v>-784.93072436319471</v>
      </c>
      <c r="N171" s="9" t="str">
        <f>_xll.BQL("CRM US Equity", "CF_PURCHASE_OF_FIXED_PROD_ASSETS/1M", "FPR=2022Y", "FPT=A", "FA_ACT_EST_DATA=E, EST_SOURCE=SNR", "ACT_EST_MAPPING=PRECISE", "FS=MRC", "CURRENCY=USD", "XLFILL=b")</f>
        <v/>
      </c>
      <c r="O171" s="9">
        <f>_xll.BQL("CRM US Equity", "CF_PURCHASE_OF_FIXED_PROD_ASSETS/1M", "FPR=2022Y", "FPT=A", "FA_ACT_EST_DATA=E, EST_SOURCE=MSV", "ACT_EST_MAPPING=PRECISE", "FS=MRC", "CURRENCY=USD", "XLFILL=b")</f>
        <v>-791.72361000000001</v>
      </c>
      <c r="P171" s="9">
        <f>_xll.BQL("CRM US Equity", "CF_PURCHASE_OF_FIXED_PROD_ASSETS/1M", "FPR=2022Y", "FPT=A", "FA_ACT_EST_DATA=E, EST_SOURCE=DBG", "ACT_EST_MAPPING=PRECISE", "FS=MRC", "CURRENCY=USD", "XLFILL=b")</f>
        <v>-763.2930475521689</v>
      </c>
      <c r="Q171" s="9">
        <f>_xll.BQL("CRM US Equity", "CF_PURCHASE_OF_FIXED_PROD_ASSETS/1M", "FPR=2022Y", "FPT=A", "FA_ACT_EST_DATA=E, EST_SOURCE=NDH", "ACT_EST_MAPPING=PRECISE", "FS=MRC", "CURRENCY=USD", "XLFILL=b")</f>
        <v>-750</v>
      </c>
      <c r="R171" s="9" t="str">
        <f>_xll.BQL("CRM US Equity", "CF_PURCHASE_OF_FIXED_PROD_ASSETS/1M", "FPR=2022Y", "FPT=A", "FA_ACT_EST_DATA=E, EST_SOURCE=CAN", "ACT_EST_MAPPING=PRECISE", "FS=MRC", "CURRENCY=USD", "XLFILL=b")</f>
        <v/>
      </c>
      <c r="S171" s="9" t="str">
        <f>_xll.BQL("CRM US Equity", "CF_PURCHASE_OF_FIXED_PROD_ASSETS/1M", "FPR=2022Y", "FPT=A", "FA_ACT_EST_DATA=E, EST_SOURCE=SCB", "ACT_EST_MAPPING=PRECISE", "FS=MRC", "CURRENCY=USD", "XLFILL=b")</f>
        <v/>
      </c>
      <c r="T171" s="9">
        <f>_xll.BQL("CRM US Equity", "CF_PURCHASE_OF_FIXED_PROD_ASSETS/1M", "FPR=2022Y", "FPT=A", "FA_ACT_EST_DATA=E, EST_SOURCE=JMP", "ACT_EST_MAPPING=PRECISE", "FS=MRC", "CURRENCY=USD", "XLFILL=b")</f>
        <v>-781.36</v>
      </c>
      <c r="U171" s="9">
        <f>_xll.BQL("CRM US Equity", "CF_PURCHASE_OF_FIXED_PROD_ASSETS/1M", "FPR=2022Y", "FPT=A", "FA_ACT_EST_DATA=E, EST_SOURCE=RJA", "ACT_EST_MAPPING=PRECISE", "FS=MRC", "CURRENCY=USD", "XLFILL=b")</f>
        <v>-780</v>
      </c>
      <c r="V171" s="9" t="str">
        <f>_xll.BQL("CRM US Equity", "CF_PURCHASE_OF_FIXED_PROD_ASSETS/1M", "FPR=2022Y", "FPT=A", "FA_ACT_EST_DATA=E, EST_SOURCE=OPY", "ACT_EST_MAPPING=PRECISE", "FS=MRC", "CURRENCY=USD", "XLFILL=b")</f>
        <v/>
      </c>
      <c r="W171" s="9" t="str">
        <f>_xll.BQL("CRM US Equity", "CF_PURCHASE_OF_FIXED_PROD_ASSETS/1M", "FPR=2022Y", "FPT=A", "FA_ACT_EST_DATA=E, EST_SOURCE=JPM", "ACT_EST_MAPPING=PRECISE", "FS=MRC", "CURRENCY=USD", "XLFILL=b")</f>
        <v/>
      </c>
      <c r="X171" s="9">
        <f>_xll.BQL("CRM US Equity", "CF_PURCHASE_OF_FIXED_PROD_ASSETS/1M", "FPR=2022Y", "FPT=A", "FA_ACT_EST_DATA=E, EST_SOURCE=FBC", "ACT_EST_MAPPING=PRECISE", "FS=MRC", "CURRENCY=USD", "XLFILL=b")</f>
        <v>-855.93905131800557</v>
      </c>
      <c r="Y171" s="9">
        <f>_xll.BQL("CRM US Equity", "CF_PURCHASE_OF_FIXED_PROD_ASSETS/1M", "FPR=2022Y", "FPT=A", "FA_ACT_EST_DATA=E, EST_SOURCE=WMS", "ACT_EST_MAPPING=PRECISE", "FS=MRC", "CURRENCY=USD", "XLFILL=b")</f>
        <v>-600</v>
      </c>
      <c r="Z171" s="9">
        <f>_xll.BQL("CRM US Equity", "CF_PURCHASE_OF_FIXED_PROD_ASSETS/1M", "FPR=2022Y", "FPT=A", "FA_ACT_EST_DATA=E, EST_SOURCE=KEY", "ACT_EST_MAPPING=PRECISE", "FS=MRC", "CURRENCY=USD", "XLFILL=b")</f>
        <v>-776.31174799999997</v>
      </c>
      <c r="AA171" s="9" t="str">
        <f>_xll.BQL("CRM US Equity", "CF_PURCHASE_OF_FIXED_PROD_ASSETS/1M", "FPR=2022Y", "FPT=A", "FA_ACT_EST_DATA=E, EST_SOURCE=LCM", "ACT_EST_MAPPING=PRECISE", "FS=MRC", "CURRENCY=USD", "XLFILL=b")</f>
        <v/>
      </c>
      <c r="AB171" s="9" t="str">
        <f>_xll.BQL("CRM US Equity", "CF_PURCHASE_OF_FIXED_PROD_ASSETS/1M", "FPR=2022Y", "FPT=A", "FA_ACT_EST_DATA=E, EST_SOURCE=CWN", "ACT_EST_MAPPING=PRECISE", "FS=MRC", "CURRENCY=USD", "XLFILL=b")</f>
        <v/>
      </c>
      <c r="AC171" s="9" t="str">
        <f>_xll.BQL("CRM US Equity", "CF_PURCHASE_OF_FIXED_PROD_ASSETS/1M", "FPR=2022Y", "FPT=A", "FA_ACT_EST_DATA=E, EST_SOURCE=BNS", "ACT_EST_MAPPING=PRECISE", "FS=MRC", "CURRENCY=USD", "XLFILL=b")</f>
        <v/>
      </c>
      <c r="AD171" s="9" t="str">
        <f>_xll.BQL("CRM US Equity", "CF_PURCHASE_OF_FIXED_PROD_ASSETS/1M", "FPR=2022Y", "FPT=A", "FA_ACT_EST_DATA=E, EST_SOURCE=BAM", "ACT_EST_MAPPING=PRECISE", "FS=MRC", "CURRENCY=USD", "XLFILL=b")</f>
        <v/>
      </c>
      <c r="AE171" s="9" t="str">
        <f>_xll.BQL("CRM US Equity", "CF_PURCHASE_OF_FIXED_PROD_ASSETS/1M", "FPR=2022Y", "FPT=A", "FA_ACT_EST_DATA=E, EST_SOURCE=RBC", "ACT_EST_MAPPING=PRECISE", "FS=MRC", "CURRENCY=USD", "XLFILL=b")</f>
        <v/>
      </c>
      <c r="AF171" s="9" t="str">
        <f>_xll.BQL("CRM US Equity", "CF_PURCHASE_OF_FIXED_PROD_ASSETS/1M", "FPR=2022Y", "FPT=A", "FA_ACT_EST_DATA=E, EST_SOURCE=UBS", "ACT_EST_MAPPING=PRECISE", "FS=MRC", "CURRENCY=USD", "XLFILL=b")</f>
        <v/>
      </c>
      <c r="AG171" s="9" t="str">
        <f>_xll.BQL("CRM US Equity", "CF_PURCHASE_OF_FIXED_PROD_ASSETS/1M", "FPR=2022Y", "FPT=A", "FA_ACT_EST_DATA=E, EST_SOURCE=RHR", "ACT_EST_MAPPING=PRECISE", "FS=MRC", "CURRENCY=USD", "XLFILL=b")</f>
        <v/>
      </c>
      <c r="AH171" s="9" t="str">
        <f>_xll.BQL("CRM US Equity", "CF_PURCHASE_OF_FIXED_PROD_ASSETS/1M", "FPR=2022Y", "FPT=A", "FA_ACT_EST_DATA=E, EST_SOURCE=JEF", "ACT_EST_MAPPING=PRECISE", "FS=MRC", "CURRENCY=USD", "XLFILL=b")</f>
        <v/>
      </c>
      <c r="AI171" s="9" t="str">
        <f>_xll.BQL("CRM US Equity", "CF_PURCHASE_OF_FIXED_PROD_ASSETS/1M", "FPR=2022Y", "FPT=A", "FA_ACT_EST_DATA=E, EST_SOURCE=ATL", "ACT_EST_MAPPING=PRECISE", "FS=MRC", "CURRENCY=USD", "XLFILL=b")</f>
        <v/>
      </c>
      <c r="AJ171" s="9" t="str">
        <f>_xll.BQL("CRM US Equity", "CF_PURCHASE_OF_FIXED_PROD_ASSETS/1M", "FPR=2022Y", "FPT=A", "FA_ACT_EST_DATA=E, EST_SOURCE=MAC", "ACT_EST_MAPPING=PRECISE", "FS=MRC", "CURRENCY=USD", "XLFILL=b")</f>
        <v/>
      </c>
      <c r="AK171" s="9" t="str">
        <f>_xll.BQL("CRM US Equity", "CF_PURCHASE_OF_FIXED_PROD_ASSETS/1M", "FPR=2022Y", "FPT=A", "FA_ACT_EST_DATA=E, EST_SOURCE=EVR", "ACT_EST_MAPPING=PRECISE", "FS=MRC", "CURRENCY=USD", "XLFILL=b")</f>
        <v/>
      </c>
      <c r="AL171" s="9" t="str">
        <f>_xll.BQL("CRM US Equity", "CF_PURCHASE_OF_FIXED_PROD_ASSETS/1M", "FPR=2022Y", "FPT=A", "FA_ACT_EST_DATA=E, EST_SOURCE=MSR", "ACT_EST_MAPPING=PRECISE", "FS=MRC", "CURRENCY=USD", "XLFILL=b")</f>
        <v/>
      </c>
      <c r="AM171" s="9" t="str">
        <f>_xll.BQL("CRM US Equity", "CF_PURCHASE_OF_FIXED_PROD_ASSETS/1M", "FPR=2022Y", "FPT=A", "FA_ACT_EST_DATA=E, EST_SOURCE=KGI", "ACT_EST_MAPPING=PRECISE", "FS=MRC", "CURRENCY=USD", "XLFILL=b")</f>
        <v/>
      </c>
      <c r="AN171" s="9" t="str">
        <f>_xll.BQL("CRM US Equity", "CF_PURCHASE_OF_FIXED_PROD_ASSETS/1M", "FPR=2022Y", "FPT=A", "FA_ACT_EST_DATA=E, EST_SOURCE=ACC", "ACT_EST_MAPPING=PRECISE", "FS=MRC", "CURRENCY=USD", "XLFILL=b")</f>
        <v/>
      </c>
      <c r="AO171" s="9" t="str">
        <f>_xll.BQL("CRM US Equity", "CF_PURCHASE_OF_FIXED_PROD_ASSETS/1M", "FPR=2022Y", "FPT=A", "FA_ACT_EST_DATA=E, EST_SOURCE=GSR", "ACT_EST_MAPPING=PRECISE", "FS=MRC", "CURRENCY=USD", "XLFILL=b")</f>
        <v/>
      </c>
      <c r="AP171" s="9" t="str">
        <f>_xll.BQL("CRM US Equity", "CF_PURCHASE_OF_FIXED_PROD_ASSETS/1M", "FPR=2022Y", "FPT=A", "FA_ACT_EST_DATA=E, EST_SOURCE=PSG", "ACT_EST_MAPPING=PRECISE", "FS=MRC", "CURRENCY=USD", "XLFILL=b")</f>
        <v/>
      </c>
      <c r="AQ171" s="9" t="str">
        <f>_xll.BQL("CRM US Equity", "CF_PURCHASE_OF_FIXED_PROD_ASSETS/1M", "FPR=2022Y", "FPT=A", "FA_ACT_EST_DATA=E, EST_SOURCE=DWI", "ACT_EST_MAPPING=PRECISE", "FS=MRC", "CURRENCY=USD", "XLFILL=b")</f>
        <v/>
      </c>
      <c r="AR171" s="9" t="str">
        <f>_xll.BQL("CRM US Equity", "CF_PURCHASE_OF_FIXED_PROD_ASSETS/1M", "FPR=2022Y", "FPT=A", "FA_ACT_EST_DATA=E, EST_SOURCE=RWB", "ACT_EST_MAPPING=PRECISE", "FS=MRC", "CURRENCY=USD", "XLFILL=b")</f>
        <v/>
      </c>
      <c r="AS171" s="9" t="str">
        <f>_xll.BQL("CRM US Equity", "CF_PURCHASE_OF_FIXED_PROD_ASSETS/1M", "FPR=2022Y", "FPT=A", "FA_ACT_EST_DATA=E, EST_SOURCE=ARG", "ACT_EST_MAPPING=PRECISE", "FS=MRC", "CURRENCY=USD", "XLFILL=b")</f>
        <v/>
      </c>
      <c r="AT171" s="9" t="str">
        <f>_xll.BQL("CRM US Equity", "CF_PURCHASE_OF_FIXED_PROD_ASSETS/1M", "FPR=2022Y", "FPT=A", "FA_ACT_EST_DATA=E, EST_SOURCE=CTI", "ACT_EST_MAPPING=PRECISE", "FS=MRC", "CURRENCY=USD", "XLFILL=b")</f>
        <v/>
      </c>
      <c r="AU171" s="9" t="str">
        <f>_xll.BQL("CRM US Equity", "CF_PURCHASE_OF_FIXED_PROD_ASSETS/1M", "FPR=2022Y", "FPT=A", "FA_ACT_EST_DATA=E, EST_SOURCE=WFT", "ACT_EST_MAPPING=PRECISE", "FS=MRC", "CURRENCY=USD", "XLFILL=b")</f>
        <v/>
      </c>
      <c r="AV171" s="9" t="str">
        <f>_xll.BQL("CRM US Equity", "CF_PURCHASE_OF_FIXED_PROD_ASSETS/1M", "FPR=2022Y", "FPT=A", "FA_ACT_EST_DATA=E, EST_SOURCE=PJE", "ACT_EST_MAPPING=PRECISE", "FS=MRC", "CURRENCY=USD", "XLFILL=b")</f>
        <v/>
      </c>
      <c r="AW171" s="9" t="str">
        <f>_xll.BQL("CRM US Equity", "CF_PURCHASE_OF_FIXED_PROD_ASSETS/1M", "FPR=2022Y", "FPT=A", "FA_ACT_EST_DATA=E, EST_SOURCE=SGE", "ACT_EST_MAPPING=PRECISE", "FS=MRC", "CURRENCY=USD", "XLFILL=b")</f>
        <v/>
      </c>
      <c r="AX171" s="9" t="str">
        <f>_xll.BQL("CRM US Equity", "CF_PURCHASE_OF_FIXED_PROD_ASSETS/1M", "FPR=2022Y", "FPT=A", "FA_ACT_EST_DATA=E, EST_SOURCE=MZS", "ACT_EST_MAPPING=PRECISE", "FS=MRC", "CURRENCY=USD", "XLFILL=b")</f>
        <v/>
      </c>
      <c r="AY171" s="9" t="str">
        <f>_xll.BQL("CRM US Equity", "CF_PURCHASE_OF_FIXED_PROD_ASSETS/1M", "FPR=2022Y", "FPT=A", "FA_ACT_EST_DATA=E, EST_SOURCE=RCP", "ACT_EST_MAPPING=PRECISE", "FS=MRC", "CURRENCY=USD", "XLFILL=b")</f>
        <v/>
      </c>
      <c r="AZ171" s="9" t="str">
        <f>_xll.BQL("CRM US Equity", "CF_PURCHASE_OF_FIXED_PROD_ASSETS/1M", "FPR=2022Y", "FPT=A", "FA_ACT_EST_DATA=E, EST_SOURCE=WFR", "ACT_EST_MAPPING=PRECISE", "FS=MRC", "CURRENCY=USD", "XLFILL=b")</f>
        <v/>
      </c>
      <c r="BA171" s="9" t="str">
        <f>_xll.BQL("CRM US Equity", "CF_PURCHASE_OF_FIXED_PROD_ASSETS/1M", "FPR=2022Y", "FPT=A", "FA_ACT_EST_DATA=E, EST_SOURCE=NIK", "ACT_EST_MAPPING=PRECISE", "FS=MRC", "CURRENCY=USD", "XLFILL=b")</f>
        <v/>
      </c>
      <c r="BB171" s="9" t="str">
        <f>_xll.BQL("CRM US Equity", "CF_PURCHASE_OF_FIXED_PROD_ASSETS/1M", "FPR=2022Y", "FPT=A", "FA_ACT_EST_DATA=E, EST_SOURCE=ARE", "ACT_EST_MAPPING=PRECISE", "FS=MRC", "CURRENCY=USD", "XLFILL=b")</f>
        <v/>
      </c>
      <c r="BC171" s="9" t="str">
        <f>_xll.BQL("CRM US Equity", "CF_PURCHASE_OF_FIXED_PROD_ASSETS/1M", "FPR=2022Y", "FPT=A", "FA_ACT_EST_DATA=E, EST_SOURCE=RED", "ACT_EST_MAPPING=PRECISE", "FS=MRC", "CURRENCY=USD", "XLFILL=b")</f>
        <v/>
      </c>
      <c r="BD171" s="9" t="str">
        <f>_xll.BQL("CRM US Equity", "CF_PURCHASE_OF_FIXED_PROD_ASSETS/1M", "FPR=2022Y", "FPT=A", "FA_ACT_EST_DATA=E, EST_SOURCE=DIR", "ACT_EST_MAPPING=PRECISE", "FS=MRC", "CURRENCY=USD", "XLFILL=b")</f>
        <v/>
      </c>
    </row>
    <row r="172" spans="1:56" x14ac:dyDescent="0.55000000000000004">
      <c r="A172" s="8" t="s">
        <v>78</v>
      </c>
      <c r="B172" s="5" t="s">
        <v>328</v>
      </c>
      <c r="C172" s="5" t="s">
        <v>79</v>
      </c>
      <c r="D172" s="5"/>
      <c r="E172" s="9">
        <f>_xll.BQL("CRM US Equity", "CAP_EXPEND_TO_SALES", "FPR=2022Y", "FPT=A", "FA_ACT_EST_DATA=E", "ACT_EST_MAPPING=PRECISE", "FS=MRC", "CURRENCY=USD", "XLFILL=b")</f>
        <v>2.989148906427312</v>
      </c>
      <c r="F172" s="9">
        <f>_xll.BQL("CRM US Equity", "CONTRIBUTOR_STATS(CAP_EXPEND_TO_SALES, MIN)", "FPR=2022Y", "FPT=A", "FA_ACT_EST_DATA=E", "ACT_EST_MAPPING=PRECISE", "FS=MRC", "CURRENCY=USD", "XLFILL=b")</f>
        <v>2.8116977670950511</v>
      </c>
      <c r="G172" s="9">
        <f>_xll.BQL("CRM US Equity", "CONTRIBUTOR_STATS(CAP_EXPEND_TO_SALES, MAX)", "FPR=2022Y", "FPT=A", "FA_ACT_EST_DATA=E", "ACT_EST_MAPPING=PRECISE", "FS=MRC", "CURRENCY=USD", "XLFILL=b")</f>
        <v>3.5507678997637142</v>
      </c>
      <c r="H172" s="9">
        <f>_xll.BQL("CRM US Equity", "CONTRIBUTOR_STATS(CAP_EXPEND_TO_SALES, STD)", "FPR=2022Y", "FPT=A", "FA_ACT_EST_DATA=E", "ACT_EST_MAPPING=PRECISE", "FS=MRC", "CURRENCY=USD", "XLFILL=b")</f>
        <v>0.1773508897391492</v>
      </c>
      <c r="I172" s="9">
        <f>_xll.BQL("CRM US Equity", "CONTRIBUTOR_STATS(CAP_EXPEND_TO_SALES, MEDIAN)", "FPR=2022Y", "FPT=A", "FA_ACT_EST_DATA=E", "ACT_EST_MAPPING=PRECISE", "FS=MRC", "CURRENCY=USD", "XLFILL=b")</f>
        <v>2.9551025585391608</v>
      </c>
      <c r="J172" s="9" t="str">
        <f>_xll.BQL("CRM US Equity", "CAP_EXPEND_TO_SALES", "FPR=2022Y", "FPT=A", "FA_ACT_EST_DATA=E, EST_SOURCE=CMPY", "ACT_EST_MAPPING=PRECISE", "FS=MRC", "CURRENCY=USD", "XLFILL=b")</f>
        <v/>
      </c>
      <c r="K172" s="9" t="str">
        <f>_xll.BQL("CRM US Equity", "CAP_EXPEND_TO_SALES", "FPR=2022Y", "FPT=A", "FA_ACT_EST_DATA=E, EST_SOURCE=WBL", "ACT_EST_MAPPING=PRECISE", "FS=MRC", "CURRENCY=USD", "XLFILL=b")</f>
        <v/>
      </c>
      <c r="L172" s="9" t="str">
        <f>_xll.BQL("CRM US Equity", "CAP_EXPEND_TO_SALES", "FPR=2022Y", "FPT=A", "FA_ACT_EST_DATA=E, EST_SOURCE=BMO", "ACT_EST_MAPPING=PRECISE", "FS=MRC", "CURRENCY=USD", "XLFILL=b")</f>
        <v/>
      </c>
      <c r="M172" s="9">
        <f>_xll.BQL("CRM US Equity", "CAP_EXPEND_TO_SALES", "FPR=2022Y", "FPT=A", "FA_ACT_EST_DATA=E, EST_SOURCE=BCA", "ACT_EST_MAPPING=PRECISE", "FS=MRC", "CURRENCY=USD", "XLFILL=b")</f>
        <v>2.9738264798180669</v>
      </c>
      <c r="N172" s="9" t="str">
        <f>_xll.BQL("CRM US Equity", "CAP_EXPEND_TO_SALES", "FPR=2022Y", "FPT=A", "FA_ACT_EST_DATA=E, EST_SOURCE=SNR", "ACT_EST_MAPPING=PRECISE", "FS=MRC", "CURRENCY=USD", "XLFILL=b")</f>
        <v/>
      </c>
      <c r="O172" s="9">
        <f>_xll.BQL("CRM US Equity", "CAP_EXPEND_TO_SALES", "FPR=2022Y", "FPT=A", "FA_ACT_EST_DATA=E, EST_SOURCE=MSV", "ACT_EST_MAPPING=PRECISE", "FS=MRC", "CURRENCY=USD", "XLFILL=b")</f>
        <v>3</v>
      </c>
      <c r="P172" s="9" t="str">
        <f>_xll.BQL("CRM US Equity", "CAP_EXPEND_TO_SALES", "FPR=2022Y", "FPT=A", "FA_ACT_EST_DATA=E, EST_SOURCE=DBG", "ACT_EST_MAPPING=PRECISE", "FS=MRC", "CURRENCY=USD", "XLFILL=b")</f>
        <v/>
      </c>
      <c r="Q172" s="9" t="str">
        <f>_xll.BQL("CRM US Equity", "CAP_EXPEND_TO_SALES", "FPR=2022Y", "FPT=A", "FA_ACT_EST_DATA=E, EST_SOURCE=NDH", "ACT_EST_MAPPING=PRECISE", "FS=MRC", "CURRENCY=USD", "XLFILL=b")</f>
        <v/>
      </c>
      <c r="R172" s="9" t="str">
        <f>_xll.BQL("CRM US Equity", "CAP_EXPEND_TO_SALES", "FPR=2022Y", "FPT=A", "FA_ACT_EST_DATA=E, EST_SOURCE=CAN", "ACT_EST_MAPPING=PRECISE", "FS=MRC", "CURRENCY=USD", "XLFILL=b")</f>
        <v/>
      </c>
      <c r="S172" s="9" t="str">
        <f>_xll.BQL("CRM US Equity", "CAP_EXPEND_TO_SALES", "FPR=2022Y", "FPT=A", "FA_ACT_EST_DATA=E, EST_SOURCE=SCB", "ACT_EST_MAPPING=PRECISE", "FS=MRC", "CURRENCY=USD", "XLFILL=b")</f>
        <v/>
      </c>
      <c r="T172" s="9">
        <f>_xll.BQL("CRM US Equity", "CAP_EXPEND_TO_SALES", "FPR=2022Y", "FPT=A", "FA_ACT_EST_DATA=E, EST_SOURCE=JMP", "ACT_EST_MAPPING=PRECISE", "FS=MRC", "CURRENCY=USD", "XLFILL=b")</f>
        <v>2.9601454765873618</v>
      </c>
      <c r="U172" s="9">
        <f>_xll.BQL("CRM US Equity", "CAP_EXPEND_TO_SALES", "FPR=2022Y", "FPT=A", "FA_ACT_EST_DATA=E, EST_SOURCE=RJA", "ACT_EST_MAPPING=PRECISE", "FS=MRC", "CURRENCY=USD", "XLFILL=b")</f>
        <v>2.9551025585391608</v>
      </c>
      <c r="V172" s="9" t="str">
        <f>_xll.BQL("CRM US Equity", "CAP_EXPEND_TO_SALES", "FPR=2022Y", "FPT=A", "FA_ACT_EST_DATA=E, EST_SOURCE=OPY", "ACT_EST_MAPPING=PRECISE", "FS=MRC", "CURRENCY=USD", "XLFILL=b")</f>
        <v/>
      </c>
      <c r="W172" s="9" t="str">
        <f>_xll.BQL("CRM US Equity", "CAP_EXPEND_TO_SALES", "FPR=2022Y", "FPT=A", "FA_ACT_EST_DATA=E, EST_SOURCE=JPM", "ACT_EST_MAPPING=PRECISE", "FS=MRC", "CURRENCY=USD", "XLFILL=b")</f>
        <v/>
      </c>
      <c r="X172" s="9">
        <f>_xll.BQL("CRM US Equity", "CAP_EXPEND_TO_SALES", "FPR=2022Y", "FPT=A", "FA_ACT_EST_DATA=E, EST_SOURCE=FBC", "ACT_EST_MAPPING=PRECISE", "FS=MRC", "CURRENCY=USD", "XLFILL=b")</f>
        <v>2.9506384616365802</v>
      </c>
      <c r="Y172" s="9" t="str">
        <f>_xll.BQL("CRM US Equity", "CAP_EXPEND_TO_SALES", "FPR=2022Y", "FPT=A", "FA_ACT_EST_DATA=E, EST_SOURCE=WMS", "ACT_EST_MAPPING=PRECISE", "FS=MRC", "CURRENCY=USD", "XLFILL=b")</f>
        <v/>
      </c>
      <c r="Z172" s="9">
        <f>_xll.BQL("CRM US Equity", "CAP_EXPEND_TO_SALES", "FPR=2022Y", "FPT=A", "FA_ACT_EST_DATA=E, EST_SOURCE=KEY", "ACT_EST_MAPPING=PRECISE", "FS=MRC", "CURRENCY=USD", "XLFILL=b")</f>
        <v>2.9518745564697828</v>
      </c>
      <c r="AA172" s="9" t="str">
        <f>_xll.BQL("CRM US Equity", "CAP_EXPEND_TO_SALES", "FPR=2022Y", "FPT=A", "FA_ACT_EST_DATA=E, EST_SOURCE=LCM", "ACT_EST_MAPPING=PRECISE", "FS=MRC", "CURRENCY=USD", "XLFILL=b")</f>
        <v/>
      </c>
      <c r="AB172" s="9" t="str">
        <f>_xll.BQL("CRM US Equity", "CAP_EXPEND_TO_SALES", "FPR=2022Y", "FPT=A", "FA_ACT_EST_DATA=E, EST_SOURCE=CWN", "ACT_EST_MAPPING=PRECISE", "FS=MRC", "CURRENCY=USD", "XLFILL=b")</f>
        <v/>
      </c>
      <c r="AC172" s="9" t="str">
        <f>_xll.BQL("CRM US Equity", "CAP_EXPEND_TO_SALES", "FPR=2022Y", "FPT=A", "FA_ACT_EST_DATA=E, EST_SOURCE=BNS", "ACT_EST_MAPPING=PRECISE", "FS=MRC", "CURRENCY=USD", "XLFILL=b")</f>
        <v/>
      </c>
      <c r="AD172" s="9" t="str">
        <f>_xll.BQL("CRM US Equity", "CAP_EXPEND_TO_SALES", "FPR=2022Y", "FPT=A", "FA_ACT_EST_DATA=E, EST_SOURCE=BAM", "ACT_EST_MAPPING=PRECISE", "FS=MRC", "CURRENCY=USD", "XLFILL=b")</f>
        <v/>
      </c>
      <c r="AE172" s="9" t="str">
        <f>_xll.BQL("CRM US Equity", "CAP_EXPEND_TO_SALES", "FPR=2022Y", "FPT=A", "FA_ACT_EST_DATA=E, EST_SOURCE=RBC", "ACT_EST_MAPPING=PRECISE", "FS=MRC", "CURRENCY=USD", "XLFILL=b")</f>
        <v/>
      </c>
      <c r="AF172" s="9" t="str">
        <f>_xll.BQL("CRM US Equity", "CAP_EXPEND_TO_SALES", "FPR=2022Y", "FPT=A", "FA_ACT_EST_DATA=E, EST_SOURCE=UBS", "ACT_EST_MAPPING=PRECISE", "FS=MRC", "CURRENCY=USD", "XLFILL=b")</f>
        <v/>
      </c>
      <c r="AG172" s="9" t="str">
        <f>_xll.BQL("CRM US Equity", "CAP_EXPEND_TO_SALES", "FPR=2022Y", "FPT=A", "FA_ACT_EST_DATA=E, EST_SOURCE=RHR", "ACT_EST_MAPPING=PRECISE", "FS=MRC", "CURRENCY=USD", "XLFILL=b")</f>
        <v/>
      </c>
      <c r="AH172" s="9" t="str">
        <f>_xll.BQL("CRM US Equity", "CAP_EXPEND_TO_SALES", "FPR=2022Y", "FPT=A", "FA_ACT_EST_DATA=E, EST_SOURCE=JEF", "ACT_EST_MAPPING=PRECISE", "FS=MRC", "CURRENCY=USD", "XLFILL=b")</f>
        <v/>
      </c>
      <c r="AI172" s="9" t="str">
        <f>_xll.BQL("CRM US Equity", "CAP_EXPEND_TO_SALES", "FPR=2022Y", "FPT=A", "FA_ACT_EST_DATA=E, EST_SOURCE=ATL", "ACT_EST_MAPPING=PRECISE", "FS=MRC", "CURRENCY=USD", "XLFILL=b")</f>
        <v/>
      </c>
      <c r="AJ172" s="9" t="str">
        <f>_xll.BQL("CRM US Equity", "CAP_EXPEND_TO_SALES", "FPR=2022Y", "FPT=A", "FA_ACT_EST_DATA=E, EST_SOURCE=MAC", "ACT_EST_MAPPING=PRECISE", "FS=MRC", "CURRENCY=USD", "XLFILL=b")</f>
        <v/>
      </c>
      <c r="AK172" s="9" t="str">
        <f>_xll.BQL("CRM US Equity", "CAP_EXPEND_TO_SALES", "FPR=2022Y", "FPT=A", "FA_ACT_EST_DATA=E, EST_SOURCE=EVR", "ACT_EST_MAPPING=PRECISE", "FS=MRC", "CURRENCY=USD", "XLFILL=b")</f>
        <v/>
      </c>
      <c r="AL172" s="9" t="str">
        <f>_xll.BQL("CRM US Equity", "CAP_EXPEND_TO_SALES", "FPR=2022Y", "FPT=A", "FA_ACT_EST_DATA=E, EST_SOURCE=MSR", "ACT_EST_MAPPING=PRECISE", "FS=MRC", "CURRENCY=USD", "XLFILL=b")</f>
        <v/>
      </c>
      <c r="AM172" s="9" t="str">
        <f>_xll.BQL("CRM US Equity", "CAP_EXPEND_TO_SALES", "FPR=2022Y", "FPT=A", "FA_ACT_EST_DATA=E, EST_SOURCE=KGI", "ACT_EST_MAPPING=PRECISE", "FS=MRC", "CURRENCY=USD", "XLFILL=b")</f>
        <v/>
      </c>
      <c r="AN172" s="9" t="str">
        <f>_xll.BQL("CRM US Equity", "CAP_EXPEND_TO_SALES", "FPR=2022Y", "FPT=A", "FA_ACT_EST_DATA=E, EST_SOURCE=ACC", "ACT_EST_MAPPING=PRECISE", "FS=MRC", "CURRENCY=USD", "XLFILL=b")</f>
        <v/>
      </c>
      <c r="AO172" s="9" t="str">
        <f>_xll.BQL("CRM US Equity", "CAP_EXPEND_TO_SALES", "FPR=2022Y", "FPT=A", "FA_ACT_EST_DATA=E, EST_SOURCE=GSR", "ACT_EST_MAPPING=PRECISE", "FS=MRC", "CURRENCY=USD", "XLFILL=b")</f>
        <v/>
      </c>
      <c r="AP172" s="9" t="str">
        <f>_xll.BQL("CRM US Equity", "CAP_EXPEND_TO_SALES", "FPR=2022Y", "FPT=A", "FA_ACT_EST_DATA=E, EST_SOURCE=PSG", "ACT_EST_MAPPING=PRECISE", "FS=MRC", "CURRENCY=USD", "XLFILL=b")</f>
        <v/>
      </c>
      <c r="AQ172" s="9" t="str">
        <f>_xll.BQL("CRM US Equity", "CAP_EXPEND_TO_SALES", "FPR=2022Y", "FPT=A", "FA_ACT_EST_DATA=E, EST_SOURCE=DWI", "ACT_EST_MAPPING=PRECISE", "FS=MRC", "CURRENCY=USD", "XLFILL=b")</f>
        <v/>
      </c>
      <c r="AR172" s="9" t="str">
        <f>_xll.BQL("CRM US Equity", "CAP_EXPEND_TO_SALES", "FPR=2022Y", "FPT=A", "FA_ACT_EST_DATA=E, EST_SOURCE=RWB", "ACT_EST_MAPPING=PRECISE", "FS=MRC", "CURRENCY=USD", "XLFILL=b")</f>
        <v/>
      </c>
      <c r="AS172" s="9" t="str">
        <f>_xll.BQL("CRM US Equity", "CAP_EXPEND_TO_SALES", "FPR=2022Y", "FPT=A", "FA_ACT_EST_DATA=E, EST_SOURCE=ARG", "ACT_EST_MAPPING=PRECISE", "FS=MRC", "CURRENCY=USD", "XLFILL=b")</f>
        <v/>
      </c>
      <c r="AT172" s="9" t="str">
        <f>_xll.BQL("CRM US Equity", "CAP_EXPEND_TO_SALES", "FPR=2022Y", "FPT=A", "FA_ACT_EST_DATA=E, EST_SOURCE=CTI", "ACT_EST_MAPPING=PRECISE", "FS=MRC", "CURRENCY=USD", "XLFILL=b")</f>
        <v/>
      </c>
      <c r="AU172" s="9" t="str">
        <f>_xll.BQL("CRM US Equity", "CAP_EXPEND_TO_SALES", "FPR=2022Y", "FPT=A", "FA_ACT_EST_DATA=E, EST_SOURCE=WFT", "ACT_EST_MAPPING=PRECISE", "FS=MRC", "CURRENCY=USD", "XLFILL=b")</f>
        <v/>
      </c>
      <c r="AV172" s="9" t="str">
        <f>_xll.BQL("CRM US Equity", "CAP_EXPEND_TO_SALES", "FPR=2022Y", "FPT=A", "FA_ACT_EST_DATA=E, EST_SOURCE=PJE", "ACT_EST_MAPPING=PRECISE", "FS=MRC", "CURRENCY=USD", "XLFILL=b")</f>
        <v/>
      </c>
      <c r="AW172" s="9" t="str">
        <f>_xll.BQL("CRM US Equity", "CAP_EXPEND_TO_SALES", "FPR=2022Y", "FPT=A", "FA_ACT_EST_DATA=E, EST_SOURCE=SGE", "ACT_EST_MAPPING=PRECISE", "FS=MRC", "CURRENCY=USD", "XLFILL=b")</f>
        <v/>
      </c>
      <c r="AX172" s="9" t="str">
        <f>_xll.BQL("CRM US Equity", "CAP_EXPEND_TO_SALES", "FPR=2022Y", "FPT=A", "FA_ACT_EST_DATA=E, EST_SOURCE=MZS", "ACT_EST_MAPPING=PRECISE", "FS=MRC", "CURRENCY=USD", "XLFILL=b")</f>
        <v/>
      </c>
      <c r="AY172" s="9" t="str">
        <f>_xll.BQL("CRM US Equity", "CAP_EXPEND_TO_SALES", "FPR=2022Y", "FPT=A", "FA_ACT_EST_DATA=E, EST_SOURCE=RCP", "ACT_EST_MAPPING=PRECISE", "FS=MRC", "CURRENCY=USD", "XLFILL=b")</f>
        <v/>
      </c>
      <c r="AZ172" s="9" t="str">
        <f>_xll.BQL("CRM US Equity", "CAP_EXPEND_TO_SALES", "FPR=2022Y", "FPT=A", "FA_ACT_EST_DATA=E, EST_SOURCE=WFR", "ACT_EST_MAPPING=PRECISE", "FS=MRC", "CURRENCY=USD", "XLFILL=b")</f>
        <v/>
      </c>
      <c r="BA172" s="9" t="str">
        <f>_xll.BQL("CRM US Equity", "CAP_EXPEND_TO_SALES", "FPR=2022Y", "FPT=A", "FA_ACT_EST_DATA=E, EST_SOURCE=NIK", "ACT_EST_MAPPING=PRECISE", "FS=MRC", "CURRENCY=USD", "XLFILL=b")</f>
        <v/>
      </c>
      <c r="BB172" s="9" t="str">
        <f>_xll.BQL("CRM US Equity", "CAP_EXPEND_TO_SALES", "FPR=2022Y", "FPT=A", "FA_ACT_EST_DATA=E, EST_SOURCE=ARE", "ACT_EST_MAPPING=PRECISE", "FS=MRC", "CURRENCY=USD", "XLFILL=b")</f>
        <v/>
      </c>
      <c r="BC172" s="9" t="str">
        <f>_xll.BQL("CRM US Equity", "CAP_EXPEND_TO_SALES", "FPR=2022Y", "FPT=A", "FA_ACT_EST_DATA=E, EST_SOURCE=RED", "ACT_EST_MAPPING=PRECISE", "FS=MRC", "CURRENCY=USD", "XLFILL=b")</f>
        <v/>
      </c>
      <c r="BD172" s="9" t="str">
        <f>_xll.BQL("CRM US Equity", "CAP_EXPEND_TO_SALES", "FPR=2022Y", "FPT=A", "FA_ACT_EST_DATA=E, EST_SOURCE=DIR", "ACT_EST_MAPPING=PRECISE", "FS=MRC", "CURRENCY=USD", "XLFILL=b")</f>
        <v/>
      </c>
    </row>
    <row r="173" spans="1:56" x14ac:dyDescent="0.55000000000000004">
      <c r="A173" s="8" t="s">
        <v>329</v>
      </c>
      <c r="B173" s="5" t="s">
        <v>330</v>
      </c>
      <c r="C173" s="5" t="s">
        <v>331</v>
      </c>
      <c r="D173" s="5"/>
      <c r="E173" s="9">
        <f>_xll.BQL("CRM US Equity", "CB_CF_NET_CASH_INVESTING_ACT/1M", "FPR=2022Y", "FPT=A", "FA_ACT_EST_DATA=E", "ACT_EST_MAPPING=PRECISE", "FS=MRC", "CURRENCY=USD", "XLFILL=b")</f>
        <v>-13284.644526301179</v>
      </c>
      <c r="F173" s="9">
        <f>_xll.BQL("CRM US Equity", "CONTRIBUTOR_STATS(CB_CF_NET_CASH_INVESTING_ACT, MIN)/1M", "FPR=2022Y", "FPT=A", "FA_ACT_EST_DATA=E", "ACT_EST_MAPPING=PRECISE", "FS=MRC", "CURRENCY=USD", "XLFILL=b")</f>
        <v>-13326.075000000001</v>
      </c>
      <c r="G173" s="9">
        <f>_xll.BQL("CRM US Equity", "CONTRIBUTOR_STATS(CB_CF_NET_CASH_INVESTING_ACT, MAX)/1M", "FPR=2022Y", "FPT=A", "FA_ACT_EST_DATA=E", "ACT_EST_MAPPING=PRECISE", "FS=MRC", "CURRENCY=USD", "XLFILL=b")</f>
        <v>-13077</v>
      </c>
      <c r="H173" s="9">
        <f>_xll.BQL("CRM US Equity", "CONTRIBUTOR_STATS(CB_CF_NET_CASH_INVESTING_ACT, STD)/1M", "FPR=2022Y", "FPT=A", "FA_ACT_EST_DATA=E", "ACT_EST_MAPPING=PRECISE", "FS=MRC", "CURRENCY=USD", "XLFILL=b")</f>
        <v>63.663488494096562</v>
      </c>
      <c r="I173" s="9">
        <f>_xll.BQL("CRM US Equity", "CONTRIBUTOR_STATS(CB_CF_NET_CASH_INVESTING_ACT, MEDIAN)/1M", "FPR=2022Y", "FPT=A", "FA_ACT_EST_DATA=E", "ACT_EST_MAPPING=PRECISE", "FS=MRC", "CURRENCY=USD", "XLFILL=b")</f>
        <v>-13302</v>
      </c>
      <c r="J173" s="9" t="str">
        <f>_xll.BQL("CRM US Equity", "CB_CF_NET_CASH_INVESTING_ACT/1M", "FPR=2022Y", "FPT=A", "FA_ACT_EST_DATA=E, EST_SOURCE=CMPY", "ACT_EST_MAPPING=PRECISE", "FS=MRC", "CURRENCY=USD", "XLFILL=b")</f>
        <v/>
      </c>
      <c r="K173" s="9" t="str">
        <f>_xll.BQL("CRM US Equity", "CB_CF_NET_CASH_INVESTING_ACT/1M", "FPR=2022Y", "FPT=A", "FA_ACT_EST_DATA=E, EST_SOURCE=WBL", "ACT_EST_MAPPING=PRECISE", "FS=MRC", "CURRENCY=USD", "XLFILL=b")</f>
        <v/>
      </c>
      <c r="L173" s="9" t="str">
        <f>_xll.BQL("CRM US Equity", "CB_CF_NET_CASH_INVESTING_ACT/1M", "FPR=2022Y", "FPT=A", "FA_ACT_EST_DATA=E, EST_SOURCE=BMO", "ACT_EST_MAPPING=PRECISE", "FS=MRC", "CURRENCY=USD", "XLFILL=b")</f>
        <v/>
      </c>
      <c r="M173" s="9">
        <f>_xll.BQL("CRM US Equity", "CB_CF_NET_CASH_INVESTING_ACT/1M", "FPR=2022Y", "FPT=A", "FA_ACT_EST_DATA=E, EST_SOURCE=BCA", "ACT_EST_MAPPING=PRECISE", "FS=MRC", "CURRENCY=USD", "XLFILL=b")</f>
        <v>-13311.930724363199</v>
      </c>
      <c r="N173" s="9" t="str">
        <f>_xll.BQL("CRM US Equity", "CB_CF_NET_CASH_INVESTING_ACT/1M", "FPR=2022Y", "FPT=A", "FA_ACT_EST_DATA=E, EST_SOURCE=SNR", "ACT_EST_MAPPING=PRECISE", "FS=MRC", "CURRENCY=USD", "XLFILL=b")</f>
        <v/>
      </c>
      <c r="O173" s="9">
        <f>_xll.BQL("CRM US Equity", "CB_CF_NET_CASH_INVESTING_ACT/1M", "FPR=2022Y", "FPT=A", "FA_ACT_EST_DATA=E, EST_SOURCE=MSV", "ACT_EST_MAPPING=PRECISE", "FS=MRC", "CURRENCY=USD", "XLFILL=b")</f>
        <v>-13077</v>
      </c>
      <c r="P173" s="9">
        <f>_xll.BQL("CRM US Equity", "CB_CF_NET_CASH_INVESTING_ACT/1M", "FPR=2022Y", "FPT=A", "FA_ACT_EST_DATA=E, EST_SOURCE=DBG", "ACT_EST_MAPPING=PRECISE", "FS=MRC", "CURRENCY=USD", "XLFILL=b")</f>
        <v>-13290.29304755217</v>
      </c>
      <c r="Q173" s="9">
        <f>_xll.BQL("CRM US Equity", "CB_CF_NET_CASH_INVESTING_ACT/1M", "FPR=2022Y", "FPT=A", "FA_ACT_EST_DATA=E, EST_SOURCE=NDH", "ACT_EST_MAPPING=PRECISE", "FS=MRC", "CURRENCY=USD", "XLFILL=b")</f>
        <v>-13277</v>
      </c>
      <c r="R173" s="9" t="str">
        <f>_xll.BQL("CRM US Equity", "CB_CF_NET_CASH_INVESTING_ACT/1M", "FPR=2022Y", "FPT=A", "FA_ACT_EST_DATA=E, EST_SOURCE=CAN", "ACT_EST_MAPPING=PRECISE", "FS=MRC", "CURRENCY=USD", "XLFILL=b")</f>
        <v/>
      </c>
      <c r="S173" s="9" t="str">
        <f>_xll.BQL("CRM US Equity", "CB_CF_NET_CASH_INVESTING_ACT/1M", "FPR=2022Y", "FPT=A", "FA_ACT_EST_DATA=E, EST_SOURCE=SCB", "ACT_EST_MAPPING=PRECISE", "FS=MRC", "CURRENCY=USD", "XLFILL=b")</f>
        <v/>
      </c>
      <c r="T173" s="9">
        <f>_xll.BQL("CRM US Equity", "CB_CF_NET_CASH_INVESTING_ACT/1M", "FPR=2022Y", "FPT=A", "FA_ACT_EST_DATA=E, EST_SOURCE=JMP", "ACT_EST_MAPPING=PRECISE", "FS=MRC", "CURRENCY=USD", "XLFILL=b")</f>
        <v>-13308.36</v>
      </c>
      <c r="U173" s="9">
        <f>_xll.BQL("CRM US Equity", "CB_CF_NET_CASH_INVESTING_ACT/1M", "FPR=2022Y", "FPT=A", "FA_ACT_EST_DATA=E, EST_SOURCE=RJA", "ACT_EST_MAPPING=PRECISE", "FS=MRC", "CURRENCY=USD", "XLFILL=b")</f>
        <v>-13307</v>
      </c>
      <c r="V173" s="9" t="str">
        <f>_xll.BQL("CRM US Equity", "CB_CF_NET_CASH_INVESTING_ACT/1M", "FPR=2022Y", "FPT=A", "FA_ACT_EST_DATA=E, EST_SOURCE=OPY", "ACT_EST_MAPPING=PRECISE", "FS=MRC", "CURRENCY=USD", "XLFILL=b")</f>
        <v/>
      </c>
      <c r="W173" s="9" t="str">
        <f>_xll.BQL("CRM US Equity", "CB_CF_NET_CASH_INVESTING_ACT/1M", "FPR=2022Y", "FPT=A", "FA_ACT_EST_DATA=E, EST_SOURCE=JPM", "ACT_EST_MAPPING=PRECISE", "FS=MRC", "CURRENCY=USD", "XLFILL=b")</f>
        <v/>
      </c>
      <c r="X173" s="9">
        <f>_xll.BQL("CRM US Equity", "CB_CF_NET_CASH_INVESTING_ACT/1M", "FPR=2022Y", "FPT=A", "FA_ACT_EST_DATA=E, EST_SOURCE=FBC", "ACT_EST_MAPPING=PRECISE", "FS=MRC", "CURRENCY=USD", "XLFILL=b")</f>
        <v>-12572.93905131801</v>
      </c>
      <c r="Y173" s="9">
        <f>_xll.BQL("CRM US Equity", "CB_CF_NET_CASH_INVESTING_ACT/1M", "FPR=2022Y", "FPT=A", "FA_ACT_EST_DATA=E, EST_SOURCE=WMS", "ACT_EST_MAPPING=PRECISE", "FS=MRC", "CURRENCY=USD", "XLFILL=b")</f>
        <v>-600</v>
      </c>
      <c r="Z173" s="9">
        <f>_xll.BQL("CRM US Equity", "CB_CF_NET_CASH_INVESTING_ACT/1M", "FPR=2022Y", "FPT=A", "FA_ACT_EST_DATA=E, EST_SOURCE=KEY", "ACT_EST_MAPPING=PRECISE", "FS=MRC", "CURRENCY=USD", "XLFILL=b")</f>
        <v>-12493.311748</v>
      </c>
      <c r="AA173" s="9" t="str">
        <f>_xll.BQL("CRM US Equity", "CB_CF_NET_CASH_INVESTING_ACT/1M", "FPR=2022Y", "FPT=A", "FA_ACT_EST_DATA=E, EST_SOURCE=LCM", "ACT_EST_MAPPING=PRECISE", "FS=MRC", "CURRENCY=USD", "XLFILL=b")</f>
        <v/>
      </c>
      <c r="AB173" s="9" t="str">
        <f>_xll.BQL("CRM US Equity", "CB_CF_NET_CASH_INVESTING_ACT/1M", "FPR=2022Y", "FPT=A", "FA_ACT_EST_DATA=E, EST_SOURCE=CWN", "ACT_EST_MAPPING=PRECISE", "FS=MRC", "CURRENCY=USD", "XLFILL=b")</f>
        <v/>
      </c>
      <c r="AC173" s="9" t="str">
        <f>_xll.BQL("CRM US Equity", "CB_CF_NET_CASH_INVESTING_ACT/1M", "FPR=2022Y", "FPT=A", "FA_ACT_EST_DATA=E, EST_SOURCE=BNS", "ACT_EST_MAPPING=PRECISE", "FS=MRC", "CURRENCY=USD", "XLFILL=b")</f>
        <v/>
      </c>
      <c r="AD173" s="9" t="str">
        <f>_xll.BQL("CRM US Equity", "CB_CF_NET_CASH_INVESTING_ACT/1M", "FPR=2022Y", "FPT=A", "FA_ACT_EST_DATA=E, EST_SOURCE=BAM", "ACT_EST_MAPPING=PRECISE", "FS=MRC", "CURRENCY=USD", "XLFILL=b")</f>
        <v/>
      </c>
      <c r="AE173" s="9" t="str">
        <f>_xll.BQL("CRM US Equity", "CB_CF_NET_CASH_INVESTING_ACT/1M", "FPR=2022Y", "FPT=A", "FA_ACT_EST_DATA=E, EST_SOURCE=RBC", "ACT_EST_MAPPING=PRECISE", "FS=MRC", "CURRENCY=USD", "XLFILL=b")</f>
        <v/>
      </c>
      <c r="AF173" s="9" t="str">
        <f>_xll.BQL("CRM US Equity", "CB_CF_NET_CASH_INVESTING_ACT/1M", "FPR=2022Y", "FPT=A", "FA_ACT_EST_DATA=E, EST_SOURCE=UBS", "ACT_EST_MAPPING=PRECISE", "FS=MRC", "CURRENCY=USD", "XLFILL=b")</f>
        <v/>
      </c>
      <c r="AG173" s="9" t="str">
        <f>_xll.BQL("CRM US Equity", "CB_CF_NET_CASH_INVESTING_ACT/1M", "FPR=2022Y", "FPT=A", "FA_ACT_EST_DATA=E, EST_SOURCE=RHR", "ACT_EST_MAPPING=PRECISE", "FS=MRC", "CURRENCY=USD", "XLFILL=b")</f>
        <v/>
      </c>
      <c r="AH173" s="9" t="str">
        <f>_xll.BQL("CRM US Equity", "CB_CF_NET_CASH_INVESTING_ACT/1M", "FPR=2022Y", "FPT=A", "FA_ACT_EST_DATA=E, EST_SOURCE=JEF", "ACT_EST_MAPPING=PRECISE", "FS=MRC", "CURRENCY=USD", "XLFILL=b")</f>
        <v/>
      </c>
      <c r="AI173" s="9" t="str">
        <f>_xll.BQL("CRM US Equity", "CB_CF_NET_CASH_INVESTING_ACT/1M", "FPR=2022Y", "FPT=A", "FA_ACT_EST_DATA=E, EST_SOURCE=ATL", "ACT_EST_MAPPING=PRECISE", "FS=MRC", "CURRENCY=USD", "XLFILL=b")</f>
        <v/>
      </c>
      <c r="AJ173" s="9" t="str">
        <f>_xll.BQL("CRM US Equity", "CB_CF_NET_CASH_INVESTING_ACT/1M", "FPR=2022Y", "FPT=A", "FA_ACT_EST_DATA=E, EST_SOURCE=MAC", "ACT_EST_MAPPING=PRECISE", "FS=MRC", "CURRENCY=USD", "XLFILL=b")</f>
        <v/>
      </c>
      <c r="AK173" s="9" t="str">
        <f>_xll.BQL("CRM US Equity", "CB_CF_NET_CASH_INVESTING_ACT/1M", "FPR=2022Y", "FPT=A", "FA_ACT_EST_DATA=E, EST_SOURCE=EVR", "ACT_EST_MAPPING=PRECISE", "FS=MRC", "CURRENCY=USD", "XLFILL=b")</f>
        <v/>
      </c>
      <c r="AL173" s="9" t="str">
        <f>_xll.BQL("CRM US Equity", "CB_CF_NET_CASH_INVESTING_ACT/1M", "FPR=2022Y", "FPT=A", "FA_ACT_EST_DATA=E, EST_SOURCE=MSR", "ACT_EST_MAPPING=PRECISE", "FS=MRC", "CURRENCY=USD", "XLFILL=b")</f>
        <v/>
      </c>
      <c r="AM173" s="9" t="str">
        <f>_xll.BQL("CRM US Equity", "CB_CF_NET_CASH_INVESTING_ACT/1M", "FPR=2022Y", "FPT=A", "FA_ACT_EST_DATA=E, EST_SOURCE=KGI", "ACT_EST_MAPPING=PRECISE", "FS=MRC", "CURRENCY=USD", "XLFILL=b")</f>
        <v/>
      </c>
      <c r="AN173" s="9" t="str">
        <f>_xll.BQL("CRM US Equity", "CB_CF_NET_CASH_INVESTING_ACT/1M", "FPR=2022Y", "FPT=A", "FA_ACT_EST_DATA=E, EST_SOURCE=ACC", "ACT_EST_MAPPING=PRECISE", "FS=MRC", "CURRENCY=USD", "XLFILL=b")</f>
        <v/>
      </c>
      <c r="AO173" s="9" t="str">
        <f>_xll.BQL("CRM US Equity", "CB_CF_NET_CASH_INVESTING_ACT/1M", "FPR=2022Y", "FPT=A", "FA_ACT_EST_DATA=E, EST_SOURCE=GSR", "ACT_EST_MAPPING=PRECISE", "FS=MRC", "CURRENCY=USD", "XLFILL=b")</f>
        <v/>
      </c>
      <c r="AP173" s="9" t="str">
        <f>_xll.BQL("CRM US Equity", "CB_CF_NET_CASH_INVESTING_ACT/1M", "FPR=2022Y", "FPT=A", "FA_ACT_EST_DATA=E, EST_SOURCE=PSG", "ACT_EST_MAPPING=PRECISE", "FS=MRC", "CURRENCY=USD", "XLFILL=b")</f>
        <v/>
      </c>
      <c r="AQ173" s="9" t="str">
        <f>_xll.BQL("CRM US Equity", "CB_CF_NET_CASH_INVESTING_ACT/1M", "FPR=2022Y", "FPT=A", "FA_ACT_EST_DATA=E, EST_SOURCE=DWI", "ACT_EST_MAPPING=PRECISE", "FS=MRC", "CURRENCY=USD", "XLFILL=b")</f>
        <v/>
      </c>
      <c r="AR173" s="9" t="str">
        <f>_xll.BQL("CRM US Equity", "CB_CF_NET_CASH_INVESTING_ACT/1M", "FPR=2022Y", "FPT=A", "FA_ACT_EST_DATA=E, EST_SOURCE=RWB", "ACT_EST_MAPPING=PRECISE", "FS=MRC", "CURRENCY=USD", "XLFILL=b")</f>
        <v/>
      </c>
      <c r="AS173" s="9" t="str">
        <f>_xll.BQL("CRM US Equity", "CB_CF_NET_CASH_INVESTING_ACT/1M", "FPR=2022Y", "FPT=A", "FA_ACT_EST_DATA=E, EST_SOURCE=ARG", "ACT_EST_MAPPING=PRECISE", "FS=MRC", "CURRENCY=USD", "XLFILL=b")</f>
        <v/>
      </c>
      <c r="AT173" s="9" t="str">
        <f>_xll.BQL("CRM US Equity", "CB_CF_NET_CASH_INVESTING_ACT/1M", "FPR=2022Y", "FPT=A", "FA_ACT_EST_DATA=E, EST_SOURCE=CTI", "ACT_EST_MAPPING=PRECISE", "FS=MRC", "CURRENCY=USD", "XLFILL=b")</f>
        <v/>
      </c>
      <c r="AU173" s="9" t="str">
        <f>_xll.BQL("CRM US Equity", "CB_CF_NET_CASH_INVESTING_ACT/1M", "FPR=2022Y", "FPT=A", "FA_ACT_EST_DATA=E, EST_SOURCE=WFT", "ACT_EST_MAPPING=PRECISE", "FS=MRC", "CURRENCY=USD", "XLFILL=b")</f>
        <v/>
      </c>
      <c r="AV173" s="9" t="str">
        <f>_xll.BQL("CRM US Equity", "CB_CF_NET_CASH_INVESTING_ACT/1M", "FPR=2022Y", "FPT=A", "FA_ACT_EST_DATA=E, EST_SOURCE=PJE", "ACT_EST_MAPPING=PRECISE", "FS=MRC", "CURRENCY=USD", "XLFILL=b")</f>
        <v/>
      </c>
      <c r="AW173" s="9" t="str">
        <f>_xll.BQL("CRM US Equity", "CB_CF_NET_CASH_INVESTING_ACT/1M", "FPR=2022Y", "FPT=A", "FA_ACT_EST_DATA=E, EST_SOURCE=SGE", "ACT_EST_MAPPING=PRECISE", "FS=MRC", "CURRENCY=USD", "XLFILL=b")</f>
        <v/>
      </c>
      <c r="AX173" s="9" t="str">
        <f>_xll.BQL("CRM US Equity", "CB_CF_NET_CASH_INVESTING_ACT/1M", "FPR=2022Y", "FPT=A", "FA_ACT_EST_DATA=E, EST_SOURCE=MZS", "ACT_EST_MAPPING=PRECISE", "FS=MRC", "CURRENCY=USD", "XLFILL=b")</f>
        <v/>
      </c>
      <c r="AY173" s="9" t="str">
        <f>_xll.BQL("CRM US Equity", "CB_CF_NET_CASH_INVESTING_ACT/1M", "FPR=2022Y", "FPT=A", "FA_ACT_EST_DATA=E, EST_SOURCE=RCP", "ACT_EST_MAPPING=PRECISE", "FS=MRC", "CURRENCY=USD", "XLFILL=b")</f>
        <v/>
      </c>
      <c r="AZ173" s="9" t="str">
        <f>_xll.BQL("CRM US Equity", "CB_CF_NET_CASH_INVESTING_ACT/1M", "FPR=2022Y", "FPT=A", "FA_ACT_EST_DATA=E, EST_SOURCE=WFR", "ACT_EST_MAPPING=PRECISE", "FS=MRC", "CURRENCY=USD", "XLFILL=b")</f>
        <v/>
      </c>
      <c r="BA173" s="9" t="str">
        <f>_xll.BQL("CRM US Equity", "CB_CF_NET_CASH_INVESTING_ACT/1M", "FPR=2022Y", "FPT=A", "FA_ACT_EST_DATA=E, EST_SOURCE=NIK", "ACT_EST_MAPPING=PRECISE", "FS=MRC", "CURRENCY=USD", "XLFILL=b")</f>
        <v/>
      </c>
      <c r="BB173" s="9" t="str">
        <f>_xll.BQL("CRM US Equity", "CB_CF_NET_CASH_INVESTING_ACT/1M", "FPR=2022Y", "FPT=A", "FA_ACT_EST_DATA=E, EST_SOURCE=ARE", "ACT_EST_MAPPING=PRECISE", "FS=MRC", "CURRENCY=USD", "XLFILL=b")</f>
        <v/>
      </c>
      <c r="BC173" s="9" t="str">
        <f>_xll.BQL("CRM US Equity", "CB_CF_NET_CASH_INVESTING_ACT/1M", "FPR=2022Y", "FPT=A", "FA_ACT_EST_DATA=E, EST_SOURCE=RED", "ACT_EST_MAPPING=PRECISE", "FS=MRC", "CURRENCY=USD", "XLFILL=b")</f>
        <v/>
      </c>
      <c r="BD173" s="9" t="str">
        <f>_xll.BQL("CRM US Equity", "CB_CF_NET_CASH_INVESTING_ACT/1M", "FPR=2022Y", "FPT=A", "FA_ACT_EST_DATA=E, EST_SOURCE=DIR", "ACT_EST_MAPPING=PRECISE", "FS=MRC", "CURRENCY=USD", "XLFILL=b")</f>
        <v/>
      </c>
    </row>
    <row r="174" spans="1:56" x14ac:dyDescent="0.55000000000000004">
      <c r="A174" s="8" t="s">
        <v>26</v>
      </c>
      <c r="B174" s="5"/>
      <c r="C174" s="5"/>
      <c r="D174" s="5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</row>
    <row r="175" spans="1:56" x14ac:dyDescent="0.55000000000000004">
      <c r="A175" s="8" t="s">
        <v>332</v>
      </c>
      <c r="B175" s="5"/>
      <c r="C175" s="5" t="s">
        <v>333</v>
      </c>
      <c r="D175" s="5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</row>
    <row r="176" spans="1:56" x14ac:dyDescent="0.55000000000000004">
      <c r="A176" s="8" t="s">
        <v>334</v>
      </c>
      <c r="B176" s="5" t="s">
        <v>335</v>
      </c>
      <c r="C176" s="5" t="s">
        <v>336</v>
      </c>
      <c r="D176" s="5"/>
      <c r="E176" s="9">
        <f>_xll.BQL("CRM US Equity", "CF_INCR_CAP_STOCK/1M", "FPR=2022Y", "FPT=A", "FA_ACT_EST_DATA=E", "ACT_EST_MAPPING=PRECISE", "FS=MRC", "CURRENCY=USD", "XLFILL=b")</f>
        <v>1115.106688031161</v>
      </c>
      <c r="F176" s="9">
        <f>_xll.BQL("CRM US Equity", "CONTRIBUTOR_STATS(CF_INCR_CAP_STOCK, MIN)/1M", "FPR=2022Y", "FPT=A", "FA_ACT_EST_DATA=E", "ACT_EST_MAPPING=PRECISE", "FS=MRC", "CURRENCY=USD", "XLFILL=b")</f>
        <v>1030</v>
      </c>
      <c r="G176" s="9">
        <f>_xll.BQL("CRM US Equity", "CONTRIBUTOR_STATS(CF_INCR_CAP_STOCK, MAX)/1M", "FPR=2022Y", "FPT=A", "FA_ACT_EST_DATA=E", "ACT_EST_MAPPING=PRECISE", "FS=MRC", "CURRENCY=USD", "XLFILL=b")</f>
        <v>1612.3120578457451</v>
      </c>
      <c r="H176" s="9">
        <f>_xll.BQL("CRM US Equity", "CONTRIBUTOR_STATS(CF_INCR_CAP_STOCK, STD)/1M", "FPR=2022Y", "FPT=A", "FA_ACT_EST_DATA=E", "ACT_EST_MAPPING=PRECISE", "FS=MRC", "CURRENCY=USD", "XLFILL=b")</f>
        <v>201.1021070049261</v>
      </c>
      <c r="I176" s="9">
        <f>_xll.BQL("CRM US Equity", "CONTRIBUTOR_STATS(CF_INCR_CAP_STOCK, MEDIAN)/1M", "FPR=2022Y", "FPT=A", "FA_ACT_EST_DATA=E", "ACT_EST_MAPPING=PRECISE", "FS=MRC", "CURRENCY=USD", "XLFILL=b")</f>
        <v>1030</v>
      </c>
      <c r="J176" s="9" t="str">
        <f>_xll.BQL("CRM US Equity", "CF_INCR_CAP_STOCK/1M", "FPR=2022Y", "FPT=A", "FA_ACT_EST_DATA=E, EST_SOURCE=CMPY", "ACT_EST_MAPPING=PRECISE", "FS=MRC", "CURRENCY=USD", "XLFILL=b")</f>
        <v/>
      </c>
      <c r="K176" s="9" t="str">
        <f>_xll.BQL("CRM US Equity", "CF_INCR_CAP_STOCK/1M", "FPR=2022Y", "FPT=A", "FA_ACT_EST_DATA=E, EST_SOURCE=WBL", "ACT_EST_MAPPING=PRECISE", "FS=MRC", "CURRENCY=USD", "XLFILL=b")</f>
        <v/>
      </c>
      <c r="L176" s="9" t="str">
        <f>_xll.BQL("CRM US Equity", "CF_INCR_CAP_STOCK/1M", "FPR=2022Y", "FPT=A", "FA_ACT_EST_DATA=E, EST_SOURCE=BMO", "ACT_EST_MAPPING=PRECISE", "FS=MRC", "CURRENCY=USD", "XLFILL=b")</f>
        <v/>
      </c>
      <c r="M176" s="9" t="str">
        <f>_xll.BQL("CRM US Equity", "CF_INCR_CAP_STOCK/1M", "FPR=2022Y", "FPT=A", "FA_ACT_EST_DATA=E, EST_SOURCE=BCA", "ACT_EST_MAPPING=PRECISE", "FS=MRC", "CURRENCY=USD", "XLFILL=b")</f>
        <v/>
      </c>
      <c r="N176" s="9" t="str">
        <f>_xll.BQL("CRM US Equity", "CF_INCR_CAP_STOCK/1M", "FPR=2022Y", "FPT=A", "FA_ACT_EST_DATA=E, EST_SOURCE=SNR", "ACT_EST_MAPPING=PRECISE", "FS=MRC", "CURRENCY=USD", "XLFILL=b")</f>
        <v/>
      </c>
      <c r="O176" s="9">
        <f>_xll.BQL("CRM US Equity", "CF_INCR_CAP_STOCK/1M", "FPR=2022Y", "FPT=A", "FA_ACT_EST_DATA=E, EST_SOURCE=MSV", "ACT_EST_MAPPING=PRECISE", "FS=MRC", "CURRENCY=USD", "XLFILL=b")</f>
        <v>1030</v>
      </c>
      <c r="P176" s="9">
        <f>_xll.BQL("CRM US Equity", "CF_INCR_CAP_STOCK/1M", "FPR=2022Y", "FPT=A", "FA_ACT_EST_DATA=E, EST_SOURCE=DBG", "ACT_EST_MAPPING=PRECISE", "FS=MRC", "CURRENCY=USD", "XLFILL=b")</f>
        <v>1030</v>
      </c>
      <c r="Q176" s="9">
        <f>_xll.BQL("CRM US Equity", "CF_INCR_CAP_STOCK/1M", "FPR=2022Y", "FPT=A", "FA_ACT_EST_DATA=E, EST_SOURCE=NDH", "ACT_EST_MAPPING=PRECISE", "FS=MRC", "CURRENCY=USD", "XLFILL=b")</f>
        <v>1030</v>
      </c>
      <c r="R176" s="9" t="str">
        <f>_xll.BQL("CRM US Equity", "CF_INCR_CAP_STOCK/1M", "FPR=2022Y", "FPT=A", "FA_ACT_EST_DATA=E, EST_SOURCE=CAN", "ACT_EST_MAPPING=PRECISE", "FS=MRC", "CURRENCY=USD", "XLFILL=b")</f>
        <v/>
      </c>
      <c r="S176" s="9" t="str">
        <f>_xll.BQL("CRM US Equity", "CF_INCR_CAP_STOCK/1M", "FPR=2022Y", "FPT=A", "FA_ACT_EST_DATA=E, EST_SOURCE=SCB", "ACT_EST_MAPPING=PRECISE", "FS=MRC", "CURRENCY=USD", "XLFILL=b")</f>
        <v/>
      </c>
      <c r="T176" s="9" t="str">
        <f>_xll.BQL("CRM US Equity", "CF_INCR_CAP_STOCK/1M", "FPR=2022Y", "FPT=A", "FA_ACT_EST_DATA=E, EST_SOURCE=JMP", "ACT_EST_MAPPING=PRECISE", "FS=MRC", "CURRENCY=USD", "XLFILL=b")</f>
        <v/>
      </c>
      <c r="U176" s="9">
        <f>_xll.BQL("CRM US Equity", "CF_INCR_CAP_STOCK/1M", "FPR=2022Y", "FPT=A", "FA_ACT_EST_DATA=E, EST_SOURCE=RJA", "ACT_EST_MAPPING=PRECISE", "FS=MRC", "CURRENCY=USD", "XLFILL=b")</f>
        <v>1030</v>
      </c>
      <c r="V176" s="9" t="str">
        <f>_xll.BQL("CRM US Equity", "CF_INCR_CAP_STOCK/1M", "FPR=2022Y", "FPT=A", "FA_ACT_EST_DATA=E, EST_SOURCE=OPY", "ACT_EST_MAPPING=PRECISE", "FS=MRC", "CURRENCY=USD", "XLFILL=b")</f>
        <v/>
      </c>
      <c r="W176" s="9" t="str">
        <f>_xll.BQL("CRM US Equity", "CF_INCR_CAP_STOCK/1M", "FPR=2022Y", "FPT=A", "FA_ACT_EST_DATA=E, EST_SOURCE=JPM", "ACT_EST_MAPPING=PRECISE", "FS=MRC", "CURRENCY=USD", "XLFILL=b")</f>
        <v/>
      </c>
      <c r="X176" s="9">
        <f>_xll.BQL("CRM US Equity", "CF_INCR_CAP_STOCK/1M", "FPR=2022Y", "FPT=A", "FA_ACT_EST_DATA=E, EST_SOURCE=FBC", "ACT_EST_MAPPING=PRECISE", "FS=MRC", "CURRENCY=USD", "XLFILL=b")</f>
        <v>600</v>
      </c>
      <c r="Y176" s="9">
        <f>_xll.BQL("CRM US Equity", "CF_INCR_CAP_STOCK/1M", "FPR=2022Y", "FPT=A", "FA_ACT_EST_DATA=E, EST_SOURCE=WMS", "ACT_EST_MAPPING=PRECISE", "FS=MRC", "CURRENCY=USD", "XLFILL=b")</f>
        <v>1501.523768809077</v>
      </c>
      <c r="Z176" s="9">
        <f>_xll.BQL("CRM US Equity", "CF_INCR_CAP_STOCK/1M", "FPR=2022Y", "FPT=A", "FA_ACT_EST_DATA=E, EST_SOURCE=KEY", "ACT_EST_MAPPING=PRECISE", "FS=MRC", "CURRENCY=USD", "XLFILL=b")</f>
        <v>600</v>
      </c>
      <c r="AA176" s="9" t="str">
        <f>_xll.BQL("CRM US Equity", "CF_INCR_CAP_STOCK/1M", "FPR=2022Y", "FPT=A", "FA_ACT_EST_DATA=E, EST_SOURCE=LCM", "ACT_EST_MAPPING=PRECISE", "FS=MRC", "CURRENCY=USD", "XLFILL=b")</f>
        <v/>
      </c>
      <c r="AB176" s="9" t="str">
        <f>_xll.BQL("CRM US Equity", "CF_INCR_CAP_STOCK/1M", "FPR=2022Y", "FPT=A", "FA_ACT_EST_DATA=E, EST_SOURCE=CWN", "ACT_EST_MAPPING=PRECISE", "FS=MRC", "CURRENCY=USD", "XLFILL=b")</f>
        <v/>
      </c>
      <c r="AC176" s="9" t="str">
        <f>_xll.BQL("CRM US Equity", "CF_INCR_CAP_STOCK/1M", "FPR=2022Y", "FPT=A", "FA_ACT_EST_DATA=E, EST_SOURCE=BNS", "ACT_EST_MAPPING=PRECISE", "FS=MRC", "CURRENCY=USD", "XLFILL=b")</f>
        <v/>
      </c>
      <c r="AD176" s="9" t="str">
        <f>_xll.BQL("CRM US Equity", "CF_INCR_CAP_STOCK/1M", "FPR=2022Y", "FPT=A", "FA_ACT_EST_DATA=E, EST_SOURCE=BAM", "ACT_EST_MAPPING=PRECISE", "FS=MRC", "CURRENCY=USD", "XLFILL=b")</f>
        <v/>
      </c>
      <c r="AE176" s="9" t="str">
        <f>_xll.BQL("CRM US Equity", "CF_INCR_CAP_STOCK/1M", "FPR=2022Y", "FPT=A", "FA_ACT_EST_DATA=E, EST_SOURCE=RBC", "ACT_EST_MAPPING=PRECISE", "FS=MRC", "CURRENCY=USD", "XLFILL=b")</f>
        <v/>
      </c>
      <c r="AF176" s="9" t="str">
        <f>_xll.BQL("CRM US Equity", "CF_INCR_CAP_STOCK/1M", "FPR=2022Y", "FPT=A", "FA_ACT_EST_DATA=E, EST_SOURCE=UBS", "ACT_EST_MAPPING=PRECISE", "FS=MRC", "CURRENCY=USD", "XLFILL=b")</f>
        <v/>
      </c>
      <c r="AG176" s="9" t="str">
        <f>_xll.BQL("CRM US Equity", "CF_INCR_CAP_STOCK/1M", "FPR=2022Y", "FPT=A", "FA_ACT_EST_DATA=E, EST_SOURCE=RHR", "ACT_EST_MAPPING=PRECISE", "FS=MRC", "CURRENCY=USD", "XLFILL=b")</f>
        <v/>
      </c>
      <c r="AH176" s="9" t="str">
        <f>_xll.BQL("CRM US Equity", "CF_INCR_CAP_STOCK/1M", "FPR=2022Y", "FPT=A", "FA_ACT_EST_DATA=E, EST_SOURCE=JEF", "ACT_EST_MAPPING=PRECISE", "FS=MRC", "CURRENCY=USD", "XLFILL=b")</f>
        <v/>
      </c>
      <c r="AI176" s="9" t="str">
        <f>_xll.BQL("CRM US Equity", "CF_INCR_CAP_STOCK/1M", "FPR=2022Y", "FPT=A", "FA_ACT_EST_DATA=E, EST_SOURCE=ATL", "ACT_EST_MAPPING=PRECISE", "FS=MRC", "CURRENCY=USD", "XLFILL=b")</f>
        <v/>
      </c>
      <c r="AJ176" s="9" t="str">
        <f>_xll.BQL("CRM US Equity", "CF_INCR_CAP_STOCK/1M", "FPR=2022Y", "FPT=A", "FA_ACT_EST_DATA=E, EST_SOURCE=MAC", "ACT_EST_MAPPING=PRECISE", "FS=MRC", "CURRENCY=USD", "XLFILL=b")</f>
        <v/>
      </c>
      <c r="AK176" s="9" t="str">
        <f>_xll.BQL("CRM US Equity", "CF_INCR_CAP_STOCK/1M", "FPR=2022Y", "FPT=A", "FA_ACT_EST_DATA=E, EST_SOURCE=EVR", "ACT_EST_MAPPING=PRECISE", "FS=MRC", "CURRENCY=USD", "XLFILL=b")</f>
        <v/>
      </c>
      <c r="AL176" s="9" t="str">
        <f>_xll.BQL("CRM US Equity", "CF_INCR_CAP_STOCK/1M", "FPR=2022Y", "FPT=A", "FA_ACT_EST_DATA=E, EST_SOURCE=MSR", "ACT_EST_MAPPING=PRECISE", "FS=MRC", "CURRENCY=USD", "XLFILL=b")</f>
        <v/>
      </c>
      <c r="AM176" s="9" t="str">
        <f>_xll.BQL("CRM US Equity", "CF_INCR_CAP_STOCK/1M", "FPR=2022Y", "FPT=A", "FA_ACT_EST_DATA=E, EST_SOURCE=KGI", "ACT_EST_MAPPING=PRECISE", "FS=MRC", "CURRENCY=USD", "XLFILL=b")</f>
        <v/>
      </c>
      <c r="AN176" s="9" t="str">
        <f>_xll.BQL("CRM US Equity", "CF_INCR_CAP_STOCK/1M", "FPR=2022Y", "FPT=A", "FA_ACT_EST_DATA=E, EST_SOURCE=ACC", "ACT_EST_MAPPING=PRECISE", "FS=MRC", "CURRENCY=USD", "XLFILL=b")</f>
        <v/>
      </c>
      <c r="AO176" s="9" t="str">
        <f>_xll.BQL("CRM US Equity", "CF_INCR_CAP_STOCK/1M", "FPR=2022Y", "FPT=A", "FA_ACT_EST_DATA=E, EST_SOURCE=GSR", "ACT_EST_MAPPING=PRECISE", "FS=MRC", "CURRENCY=USD", "XLFILL=b")</f>
        <v/>
      </c>
      <c r="AP176" s="9" t="str">
        <f>_xll.BQL("CRM US Equity", "CF_INCR_CAP_STOCK/1M", "FPR=2022Y", "FPT=A", "FA_ACT_EST_DATA=E, EST_SOURCE=PSG", "ACT_EST_MAPPING=PRECISE", "FS=MRC", "CURRENCY=USD", "XLFILL=b")</f>
        <v/>
      </c>
      <c r="AQ176" s="9" t="str">
        <f>_xll.BQL("CRM US Equity", "CF_INCR_CAP_STOCK/1M", "FPR=2022Y", "FPT=A", "FA_ACT_EST_DATA=E, EST_SOURCE=DWI", "ACT_EST_MAPPING=PRECISE", "FS=MRC", "CURRENCY=USD", "XLFILL=b")</f>
        <v/>
      </c>
      <c r="AR176" s="9" t="str">
        <f>_xll.BQL("CRM US Equity", "CF_INCR_CAP_STOCK/1M", "FPR=2022Y", "FPT=A", "FA_ACT_EST_DATA=E, EST_SOURCE=RWB", "ACT_EST_MAPPING=PRECISE", "FS=MRC", "CURRENCY=USD", "XLFILL=b")</f>
        <v/>
      </c>
      <c r="AS176" s="9" t="str">
        <f>_xll.BQL("CRM US Equity", "CF_INCR_CAP_STOCK/1M", "FPR=2022Y", "FPT=A", "FA_ACT_EST_DATA=E, EST_SOURCE=ARG", "ACT_EST_MAPPING=PRECISE", "FS=MRC", "CURRENCY=USD", "XLFILL=b")</f>
        <v/>
      </c>
      <c r="AT176" s="9" t="str">
        <f>_xll.BQL("CRM US Equity", "CF_INCR_CAP_STOCK/1M", "FPR=2022Y", "FPT=A", "FA_ACT_EST_DATA=E, EST_SOURCE=CTI", "ACT_EST_MAPPING=PRECISE", "FS=MRC", "CURRENCY=USD", "XLFILL=b")</f>
        <v/>
      </c>
      <c r="AU176" s="9" t="str">
        <f>_xll.BQL("CRM US Equity", "CF_INCR_CAP_STOCK/1M", "FPR=2022Y", "FPT=A", "FA_ACT_EST_DATA=E, EST_SOURCE=WFT", "ACT_EST_MAPPING=PRECISE", "FS=MRC", "CURRENCY=USD", "XLFILL=b")</f>
        <v/>
      </c>
      <c r="AV176" s="9" t="str">
        <f>_xll.BQL("CRM US Equity", "CF_INCR_CAP_STOCK/1M", "FPR=2022Y", "FPT=A", "FA_ACT_EST_DATA=E, EST_SOURCE=PJE", "ACT_EST_MAPPING=PRECISE", "FS=MRC", "CURRENCY=USD", "XLFILL=b")</f>
        <v/>
      </c>
      <c r="AW176" s="9" t="str">
        <f>_xll.BQL("CRM US Equity", "CF_INCR_CAP_STOCK/1M", "FPR=2022Y", "FPT=A", "FA_ACT_EST_DATA=E, EST_SOURCE=SGE", "ACT_EST_MAPPING=PRECISE", "FS=MRC", "CURRENCY=USD", "XLFILL=b")</f>
        <v/>
      </c>
      <c r="AX176" s="9" t="str">
        <f>_xll.BQL("CRM US Equity", "CF_INCR_CAP_STOCK/1M", "FPR=2022Y", "FPT=A", "FA_ACT_EST_DATA=E, EST_SOURCE=MZS", "ACT_EST_MAPPING=PRECISE", "FS=MRC", "CURRENCY=USD", "XLFILL=b")</f>
        <v/>
      </c>
      <c r="AY176" s="9" t="str">
        <f>_xll.BQL("CRM US Equity", "CF_INCR_CAP_STOCK/1M", "FPR=2022Y", "FPT=A", "FA_ACT_EST_DATA=E, EST_SOURCE=RCP", "ACT_EST_MAPPING=PRECISE", "FS=MRC", "CURRENCY=USD", "XLFILL=b")</f>
        <v/>
      </c>
      <c r="AZ176" s="9" t="str">
        <f>_xll.BQL("CRM US Equity", "CF_INCR_CAP_STOCK/1M", "FPR=2022Y", "FPT=A", "FA_ACT_EST_DATA=E, EST_SOURCE=WFR", "ACT_EST_MAPPING=PRECISE", "FS=MRC", "CURRENCY=USD", "XLFILL=b")</f>
        <v/>
      </c>
      <c r="BA176" s="9" t="str">
        <f>_xll.BQL("CRM US Equity", "CF_INCR_CAP_STOCK/1M", "FPR=2022Y", "FPT=A", "FA_ACT_EST_DATA=E, EST_SOURCE=NIK", "ACT_EST_MAPPING=PRECISE", "FS=MRC", "CURRENCY=USD", "XLFILL=b")</f>
        <v/>
      </c>
      <c r="BB176" s="9" t="str">
        <f>_xll.BQL("CRM US Equity", "CF_INCR_CAP_STOCK/1M", "FPR=2022Y", "FPT=A", "FA_ACT_EST_DATA=E, EST_SOURCE=ARE", "ACT_EST_MAPPING=PRECISE", "FS=MRC", "CURRENCY=USD", "XLFILL=b")</f>
        <v/>
      </c>
      <c r="BC176" s="9" t="str">
        <f>_xll.BQL("CRM US Equity", "CF_INCR_CAP_STOCK/1M", "FPR=2022Y", "FPT=A", "FA_ACT_EST_DATA=E, EST_SOURCE=RED", "ACT_EST_MAPPING=PRECISE", "FS=MRC", "CURRENCY=USD", "XLFILL=b")</f>
        <v/>
      </c>
      <c r="BD176" s="9" t="str">
        <f>_xll.BQL("CRM US Equity", "CF_INCR_CAP_STOCK/1M", "FPR=2022Y", "FPT=A", "FA_ACT_EST_DATA=E, EST_SOURCE=DIR", "ACT_EST_MAPPING=PRECISE", "FS=MRC", "CURRENCY=USD", "XLFILL=b")</f>
        <v/>
      </c>
    </row>
    <row r="177" spans="1:56" x14ac:dyDescent="0.55000000000000004">
      <c r="A177" s="8" t="s">
        <v>337</v>
      </c>
      <c r="B177" s="5" t="s">
        <v>338</v>
      </c>
      <c r="C177" s="5" t="s">
        <v>339</v>
      </c>
      <c r="D177" s="5"/>
      <c r="E177" s="9">
        <f>_xll.BQL("CRM US Equity", "CB_CF_OTHER_FINANCING_ACTIVITIES/1M", "FPR=2022Y", "FPT=A", "FA_ACT_EST_DATA=E", "ACT_EST_MAPPING=PRECISE", "FS=MRC", "CURRENCY=USD", "XLFILL=b")</f>
        <v>-119.22727272727271</v>
      </c>
      <c r="F177" s="9">
        <f>_xll.BQL("CRM US Equity", "CONTRIBUTOR_STATS(CB_CF_OTHER_FINANCING_ACTIVITIES, MIN)/1M", "FPR=2022Y", "FPT=A", "FA_ACT_EST_DATA=E", "ACT_EST_MAPPING=PRECISE", "FS=MRC", "CURRENCY=USD", "XLFILL=b")</f>
        <v>-131.5</v>
      </c>
      <c r="G177" s="9">
        <f>_xll.BQL("CRM US Equity", "CONTRIBUTOR_STATS(CB_CF_OTHER_FINANCING_ACTIVITIES, MAX)/1M", "FPR=2022Y", "FPT=A", "FA_ACT_EST_DATA=E", "ACT_EST_MAPPING=PRECISE", "FS=MRC", "CURRENCY=USD", "XLFILL=b")</f>
        <v>-118</v>
      </c>
      <c r="H177" s="9">
        <f>_xll.BQL("CRM US Equity", "CONTRIBUTOR_STATS(CB_CF_OTHER_FINANCING_ACTIVITIES, STD)/1M", "FPR=2022Y", "FPT=A", "FA_ACT_EST_DATA=E", "ACT_EST_MAPPING=PRECISE", "FS=MRC", "CURRENCY=USD", "XLFILL=b")</f>
        <v>4.0704031517998107</v>
      </c>
      <c r="I177" s="9">
        <f>_xll.BQL("CRM US Equity", "CONTRIBUTOR_STATS(CB_CF_OTHER_FINANCING_ACTIVITIES, MEDIAN)/1M", "FPR=2022Y", "FPT=A", "FA_ACT_EST_DATA=E", "ACT_EST_MAPPING=PRECISE", "FS=MRC", "CURRENCY=USD", "XLFILL=b")</f>
        <v>-118</v>
      </c>
      <c r="J177" s="9" t="str">
        <f>_xll.BQL("CRM US Equity", "CB_CF_OTHER_FINANCING_ACTIVITIES/1M", "FPR=2022Y", "FPT=A", "FA_ACT_EST_DATA=E, EST_SOURCE=CMPY", "ACT_EST_MAPPING=PRECISE", "FS=MRC", "CURRENCY=USD", "XLFILL=b")</f>
        <v/>
      </c>
      <c r="K177" s="9" t="str">
        <f>_xll.BQL("CRM US Equity", "CB_CF_OTHER_FINANCING_ACTIVITIES/1M", "FPR=2022Y", "FPT=A", "FA_ACT_EST_DATA=E, EST_SOURCE=WBL", "ACT_EST_MAPPING=PRECISE", "FS=MRC", "CURRENCY=USD", "XLFILL=b")</f>
        <v/>
      </c>
      <c r="L177" s="9" t="str">
        <f>_xll.BQL("CRM US Equity", "CB_CF_OTHER_FINANCING_ACTIVITIES/1M", "FPR=2022Y", "FPT=A", "FA_ACT_EST_DATA=E, EST_SOURCE=BMO", "ACT_EST_MAPPING=PRECISE", "FS=MRC", "CURRENCY=USD", "XLFILL=b")</f>
        <v/>
      </c>
      <c r="M177" s="9" t="str">
        <f>_xll.BQL("CRM US Equity", "CB_CF_OTHER_FINANCING_ACTIVITIES/1M", "FPR=2022Y", "FPT=A", "FA_ACT_EST_DATA=E, EST_SOURCE=BCA", "ACT_EST_MAPPING=PRECISE", "FS=MRC", "CURRENCY=USD", "XLFILL=b")</f>
        <v/>
      </c>
      <c r="N177" s="9" t="str">
        <f>_xll.BQL("CRM US Equity", "CB_CF_OTHER_FINANCING_ACTIVITIES/1M", "FPR=2022Y", "FPT=A", "FA_ACT_EST_DATA=E, EST_SOURCE=SNR", "ACT_EST_MAPPING=PRECISE", "FS=MRC", "CURRENCY=USD", "XLFILL=b")</f>
        <v/>
      </c>
      <c r="O177" s="9">
        <f>_xll.BQL("CRM US Equity", "CB_CF_OTHER_FINANCING_ACTIVITIES/1M", "FPR=2022Y", "FPT=A", "FA_ACT_EST_DATA=E, EST_SOURCE=MSV", "ACT_EST_MAPPING=PRECISE", "FS=MRC", "CURRENCY=USD", "XLFILL=b")</f>
        <v>-118</v>
      </c>
      <c r="P177" s="9">
        <f>_xll.BQL("CRM US Equity", "CB_CF_OTHER_FINANCING_ACTIVITIES/1M", "FPR=2022Y", "FPT=A", "FA_ACT_EST_DATA=E, EST_SOURCE=DBG", "ACT_EST_MAPPING=PRECISE", "FS=MRC", "CURRENCY=USD", "XLFILL=b")</f>
        <v>-118</v>
      </c>
      <c r="Q177" s="9">
        <f>_xll.BQL("CRM US Equity", "CB_CF_OTHER_FINANCING_ACTIVITIES/1M", "FPR=2022Y", "FPT=A", "FA_ACT_EST_DATA=E, EST_SOURCE=NDH", "ACT_EST_MAPPING=PRECISE", "FS=MRC", "CURRENCY=USD", "XLFILL=b")</f>
        <v>-118</v>
      </c>
      <c r="R177" s="9" t="str">
        <f>_xll.BQL("CRM US Equity", "CB_CF_OTHER_FINANCING_ACTIVITIES/1M", "FPR=2022Y", "FPT=A", "FA_ACT_EST_DATA=E, EST_SOURCE=CAN", "ACT_EST_MAPPING=PRECISE", "FS=MRC", "CURRENCY=USD", "XLFILL=b")</f>
        <v/>
      </c>
      <c r="S177" s="9" t="str">
        <f>_xll.BQL("CRM US Equity", "CB_CF_OTHER_FINANCING_ACTIVITIES/1M", "FPR=2022Y", "FPT=A", "FA_ACT_EST_DATA=E, EST_SOURCE=SCB", "ACT_EST_MAPPING=PRECISE", "FS=MRC", "CURRENCY=USD", "XLFILL=b")</f>
        <v/>
      </c>
      <c r="T177" s="9" t="str">
        <f>_xll.BQL("CRM US Equity", "CB_CF_OTHER_FINANCING_ACTIVITIES/1M", "FPR=2022Y", "FPT=A", "FA_ACT_EST_DATA=E, EST_SOURCE=JMP", "ACT_EST_MAPPING=PRECISE", "FS=MRC", "CURRENCY=USD", "XLFILL=b")</f>
        <v/>
      </c>
      <c r="U177" s="9" t="str">
        <f>_xll.BQL("CRM US Equity", "CB_CF_OTHER_FINANCING_ACTIVITIES/1M", "FPR=2022Y", "FPT=A", "FA_ACT_EST_DATA=E, EST_SOURCE=RJA", "ACT_EST_MAPPING=PRECISE", "FS=MRC", "CURRENCY=USD", "XLFILL=b")</f>
        <v/>
      </c>
      <c r="V177" s="9" t="str">
        <f>_xll.BQL("CRM US Equity", "CB_CF_OTHER_FINANCING_ACTIVITIES/1M", "FPR=2022Y", "FPT=A", "FA_ACT_EST_DATA=E, EST_SOURCE=OPY", "ACT_EST_MAPPING=PRECISE", "FS=MRC", "CURRENCY=USD", "XLFILL=b")</f>
        <v/>
      </c>
      <c r="W177" s="9" t="str">
        <f>_xll.BQL("CRM US Equity", "CB_CF_OTHER_FINANCING_ACTIVITIES/1M", "FPR=2022Y", "FPT=A", "FA_ACT_EST_DATA=E, EST_SOURCE=JPM", "ACT_EST_MAPPING=PRECISE", "FS=MRC", "CURRENCY=USD", "XLFILL=b")</f>
        <v/>
      </c>
      <c r="X177" s="9">
        <f>_xll.BQL("CRM US Equity", "CB_CF_OTHER_FINANCING_ACTIVITIES/1M", "FPR=2022Y", "FPT=A", "FA_ACT_EST_DATA=E, EST_SOURCE=FBC", "ACT_EST_MAPPING=PRECISE", "FS=MRC", "CURRENCY=USD", "XLFILL=b")</f>
        <v>-73</v>
      </c>
      <c r="Y177" s="9">
        <f>_xll.BQL("CRM US Equity", "CB_CF_OTHER_FINANCING_ACTIVITIES/1M", "FPR=2022Y", "FPT=A", "FA_ACT_EST_DATA=E, EST_SOURCE=WMS", "ACT_EST_MAPPING=PRECISE", "FS=MRC", "CURRENCY=USD", "XLFILL=b")</f>
        <v>-192</v>
      </c>
      <c r="Z177" s="9">
        <f>_xll.BQL("CRM US Equity", "CB_CF_OTHER_FINANCING_ACTIVITIES/1M", "FPR=2022Y", "FPT=A", "FA_ACT_EST_DATA=E, EST_SOURCE=KEY", "ACT_EST_MAPPING=PRECISE", "FS=MRC", "CURRENCY=USD", "XLFILL=b")</f>
        <v>-73</v>
      </c>
      <c r="AA177" s="9" t="str">
        <f>_xll.BQL("CRM US Equity", "CB_CF_OTHER_FINANCING_ACTIVITIES/1M", "FPR=2022Y", "FPT=A", "FA_ACT_EST_DATA=E, EST_SOURCE=LCM", "ACT_EST_MAPPING=PRECISE", "FS=MRC", "CURRENCY=USD", "XLFILL=b")</f>
        <v/>
      </c>
      <c r="AB177" s="9" t="str">
        <f>_xll.BQL("CRM US Equity", "CB_CF_OTHER_FINANCING_ACTIVITIES/1M", "FPR=2022Y", "FPT=A", "FA_ACT_EST_DATA=E, EST_SOURCE=CWN", "ACT_EST_MAPPING=PRECISE", "FS=MRC", "CURRENCY=USD", "XLFILL=b")</f>
        <v/>
      </c>
      <c r="AC177" s="9" t="str">
        <f>_xll.BQL("CRM US Equity", "CB_CF_OTHER_FINANCING_ACTIVITIES/1M", "FPR=2022Y", "FPT=A", "FA_ACT_EST_DATA=E, EST_SOURCE=BNS", "ACT_EST_MAPPING=PRECISE", "FS=MRC", "CURRENCY=USD", "XLFILL=b")</f>
        <v/>
      </c>
      <c r="AD177" s="9" t="str">
        <f>_xll.BQL("CRM US Equity", "CB_CF_OTHER_FINANCING_ACTIVITIES/1M", "FPR=2022Y", "FPT=A", "FA_ACT_EST_DATA=E, EST_SOURCE=BAM", "ACT_EST_MAPPING=PRECISE", "FS=MRC", "CURRENCY=USD", "XLFILL=b")</f>
        <v/>
      </c>
      <c r="AE177" s="9" t="str">
        <f>_xll.BQL("CRM US Equity", "CB_CF_OTHER_FINANCING_ACTIVITIES/1M", "FPR=2022Y", "FPT=A", "FA_ACT_EST_DATA=E, EST_SOURCE=RBC", "ACT_EST_MAPPING=PRECISE", "FS=MRC", "CURRENCY=USD", "XLFILL=b")</f>
        <v/>
      </c>
      <c r="AF177" s="9" t="str">
        <f>_xll.BQL("CRM US Equity", "CB_CF_OTHER_FINANCING_ACTIVITIES/1M", "FPR=2022Y", "FPT=A", "FA_ACT_EST_DATA=E, EST_SOURCE=UBS", "ACT_EST_MAPPING=PRECISE", "FS=MRC", "CURRENCY=USD", "XLFILL=b")</f>
        <v/>
      </c>
      <c r="AG177" s="9" t="str">
        <f>_xll.BQL("CRM US Equity", "CB_CF_OTHER_FINANCING_ACTIVITIES/1M", "FPR=2022Y", "FPT=A", "FA_ACT_EST_DATA=E, EST_SOURCE=RHR", "ACT_EST_MAPPING=PRECISE", "FS=MRC", "CURRENCY=USD", "XLFILL=b")</f>
        <v/>
      </c>
      <c r="AH177" s="9" t="str">
        <f>_xll.BQL("CRM US Equity", "CB_CF_OTHER_FINANCING_ACTIVITIES/1M", "FPR=2022Y", "FPT=A", "FA_ACT_EST_DATA=E, EST_SOURCE=JEF", "ACT_EST_MAPPING=PRECISE", "FS=MRC", "CURRENCY=USD", "XLFILL=b")</f>
        <v/>
      </c>
      <c r="AI177" s="9" t="str">
        <f>_xll.BQL("CRM US Equity", "CB_CF_OTHER_FINANCING_ACTIVITIES/1M", "FPR=2022Y", "FPT=A", "FA_ACT_EST_DATA=E, EST_SOURCE=ATL", "ACT_EST_MAPPING=PRECISE", "FS=MRC", "CURRENCY=USD", "XLFILL=b")</f>
        <v/>
      </c>
      <c r="AJ177" s="9" t="str">
        <f>_xll.BQL("CRM US Equity", "CB_CF_OTHER_FINANCING_ACTIVITIES/1M", "FPR=2022Y", "FPT=A", "FA_ACT_EST_DATA=E, EST_SOURCE=MAC", "ACT_EST_MAPPING=PRECISE", "FS=MRC", "CURRENCY=USD", "XLFILL=b")</f>
        <v/>
      </c>
      <c r="AK177" s="9" t="str">
        <f>_xll.BQL("CRM US Equity", "CB_CF_OTHER_FINANCING_ACTIVITIES/1M", "FPR=2022Y", "FPT=A", "FA_ACT_EST_DATA=E, EST_SOURCE=EVR", "ACT_EST_MAPPING=PRECISE", "FS=MRC", "CURRENCY=USD", "XLFILL=b")</f>
        <v/>
      </c>
      <c r="AL177" s="9" t="str">
        <f>_xll.BQL("CRM US Equity", "CB_CF_OTHER_FINANCING_ACTIVITIES/1M", "FPR=2022Y", "FPT=A", "FA_ACT_EST_DATA=E, EST_SOURCE=MSR", "ACT_EST_MAPPING=PRECISE", "FS=MRC", "CURRENCY=USD", "XLFILL=b")</f>
        <v/>
      </c>
      <c r="AM177" s="9" t="str">
        <f>_xll.BQL("CRM US Equity", "CB_CF_OTHER_FINANCING_ACTIVITIES/1M", "FPR=2022Y", "FPT=A", "FA_ACT_EST_DATA=E, EST_SOURCE=KGI", "ACT_EST_MAPPING=PRECISE", "FS=MRC", "CURRENCY=USD", "XLFILL=b")</f>
        <v/>
      </c>
      <c r="AN177" s="9" t="str">
        <f>_xll.BQL("CRM US Equity", "CB_CF_OTHER_FINANCING_ACTIVITIES/1M", "FPR=2022Y", "FPT=A", "FA_ACT_EST_DATA=E, EST_SOURCE=ACC", "ACT_EST_MAPPING=PRECISE", "FS=MRC", "CURRENCY=USD", "XLFILL=b")</f>
        <v/>
      </c>
      <c r="AO177" s="9" t="str">
        <f>_xll.BQL("CRM US Equity", "CB_CF_OTHER_FINANCING_ACTIVITIES/1M", "FPR=2022Y", "FPT=A", "FA_ACT_EST_DATA=E, EST_SOURCE=GSR", "ACT_EST_MAPPING=PRECISE", "FS=MRC", "CURRENCY=USD", "XLFILL=b")</f>
        <v/>
      </c>
      <c r="AP177" s="9" t="str">
        <f>_xll.BQL("CRM US Equity", "CB_CF_OTHER_FINANCING_ACTIVITIES/1M", "FPR=2022Y", "FPT=A", "FA_ACT_EST_DATA=E, EST_SOURCE=PSG", "ACT_EST_MAPPING=PRECISE", "FS=MRC", "CURRENCY=USD", "XLFILL=b")</f>
        <v/>
      </c>
      <c r="AQ177" s="9" t="str">
        <f>_xll.BQL("CRM US Equity", "CB_CF_OTHER_FINANCING_ACTIVITIES/1M", "FPR=2022Y", "FPT=A", "FA_ACT_EST_DATA=E, EST_SOURCE=DWI", "ACT_EST_MAPPING=PRECISE", "FS=MRC", "CURRENCY=USD", "XLFILL=b")</f>
        <v/>
      </c>
      <c r="AR177" s="9" t="str">
        <f>_xll.BQL("CRM US Equity", "CB_CF_OTHER_FINANCING_ACTIVITIES/1M", "FPR=2022Y", "FPT=A", "FA_ACT_EST_DATA=E, EST_SOURCE=RWB", "ACT_EST_MAPPING=PRECISE", "FS=MRC", "CURRENCY=USD", "XLFILL=b")</f>
        <v/>
      </c>
      <c r="AS177" s="9" t="str">
        <f>_xll.BQL("CRM US Equity", "CB_CF_OTHER_FINANCING_ACTIVITIES/1M", "FPR=2022Y", "FPT=A", "FA_ACT_EST_DATA=E, EST_SOURCE=ARG", "ACT_EST_MAPPING=PRECISE", "FS=MRC", "CURRENCY=USD", "XLFILL=b")</f>
        <v/>
      </c>
      <c r="AT177" s="9" t="str">
        <f>_xll.BQL("CRM US Equity", "CB_CF_OTHER_FINANCING_ACTIVITIES/1M", "FPR=2022Y", "FPT=A", "FA_ACT_EST_DATA=E, EST_SOURCE=CTI", "ACT_EST_MAPPING=PRECISE", "FS=MRC", "CURRENCY=USD", "XLFILL=b")</f>
        <v/>
      </c>
      <c r="AU177" s="9" t="str">
        <f>_xll.BQL("CRM US Equity", "CB_CF_OTHER_FINANCING_ACTIVITIES/1M", "FPR=2022Y", "FPT=A", "FA_ACT_EST_DATA=E, EST_SOURCE=WFT", "ACT_EST_MAPPING=PRECISE", "FS=MRC", "CURRENCY=USD", "XLFILL=b")</f>
        <v/>
      </c>
      <c r="AV177" s="9" t="str">
        <f>_xll.BQL("CRM US Equity", "CB_CF_OTHER_FINANCING_ACTIVITIES/1M", "FPR=2022Y", "FPT=A", "FA_ACT_EST_DATA=E, EST_SOURCE=PJE", "ACT_EST_MAPPING=PRECISE", "FS=MRC", "CURRENCY=USD", "XLFILL=b")</f>
        <v/>
      </c>
      <c r="AW177" s="9" t="str">
        <f>_xll.BQL("CRM US Equity", "CB_CF_OTHER_FINANCING_ACTIVITIES/1M", "FPR=2022Y", "FPT=A", "FA_ACT_EST_DATA=E, EST_SOURCE=SGE", "ACT_EST_MAPPING=PRECISE", "FS=MRC", "CURRENCY=USD", "XLFILL=b")</f>
        <v/>
      </c>
      <c r="AX177" s="9" t="str">
        <f>_xll.BQL("CRM US Equity", "CB_CF_OTHER_FINANCING_ACTIVITIES/1M", "FPR=2022Y", "FPT=A", "FA_ACT_EST_DATA=E, EST_SOURCE=MZS", "ACT_EST_MAPPING=PRECISE", "FS=MRC", "CURRENCY=USD", "XLFILL=b")</f>
        <v/>
      </c>
      <c r="AY177" s="9" t="str">
        <f>_xll.BQL("CRM US Equity", "CB_CF_OTHER_FINANCING_ACTIVITIES/1M", "FPR=2022Y", "FPT=A", "FA_ACT_EST_DATA=E, EST_SOURCE=RCP", "ACT_EST_MAPPING=PRECISE", "FS=MRC", "CURRENCY=USD", "XLFILL=b")</f>
        <v/>
      </c>
      <c r="AZ177" s="9" t="str">
        <f>_xll.BQL("CRM US Equity", "CB_CF_OTHER_FINANCING_ACTIVITIES/1M", "FPR=2022Y", "FPT=A", "FA_ACT_EST_DATA=E, EST_SOURCE=WFR", "ACT_EST_MAPPING=PRECISE", "FS=MRC", "CURRENCY=USD", "XLFILL=b")</f>
        <v/>
      </c>
      <c r="BA177" s="9" t="str">
        <f>_xll.BQL("CRM US Equity", "CB_CF_OTHER_FINANCING_ACTIVITIES/1M", "FPR=2022Y", "FPT=A", "FA_ACT_EST_DATA=E, EST_SOURCE=NIK", "ACT_EST_MAPPING=PRECISE", "FS=MRC", "CURRENCY=USD", "XLFILL=b")</f>
        <v/>
      </c>
      <c r="BB177" s="9" t="str">
        <f>_xll.BQL("CRM US Equity", "CB_CF_OTHER_FINANCING_ACTIVITIES/1M", "FPR=2022Y", "FPT=A", "FA_ACT_EST_DATA=E, EST_SOURCE=ARE", "ACT_EST_MAPPING=PRECISE", "FS=MRC", "CURRENCY=USD", "XLFILL=b")</f>
        <v/>
      </c>
      <c r="BC177" s="9" t="str">
        <f>_xll.BQL("CRM US Equity", "CB_CF_OTHER_FINANCING_ACTIVITIES/1M", "FPR=2022Y", "FPT=A", "FA_ACT_EST_DATA=E, EST_SOURCE=RED", "ACT_EST_MAPPING=PRECISE", "FS=MRC", "CURRENCY=USD", "XLFILL=b")</f>
        <v/>
      </c>
      <c r="BD177" s="9" t="str">
        <f>_xll.BQL("CRM US Equity", "CB_CF_OTHER_FINANCING_ACTIVITIES/1M", "FPR=2022Y", "FPT=A", "FA_ACT_EST_DATA=E, EST_SOURCE=DIR", "ACT_EST_MAPPING=PRECISE", "FS=MRC", "CURRENCY=USD", "XLFILL=b")</f>
        <v/>
      </c>
    </row>
    <row r="178" spans="1:56" x14ac:dyDescent="0.55000000000000004">
      <c r="A178" s="8" t="s">
        <v>340</v>
      </c>
      <c r="B178" s="5" t="s">
        <v>341</v>
      </c>
      <c r="C178" s="5" t="s">
        <v>342</v>
      </c>
      <c r="D178" s="5"/>
      <c r="E178" s="9">
        <f>_xll.BQL("CRM US Equity", "CB_CF_REPAYMENT_LT_DEBT/1M", "FPR=2022Y", "FPT=A", "FA_ACT_EST_DATA=E", "ACT_EST_MAPPING=PRECISE", "FS=MRC", "CURRENCY=USD", "XLFILL=b")</f>
        <v>-3</v>
      </c>
      <c r="F178" s="9">
        <f>_xll.BQL("CRM US Equity", "CONTRIBUTOR_STATS(CB_CF_REPAYMENT_LT_DEBT, MIN)/1M", "FPR=2022Y", "FPT=A", "FA_ACT_EST_DATA=E", "ACT_EST_MAPPING=PRECISE", "FS=MRC", "CURRENCY=USD", "XLFILL=b")</f>
        <v>-3</v>
      </c>
      <c r="G178" s="9">
        <f>_xll.BQL("CRM US Equity", "CONTRIBUTOR_STATS(CB_CF_REPAYMENT_LT_DEBT, MAX)/1M", "FPR=2022Y", "FPT=A", "FA_ACT_EST_DATA=E", "ACT_EST_MAPPING=PRECISE", "FS=MRC", "CURRENCY=USD", "XLFILL=b")</f>
        <v>-3</v>
      </c>
      <c r="H178" s="9">
        <f>_xll.BQL("CRM US Equity", "CONTRIBUTOR_STATS(CB_CF_REPAYMENT_LT_DEBT, STD)/1M", "FPR=2022Y", "FPT=A", "FA_ACT_EST_DATA=E", "ACT_EST_MAPPING=PRECISE", "FS=MRC", "CURRENCY=USD", "XLFILL=b")</f>
        <v>0</v>
      </c>
      <c r="I178" s="9">
        <f>_xll.BQL("CRM US Equity", "CONTRIBUTOR_STATS(CB_CF_REPAYMENT_LT_DEBT, MEDIAN)/1M", "FPR=2022Y", "FPT=A", "FA_ACT_EST_DATA=E", "ACT_EST_MAPPING=PRECISE", "FS=MRC", "CURRENCY=USD", "XLFILL=b")</f>
        <v>-3</v>
      </c>
      <c r="J178" s="9" t="str">
        <f>_xll.BQL("CRM US Equity", "CB_CF_REPAYMENT_LT_DEBT/1M", "FPR=2022Y", "FPT=A", "FA_ACT_EST_DATA=E, EST_SOURCE=CMPY", "ACT_EST_MAPPING=PRECISE", "FS=MRC", "CURRENCY=USD", "XLFILL=b")</f>
        <v/>
      </c>
      <c r="K178" s="9" t="str">
        <f>_xll.BQL("CRM US Equity", "CB_CF_REPAYMENT_LT_DEBT/1M", "FPR=2022Y", "FPT=A", "FA_ACT_EST_DATA=E, EST_SOURCE=WBL", "ACT_EST_MAPPING=PRECISE", "FS=MRC", "CURRENCY=USD", "XLFILL=b")</f>
        <v/>
      </c>
      <c r="L178" s="9" t="str">
        <f>_xll.BQL("CRM US Equity", "CB_CF_REPAYMENT_LT_DEBT/1M", "FPR=2022Y", "FPT=A", "FA_ACT_EST_DATA=E, EST_SOURCE=BMO", "ACT_EST_MAPPING=PRECISE", "FS=MRC", "CURRENCY=USD", "XLFILL=b")</f>
        <v/>
      </c>
      <c r="M178" s="9" t="str">
        <f>_xll.BQL("CRM US Equity", "CB_CF_REPAYMENT_LT_DEBT/1M", "FPR=2022Y", "FPT=A", "FA_ACT_EST_DATA=E, EST_SOURCE=BCA", "ACT_EST_MAPPING=PRECISE", "FS=MRC", "CURRENCY=USD", "XLFILL=b")</f>
        <v/>
      </c>
      <c r="N178" s="9" t="str">
        <f>_xll.BQL("CRM US Equity", "CB_CF_REPAYMENT_LT_DEBT/1M", "FPR=2022Y", "FPT=A", "FA_ACT_EST_DATA=E, EST_SOURCE=SNR", "ACT_EST_MAPPING=PRECISE", "FS=MRC", "CURRENCY=USD", "XLFILL=b")</f>
        <v/>
      </c>
      <c r="O178" s="9">
        <f>_xll.BQL("CRM US Equity", "CB_CF_REPAYMENT_LT_DEBT/1M", "FPR=2022Y", "FPT=A", "FA_ACT_EST_DATA=E, EST_SOURCE=MSV", "ACT_EST_MAPPING=PRECISE", "FS=MRC", "CURRENCY=USD", "XLFILL=b")</f>
        <v>-4</v>
      </c>
      <c r="P178" s="9">
        <f>_xll.BQL("CRM US Equity", "CB_CF_REPAYMENT_LT_DEBT/1M", "FPR=2022Y", "FPT=A", "FA_ACT_EST_DATA=E, EST_SOURCE=DBG", "ACT_EST_MAPPING=PRECISE", "FS=MRC", "CURRENCY=USD", "XLFILL=b")</f>
        <v>-3</v>
      </c>
      <c r="Q178" s="9">
        <f>_xll.BQL("CRM US Equity", "CB_CF_REPAYMENT_LT_DEBT/1M", "FPR=2022Y", "FPT=A", "FA_ACT_EST_DATA=E, EST_SOURCE=NDH", "ACT_EST_MAPPING=PRECISE", "FS=MRC", "CURRENCY=USD", "XLFILL=b")</f>
        <v>-3</v>
      </c>
      <c r="R178" s="9" t="str">
        <f>_xll.BQL("CRM US Equity", "CB_CF_REPAYMENT_LT_DEBT/1M", "FPR=2022Y", "FPT=A", "FA_ACT_EST_DATA=E, EST_SOURCE=CAN", "ACT_EST_MAPPING=PRECISE", "FS=MRC", "CURRENCY=USD", "XLFILL=b")</f>
        <v/>
      </c>
      <c r="S178" s="9" t="str">
        <f>_xll.BQL("CRM US Equity", "CB_CF_REPAYMENT_LT_DEBT/1M", "FPR=2022Y", "FPT=A", "FA_ACT_EST_DATA=E, EST_SOURCE=SCB", "ACT_EST_MAPPING=PRECISE", "FS=MRC", "CURRENCY=USD", "XLFILL=b")</f>
        <v/>
      </c>
      <c r="T178" s="9" t="str">
        <f>_xll.BQL("CRM US Equity", "CB_CF_REPAYMENT_LT_DEBT/1M", "FPR=2022Y", "FPT=A", "FA_ACT_EST_DATA=E, EST_SOURCE=JMP", "ACT_EST_MAPPING=PRECISE", "FS=MRC", "CURRENCY=USD", "XLFILL=b")</f>
        <v/>
      </c>
      <c r="U178" s="9" t="str">
        <f>_xll.BQL("CRM US Equity", "CB_CF_REPAYMENT_LT_DEBT/1M", "FPR=2022Y", "FPT=A", "FA_ACT_EST_DATA=E, EST_SOURCE=RJA", "ACT_EST_MAPPING=PRECISE", "FS=MRC", "CURRENCY=USD", "XLFILL=b")</f>
        <v/>
      </c>
      <c r="V178" s="9" t="str">
        <f>_xll.BQL("CRM US Equity", "CB_CF_REPAYMENT_LT_DEBT/1M", "FPR=2022Y", "FPT=A", "FA_ACT_EST_DATA=E, EST_SOURCE=OPY", "ACT_EST_MAPPING=PRECISE", "FS=MRC", "CURRENCY=USD", "XLFILL=b")</f>
        <v/>
      </c>
      <c r="W178" s="9" t="str">
        <f>_xll.BQL("CRM US Equity", "CB_CF_REPAYMENT_LT_DEBT/1M", "FPR=2022Y", "FPT=A", "FA_ACT_EST_DATA=E, EST_SOURCE=JPM", "ACT_EST_MAPPING=PRECISE", "FS=MRC", "CURRENCY=USD", "XLFILL=b")</f>
        <v/>
      </c>
      <c r="X178" s="9" t="str">
        <f>_xll.BQL("CRM US Equity", "CB_CF_REPAYMENT_LT_DEBT/1M", "FPR=2022Y", "FPT=A", "FA_ACT_EST_DATA=E, EST_SOURCE=FBC", "ACT_EST_MAPPING=PRECISE", "FS=MRC", "CURRENCY=USD", "XLFILL=b")</f>
        <v/>
      </c>
      <c r="Y178" s="9" t="str">
        <f>_xll.BQL("CRM US Equity", "CB_CF_REPAYMENT_LT_DEBT/1M", "FPR=2022Y", "FPT=A", "FA_ACT_EST_DATA=E, EST_SOURCE=WMS", "ACT_EST_MAPPING=PRECISE", "FS=MRC", "CURRENCY=USD", "XLFILL=b")</f>
        <v/>
      </c>
      <c r="Z178" s="9" t="str">
        <f>_xll.BQL("CRM US Equity", "CB_CF_REPAYMENT_LT_DEBT/1M", "FPR=2022Y", "FPT=A", "FA_ACT_EST_DATA=E, EST_SOURCE=KEY", "ACT_EST_MAPPING=PRECISE", "FS=MRC", "CURRENCY=USD", "XLFILL=b")</f>
        <v/>
      </c>
      <c r="AA178" s="9" t="str">
        <f>_xll.BQL("CRM US Equity", "CB_CF_REPAYMENT_LT_DEBT/1M", "FPR=2022Y", "FPT=A", "FA_ACT_EST_DATA=E, EST_SOURCE=LCM", "ACT_EST_MAPPING=PRECISE", "FS=MRC", "CURRENCY=USD", "XLFILL=b")</f>
        <v/>
      </c>
      <c r="AB178" s="9" t="str">
        <f>_xll.BQL("CRM US Equity", "CB_CF_REPAYMENT_LT_DEBT/1M", "FPR=2022Y", "FPT=A", "FA_ACT_EST_DATA=E, EST_SOURCE=CWN", "ACT_EST_MAPPING=PRECISE", "FS=MRC", "CURRENCY=USD", "XLFILL=b")</f>
        <v/>
      </c>
      <c r="AC178" s="9" t="str">
        <f>_xll.BQL("CRM US Equity", "CB_CF_REPAYMENT_LT_DEBT/1M", "FPR=2022Y", "FPT=A", "FA_ACT_EST_DATA=E, EST_SOURCE=BNS", "ACT_EST_MAPPING=PRECISE", "FS=MRC", "CURRENCY=USD", "XLFILL=b")</f>
        <v/>
      </c>
      <c r="AD178" s="9" t="str">
        <f>_xll.BQL("CRM US Equity", "CB_CF_REPAYMENT_LT_DEBT/1M", "FPR=2022Y", "FPT=A", "FA_ACT_EST_DATA=E, EST_SOURCE=BAM", "ACT_EST_MAPPING=PRECISE", "FS=MRC", "CURRENCY=USD", "XLFILL=b")</f>
        <v/>
      </c>
      <c r="AE178" s="9" t="str">
        <f>_xll.BQL("CRM US Equity", "CB_CF_REPAYMENT_LT_DEBT/1M", "FPR=2022Y", "FPT=A", "FA_ACT_EST_DATA=E, EST_SOURCE=RBC", "ACT_EST_MAPPING=PRECISE", "FS=MRC", "CURRENCY=USD", "XLFILL=b")</f>
        <v/>
      </c>
      <c r="AF178" s="9" t="str">
        <f>_xll.BQL("CRM US Equity", "CB_CF_REPAYMENT_LT_DEBT/1M", "FPR=2022Y", "FPT=A", "FA_ACT_EST_DATA=E, EST_SOURCE=UBS", "ACT_EST_MAPPING=PRECISE", "FS=MRC", "CURRENCY=USD", "XLFILL=b")</f>
        <v/>
      </c>
      <c r="AG178" s="9" t="str">
        <f>_xll.BQL("CRM US Equity", "CB_CF_REPAYMENT_LT_DEBT/1M", "FPR=2022Y", "FPT=A", "FA_ACT_EST_DATA=E, EST_SOURCE=RHR", "ACT_EST_MAPPING=PRECISE", "FS=MRC", "CURRENCY=USD", "XLFILL=b")</f>
        <v/>
      </c>
      <c r="AH178" s="9" t="str">
        <f>_xll.BQL("CRM US Equity", "CB_CF_REPAYMENT_LT_DEBT/1M", "FPR=2022Y", "FPT=A", "FA_ACT_EST_DATA=E, EST_SOURCE=JEF", "ACT_EST_MAPPING=PRECISE", "FS=MRC", "CURRENCY=USD", "XLFILL=b")</f>
        <v/>
      </c>
      <c r="AI178" s="9" t="str">
        <f>_xll.BQL("CRM US Equity", "CB_CF_REPAYMENT_LT_DEBT/1M", "FPR=2022Y", "FPT=A", "FA_ACT_EST_DATA=E, EST_SOURCE=ATL", "ACT_EST_MAPPING=PRECISE", "FS=MRC", "CURRENCY=USD", "XLFILL=b")</f>
        <v/>
      </c>
      <c r="AJ178" s="9" t="str">
        <f>_xll.BQL("CRM US Equity", "CB_CF_REPAYMENT_LT_DEBT/1M", "FPR=2022Y", "FPT=A", "FA_ACT_EST_DATA=E, EST_SOURCE=MAC", "ACT_EST_MAPPING=PRECISE", "FS=MRC", "CURRENCY=USD", "XLFILL=b")</f>
        <v/>
      </c>
      <c r="AK178" s="9" t="str">
        <f>_xll.BQL("CRM US Equity", "CB_CF_REPAYMENT_LT_DEBT/1M", "FPR=2022Y", "FPT=A", "FA_ACT_EST_DATA=E, EST_SOURCE=EVR", "ACT_EST_MAPPING=PRECISE", "FS=MRC", "CURRENCY=USD", "XLFILL=b")</f>
        <v/>
      </c>
      <c r="AL178" s="9" t="str">
        <f>_xll.BQL("CRM US Equity", "CB_CF_REPAYMENT_LT_DEBT/1M", "FPR=2022Y", "FPT=A", "FA_ACT_EST_DATA=E, EST_SOURCE=MSR", "ACT_EST_MAPPING=PRECISE", "FS=MRC", "CURRENCY=USD", "XLFILL=b")</f>
        <v/>
      </c>
      <c r="AM178" s="9" t="str">
        <f>_xll.BQL("CRM US Equity", "CB_CF_REPAYMENT_LT_DEBT/1M", "FPR=2022Y", "FPT=A", "FA_ACT_EST_DATA=E, EST_SOURCE=KGI", "ACT_EST_MAPPING=PRECISE", "FS=MRC", "CURRENCY=USD", "XLFILL=b")</f>
        <v/>
      </c>
      <c r="AN178" s="9" t="str">
        <f>_xll.BQL("CRM US Equity", "CB_CF_REPAYMENT_LT_DEBT/1M", "FPR=2022Y", "FPT=A", "FA_ACT_EST_DATA=E, EST_SOURCE=ACC", "ACT_EST_MAPPING=PRECISE", "FS=MRC", "CURRENCY=USD", "XLFILL=b")</f>
        <v/>
      </c>
      <c r="AO178" s="9" t="str">
        <f>_xll.BQL("CRM US Equity", "CB_CF_REPAYMENT_LT_DEBT/1M", "FPR=2022Y", "FPT=A", "FA_ACT_EST_DATA=E, EST_SOURCE=GSR", "ACT_EST_MAPPING=PRECISE", "FS=MRC", "CURRENCY=USD", "XLFILL=b")</f>
        <v/>
      </c>
      <c r="AP178" s="9" t="str">
        <f>_xll.BQL("CRM US Equity", "CB_CF_REPAYMENT_LT_DEBT/1M", "FPR=2022Y", "FPT=A", "FA_ACT_EST_DATA=E, EST_SOURCE=PSG", "ACT_EST_MAPPING=PRECISE", "FS=MRC", "CURRENCY=USD", "XLFILL=b")</f>
        <v/>
      </c>
      <c r="AQ178" s="9" t="str">
        <f>_xll.BQL("CRM US Equity", "CB_CF_REPAYMENT_LT_DEBT/1M", "FPR=2022Y", "FPT=A", "FA_ACT_EST_DATA=E, EST_SOURCE=DWI", "ACT_EST_MAPPING=PRECISE", "FS=MRC", "CURRENCY=USD", "XLFILL=b")</f>
        <v/>
      </c>
      <c r="AR178" s="9" t="str">
        <f>_xll.BQL("CRM US Equity", "CB_CF_REPAYMENT_LT_DEBT/1M", "FPR=2022Y", "FPT=A", "FA_ACT_EST_DATA=E, EST_SOURCE=RWB", "ACT_EST_MAPPING=PRECISE", "FS=MRC", "CURRENCY=USD", "XLFILL=b")</f>
        <v/>
      </c>
      <c r="AS178" s="9" t="str">
        <f>_xll.BQL("CRM US Equity", "CB_CF_REPAYMENT_LT_DEBT/1M", "FPR=2022Y", "FPT=A", "FA_ACT_EST_DATA=E, EST_SOURCE=ARG", "ACT_EST_MAPPING=PRECISE", "FS=MRC", "CURRENCY=USD", "XLFILL=b")</f>
        <v/>
      </c>
      <c r="AT178" s="9" t="str">
        <f>_xll.BQL("CRM US Equity", "CB_CF_REPAYMENT_LT_DEBT/1M", "FPR=2022Y", "FPT=A", "FA_ACT_EST_DATA=E, EST_SOURCE=CTI", "ACT_EST_MAPPING=PRECISE", "FS=MRC", "CURRENCY=USD", "XLFILL=b")</f>
        <v/>
      </c>
      <c r="AU178" s="9" t="str">
        <f>_xll.BQL("CRM US Equity", "CB_CF_REPAYMENT_LT_DEBT/1M", "FPR=2022Y", "FPT=A", "FA_ACT_EST_DATA=E, EST_SOURCE=WFT", "ACT_EST_MAPPING=PRECISE", "FS=MRC", "CURRENCY=USD", "XLFILL=b")</f>
        <v/>
      </c>
      <c r="AV178" s="9" t="str">
        <f>_xll.BQL("CRM US Equity", "CB_CF_REPAYMENT_LT_DEBT/1M", "FPR=2022Y", "FPT=A", "FA_ACT_EST_DATA=E, EST_SOURCE=PJE", "ACT_EST_MAPPING=PRECISE", "FS=MRC", "CURRENCY=USD", "XLFILL=b")</f>
        <v/>
      </c>
      <c r="AW178" s="9" t="str">
        <f>_xll.BQL("CRM US Equity", "CB_CF_REPAYMENT_LT_DEBT/1M", "FPR=2022Y", "FPT=A", "FA_ACT_EST_DATA=E, EST_SOURCE=SGE", "ACT_EST_MAPPING=PRECISE", "FS=MRC", "CURRENCY=USD", "XLFILL=b")</f>
        <v/>
      </c>
      <c r="AX178" s="9" t="str">
        <f>_xll.BQL("CRM US Equity", "CB_CF_REPAYMENT_LT_DEBT/1M", "FPR=2022Y", "FPT=A", "FA_ACT_EST_DATA=E, EST_SOURCE=MZS", "ACT_EST_MAPPING=PRECISE", "FS=MRC", "CURRENCY=USD", "XLFILL=b")</f>
        <v/>
      </c>
      <c r="AY178" s="9" t="str">
        <f>_xll.BQL("CRM US Equity", "CB_CF_REPAYMENT_LT_DEBT/1M", "FPR=2022Y", "FPT=A", "FA_ACT_EST_DATA=E, EST_SOURCE=RCP", "ACT_EST_MAPPING=PRECISE", "FS=MRC", "CURRENCY=USD", "XLFILL=b")</f>
        <v/>
      </c>
      <c r="AZ178" s="9" t="str">
        <f>_xll.BQL("CRM US Equity", "CB_CF_REPAYMENT_LT_DEBT/1M", "FPR=2022Y", "FPT=A", "FA_ACT_EST_DATA=E, EST_SOURCE=WFR", "ACT_EST_MAPPING=PRECISE", "FS=MRC", "CURRENCY=USD", "XLFILL=b")</f>
        <v/>
      </c>
      <c r="BA178" s="9" t="str">
        <f>_xll.BQL("CRM US Equity", "CB_CF_REPAYMENT_LT_DEBT/1M", "FPR=2022Y", "FPT=A", "FA_ACT_EST_DATA=E, EST_SOURCE=NIK", "ACT_EST_MAPPING=PRECISE", "FS=MRC", "CURRENCY=USD", "XLFILL=b")</f>
        <v/>
      </c>
      <c r="BB178" s="9" t="str">
        <f>_xll.BQL("CRM US Equity", "CB_CF_REPAYMENT_LT_DEBT/1M", "FPR=2022Y", "FPT=A", "FA_ACT_EST_DATA=E, EST_SOURCE=ARE", "ACT_EST_MAPPING=PRECISE", "FS=MRC", "CURRENCY=USD", "XLFILL=b")</f>
        <v/>
      </c>
      <c r="BC178" s="9" t="str">
        <f>_xll.BQL("CRM US Equity", "CB_CF_REPAYMENT_LT_DEBT/1M", "FPR=2022Y", "FPT=A", "FA_ACT_EST_DATA=E, EST_SOURCE=RED", "ACT_EST_MAPPING=PRECISE", "FS=MRC", "CURRENCY=USD", "XLFILL=b")</f>
        <v/>
      </c>
      <c r="BD178" s="9" t="str">
        <f>_xll.BQL("CRM US Equity", "CB_CF_REPAYMENT_LT_DEBT/1M", "FPR=2022Y", "FPT=A", "FA_ACT_EST_DATA=E, EST_SOURCE=DIR", "ACT_EST_MAPPING=PRECISE", "FS=MRC", "CURRENCY=USD", "XLFILL=b")</f>
        <v/>
      </c>
    </row>
    <row r="179" spans="1:56" x14ac:dyDescent="0.55000000000000004">
      <c r="A179" s="8" t="s">
        <v>343</v>
      </c>
      <c r="B179" s="5" t="s">
        <v>344</v>
      </c>
      <c r="C179" s="5" t="s">
        <v>345</v>
      </c>
      <c r="D179" s="5"/>
      <c r="E179" s="9">
        <f>_xll.BQL("CRM US Equity", "CB_CF_NET_CASH_FINANCING_ACT/1M", "FPR=2022Y", "FPT=A", "FA_ACT_EST_DATA=E", "ACT_EST_MAPPING=PRECISE", "FS=MRC", "CURRENCY=USD", "XLFILL=b")</f>
        <v>7800.4235619828605</v>
      </c>
      <c r="F179" s="9">
        <f>_xll.BQL("CRM US Equity", "CONTRIBUTOR_STATS(CB_CF_NET_CASH_FINANCING_ACT, MIN)/1M", "FPR=2022Y", "FPT=A", "FA_ACT_EST_DATA=E", "ACT_EST_MAPPING=PRECISE", "FS=MRC", "CURRENCY=USD", "XLFILL=b")</f>
        <v>7635</v>
      </c>
      <c r="G179" s="9">
        <f>_xll.BQL("CRM US Equity", "CONTRIBUTOR_STATS(CB_CF_NET_CASH_FINANCING_ACT, MAX)/1M", "FPR=2022Y", "FPT=A", "FA_ACT_EST_DATA=E", "ACT_EST_MAPPING=PRECISE", "FS=MRC", "CURRENCY=USD", "XLFILL=b")</f>
        <v>8815</v>
      </c>
      <c r="H179" s="9">
        <f>_xll.BQL("CRM US Equity", "CONTRIBUTOR_STATS(CB_CF_NET_CASH_FINANCING_ACT, STD)/1M", "FPR=2022Y", "FPT=A", "FA_ACT_EST_DATA=E", "ACT_EST_MAPPING=PRECISE", "FS=MRC", "CURRENCY=USD", "XLFILL=b")</f>
        <v>386.3999064355412</v>
      </c>
      <c r="I179" s="9">
        <f>_xll.BQL("CRM US Equity", "CONTRIBUTOR_STATS(CB_CF_NET_CASH_FINANCING_ACT, MEDIAN)/1M", "FPR=2022Y", "FPT=A", "FA_ACT_EST_DATA=E", "ACT_EST_MAPPING=PRECISE", "FS=MRC", "CURRENCY=USD", "XLFILL=b")</f>
        <v>7635</v>
      </c>
      <c r="J179" s="9" t="str">
        <f>_xll.BQL("CRM US Equity", "CB_CF_NET_CASH_FINANCING_ACT/1M", "FPR=2022Y", "FPT=A", "FA_ACT_EST_DATA=E, EST_SOURCE=CMPY", "ACT_EST_MAPPING=PRECISE", "FS=MRC", "CURRENCY=USD", "XLFILL=b")</f>
        <v/>
      </c>
      <c r="K179" s="9" t="str">
        <f>_xll.BQL("CRM US Equity", "CB_CF_NET_CASH_FINANCING_ACT/1M", "FPR=2022Y", "FPT=A", "FA_ACT_EST_DATA=E, EST_SOURCE=WBL", "ACT_EST_MAPPING=PRECISE", "FS=MRC", "CURRENCY=USD", "XLFILL=b")</f>
        <v/>
      </c>
      <c r="L179" s="9" t="str">
        <f>_xll.BQL("CRM US Equity", "CB_CF_NET_CASH_FINANCING_ACT/1M", "FPR=2022Y", "FPT=A", "FA_ACT_EST_DATA=E, EST_SOURCE=BMO", "ACT_EST_MAPPING=PRECISE", "FS=MRC", "CURRENCY=USD", "XLFILL=b")</f>
        <v/>
      </c>
      <c r="M179" s="9">
        <f>_xll.BQL("CRM US Equity", "CB_CF_NET_CASH_FINANCING_ACT/1M", "FPR=2022Y", "FPT=A", "FA_ACT_EST_DATA=E, EST_SOURCE=BCA", "ACT_EST_MAPPING=PRECISE", "FS=MRC", "CURRENCY=USD", "XLFILL=b")</f>
        <v>7635</v>
      </c>
      <c r="N179" s="9" t="str">
        <f>_xll.BQL("CRM US Equity", "CB_CF_NET_CASH_FINANCING_ACT/1M", "FPR=2022Y", "FPT=A", "FA_ACT_EST_DATA=E, EST_SOURCE=SNR", "ACT_EST_MAPPING=PRECISE", "FS=MRC", "CURRENCY=USD", "XLFILL=b")</f>
        <v/>
      </c>
      <c r="O179" s="9">
        <f>_xll.BQL("CRM US Equity", "CB_CF_NET_CASH_FINANCING_ACT/1M", "FPR=2022Y", "FPT=A", "FA_ACT_EST_DATA=E, EST_SOURCE=MSV", "ACT_EST_MAPPING=PRECISE", "FS=MRC", "CURRENCY=USD", "XLFILL=b")</f>
        <v>7635</v>
      </c>
      <c r="P179" s="9">
        <f>_xll.BQL("CRM US Equity", "CB_CF_NET_CASH_FINANCING_ACT/1M", "FPR=2022Y", "FPT=A", "FA_ACT_EST_DATA=E, EST_SOURCE=DBG", "ACT_EST_MAPPING=PRECISE", "FS=MRC", "CURRENCY=USD", "XLFILL=b")</f>
        <v>8815</v>
      </c>
      <c r="Q179" s="9" t="str">
        <f>_xll.BQL("CRM US Equity", "CB_CF_NET_CASH_FINANCING_ACT/1M", "FPR=2022Y", "FPT=A", "FA_ACT_EST_DATA=E, EST_SOURCE=NDH", "ACT_EST_MAPPING=PRECISE", "FS=MRC", "CURRENCY=USD", "XLFILL=b")</f>
        <v/>
      </c>
      <c r="R179" s="9" t="str">
        <f>_xll.BQL("CRM US Equity", "CB_CF_NET_CASH_FINANCING_ACT/1M", "FPR=2022Y", "FPT=A", "FA_ACT_EST_DATA=E, EST_SOURCE=CAN", "ACT_EST_MAPPING=PRECISE", "FS=MRC", "CURRENCY=USD", "XLFILL=b")</f>
        <v/>
      </c>
      <c r="S179" s="9" t="str">
        <f>_xll.BQL("CRM US Equity", "CB_CF_NET_CASH_FINANCING_ACT/1M", "FPR=2022Y", "FPT=A", "FA_ACT_EST_DATA=E, EST_SOURCE=SCB", "ACT_EST_MAPPING=PRECISE", "FS=MRC", "CURRENCY=USD", "XLFILL=b")</f>
        <v/>
      </c>
      <c r="T179" s="9" t="str">
        <f>_xll.BQL("CRM US Equity", "CB_CF_NET_CASH_FINANCING_ACT/1M", "FPR=2022Y", "FPT=A", "FA_ACT_EST_DATA=E, EST_SOURCE=JMP", "ACT_EST_MAPPING=PRECISE", "FS=MRC", "CURRENCY=USD", "XLFILL=b")</f>
        <v/>
      </c>
      <c r="U179" s="9">
        <f>_xll.BQL("CRM US Equity", "CB_CF_NET_CASH_FINANCING_ACT/1M", "FPR=2022Y", "FPT=A", "FA_ACT_EST_DATA=E, EST_SOURCE=RJA", "ACT_EST_MAPPING=PRECISE", "FS=MRC", "CURRENCY=USD", "XLFILL=b")</f>
        <v>8591</v>
      </c>
      <c r="V179" s="9" t="str">
        <f>_xll.BQL("CRM US Equity", "CB_CF_NET_CASH_FINANCING_ACT/1M", "FPR=2022Y", "FPT=A", "FA_ACT_EST_DATA=E, EST_SOURCE=OPY", "ACT_EST_MAPPING=PRECISE", "FS=MRC", "CURRENCY=USD", "XLFILL=b")</f>
        <v/>
      </c>
      <c r="W179" s="9" t="str">
        <f>_xll.BQL("CRM US Equity", "CB_CF_NET_CASH_FINANCING_ACT/1M", "FPR=2022Y", "FPT=A", "FA_ACT_EST_DATA=E, EST_SOURCE=JPM", "ACT_EST_MAPPING=PRECISE", "FS=MRC", "CURRENCY=USD", "XLFILL=b")</f>
        <v/>
      </c>
      <c r="X179" s="9">
        <f>_xll.BQL("CRM US Equity", "CB_CF_NET_CASH_FINANCING_ACT/1M", "FPR=2022Y", "FPT=A", "FA_ACT_EST_DATA=E, EST_SOURCE=FBC", "ACT_EST_MAPPING=PRECISE", "FS=MRC", "CURRENCY=USD", "XLFILL=b")</f>
        <v>7860.2974440894568</v>
      </c>
      <c r="Y179" s="9">
        <f>_xll.BQL("CRM US Equity", "CB_CF_NET_CASH_FINANCING_ACT/1M", "FPR=2022Y", "FPT=A", "FA_ACT_EST_DATA=E, EST_SOURCE=WMS", "ACT_EST_MAPPING=PRECISE", "FS=MRC", "CURRENCY=USD", "XLFILL=b")</f>
        <v>1309.523768809077</v>
      </c>
      <c r="Z179" s="9">
        <f>_xll.BQL("CRM US Equity", "CB_CF_NET_CASH_FINANCING_ACT/1M", "FPR=2022Y", "FPT=A", "FA_ACT_EST_DATA=E, EST_SOURCE=KEY", "ACT_EST_MAPPING=PRECISE", "FS=MRC", "CURRENCY=USD", "XLFILL=b")</f>
        <v>8605</v>
      </c>
      <c r="AA179" s="9" t="str">
        <f>_xll.BQL("CRM US Equity", "CB_CF_NET_CASH_FINANCING_ACT/1M", "FPR=2022Y", "FPT=A", "FA_ACT_EST_DATA=E, EST_SOURCE=LCM", "ACT_EST_MAPPING=PRECISE", "FS=MRC", "CURRENCY=USD", "XLFILL=b")</f>
        <v/>
      </c>
      <c r="AB179" s="9" t="str">
        <f>_xll.BQL("CRM US Equity", "CB_CF_NET_CASH_FINANCING_ACT/1M", "FPR=2022Y", "FPT=A", "FA_ACT_EST_DATA=E, EST_SOURCE=CWN", "ACT_EST_MAPPING=PRECISE", "FS=MRC", "CURRENCY=USD", "XLFILL=b")</f>
        <v/>
      </c>
      <c r="AC179" s="9" t="str">
        <f>_xll.BQL("CRM US Equity", "CB_CF_NET_CASH_FINANCING_ACT/1M", "FPR=2022Y", "FPT=A", "FA_ACT_EST_DATA=E, EST_SOURCE=BNS", "ACT_EST_MAPPING=PRECISE", "FS=MRC", "CURRENCY=USD", "XLFILL=b")</f>
        <v/>
      </c>
      <c r="AD179" s="9" t="str">
        <f>_xll.BQL("CRM US Equity", "CB_CF_NET_CASH_FINANCING_ACT/1M", "FPR=2022Y", "FPT=A", "FA_ACT_EST_DATA=E, EST_SOURCE=BAM", "ACT_EST_MAPPING=PRECISE", "FS=MRC", "CURRENCY=USD", "XLFILL=b")</f>
        <v/>
      </c>
      <c r="AE179" s="9" t="str">
        <f>_xll.BQL("CRM US Equity", "CB_CF_NET_CASH_FINANCING_ACT/1M", "FPR=2022Y", "FPT=A", "FA_ACT_EST_DATA=E, EST_SOURCE=RBC", "ACT_EST_MAPPING=PRECISE", "FS=MRC", "CURRENCY=USD", "XLFILL=b")</f>
        <v/>
      </c>
      <c r="AF179" s="9" t="str">
        <f>_xll.BQL("CRM US Equity", "CB_CF_NET_CASH_FINANCING_ACT/1M", "FPR=2022Y", "FPT=A", "FA_ACT_EST_DATA=E, EST_SOURCE=UBS", "ACT_EST_MAPPING=PRECISE", "FS=MRC", "CURRENCY=USD", "XLFILL=b")</f>
        <v/>
      </c>
      <c r="AG179" s="9" t="str">
        <f>_xll.BQL("CRM US Equity", "CB_CF_NET_CASH_FINANCING_ACT/1M", "FPR=2022Y", "FPT=A", "FA_ACT_EST_DATA=E, EST_SOURCE=RHR", "ACT_EST_MAPPING=PRECISE", "FS=MRC", "CURRENCY=USD", "XLFILL=b")</f>
        <v/>
      </c>
      <c r="AH179" s="9" t="str">
        <f>_xll.BQL("CRM US Equity", "CB_CF_NET_CASH_FINANCING_ACT/1M", "FPR=2022Y", "FPT=A", "FA_ACT_EST_DATA=E, EST_SOURCE=JEF", "ACT_EST_MAPPING=PRECISE", "FS=MRC", "CURRENCY=USD", "XLFILL=b")</f>
        <v/>
      </c>
      <c r="AI179" s="9" t="str">
        <f>_xll.BQL("CRM US Equity", "CB_CF_NET_CASH_FINANCING_ACT/1M", "FPR=2022Y", "FPT=A", "FA_ACT_EST_DATA=E, EST_SOURCE=ATL", "ACT_EST_MAPPING=PRECISE", "FS=MRC", "CURRENCY=USD", "XLFILL=b")</f>
        <v/>
      </c>
      <c r="AJ179" s="9" t="str">
        <f>_xll.BQL("CRM US Equity", "CB_CF_NET_CASH_FINANCING_ACT/1M", "FPR=2022Y", "FPT=A", "FA_ACT_EST_DATA=E, EST_SOURCE=MAC", "ACT_EST_MAPPING=PRECISE", "FS=MRC", "CURRENCY=USD", "XLFILL=b")</f>
        <v/>
      </c>
      <c r="AK179" s="9" t="str">
        <f>_xll.BQL("CRM US Equity", "CB_CF_NET_CASH_FINANCING_ACT/1M", "FPR=2022Y", "FPT=A", "FA_ACT_EST_DATA=E, EST_SOURCE=EVR", "ACT_EST_MAPPING=PRECISE", "FS=MRC", "CURRENCY=USD", "XLFILL=b")</f>
        <v/>
      </c>
      <c r="AL179" s="9" t="str">
        <f>_xll.BQL("CRM US Equity", "CB_CF_NET_CASH_FINANCING_ACT/1M", "FPR=2022Y", "FPT=A", "FA_ACT_EST_DATA=E, EST_SOURCE=MSR", "ACT_EST_MAPPING=PRECISE", "FS=MRC", "CURRENCY=USD", "XLFILL=b")</f>
        <v/>
      </c>
      <c r="AM179" s="9" t="str">
        <f>_xll.BQL("CRM US Equity", "CB_CF_NET_CASH_FINANCING_ACT/1M", "FPR=2022Y", "FPT=A", "FA_ACT_EST_DATA=E, EST_SOURCE=KGI", "ACT_EST_MAPPING=PRECISE", "FS=MRC", "CURRENCY=USD", "XLFILL=b")</f>
        <v/>
      </c>
      <c r="AN179" s="9" t="str">
        <f>_xll.BQL("CRM US Equity", "CB_CF_NET_CASH_FINANCING_ACT/1M", "FPR=2022Y", "FPT=A", "FA_ACT_EST_DATA=E, EST_SOURCE=ACC", "ACT_EST_MAPPING=PRECISE", "FS=MRC", "CURRENCY=USD", "XLFILL=b")</f>
        <v/>
      </c>
      <c r="AO179" s="9" t="str">
        <f>_xll.BQL("CRM US Equity", "CB_CF_NET_CASH_FINANCING_ACT/1M", "FPR=2022Y", "FPT=A", "FA_ACT_EST_DATA=E, EST_SOURCE=GSR", "ACT_EST_MAPPING=PRECISE", "FS=MRC", "CURRENCY=USD", "XLFILL=b")</f>
        <v/>
      </c>
      <c r="AP179" s="9" t="str">
        <f>_xll.BQL("CRM US Equity", "CB_CF_NET_CASH_FINANCING_ACT/1M", "FPR=2022Y", "FPT=A", "FA_ACT_EST_DATA=E, EST_SOURCE=PSG", "ACT_EST_MAPPING=PRECISE", "FS=MRC", "CURRENCY=USD", "XLFILL=b")</f>
        <v/>
      </c>
      <c r="AQ179" s="9" t="str">
        <f>_xll.BQL("CRM US Equity", "CB_CF_NET_CASH_FINANCING_ACT/1M", "FPR=2022Y", "FPT=A", "FA_ACT_EST_DATA=E, EST_SOURCE=DWI", "ACT_EST_MAPPING=PRECISE", "FS=MRC", "CURRENCY=USD", "XLFILL=b")</f>
        <v/>
      </c>
      <c r="AR179" s="9" t="str">
        <f>_xll.BQL("CRM US Equity", "CB_CF_NET_CASH_FINANCING_ACT/1M", "FPR=2022Y", "FPT=A", "FA_ACT_EST_DATA=E, EST_SOURCE=RWB", "ACT_EST_MAPPING=PRECISE", "FS=MRC", "CURRENCY=USD", "XLFILL=b")</f>
        <v/>
      </c>
      <c r="AS179" s="9" t="str">
        <f>_xll.BQL("CRM US Equity", "CB_CF_NET_CASH_FINANCING_ACT/1M", "FPR=2022Y", "FPT=A", "FA_ACT_EST_DATA=E, EST_SOURCE=ARG", "ACT_EST_MAPPING=PRECISE", "FS=MRC", "CURRENCY=USD", "XLFILL=b")</f>
        <v/>
      </c>
      <c r="AT179" s="9" t="str">
        <f>_xll.BQL("CRM US Equity", "CB_CF_NET_CASH_FINANCING_ACT/1M", "FPR=2022Y", "FPT=A", "FA_ACT_EST_DATA=E, EST_SOURCE=CTI", "ACT_EST_MAPPING=PRECISE", "FS=MRC", "CURRENCY=USD", "XLFILL=b")</f>
        <v/>
      </c>
      <c r="AU179" s="9" t="str">
        <f>_xll.BQL("CRM US Equity", "CB_CF_NET_CASH_FINANCING_ACT/1M", "FPR=2022Y", "FPT=A", "FA_ACT_EST_DATA=E, EST_SOURCE=WFT", "ACT_EST_MAPPING=PRECISE", "FS=MRC", "CURRENCY=USD", "XLFILL=b")</f>
        <v/>
      </c>
      <c r="AV179" s="9" t="str">
        <f>_xll.BQL("CRM US Equity", "CB_CF_NET_CASH_FINANCING_ACT/1M", "FPR=2022Y", "FPT=A", "FA_ACT_EST_DATA=E, EST_SOURCE=PJE", "ACT_EST_MAPPING=PRECISE", "FS=MRC", "CURRENCY=USD", "XLFILL=b")</f>
        <v/>
      </c>
      <c r="AW179" s="9" t="str">
        <f>_xll.BQL("CRM US Equity", "CB_CF_NET_CASH_FINANCING_ACT/1M", "FPR=2022Y", "FPT=A", "FA_ACT_EST_DATA=E, EST_SOURCE=SGE", "ACT_EST_MAPPING=PRECISE", "FS=MRC", "CURRENCY=USD", "XLFILL=b")</f>
        <v/>
      </c>
      <c r="AX179" s="9" t="str">
        <f>_xll.BQL("CRM US Equity", "CB_CF_NET_CASH_FINANCING_ACT/1M", "FPR=2022Y", "FPT=A", "FA_ACT_EST_DATA=E, EST_SOURCE=MZS", "ACT_EST_MAPPING=PRECISE", "FS=MRC", "CURRENCY=USD", "XLFILL=b")</f>
        <v/>
      </c>
      <c r="AY179" s="9" t="str">
        <f>_xll.BQL("CRM US Equity", "CB_CF_NET_CASH_FINANCING_ACT/1M", "FPR=2022Y", "FPT=A", "FA_ACT_EST_DATA=E, EST_SOURCE=RCP", "ACT_EST_MAPPING=PRECISE", "FS=MRC", "CURRENCY=USD", "XLFILL=b")</f>
        <v/>
      </c>
      <c r="AZ179" s="9" t="str">
        <f>_xll.BQL("CRM US Equity", "CB_CF_NET_CASH_FINANCING_ACT/1M", "FPR=2022Y", "FPT=A", "FA_ACT_EST_DATA=E, EST_SOURCE=WFR", "ACT_EST_MAPPING=PRECISE", "FS=MRC", "CURRENCY=USD", "XLFILL=b")</f>
        <v/>
      </c>
      <c r="BA179" s="9" t="str">
        <f>_xll.BQL("CRM US Equity", "CB_CF_NET_CASH_FINANCING_ACT/1M", "FPR=2022Y", "FPT=A", "FA_ACT_EST_DATA=E, EST_SOURCE=NIK", "ACT_EST_MAPPING=PRECISE", "FS=MRC", "CURRENCY=USD", "XLFILL=b")</f>
        <v/>
      </c>
      <c r="BB179" s="9" t="str">
        <f>_xll.BQL("CRM US Equity", "CB_CF_NET_CASH_FINANCING_ACT/1M", "FPR=2022Y", "FPT=A", "FA_ACT_EST_DATA=E, EST_SOURCE=ARE", "ACT_EST_MAPPING=PRECISE", "FS=MRC", "CURRENCY=USD", "XLFILL=b")</f>
        <v/>
      </c>
      <c r="BC179" s="9" t="str">
        <f>_xll.BQL("CRM US Equity", "CB_CF_NET_CASH_FINANCING_ACT/1M", "FPR=2022Y", "FPT=A", "FA_ACT_EST_DATA=E, EST_SOURCE=RED", "ACT_EST_MAPPING=PRECISE", "FS=MRC", "CURRENCY=USD", "XLFILL=b")</f>
        <v/>
      </c>
      <c r="BD179" s="9" t="str">
        <f>_xll.BQL("CRM US Equity", "CB_CF_NET_CASH_FINANCING_ACT/1M", "FPR=2022Y", "FPT=A", "FA_ACT_EST_DATA=E, EST_SOURCE=DIR", "ACT_EST_MAPPING=PRECISE", "FS=MRC", "CURRENCY=USD", "XLFILL=b")</f>
        <v/>
      </c>
    </row>
    <row r="180" spans="1:56" x14ac:dyDescent="0.55000000000000004">
      <c r="A180" s="8" t="s">
        <v>26</v>
      </c>
      <c r="B180" s="5"/>
      <c r="C180" s="5"/>
      <c r="D180" s="5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</row>
    <row r="181" spans="1:56" x14ac:dyDescent="0.55000000000000004">
      <c r="A181" s="8" t="s">
        <v>278</v>
      </c>
      <c r="B181" s="5"/>
      <c r="C181" s="5" t="s">
        <v>279</v>
      </c>
      <c r="D181" s="5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</row>
    <row r="182" spans="1:56" x14ac:dyDescent="0.55000000000000004">
      <c r="A182" s="8" t="s">
        <v>346</v>
      </c>
      <c r="B182" s="5" t="s">
        <v>318</v>
      </c>
      <c r="C182" s="5" t="s">
        <v>319</v>
      </c>
      <c r="D182" s="5"/>
      <c r="E182" s="9">
        <f>_xll.BQL("CRM US Equity", "CB_CF_NET_CASH_OPERATING_ACT/1M", "FPR=2022Y", "FPT=A", "FA_ACT_EST_DATA=E", "ACT_EST_MAPPING=PRECISE", "FS=MRC", "CURRENCY=USD", "XLFILL=b")</f>
        <v>5897.5619665734903</v>
      </c>
      <c r="F182" s="9">
        <f>_xll.BQL("CRM US Equity", "CONTRIBUTOR_STATS(CB_CF_NET_CASH_OPERATING_ACT, MIN)/1M", "FPR=2022Y", "FPT=A", "FA_ACT_EST_DATA=E", "ACT_EST_MAPPING=PRECISE", "FS=MRC", "CURRENCY=USD", "XLFILL=b")</f>
        <v>5670.5049031750004</v>
      </c>
      <c r="G182" s="9">
        <f>_xll.BQL("CRM US Equity", "CONTRIBUTOR_STATS(CB_CF_NET_CASH_OPERATING_ACT, MAX)/1M", "FPR=2022Y", "FPT=A", "FA_ACT_EST_DATA=E", "ACT_EST_MAPPING=PRECISE", "FS=MRC", "CURRENCY=USD", "XLFILL=b")</f>
        <v>7302.6291499999998</v>
      </c>
      <c r="H182" s="9">
        <f>_xll.BQL("CRM US Equity", "CONTRIBUTOR_STATS(CB_CF_NET_CASH_OPERATING_ACT, STD)/1M", "FPR=2022Y", "FPT=A", "FA_ACT_EST_DATA=E", "ACT_EST_MAPPING=PRECISE", "FS=MRC", "CURRENCY=USD", "XLFILL=b")</f>
        <v>537.86101398141273</v>
      </c>
      <c r="I182" s="9">
        <f>_xll.BQL("CRM US Equity", "CONTRIBUTOR_STATS(CB_CF_NET_CASH_OPERATING_ACT, MEDIAN)/1M", "FPR=2022Y", "FPT=A", "FA_ACT_EST_DATA=E", "ACT_EST_MAPPING=PRECISE", "FS=MRC", "CURRENCY=USD", "XLFILL=b")</f>
        <v>5699.8640802877599</v>
      </c>
      <c r="J182" s="9" t="str">
        <f>_xll.BQL("CRM US Equity", "CB_CF_NET_CASH_OPERATING_ACT/1M", "FPR=2022Y", "FPT=A", "FA_ACT_EST_DATA=E, EST_SOURCE=CMPY", "ACT_EST_MAPPING=PRECISE", "FS=MRC", "CURRENCY=USD", "XLFILL=b")</f>
        <v/>
      </c>
      <c r="K182" s="9" t="str">
        <f>_xll.BQL("CRM US Equity", "CB_CF_NET_CASH_OPERATING_ACT/1M", "FPR=2022Y", "FPT=A", "FA_ACT_EST_DATA=E, EST_SOURCE=WBL", "ACT_EST_MAPPING=PRECISE", "FS=MRC", "CURRENCY=USD", "XLFILL=b")</f>
        <v/>
      </c>
      <c r="L182" s="9" t="str">
        <f>_xll.BQL("CRM US Equity", "CB_CF_NET_CASH_OPERATING_ACT/1M", "FPR=2022Y", "FPT=A", "FA_ACT_EST_DATA=E, EST_SOURCE=BMO", "ACT_EST_MAPPING=PRECISE", "FS=MRC", "CURRENCY=USD", "XLFILL=b")</f>
        <v/>
      </c>
      <c r="M182" s="9">
        <f>_xll.BQL("CRM US Equity", "CB_CF_NET_CASH_OPERATING_ACT/1M", "FPR=2022Y", "FPT=A", "FA_ACT_EST_DATA=E, EST_SOURCE=BCA", "ACT_EST_MAPPING=PRECISE", "FS=MRC", "CURRENCY=USD", "XLFILL=b")</f>
        <v>5691.6109343772123</v>
      </c>
      <c r="N182" s="9" t="str">
        <f>_xll.BQL("CRM US Equity", "CB_CF_NET_CASH_OPERATING_ACT/1M", "FPR=2022Y", "FPT=A", "FA_ACT_EST_DATA=E, EST_SOURCE=SNR", "ACT_EST_MAPPING=PRECISE", "FS=MRC", "CURRENCY=USD", "XLFILL=b")</f>
        <v/>
      </c>
      <c r="O182" s="9">
        <f>_xll.BQL("CRM US Equity", "CB_CF_NET_CASH_OPERATING_ACT/1M", "FPR=2022Y", "FPT=A", "FA_ACT_EST_DATA=E, EST_SOURCE=MSV", "ACT_EST_MAPPING=PRECISE", "FS=MRC", "CURRENCY=USD", "XLFILL=b")</f>
        <v>6364.2798060007472</v>
      </c>
      <c r="P182" s="9">
        <f>_xll.BQL("CRM US Equity", "CB_CF_NET_CASH_OPERATING_ACT/1M", "FPR=2022Y", "FPT=A", "FA_ACT_EST_DATA=E, EST_SOURCE=DBG", "ACT_EST_MAPPING=PRECISE", "FS=MRC", "CURRENCY=USD", "XLFILL=b")</f>
        <v>5699.8640802877599</v>
      </c>
      <c r="Q182" s="9">
        <f>_xll.BQL("CRM US Equity", "CB_CF_NET_CASH_OPERATING_ACT/1M", "FPR=2022Y", "FPT=A", "FA_ACT_EST_DATA=E, EST_SOURCE=NDH", "ACT_EST_MAPPING=PRECISE", "FS=MRC", "CURRENCY=USD", "XLFILL=b")</f>
        <v>7302.6291499999998</v>
      </c>
      <c r="R182" s="9" t="str">
        <f>_xll.BQL("CRM US Equity", "CB_CF_NET_CASH_OPERATING_ACT/1M", "FPR=2022Y", "FPT=A", "FA_ACT_EST_DATA=E, EST_SOURCE=CAN", "ACT_EST_MAPPING=PRECISE", "FS=MRC", "CURRENCY=USD", "XLFILL=b")</f>
        <v/>
      </c>
      <c r="S182" s="9" t="str">
        <f>_xll.BQL("CRM US Equity", "CB_CF_NET_CASH_OPERATING_ACT/1M", "FPR=2022Y", "FPT=A", "FA_ACT_EST_DATA=E, EST_SOURCE=SCB", "ACT_EST_MAPPING=PRECISE", "FS=MRC", "CURRENCY=USD", "XLFILL=b")</f>
        <v/>
      </c>
      <c r="T182" s="9">
        <f>_xll.BQL("CRM US Equity", "CB_CF_NET_CASH_OPERATING_ACT/1M", "FPR=2022Y", "FPT=A", "FA_ACT_EST_DATA=E, EST_SOURCE=JMP", "ACT_EST_MAPPING=PRECISE", "FS=MRC", "CURRENCY=USD", "XLFILL=b")</f>
        <v>5676.3850000000002</v>
      </c>
      <c r="U182" s="9">
        <f>_xll.BQL("CRM US Equity", "CB_CF_NET_CASH_OPERATING_ACT/1M", "FPR=2022Y", "FPT=A", "FA_ACT_EST_DATA=E, EST_SOURCE=RJA", "ACT_EST_MAPPING=PRECISE", "FS=MRC", "CURRENCY=USD", "XLFILL=b")</f>
        <v>5680.4728187291703</v>
      </c>
      <c r="V182" s="9" t="str">
        <f>_xll.BQL("CRM US Equity", "CB_CF_NET_CASH_OPERATING_ACT/1M", "FPR=2022Y", "FPT=A", "FA_ACT_EST_DATA=E, EST_SOURCE=OPY", "ACT_EST_MAPPING=PRECISE", "FS=MRC", "CURRENCY=USD", "XLFILL=b")</f>
        <v/>
      </c>
      <c r="W182" s="9" t="str">
        <f>_xll.BQL("CRM US Equity", "CB_CF_NET_CASH_OPERATING_ACT/1M", "FPR=2022Y", "FPT=A", "FA_ACT_EST_DATA=E, EST_SOURCE=JPM", "ACT_EST_MAPPING=PRECISE", "FS=MRC", "CURRENCY=USD", "XLFILL=b")</f>
        <v/>
      </c>
      <c r="X182" s="9">
        <f>_xll.BQL("CRM US Equity", "CB_CF_NET_CASH_OPERATING_ACT/1M", "FPR=2022Y", "FPT=A", "FA_ACT_EST_DATA=E, EST_SOURCE=FBC", "ACT_EST_MAPPING=PRECISE", "FS=MRC", "CURRENCY=USD", "XLFILL=b")</f>
        <v>5616.431827569917</v>
      </c>
      <c r="Y182" s="9">
        <f>_xll.BQL("CRM US Equity", "CB_CF_NET_CASH_OPERATING_ACT/1M", "FPR=2022Y", "FPT=A", "FA_ACT_EST_DATA=E, EST_SOURCE=WMS", "ACT_EST_MAPPING=PRECISE", "FS=MRC", "CURRENCY=USD", "XLFILL=b")</f>
        <v>6765.1169246127474</v>
      </c>
      <c r="Z182" s="9">
        <f>_xll.BQL("CRM US Equity", "CB_CF_NET_CASH_OPERATING_ACT/1M", "FPR=2022Y", "FPT=A", "FA_ACT_EST_DATA=E, EST_SOURCE=KEY", "ACT_EST_MAPPING=PRECISE", "FS=MRC", "CURRENCY=USD", "XLFILL=b")</f>
        <v>5548.806199247887</v>
      </c>
      <c r="AA182" s="9" t="str">
        <f>_xll.BQL("CRM US Equity", "CB_CF_NET_CASH_OPERATING_ACT/1M", "FPR=2022Y", "FPT=A", "FA_ACT_EST_DATA=E, EST_SOURCE=LCM", "ACT_EST_MAPPING=PRECISE", "FS=MRC", "CURRENCY=USD", "XLFILL=b")</f>
        <v/>
      </c>
      <c r="AB182" s="9" t="str">
        <f>_xll.BQL("CRM US Equity", "CB_CF_NET_CASH_OPERATING_ACT/1M", "FPR=2022Y", "FPT=A", "FA_ACT_EST_DATA=E, EST_SOURCE=CWN", "ACT_EST_MAPPING=PRECISE", "FS=MRC", "CURRENCY=USD", "XLFILL=b")</f>
        <v/>
      </c>
      <c r="AC182" s="9" t="str">
        <f>_xll.BQL("CRM US Equity", "CB_CF_NET_CASH_OPERATING_ACT/1M", "FPR=2022Y", "FPT=A", "FA_ACT_EST_DATA=E, EST_SOURCE=BNS", "ACT_EST_MAPPING=PRECISE", "FS=MRC", "CURRENCY=USD", "XLFILL=b")</f>
        <v/>
      </c>
      <c r="AD182" s="9" t="str">
        <f>_xll.BQL("CRM US Equity", "CB_CF_NET_CASH_OPERATING_ACT/1M", "FPR=2022Y", "FPT=A", "FA_ACT_EST_DATA=E, EST_SOURCE=BAM", "ACT_EST_MAPPING=PRECISE", "FS=MRC", "CURRENCY=USD", "XLFILL=b")</f>
        <v/>
      </c>
      <c r="AE182" s="9" t="str">
        <f>_xll.BQL("CRM US Equity", "CB_CF_NET_CASH_OPERATING_ACT/1M", "FPR=2022Y", "FPT=A", "FA_ACT_EST_DATA=E, EST_SOURCE=RBC", "ACT_EST_MAPPING=PRECISE", "FS=MRC", "CURRENCY=USD", "XLFILL=b")</f>
        <v/>
      </c>
      <c r="AF182" s="9" t="str">
        <f>_xll.BQL("CRM US Equity", "CB_CF_NET_CASH_OPERATING_ACT/1M", "FPR=2022Y", "FPT=A", "FA_ACT_EST_DATA=E, EST_SOURCE=UBS", "ACT_EST_MAPPING=PRECISE", "FS=MRC", "CURRENCY=USD", "XLFILL=b")</f>
        <v/>
      </c>
      <c r="AG182" s="9" t="str">
        <f>_xll.BQL("CRM US Equity", "CB_CF_NET_CASH_OPERATING_ACT/1M", "FPR=2022Y", "FPT=A", "FA_ACT_EST_DATA=E, EST_SOURCE=RHR", "ACT_EST_MAPPING=PRECISE", "FS=MRC", "CURRENCY=USD", "XLFILL=b")</f>
        <v/>
      </c>
      <c r="AH182" s="9" t="str">
        <f>_xll.BQL("CRM US Equity", "CB_CF_NET_CASH_OPERATING_ACT/1M", "FPR=2022Y", "FPT=A", "FA_ACT_EST_DATA=E, EST_SOURCE=JEF", "ACT_EST_MAPPING=PRECISE", "FS=MRC", "CURRENCY=USD", "XLFILL=b")</f>
        <v/>
      </c>
      <c r="AI182" s="9" t="str">
        <f>_xll.BQL("CRM US Equity", "CB_CF_NET_CASH_OPERATING_ACT/1M", "FPR=2022Y", "FPT=A", "FA_ACT_EST_DATA=E, EST_SOURCE=ATL", "ACT_EST_MAPPING=PRECISE", "FS=MRC", "CURRENCY=USD", "XLFILL=b")</f>
        <v/>
      </c>
      <c r="AJ182" s="9" t="str">
        <f>_xll.BQL("CRM US Equity", "CB_CF_NET_CASH_OPERATING_ACT/1M", "FPR=2022Y", "FPT=A", "FA_ACT_EST_DATA=E, EST_SOURCE=MAC", "ACT_EST_MAPPING=PRECISE", "FS=MRC", "CURRENCY=USD", "XLFILL=b")</f>
        <v/>
      </c>
      <c r="AK182" s="9" t="str">
        <f>_xll.BQL("CRM US Equity", "CB_CF_NET_CASH_OPERATING_ACT/1M", "FPR=2022Y", "FPT=A", "FA_ACT_EST_DATA=E, EST_SOURCE=EVR", "ACT_EST_MAPPING=PRECISE", "FS=MRC", "CURRENCY=USD", "XLFILL=b")</f>
        <v/>
      </c>
      <c r="AL182" s="9" t="str">
        <f>_xll.BQL("CRM US Equity", "CB_CF_NET_CASH_OPERATING_ACT/1M", "FPR=2022Y", "FPT=A", "FA_ACT_EST_DATA=E, EST_SOURCE=MSR", "ACT_EST_MAPPING=PRECISE", "FS=MRC", "CURRENCY=USD", "XLFILL=b")</f>
        <v/>
      </c>
      <c r="AM182" s="9" t="str">
        <f>_xll.BQL("CRM US Equity", "CB_CF_NET_CASH_OPERATING_ACT/1M", "FPR=2022Y", "FPT=A", "FA_ACT_EST_DATA=E, EST_SOURCE=KGI", "ACT_EST_MAPPING=PRECISE", "FS=MRC", "CURRENCY=USD", "XLFILL=b")</f>
        <v/>
      </c>
      <c r="AN182" s="9" t="str">
        <f>_xll.BQL("CRM US Equity", "CB_CF_NET_CASH_OPERATING_ACT/1M", "FPR=2022Y", "FPT=A", "FA_ACT_EST_DATA=E, EST_SOURCE=ACC", "ACT_EST_MAPPING=PRECISE", "FS=MRC", "CURRENCY=USD", "XLFILL=b")</f>
        <v/>
      </c>
      <c r="AO182" s="9" t="str">
        <f>_xll.BQL("CRM US Equity", "CB_CF_NET_CASH_OPERATING_ACT/1M", "FPR=2022Y", "FPT=A", "FA_ACT_EST_DATA=E, EST_SOURCE=GSR", "ACT_EST_MAPPING=PRECISE", "FS=MRC", "CURRENCY=USD", "XLFILL=b")</f>
        <v/>
      </c>
      <c r="AP182" s="9" t="str">
        <f>_xll.BQL("CRM US Equity", "CB_CF_NET_CASH_OPERATING_ACT/1M", "FPR=2022Y", "FPT=A", "FA_ACT_EST_DATA=E, EST_SOURCE=PSG", "ACT_EST_MAPPING=PRECISE", "FS=MRC", "CURRENCY=USD", "XLFILL=b")</f>
        <v/>
      </c>
      <c r="AQ182" s="9" t="str">
        <f>_xll.BQL("CRM US Equity", "CB_CF_NET_CASH_OPERATING_ACT/1M", "FPR=2022Y", "FPT=A", "FA_ACT_EST_DATA=E, EST_SOURCE=DWI", "ACT_EST_MAPPING=PRECISE", "FS=MRC", "CURRENCY=USD", "XLFILL=b")</f>
        <v/>
      </c>
      <c r="AR182" s="9" t="str">
        <f>_xll.BQL("CRM US Equity", "CB_CF_NET_CASH_OPERATING_ACT/1M", "FPR=2022Y", "FPT=A", "FA_ACT_EST_DATA=E, EST_SOURCE=RWB", "ACT_EST_MAPPING=PRECISE", "FS=MRC", "CURRENCY=USD", "XLFILL=b")</f>
        <v/>
      </c>
      <c r="AS182" s="9" t="str">
        <f>_xll.BQL("CRM US Equity", "CB_CF_NET_CASH_OPERATING_ACT/1M", "FPR=2022Y", "FPT=A", "FA_ACT_EST_DATA=E, EST_SOURCE=ARG", "ACT_EST_MAPPING=PRECISE", "FS=MRC", "CURRENCY=USD", "XLFILL=b")</f>
        <v/>
      </c>
      <c r="AT182" s="9" t="str">
        <f>_xll.BQL("CRM US Equity", "CB_CF_NET_CASH_OPERATING_ACT/1M", "FPR=2022Y", "FPT=A", "FA_ACT_EST_DATA=E, EST_SOURCE=CTI", "ACT_EST_MAPPING=PRECISE", "FS=MRC", "CURRENCY=USD", "XLFILL=b")</f>
        <v/>
      </c>
      <c r="AU182" s="9" t="str">
        <f>_xll.BQL("CRM US Equity", "CB_CF_NET_CASH_OPERATING_ACT/1M", "FPR=2022Y", "FPT=A", "FA_ACT_EST_DATA=E, EST_SOURCE=WFT", "ACT_EST_MAPPING=PRECISE", "FS=MRC", "CURRENCY=USD", "XLFILL=b")</f>
        <v/>
      </c>
      <c r="AV182" s="9" t="str">
        <f>_xll.BQL("CRM US Equity", "CB_CF_NET_CASH_OPERATING_ACT/1M", "FPR=2022Y", "FPT=A", "FA_ACT_EST_DATA=E, EST_SOURCE=PJE", "ACT_EST_MAPPING=PRECISE", "FS=MRC", "CURRENCY=USD", "XLFILL=b")</f>
        <v/>
      </c>
      <c r="AW182" s="9" t="str">
        <f>_xll.BQL("CRM US Equity", "CB_CF_NET_CASH_OPERATING_ACT/1M", "FPR=2022Y", "FPT=A", "FA_ACT_EST_DATA=E, EST_SOURCE=SGE", "ACT_EST_MAPPING=PRECISE", "FS=MRC", "CURRENCY=USD", "XLFILL=b")</f>
        <v/>
      </c>
      <c r="AX182" s="9" t="str">
        <f>_xll.BQL("CRM US Equity", "CB_CF_NET_CASH_OPERATING_ACT/1M", "FPR=2022Y", "FPT=A", "FA_ACT_EST_DATA=E, EST_SOURCE=MZS", "ACT_EST_MAPPING=PRECISE", "FS=MRC", "CURRENCY=USD", "XLFILL=b")</f>
        <v/>
      </c>
      <c r="AY182" s="9" t="str">
        <f>_xll.BQL("CRM US Equity", "CB_CF_NET_CASH_OPERATING_ACT/1M", "FPR=2022Y", "FPT=A", "FA_ACT_EST_DATA=E, EST_SOURCE=RCP", "ACT_EST_MAPPING=PRECISE", "FS=MRC", "CURRENCY=USD", "XLFILL=b")</f>
        <v/>
      </c>
      <c r="AZ182" s="9" t="str">
        <f>_xll.BQL("CRM US Equity", "CB_CF_NET_CASH_OPERATING_ACT/1M", "FPR=2022Y", "FPT=A", "FA_ACT_EST_DATA=E, EST_SOURCE=WFR", "ACT_EST_MAPPING=PRECISE", "FS=MRC", "CURRENCY=USD", "XLFILL=b")</f>
        <v/>
      </c>
      <c r="BA182" s="9" t="str">
        <f>_xll.BQL("CRM US Equity", "CB_CF_NET_CASH_OPERATING_ACT/1M", "FPR=2022Y", "FPT=A", "FA_ACT_EST_DATA=E, EST_SOURCE=NIK", "ACT_EST_MAPPING=PRECISE", "FS=MRC", "CURRENCY=USD", "XLFILL=b")</f>
        <v/>
      </c>
      <c r="BB182" s="9" t="str">
        <f>_xll.BQL("CRM US Equity", "CB_CF_NET_CASH_OPERATING_ACT/1M", "FPR=2022Y", "FPT=A", "FA_ACT_EST_DATA=E, EST_SOURCE=ARE", "ACT_EST_MAPPING=PRECISE", "FS=MRC", "CURRENCY=USD", "XLFILL=b")</f>
        <v/>
      </c>
      <c r="BC182" s="9" t="str">
        <f>_xll.BQL("CRM US Equity", "CB_CF_NET_CASH_OPERATING_ACT/1M", "FPR=2022Y", "FPT=A", "FA_ACT_EST_DATA=E, EST_SOURCE=RED", "ACT_EST_MAPPING=PRECISE", "FS=MRC", "CURRENCY=USD", "XLFILL=b")</f>
        <v/>
      </c>
      <c r="BD182" s="9" t="str">
        <f>_xll.BQL("CRM US Equity", "CB_CF_NET_CASH_OPERATING_ACT/1M", "FPR=2022Y", "FPT=A", "FA_ACT_EST_DATA=E, EST_SOURCE=DIR", "ACT_EST_MAPPING=PRECISE", "FS=MRC", "CURRENCY=USD", "XLFILL=b")</f>
        <v/>
      </c>
    </row>
    <row r="183" spans="1:56" x14ac:dyDescent="0.55000000000000004">
      <c r="A183" s="8" t="s">
        <v>347</v>
      </c>
      <c r="B183" s="5" t="s">
        <v>348</v>
      </c>
      <c r="C183" s="5" t="s">
        <v>349</v>
      </c>
      <c r="D183" s="5"/>
      <c r="E183" s="9">
        <f>_xll.BQL("CRM US Equity", "CASH_FLOW_PER_SH", "FPR=2022Y", "FPT=A", "FA_ACT_EST_DATA=E", "ACT_EST_MAPPING=PRECISE", "FS=MRC", "CURRENCY=USD", "XLFILL=b")</f>
        <v>6.3230065069166477</v>
      </c>
      <c r="F183" s="9">
        <f>_xll.BQL("CRM US Equity", "CONTRIBUTOR_STATS(CASH_FLOW_PER_SH, MIN)", "FPR=2022Y", "FPT=A", "FA_ACT_EST_DATA=E", "ACT_EST_MAPPING=PRECISE", "FS=MRC", "CURRENCY=USD", "XLFILL=b")</f>
        <v>5.8141424054552262</v>
      </c>
      <c r="G183" s="9">
        <f>_xll.BQL("CRM US Equity", "CONTRIBUTOR_STATS(CASH_FLOW_PER_SH, MAX)", "FPR=2022Y", "FPT=A", "FA_ACT_EST_DATA=E", "ACT_EST_MAPPING=PRECISE", "FS=MRC", "CURRENCY=USD", "XLFILL=b")</f>
        <v>7.3347205387279431</v>
      </c>
      <c r="H183" s="9">
        <f>_xll.BQL("CRM US Equity", "CONTRIBUTOR_STATS(CASH_FLOW_PER_SH, STD)", "FPR=2022Y", "FPT=A", "FA_ACT_EST_DATA=E", "ACT_EST_MAPPING=PRECISE", "FS=MRC", "CURRENCY=USD", "XLFILL=b")</f>
        <v>0.87617521317738767</v>
      </c>
      <c r="I183" s="9">
        <f>_xll.BQL("CRM US Equity", "CONTRIBUTOR_STATS(CASH_FLOW_PER_SH, MEDIAN)", "FPR=2022Y", "FPT=A", "FA_ACT_EST_DATA=E", "ACT_EST_MAPPING=PRECISE", "FS=MRC", "CURRENCY=USD", "XLFILL=b")</f>
        <v>5.820156576566772</v>
      </c>
      <c r="J183" s="9" t="str">
        <f>_xll.BQL("CRM US Equity", "CASH_FLOW_PER_SH", "FPR=2022Y", "FPT=A", "FA_ACT_EST_DATA=E, EST_SOURCE=CMPY", "ACT_EST_MAPPING=PRECISE", "FS=MRC", "CURRENCY=USD", "XLFILL=b")</f>
        <v/>
      </c>
      <c r="K183" s="9" t="str">
        <f>_xll.BQL("CRM US Equity", "CASH_FLOW_PER_SH", "FPR=2022Y", "FPT=A", "FA_ACT_EST_DATA=E, EST_SOURCE=WBL", "ACT_EST_MAPPING=PRECISE", "FS=MRC", "CURRENCY=USD", "XLFILL=b")</f>
        <v/>
      </c>
      <c r="L183" s="9" t="str">
        <f>_xll.BQL("CRM US Equity", "CASH_FLOW_PER_SH", "FPR=2022Y", "FPT=A", "FA_ACT_EST_DATA=E, EST_SOURCE=BMO", "ACT_EST_MAPPING=PRECISE", "FS=MRC", "CURRENCY=USD", "XLFILL=b")</f>
        <v/>
      </c>
      <c r="M183" s="9" t="str">
        <f>_xll.BQL("CRM US Equity", "CASH_FLOW_PER_SH", "FPR=2022Y", "FPT=A", "FA_ACT_EST_DATA=E, EST_SOURCE=BCA", "ACT_EST_MAPPING=PRECISE", "FS=MRC", "CURRENCY=USD", "XLFILL=b")</f>
        <v/>
      </c>
      <c r="N183" s="9" t="str">
        <f>_xll.BQL("CRM US Equity", "CASH_FLOW_PER_SH", "FPR=2022Y", "FPT=A", "FA_ACT_EST_DATA=E, EST_SOURCE=SNR", "ACT_EST_MAPPING=PRECISE", "FS=MRC", "CURRENCY=USD", "XLFILL=b")</f>
        <v/>
      </c>
      <c r="O183" s="9" t="str">
        <f>_xll.BQL("CRM US Equity", "CASH_FLOW_PER_SH", "FPR=2022Y", "FPT=A", "FA_ACT_EST_DATA=E, EST_SOURCE=MSV", "ACT_EST_MAPPING=PRECISE", "FS=MRC", "CURRENCY=USD", "XLFILL=b")</f>
        <v/>
      </c>
      <c r="P183" s="9" t="str">
        <f>_xll.BQL("CRM US Equity", "CASH_FLOW_PER_SH", "FPR=2022Y", "FPT=A", "FA_ACT_EST_DATA=E, EST_SOURCE=DBG", "ACT_EST_MAPPING=PRECISE", "FS=MRC", "CURRENCY=USD", "XLFILL=b")</f>
        <v/>
      </c>
      <c r="Q183" s="9" t="str">
        <f>_xll.BQL("CRM US Equity", "CASH_FLOW_PER_SH", "FPR=2022Y", "FPT=A", "FA_ACT_EST_DATA=E, EST_SOURCE=NDH", "ACT_EST_MAPPING=PRECISE", "FS=MRC", "CURRENCY=USD", "XLFILL=b")</f>
        <v/>
      </c>
      <c r="R183" s="9" t="str">
        <f>_xll.BQL("CRM US Equity", "CASH_FLOW_PER_SH", "FPR=2022Y", "FPT=A", "FA_ACT_EST_DATA=E, EST_SOURCE=CAN", "ACT_EST_MAPPING=PRECISE", "FS=MRC", "CURRENCY=USD", "XLFILL=b")</f>
        <v/>
      </c>
      <c r="S183" s="9" t="str">
        <f>_xll.BQL("CRM US Equity", "CASH_FLOW_PER_SH", "FPR=2022Y", "FPT=A", "FA_ACT_EST_DATA=E, EST_SOURCE=SCB", "ACT_EST_MAPPING=PRECISE", "FS=MRC", "CURRENCY=USD", "XLFILL=b")</f>
        <v/>
      </c>
      <c r="T183" s="9" t="str">
        <f>_xll.BQL("CRM US Equity", "CASH_FLOW_PER_SH", "FPR=2022Y", "FPT=A", "FA_ACT_EST_DATA=E, EST_SOURCE=JMP", "ACT_EST_MAPPING=PRECISE", "FS=MRC", "CURRENCY=USD", "XLFILL=b")</f>
        <v/>
      </c>
      <c r="U183" s="9">
        <f>_xll.BQL("CRM US Equity", "CASH_FLOW_PER_SH", "FPR=2022Y", "FPT=A", "FA_ACT_EST_DATA=E, EST_SOURCE=RJA", "ACT_EST_MAPPING=PRECISE", "FS=MRC", "CURRENCY=USD", "XLFILL=b")</f>
        <v>5.820156576566772</v>
      </c>
      <c r="V183" s="9">
        <f>_xll.BQL("CRM US Equity", "CASH_FLOW_PER_SH", "FPR=2022Y", "FPT=A", "FA_ACT_EST_DATA=E, EST_SOURCE=OPY", "ACT_EST_MAPPING=PRECISE", "FS=MRC", "CURRENCY=USD", "XLFILL=b")</f>
        <v>5.8141424054552262</v>
      </c>
      <c r="W183" s="9" t="str">
        <f>_xll.BQL("CRM US Equity", "CASH_FLOW_PER_SH", "FPR=2022Y", "FPT=A", "FA_ACT_EST_DATA=E, EST_SOURCE=JPM", "ACT_EST_MAPPING=PRECISE", "FS=MRC", "CURRENCY=USD", "XLFILL=b")</f>
        <v/>
      </c>
      <c r="X183" s="9" t="str">
        <f>_xll.BQL("CRM US Equity", "CASH_FLOW_PER_SH", "FPR=2022Y", "FPT=A", "FA_ACT_EST_DATA=E, EST_SOURCE=FBC", "ACT_EST_MAPPING=PRECISE", "FS=MRC", "CURRENCY=USD", "XLFILL=b")</f>
        <v/>
      </c>
      <c r="Y183" s="9" t="str">
        <f>_xll.BQL("CRM US Equity", "CASH_FLOW_PER_SH", "FPR=2022Y", "FPT=A", "FA_ACT_EST_DATA=E, EST_SOURCE=WMS", "ACT_EST_MAPPING=PRECISE", "FS=MRC", "CURRENCY=USD", "XLFILL=b")</f>
        <v/>
      </c>
      <c r="Z183" s="9" t="str">
        <f>_xll.BQL("CRM US Equity", "CASH_FLOW_PER_SH", "FPR=2022Y", "FPT=A", "FA_ACT_EST_DATA=E, EST_SOURCE=KEY", "ACT_EST_MAPPING=PRECISE", "FS=MRC", "CURRENCY=USD", "XLFILL=b")</f>
        <v/>
      </c>
      <c r="AA183" s="9" t="str">
        <f>_xll.BQL("CRM US Equity", "CASH_FLOW_PER_SH", "FPR=2022Y", "FPT=A", "FA_ACT_EST_DATA=E, EST_SOURCE=LCM", "ACT_EST_MAPPING=PRECISE", "FS=MRC", "CURRENCY=USD", "XLFILL=b")</f>
        <v/>
      </c>
      <c r="AB183" s="9" t="str">
        <f>_xll.BQL("CRM US Equity", "CASH_FLOW_PER_SH", "FPR=2022Y", "FPT=A", "FA_ACT_EST_DATA=E, EST_SOURCE=CWN", "ACT_EST_MAPPING=PRECISE", "FS=MRC", "CURRENCY=USD", "XLFILL=b")</f>
        <v/>
      </c>
      <c r="AC183" s="9" t="str">
        <f>_xll.BQL("CRM US Equity", "CASH_FLOW_PER_SH", "FPR=2022Y", "FPT=A", "FA_ACT_EST_DATA=E, EST_SOURCE=BNS", "ACT_EST_MAPPING=PRECISE", "FS=MRC", "CURRENCY=USD", "XLFILL=b")</f>
        <v/>
      </c>
      <c r="AD183" s="9" t="str">
        <f>_xll.BQL("CRM US Equity", "CASH_FLOW_PER_SH", "FPR=2022Y", "FPT=A", "FA_ACT_EST_DATA=E, EST_SOURCE=BAM", "ACT_EST_MAPPING=PRECISE", "FS=MRC", "CURRENCY=USD", "XLFILL=b")</f>
        <v/>
      </c>
      <c r="AE183" s="9" t="str">
        <f>_xll.BQL("CRM US Equity", "CASH_FLOW_PER_SH", "FPR=2022Y", "FPT=A", "FA_ACT_EST_DATA=E, EST_SOURCE=RBC", "ACT_EST_MAPPING=PRECISE", "FS=MRC", "CURRENCY=USD", "XLFILL=b")</f>
        <v/>
      </c>
      <c r="AF183" s="9" t="str">
        <f>_xll.BQL("CRM US Equity", "CASH_FLOW_PER_SH", "FPR=2022Y", "FPT=A", "FA_ACT_EST_DATA=E, EST_SOURCE=UBS", "ACT_EST_MAPPING=PRECISE", "FS=MRC", "CURRENCY=USD", "XLFILL=b")</f>
        <v/>
      </c>
      <c r="AG183" s="9">
        <f>_xll.BQL("CRM US Equity", "CASH_FLOW_PER_SH", "FPR=2022Y", "FPT=A", "FA_ACT_EST_DATA=E, EST_SOURCE=RHR", "ACT_EST_MAPPING=PRECISE", "FS=MRC", "CURRENCY=USD", "XLFILL=b")</f>
        <v>5.1787575279417144</v>
      </c>
      <c r="AH183" s="9" t="str">
        <f>_xll.BQL("CRM US Equity", "CASH_FLOW_PER_SH", "FPR=2022Y", "FPT=A", "FA_ACT_EST_DATA=E, EST_SOURCE=JEF", "ACT_EST_MAPPING=PRECISE", "FS=MRC", "CURRENCY=USD", "XLFILL=b")</f>
        <v/>
      </c>
      <c r="AI183" s="9" t="str">
        <f>_xll.BQL("CRM US Equity", "CASH_FLOW_PER_SH", "FPR=2022Y", "FPT=A", "FA_ACT_EST_DATA=E, EST_SOURCE=ATL", "ACT_EST_MAPPING=PRECISE", "FS=MRC", "CURRENCY=USD", "XLFILL=b")</f>
        <v/>
      </c>
      <c r="AJ183" s="9" t="str">
        <f>_xll.BQL("CRM US Equity", "CASH_FLOW_PER_SH", "FPR=2022Y", "FPT=A", "FA_ACT_EST_DATA=E, EST_SOURCE=MAC", "ACT_EST_MAPPING=PRECISE", "FS=MRC", "CURRENCY=USD", "XLFILL=b")</f>
        <v/>
      </c>
      <c r="AK183" s="9" t="str">
        <f>_xll.BQL("CRM US Equity", "CASH_FLOW_PER_SH", "FPR=2022Y", "FPT=A", "FA_ACT_EST_DATA=E, EST_SOURCE=EVR", "ACT_EST_MAPPING=PRECISE", "FS=MRC", "CURRENCY=USD", "XLFILL=b")</f>
        <v/>
      </c>
      <c r="AL183" s="9" t="str">
        <f>_xll.BQL("CRM US Equity", "CASH_FLOW_PER_SH", "FPR=2022Y", "FPT=A", "FA_ACT_EST_DATA=E, EST_SOURCE=MSR", "ACT_EST_MAPPING=PRECISE", "FS=MRC", "CURRENCY=USD", "XLFILL=b")</f>
        <v/>
      </c>
      <c r="AM183" s="9" t="str">
        <f>_xll.BQL("CRM US Equity", "CASH_FLOW_PER_SH", "FPR=2022Y", "FPT=A", "FA_ACT_EST_DATA=E, EST_SOURCE=KGI", "ACT_EST_MAPPING=PRECISE", "FS=MRC", "CURRENCY=USD", "XLFILL=b")</f>
        <v/>
      </c>
      <c r="AN183" s="9" t="str">
        <f>_xll.BQL("CRM US Equity", "CASH_FLOW_PER_SH", "FPR=2022Y", "FPT=A", "FA_ACT_EST_DATA=E, EST_SOURCE=ACC", "ACT_EST_MAPPING=PRECISE", "FS=MRC", "CURRENCY=USD", "XLFILL=b")</f>
        <v/>
      </c>
      <c r="AO183" s="9" t="str">
        <f>_xll.BQL("CRM US Equity", "CASH_FLOW_PER_SH", "FPR=2022Y", "FPT=A", "FA_ACT_EST_DATA=E, EST_SOURCE=GSR", "ACT_EST_MAPPING=PRECISE", "FS=MRC", "CURRENCY=USD", "XLFILL=b")</f>
        <v/>
      </c>
      <c r="AP183" s="9" t="str">
        <f>_xll.BQL("CRM US Equity", "CASH_FLOW_PER_SH", "FPR=2022Y", "FPT=A", "FA_ACT_EST_DATA=E, EST_SOURCE=PSG", "ACT_EST_MAPPING=PRECISE", "FS=MRC", "CURRENCY=USD", "XLFILL=b")</f>
        <v/>
      </c>
      <c r="AQ183" s="9" t="str">
        <f>_xll.BQL("CRM US Equity", "CASH_FLOW_PER_SH", "FPR=2022Y", "FPT=A", "FA_ACT_EST_DATA=E, EST_SOURCE=DWI", "ACT_EST_MAPPING=PRECISE", "FS=MRC", "CURRENCY=USD", "XLFILL=b")</f>
        <v/>
      </c>
      <c r="AR183" s="9" t="str">
        <f>_xll.BQL("CRM US Equity", "CASH_FLOW_PER_SH", "FPR=2022Y", "FPT=A", "FA_ACT_EST_DATA=E, EST_SOURCE=RWB", "ACT_EST_MAPPING=PRECISE", "FS=MRC", "CURRENCY=USD", "XLFILL=b")</f>
        <v/>
      </c>
      <c r="AS183" s="9" t="str">
        <f>_xll.BQL("CRM US Equity", "CASH_FLOW_PER_SH", "FPR=2022Y", "FPT=A", "FA_ACT_EST_DATA=E, EST_SOURCE=ARG", "ACT_EST_MAPPING=PRECISE", "FS=MRC", "CURRENCY=USD", "XLFILL=b")</f>
        <v/>
      </c>
      <c r="AT183" s="9" t="str">
        <f>_xll.BQL("CRM US Equity", "CASH_FLOW_PER_SH", "FPR=2022Y", "FPT=A", "FA_ACT_EST_DATA=E, EST_SOURCE=CTI", "ACT_EST_MAPPING=PRECISE", "FS=MRC", "CURRENCY=USD", "XLFILL=b")</f>
        <v/>
      </c>
      <c r="AU183" s="9" t="str">
        <f>_xll.BQL("CRM US Equity", "CASH_FLOW_PER_SH", "FPR=2022Y", "FPT=A", "FA_ACT_EST_DATA=E, EST_SOURCE=WFT", "ACT_EST_MAPPING=PRECISE", "FS=MRC", "CURRENCY=USD", "XLFILL=b")</f>
        <v/>
      </c>
      <c r="AV183" s="9" t="str">
        <f>_xll.BQL("CRM US Equity", "CASH_FLOW_PER_SH", "FPR=2022Y", "FPT=A", "FA_ACT_EST_DATA=E, EST_SOURCE=PJE", "ACT_EST_MAPPING=PRECISE", "FS=MRC", "CURRENCY=USD", "XLFILL=b")</f>
        <v/>
      </c>
      <c r="AW183" s="9" t="str">
        <f>_xll.BQL("CRM US Equity", "CASH_FLOW_PER_SH", "FPR=2022Y", "FPT=A", "FA_ACT_EST_DATA=E, EST_SOURCE=SGE", "ACT_EST_MAPPING=PRECISE", "FS=MRC", "CURRENCY=USD", "XLFILL=b")</f>
        <v/>
      </c>
      <c r="AX183" s="9" t="str">
        <f>_xll.BQL("CRM US Equity", "CASH_FLOW_PER_SH", "FPR=2022Y", "FPT=A", "FA_ACT_EST_DATA=E, EST_SOURCE=MZS", "ACT_EST_MAPPING=PRECISE", "FS=MRC", "CURRENCY=USD", "XLFILL=b")</f>
        <v/>
      </c>
      <c r="AY183" s="9" t="str">
        <f>_xll.BQL("CRM US Equity", "CASH_FLOW_PER_SH", "FPR=2022Y", "FPT=A", "FA_ACT_EST_DATA=E, EST_SOURCE=RCP", "ACT_EST_MAPPING=PRECISE", "FS=MRC", "CURRENCY=USD", "XLFILL=b")</f>
        <v/>
      </c>
      <c r="AZ183" s="9" t="str">
        <f>_xll.BQL("CRM US Equity", "CASH_FLOW_PER_SH", "FPR=2022Y", "FPT=A", "FA_ACT_EST_DATA=E, EST_SOURCE=WFR", "ACT_EST_MAPPING=PRECISE", "FS=MRC", "CURRENCY=USD", "XLFILL=b")</f>
        <v/>
      </c>
      <c r="BA183" s="9" t="str">
        <f>_xll.BQL("CRM US Equity", "CASH_FLOW_PER_SH", "FPR=2022Y", "FPT=A", "FA_ACT_EST_DATA=E, EST_SOURCE=NIK", "ACT_EST_MAPPING=PRECISE", "FS=MRC", "CURRENCY=USD", "XLFILL=b")</f>
        <v/>
      </c>
      <c r="BB183" s="9" t="str">
        <f>_xll.BQL("CRM US Equity", "CASH_FLOW_PER_SH", "FPR=2022Y", "FPT=A", "FA_ACT_EST_DATA=E, EST_SOURCE=ARE", "ACT_EST_MAPPING=PRECISE", "FS=MRC", "CURRENCY=USD", "XLFILL=b")</f>
        <v/>
      </c>
      <c r="BC183" s="9" t="str">
        <f>_xll.BQL("CRM US Equity", "CASH_FLOW_PER_SH", "FPR=2022Y", "FPT=A", "FA_ACT_EST_DATA=E, EST_SOURCE=RED", "ACT_EST_MAPPING=PRECISE", "FS=MRC", "CURRENCY=USD", "XLFILL=b")</f>
        <v/>
      </c>
      <c r="BD183" s="9" t="str">
        <f>_xll.BQL("CRM US Equity", "CASH_FLOW_PER_SH", "FPR=2022Y", "FPT=A", "FA_ACT_EST_DATA=E, EST_SOURCE=DIR", "ACT_EST_MAPPING=PRECISE", "FS=MRC", "CURRENCY=USD", "XLFILL=b")</f>
        <v/>
      </c>
    </row>
    <row r="184" spans="1:56" x14ac:dyDescent="0.55000000000000004">
      <c r="A184" s="8" t="s">
        <v>350</v>
      </c>
      <c r="B184" s="5" t="s">
        <v>351</v>
      </c>
      <c r="C184" s="5" t="s">
        <v>352</v>
      </c>
      <c r="D184" s="5"/>
      <c r="E184" s="9">
        <f>_xll.BQL("CRM US Equity", "CFO_TO_SALES", "FPR=2022Y", "FPT=A", "FA_ACT_EST_DATA=E", "ACT_EST_MAPPING=PRECISE", "FS=MRC", "CURRENCY=USD", "XLFILL=b")</f>
        <v>21.570349680047869</v>
      </c>
      <c r="F184" s="9">
        <f>_xll.BQL("CRM US Equity", "CONTRIBUTOR_STATS(CFO_TO_SALES, MIN)", "FPR=2022Y", "FPT=A", "FA_ACT_EST_DATA=E", "ACT_EST_MAPPING=PRECISE", "FS=MRC", "CURRENCY=USD", "XLFILL=b")</f>
        <v>21.48336391633373</v>
      </c>
      <c r="G184" s="9">
        <f>_xll.BQL("CRM US Equity", "CONTRIBUTOR_STATS(CFO_TO_SALES, MAX)", "FPR=2022Y", "FPT=A", "FA_ACT_EST_DATA=E", "ACT_EST_MAPPING=PRECISE", "FS=MRC", "CURRENCY=USD", "XLFILL=b")</f>
        <v>21.651589402294931</v>
      </c>
      <c r="H184" s="9">
        <f>_xll.BQL("CRM US Equity", "CONTRIBUTOR_STATS(CFO_TO_SALES, STD)", "FPR=2022Y", "FPT=A", "FA_ACT_EST_DATA=E", "ACT_EST_MAPPING=PRECISE", "FS=MRC", "CURRENCY=USD", "XLFILL=b")</f>
        <v>6.1673466342662853E-2</v>
      </c>
      <c r="I184" s="9">
        <f>_xll.BQL("CRM US Equity", "CONTRIBUTOR_STATS(CFO_TO_SALES, MEDIAN)", "FPR=2022Y", "FPT=A", "FA_ACT_EST_DATA=E", "ACT_EST_MAPPING=PRECISE", "FS=MRC", "CURRENCY=USD", "XLFILL=b")</f>
        <v>21.58350905068022</v>
      </c>
      <c r="J184" s="9" t="str">
        <f>_xll.BQL("CRM US Equity", "CFO_TO_SALES", "FPR=2022Y", "FPT=A", "FA_ACT_EST_DATA=E, EST_SOURCE=CMPY", "ACT_EST_MAPPING=PRECISE", "FS=MRC", "CURRENCY=USD", "XLFILL=b")</f>
        <v/>
      </c>
      <c r="K184" s="9" t="str">
        <f>_xll.BQL("CRM US Equity", "CFO_TO_SALES", "FPR=2022Y", "FPT=A", "FA_ACT_EST_DATA=E, EST_SOURCE=WBL", "ACT_EST_MAPPING=PRECISE", "FS=MRC", "CURRENCY=USD", "XLFILL=b")</f>
        <v/>
      </c>
      <c r="L184" s="9" t="str">
        <f>_xll.BQL("CRM US Equity", "CFO_TO_SALES", "FPR=2022Y", "FPT=A", "FA_ACT_EST_DATA=E, EST_SOURCE=BMO", "ACT_EST_MAPPING=PRECISE", "FS=MRC", "CURRENCY=USD", "XLFILL=b")</f>
        <v/>
      </c>
      <c r="M184" s="9">
        <f>_xll.BQL("CRM US Equity", "CFO_TO_SALES", "FPR=2022Y", "FPT=A", "FA_ACT_EST_DATA=E, EST_SOURCE=BCA", "ACT_EST_MAPPING=PRECISE", "FS=MRC", "CURRENCY=USD", "XLFILL=b")</f>
        <v>21.563512274544689</v>
      </c>
      <c r="N184" s="9" t="str">
        <f>_xll.BQL("CRM US Equity", "CFO_TO_SALES", "FPR=2022Y", "FPT=A", "FA_ACT_EST_DATA=E, EST_SOURCE=SNR", "ACT_EST_MAPPING=PRECISE", "FS=MRC", "CURRENCY=USD", "XLFILL=b")</f>
        <v/>
      </c>
      <c r="O184" s="9">
        <f>_xll.BQL("CRM US Equity", "CFO_TO_SALES", "FPR=2022Y", "FPT=A", "FA_ACT_EST_DATA=E, EST_SOURCE=MSV", "ACT_EST_MAPPING=PRECISE", "FS=MRC", "CURRENCY=USD", "XLFILL=b")</f>
        <v>37.33270323376216</v>
      </c>
      <c r="P184" s="9" t="str">
        <f>_xll.BQL("CRM US Equity", "CFO_TO_SALES", "FPR=2022Y", "FPT=A", "FA_ACT_EST_DATA=E, EST_SOURCE=DBG", "ACT_EST_MAPPING=PRECISE", "FS=MRC", "CURRENCY=USD", "XLFILL=b")</f>
        <v/>
      </c>
      <c r="Q184" s="9" t="str">
        <f>_xll.BQL("CRM US Equity", "CFO_TO_SALES", "FPR=2022Y", "FPT=A", "FA_ACT_EST_DATA=E, EST_SOURCE=NDH", "ACT_EST_MAPPING=PRECISE", "FS=MRC", "CURRENCY=USD", "XLFILL=b")</f>
        <v/>
      </c>
      <c r="R184" s="9" t="str">
        <f>_xll.BQL("CRM US Equity", "CFO_TO_SALES", "FPR=2022Y", "FPT=A", "FA_ACT_EST_DATA=E, EST_SOURCE=CAN", "ACT_EST_MAPPING=PRECISE", "FS=MRC", "CURRENCY=USD", "XLFILL=b")</f>
        <v/>
      </c>
      <c r="S184" s="9" t="str">
        <f>_xll.BQL("CRM US Equity", "CFO_TO_SALES", "FPR=2022Y", "FPT=A", "FA_ACT_EST_DATA=E, EST_SOURCE=SCB", "ACT_EST_MAPPING=PRECISE", "FS=MRC", "CURRENCY=USD", "XLFILL=b")</f>
        <v/>
      </c>
      <c r="T184" s="9">
        <f>_xll.BQL("CRM US Equity", "CFO_TO_SALES", "FPR=2022Y", "FPT=A", "FA_ACT_EST_DATA=E, EST_SOURCE=JMP", "ACT_EST_MAPPING=PRECISE", "FS=MRC", "CURRENCY=USD", "XLFILL=b")</f>
        <v>21.504716623730872</v>
      </c>
      <c r="U184" s="9" t="str">
        <f>_xll.BQL("CRM US Equity", "CFO_TO_SALES", "FPR=2022Y", "FPT=A", "FA_ACT_EST_DATA=E, EST_SOURCE=RJA", "ACT_EST_MAPPING=PRECISE", "FS=MRC", "CURRENCY=USD", "XLFILL=b")</f>
        <v/>
      </c>
      <c r="V184" s="9" t="str">
        <f>_xll.BQL("CRM US Equity", "CFO_TO_SALES", "FPR=2022Y", "FPT=A", "FA_ACT_EST_DATA=E, EST_SOURCE=OPY", "ACT_EST_MAPPING=PRECISE", "FS=MRC", "CURRENCY=USD", "XLFILL=b")</f>
        <v/>
      </c>
      <c r="W184" s="9" t="str">
        <f>_xll.BQL("CRM US Equity", "CFO_TO_SALES", "FPR=2022Y", "FPT=A", "FA_ACT_EST_DATA=E, EST_SOURCE=JPM", "ACT_EST_MAPPING=PRECISE", "FS=MRC", "CURRENCY=USD", "XLFILL=b")</f>
        <v/>
      </c>
      <c r="X184" s="9">
        <f>_xll.BQL("CRM US Equity", "CFO_TO_SALES", "FPR=2022Y", "FPT=A", "FA_ACT_EST_DATA=E, EST_SOURCE=FBC", "ACT_EST_MAPPING=PRECISE", "FS=MRC", "CURRENCY=USD", "XLFILL=b")</f>
        <v>20.920747320213689</v>
      </c>
      <c r="Y184" s="9">
        <f>_xll.BQL("CRM US Equity", "CFO_TO_SALES", "FPR=2022Y", "FPT=A", "FA_ACT_EST_DATA=E, EST_SOURCE=WMS", "ACT_EST_MAPPING=PRECISE", "FS=MRC", "CURRENCY=USD", "XLFILL=b")</f>
        <v>29.4296662212796</v>
      </c>
      <c r="Z184" s="9">
        <f>_xll.BQL("CRM US Equity", "CFO_TO_SALES", "FPR=2022Y", "FPT=A", "FA_ACT_EST_DATA=E, EST_SOURCE=KEY", "ACT_EST_MAPPING=PRECISE", "FS=MRC", "CURRENCY=USD", "XLFILL=b")</f>
        <v>21.09897200517651</v>
      </c>
      <c r="AA184" s="9" t="str">
        <f>_xll.BQL("CRM US Equity", "CFO_TO_SALES", "FPR=2022Y", "FPT=A", "FA_ACT_EST_DATA=E, EST_SOURCE=LCM", "ACT_EST_MAPPING=PRECISE", "FS=MRC", "CURRENCY=USD", "XLFILL=b")</f>
        <v/>
      </c>
      <c r="AB184" s="9" t="str">
        <f>_xll.BQL("CRM US Equity", "CFO_TO_SALES", "FPR=2022Y", "FPT=A", "FA_ACT_EST_DATA=E, EST_SOURCE=CWN", "ACT_EST_MAPPING=PRECISE", "FS=MRC", "CURRENCY=USD", "XLFILL=b")</f>
        <v/>
      </c>
      <c r="AC184" s="9" t="str">
        <f>_xll.BQL("CRM US Equity", "CFO_TO_SALES", "FPR=2022Y", "FPT=A", "FA_ACT_EST_DATA=E, EST_SOURCE=BNS", "ACT_EST_MAPPING=PRECISE", "FS=MRC", "CURRENCY=USD", "XLFILL=b")</f>
        <v/>
      </c>
      <c r="AD184" s="9" t="str">
        <f>_xll.BQL("CRM US Equity", "CFO_TO_SALES", "FPR=2022Y", "FPT=A", "FA_ACT_EST_DATA=E, EST_SOURCE=BAM", "ACT_EST_MAPPING=PRECISE", "FS=MRC", "CURRENCY=USD", "XLFILL=b")</f>
        <v/>
      </c>
      <c r="AE184" s="9" t="str">
        <f>_xll.BQL("CRM US Equity", "CFO_TO_SALES", "FPR=2022Y", "FPT=A", "FA_ACT_EST_DATA=E, EST_SOURCE=RBC", "ACT_EST_MAPPING=PRECISE", "FS=MRC", "CURRENCY=USD", "XLFILL=b")</f>
        <v/>
      </c>
      <c r="AF184" s="9" t="str">
        <f>_xll.BQL("CRM US Equity", "CFO_TO_SALES", "FPR=2022Y", "FPT=A", "FA_ACT_EST_DATA=E, EST_SOURCE=UBS", "ACT_EST_MAPPING=PRECISE", "FS=MRC", "CURRENCY=USD", "XLFILL=b")</f>
        <v/>
      </c>
      <c r="AG184" s="9" t="str">
        <f>_xll.BQL("CRM US Equity", "CFO_TO_SALES", "FPR=2022Y", "FPT=A", "FA_ACT_EST_DATA=E, EST_SOURCE=RHR", "ACT_EST_MAPPING=PRECISE", "FS=MRC", "CURRENCY=USD", "XLFILL=b")</f>
        <v/>
      </c>
      <c r="AH184" s="9" t="str">
        <f>_xll.BQL("CRM US Equity", "CFO_TO_SALES", "FPR=2022Y", "FPT=A", "FA_ACT_EST_DATA=E, EST_SOURCE=JEF", "ACT_EST_MAPPING=PRECISE", "FS=MRC", "CURRENCY=USD", "XLFILL=b")</f>
        <v/>
      </c>
      <c r="AI184" s="9" t="str">
        <f>_xll.BQL("CRM US Equity", "CFO_TO_SALES", "FPR=2022Y", "FPT=A", "FA_ACT_EST_DATA=E, EST_SOURCE=ATL", "ACT_EST_MAPPING=PRECISE", "FS=MRC", "CURRENCY=USD", "XLFILL=b")</f>
        <v/>
      </c>
      <c r="AJ184" s="9" t="str">
        <f>_xll.BQL("CRM US Equity", "CFO_TO_SALES", "FPR=2022Y", "FPT=A", "FA_ACT_EST_DATA=E, EST_SOURCE=MAC", "ACT_EST_MAPPING=PRECISE", "FS=MRC", "CURRENCY=USD", "XLFILL=b")</f>
        <v/>
      </c>
      <c r="AK184" s="9" t="str">
        <f>_xll.BQL("CRM US Equity", "CFO_TO_SALES", "FPR=2022Y", "FPT=A", "FA_ACT_EST_DATA=E, EST_SOURCE=EVR", "ACT_EST_MAPPING=PRECISE", "FS=MRC", "CURRENCY=USD", "XLFILL=b")</f>
        <v/>
      </c>
      <c r="AL184" s="9" t="str">
        <f>_xll.BQL("CRM US Equity", "CFO_TO_SALES", "FPR=2022Y", "FPT=A", "FA_ACT_EST_DATA=E, EST_SOURCE=MSR", "ACT_EST_MAPPING=PRECISE", "FS=MRC", "CURRENCY=USD", "XLFILL=b")</f>
        <v/>
      </c>
      <c r="AM184" s="9" t="str">
        <f>_xll.BQL("CRM US Equity", "CFO_TO_SALES", "FPR=2022Y", "FPT=A", "FA_ACT_EST_DATA=E, EST_SOURCE=KGI", "ACT_EST_MAPPING=PRECISE", "FS=MRC", "CURRENCY=USD", "XLFILL=b")</f>
        <v/>
      </c>
      <c r="AN184" s="9" t="str">
        <f>_xll.BQL("CRM US Equity", "CFO_TO_SALES", "FPR=2022Y", "FPT=A", "FA_ACT_EST_DATA=E, EST_SOURCE=ACC", "ACT_EST_MAPPING=PRECISE", "FS=MRC", "CURRENCY=USD", "XLFILL=b")</f>
        <v/>
      </c>
      <c r="AO184" s="9" t="str">
        <f>_xll.BQL("CRM US Equity", "CFO_TO_SALES", "FPR=2022Y", "FPT=A", "FA_ACT_EST_DATA=E, EST_SOURCE=GSR", "ACT_EST_MAPPING=PRECISE", "FS=MRC", "CURRENCY=USD", "XLFILL=b")</f>
        <v/>
      </c>
      <c r="AP184" s="9" t="str">
        <f>_xll.BQL("CRM US Equity", "CFO_TO_SALES", "FPR=2022Y", "FPT=A", "FA_ACT_EST_DATA=E, EST_SOURCE=PSG", "ACT_EST_MAPPING=PRECISE", "FS=MRC", "CURRENCY=USD", "XLFILL=b")</f>
        <v/>
      </c>
      <c r="AQ184" s="9" t="str">
        <f>_xll.BQL("CRM US Equity", "CFO_TO_SALES", "FPR=2022Y", "FPT=A", "FA_ACT_EST_DATA=E, EST_SOURCE=DWI", "ACT_EST_MAPPING=PRECISE", "FS=MRC", "CURRENCY=USD", "XLFILL=b")</f>
        <v/>
      </c>
      <c r="AR184" s="9" t="str">
        <f>_xll.BQL("CRM US Equity", "CFO_TO_SALES", "FPR=2022Y", "FPT=A", "FA_ACT_EST_DATA=E, EST_SOURCE=RWB", "ACT_EST_MAPPING=PRECISE", "FS=MRC", "CURRENCY=USD", "XLFILL=b")</f>
        <v/>
      </c>
      <c r="AS184" s="9" t="str">
        <f>_xll.BQL("CRM US Equity", "CFO_TO_SALES", "FPR=2022Y", "FPT=A", "FA_ACT_EST_DATA=E, EST_SOURCE=ARG", "ACT_EST_MAPPING=PRECISE", "FS=MRC", "CURRENCY=USD", "XLFILL=b")</f>
        <v/>
      </c>
      <c r="AT184" s="9" t="str">
        <f>_xll.BQL("CRM US Equity", "CFO_TO_SALES", "FPR=2022Y", "FPT=A", "FA_ACT_EST_DATA=E, EST_SOURCE=CTI", "ACT_EST_MAPPING=PRECISE", "FS=MRC", "CURRENCY=USD", "XLFILL=b")</f>
        <v/>
      </c>
      <c r="AU184" s="9" t="str">
        <f>_xll.BQL("CRM US Equity", "CFO_TO_SALES", "FPR=2022Y", "FPT=A", "FA_ACT_EST_DATA=E, EST_SOURCE=WFT", "ACT_EST_MAPPING=PRECISE", "FS=MRC", "CURRENCY=USD", "XLFILL=b")</f>
        <v/>
      </c>
      <c r="AV184" s="9" t="str">
        <f>_xll.BQL("CRM US Equity", "CFO_TO_SALES", "FPR=2022Y", "FPT=A", "FA_ACT_EST_DATA=E, EST_SOURCE=PJE", "ACT_EST_MAPPING=PRECISE", "FS=MRC", "CURRENCY=USD", "XLFILL=b")</f>
        <v/>
      </c>
      <c r="AW184" s="9" t="str">
        <f>_xll.BQL("CRM US Equity", "CFO_TO_SALES", "FPR=2022Y", "FPT=A", "FA_ACT_EST_DATA=E, EST_SOURCE=SGE", "ACT_EST_MAPPING=PRECISE", "FS=MRC", "CURRENCY=USD", "XLFILL=b")</f>
        <v/>
      </c>
      <c r="AX184" s="9" t="str">
        <f>_xll.BQL("CRM US Equity", "CFO_TO_SALES", "FPR=2022Y", "FPT=A", "FA_ACT_EST_DATA=E, EST_SOURCE=MZS", "ACT_EST_MAPPING=PRECISE", "FS=MRC", "CURRENCY=USD", "XLFILL=b")</f>
        <v/>
      </c>
      <c r="AY184" s="9" t="str">
        <f>_xll.BQL("CRM US Equity", "CFO_TO_SALES", "FPR=2022Y", "FPT=A", "FA_ACT_EST_DATA=E, EST_SOURCE=RCP", "ACT_EST_MAPPING=PRECISE", "FS=MRC", "CURRENCY=USD", "XLFILL=b")</f>
        <v/>
      </c>
      <c r="AZ184" s="9" t="str">
        <f>_xll.BQL("CRM US Equity", "CFO_TO_SALES", "FPR=2022Y", "FPT=A", "FA_ACT_EST_DATA=E, EST_SOURCE=WFR", "ACT_EST_MAPPING=PRECISE", "FS=MRC", "CURRENCY=USD", "XLFILL=b")</f>
        <v/>
      </c>
      <c r="BA184" s="9" t="str">
        <f>_xll.BQL("CRM US Equity", "CFO_TO_SALES", "FPR=2022Y", "FPT=A", "FA_ACT_EST_DATA=E, EST_SOURCE=NIK", "ACT_EST_MAPPING=PRECISE", "FS=MRC", "CURRENCY=USD", "XLFILL=b")</f>
        <v/>
      </c>
      <c r="BB184" s="9" t="str">
        <f>_xll.BQL("CRM US Equity", "CFO_TO_SALES", "FPR=2022Y", "FPT=A", "FA_ACT_EST_DATA=E, EST_SOURCE=ARE", "ACT_EST_MAPPING=PRECISE", "FS=MRC", "CURRENCY=USD", "XLFILL=b")</f>
        <v/>
      </c>
      <c r="BC184" s="9" t="str">
        <f>_xll.BQL("CRM US Equity", "CFO_TO_SALES", "FPR=2022Y", "FPT=A", "FA_ACT_EST_DATA=E, EST_SOURCE=RED", "ACT_EST_MAPPING=PRECISE", "FS=MRC", "CURRENCY=USD", "XLFILL=b")</f>
        <v/>
      </c>
      <c r="BD184" s="9" t="str">
        <f>_xll.BQL("CRM US Equity", "CFO_TO_SALES", "FPR=2022Y", "FPT=A", "FA_ACT_EST_DATA=E, EST_SOURCE=DIR", "ACT_EST_MAPPING=PRECISE", "FS=MRC", "CURRENCY=USD", "XLFILL=b")</f>
        <v/>
      </c>
    </row>
    <row r="185" spans="1:56" x14ac:dyDescent="0.55000000000000004">
      <c r="A185" s="8" t="s">
        <v>353</v>
      </c>
      <c r="B185" s="5" t="s">
        <v>354</v>
      </c>
      <c r="C185" s="5" t="s">
        <v>355</v>
      </c>
      <c r="D185" s="5"/>
      <c r="E185" s="9">
        <f>_xll.BQL("CRM US Equity", "CF_EFFECT_FOREIGN_EXCHANGES/1M", "FPR=2022Y", "FPT=A", "FA_ACT_EST_DATA=E", "ACT_EST_MAPPING=PRECISE", "FS=MRC", "CURRENCY=USD", "XLFILL=b")</f>
        <v>-17.46153846153846</v>
      </c>
      <c r="F185" s="9">
        <f>_xll.BQL("CRM US Equity", "CONTRIBUTOR_STATS(CF_EFFECT_FOREIGN_EXCHANGES, MIN)/1M", "FPR=2022Y", "FPT=A", "FA_ACT_EST_DATA=E", "ACT_EST_MAPPING=PRECISE", "FS=MRC", "CURRENCY=USD", "XLFILL=b")</f>
        <v>-18</v>
      </c>
      <c r="G185" s="9">
        <f>_xll.BQL("CRM US Equity", "CONTRIBUTOR_STATS(CF_EFFECT_FOREIGN_EXCHANGES, MAX)/1M", "FPR=2022Y", "FPT=A", "FA_ACT_EST_DATA=E", "ACT_EST_MAPPING=PRECISE", "FS=MRC", "CURRENCY=USD", "XLFILL=b")</f>
        <v>-11</v>
      </c>
      <c r="H185" s="9">
        <f>_xll.BQL("CRM US Equity", "CONTRIBUTOR_STATS(CF_EFFECT_FOREIGN_EXCHANGES, STD)/1M", "FPR=2022Y", "FPT=A", "FA_ACT_EST_DATA=E", "ACT_EST_MAPPING=PRECISE", "FS=MRC", "CURRENCY=USD", "XLFILL=b")</f>
        <v>1.9414506867883019</v>
      </c>
      <c r="I185" s="9">
        <f>_xll.BQL("CRM US Equity", "CONTRIBUTOR_STATS(CF_EFFECT_FOREIGN_EXCHANGES, MEDIAN)/1M", "FPR=2022Y", "FPT=A", "FA_ACT_EST_DATA=E", "ACT_EST_MAPPING=PRECISE", "FS=MRC", "CURRENCY=USD", "XLFILL=b")</f>
        <v>-18</v>
      </c>
      <c r="J185" s="9" t="str">
        <f>_xll.BQL("CRM US Equity", "CF_EFFECT_FOREIGN_EXCHANGES/1M", "FPR=2022Y", "FPT=A", "FA_ACT_EST_DATA=E, EST_SOURCE=CMPY", "ACT_EST_MAPPING=PRECISE", "FS=MRC", "CURRENCY=USD", "XLFILL=b")</f>
        <v/>
      </c>
      <c r="K185" s="9" t="str">
        <f>_xll.BQL("CRM US Equity", "CF_EFFECT_FOREIGN_EXCHANGES/1M", "FPR=2022Y", "FPT=A", "FA_ACT_EST_DATA=E, EST_SOURCE=WBL", "ACT_EST_MAPPING=PRECISE", "FS=MRC", "CURRENCY=USD", "XLFILL=b")</f>
        <v/>
      </c>
      <c r="L185" s="9" t="str">
        <f>_xll.BQL("CRM US Equity", "CF_EFFECT_FOREIGN_EXCHANGES/1M", "FPR=2022Y", "FPT=A", "FA_ACT_EST_DATA=E, EST_SOURCE=BMO", "ACT_EST_MAPPING=PRECISE", "FS=MRC", "CURRENCY=USD", "XLFILL=b")</f>
        <v/>
      </c>
      <c r="M185" s="9">
        <f>_xll.BQL("CRM US Equity", "CF_EFFECT_FOREIGN_EXCHANGES/1M", "FPR=2022Y", "FPT=A", "FA_ACT_EST_DATA=E, EST_SOURCE=BCA", "ACT_EST_MAPPING=PRECISE", "FS=MRC", "CURRENCY=USD", "XLFILL=b")</f>
        <v>-18</v>
      </c>
      <c r="N185" s="9" t="str">
        <f>_xll.BQL("CRM US Equity", "CF_EFFECT_FOREIGN_EXCHANGES/1M", "FPR=2022Y", "FPT=A", "FA_ACT_EST_DATA=E, EST_SOURCE=SNR", "ACT_EST_MAPPING=PRECISE", "FS=MRC", "CURRENCY=USD", "XLFILL=b")</f>
        <v/>
      </c>
      <c r="O185" s="9">
        <f>_xll.BQL("CRM US Equity", "CF_EFFECT_FOREIGN_EXCHANGES/1M", "FPR=2022Y", "FPT=A", "FA_ACT_EST_DATA=E, EST_SOURCE=MSV", "ACT_EST_MAPPING=PRECISE", "FS=MRC", "CURRENCY=USD", "XLFILL=b")</f>
        <v>-18</v>
      </c>
      <c r="P185" s="9">
        <f>_xll.BQL("CRM US Equity", "CF_EFFECT_FOREIGN_EXCHANGES/1M", "FPR=2022Y", "FPT=A", "FA_ACT_EST_DATA=E, EST_SOURCE=DBG", "ACT_EST_MAPPING=PRECISE", "FS=MRC", "CURRENCY=USD", "XLFILL=b")</f>
        <v>-18</v>
      </c>
      <c r="Q185" s="9">
        <f>_xll.BQL("CRM US Equity", "CF_EFFECT_FOREIGN_EXCHANGES/1M", "FPR=2022Y", "FPT=A", "FA_ACT_EST_DATA=E, EST_SOURCE=NDH", "ACT_EST_MAPPING=PRECISE", "FS=MRC", "CURRENCY=USD", "XLFILL=b")</f>
        <v>-11</v>
      </c>
      <c r="R185" s="9" t="str">
        <f>_xll.BQL("CRM US Equity", "CF_EFFECT_FOREIGN_EXCHANGES/1M", "FPR=2022Y", "FPT=A", "FA_ACT_EST_DATA=E, EST_SOURCE=CAN", "ACT_EST_MAPPING=PRECISE", "FS=MRC", "CURRENCY=USD", "XLFILL=b")</f>
        <v/>
      </c>
      <c r="S185" s="9" t="str">
        <f>_xll.BQL("CRM US Equity", "CF_EFFECT_FOREIGN_EXCHANGES/1M", "FPR=2022Y", "FPT=A", "FA_ACT_EST_DATA=E, EST_SOURCE=SCB", "ACT_EST_MAPPING=PRECISE", "FS=MRC", "CURRENCY=USD", "XLFILL=b")</f>
        <v/>
      </c>
      <c r="T185" s="9" t="str">
        <f>_xll.BQL("CRM US Equity", "CF_EFFECT_FOREIGN_EXCHANGES/1M", "FPR=2022Y", "FPT=A", "FA_ACT_EST_DATA=E, EST_SOURCE=JMP", "ACT_EST_MAPPING=PRECISE", "FS=MRC", "CURRENCY=USD", "XLFILL=b")</f>
        <v/>
      </c>
      <c r="U185" s="9">
        <f>_xll.BQL("CRM US Equity", "CF_EFFECT_FOREIGN_EXCHANGES/1M", "FPR=2022Y", "FPT=A", "FA_ACT_EST_DATA=E, EST_SOURCE=RJA", "ACT_EST_MAPPING=PRECISE", "FS=MRC", "CURRENCY=USD", "XLFILL=b")</f>
        <v>-18</v>
      </c>
      <c r="V185" s="9" t="str">
        <f>_xll.BQL("CRM US Equity", "CF_EFFECT_FOREIGN_EXCHANGES/1M", "FPR=2022Y", "FPT=A", "FA_ACT_EST_DATA=E, EST_SOURCE=OPY", "ACT_EST_MAPPING=PRECISE", "FS=MRC", "CURRENCY=USD", "XLFILL=b")</f>
        <v/>
      </c>
      <c r="W185" s="9" t="str">
        <f>_xll.BQL("CRM US Equity", "CF_EFFECT_FOREIGN_EXCHANGES/1M", "FPR=2022Y", "FPT=A", "FA_ACT_EST_DATA=E, EST_SOURCE=JPM", "ACT_EST_MAPPING=PRECISE", "FS=MRC", "CURRENCY=USD", "XLFILL=b")</f>
        <v/>
      </c>
      <c r="X185" s="9">
        <f>_xll.BQL("CRM US Equity", "CF_EFFECT_FOREIGN_EXCHANGES/1M", "FPR=2022Y", "FPT=A", "FA_ACT_EST_DATA=E, EST_SOURCE=FBC", "ACT_EST_MAPPING=PRECISE", "FS=MRC", "CURRENCY=USD", "XLFILL=b")</f>
        <v>-14</v>
      </c>
      <c r="Y185" s="9" t="str">
        <f>_xll.BQL("CRM US Equity", "CF_EFFECT_FOREIGN_EXCHANGES/1M", "FPR=2022Y", "FPT=A", "FA_ACT_EST_DATA=E, EST_SOURCE=WMS", "ACT_EST_MAPPING=PRECISE", "FS=MRC", "CURRENCY=USD", "XLFILL=b")</f>
        <v/>
      </c>
      <c r="Z185" s="9">
        <f>_xll.BQL("CRM US Equity", "CF_EFFECT_FOREIGN_EXCHANGES/1M", "FPR=2022Y", "FPT=A", "FA_ACT_EST_DATA=E, EST_SOURCE=KEY", "ACT_EST_MAPPING=PRECISE", "FS=MRC", "CURRENCY=USD", "XLFILL=b")</f>
        <v>-14</v>
      </c>
      <c r="AA185" s="9" t="str">
        <f>_xll.BQL("CRM US Equity", "CF_EFFECT_FOREIGN_EXCHANGES/1M", "FPR=2022Y", "FPT=A", "FA_ACT_EST_DATA=E, EST_SOURCE=LCM", "ACT_EST_MAPPING=PRECISE", "FS=MRC", "CURRENCY=USD", "XLFILL=b")</f>
        <v/>
      </c>
      <c r="AB185" s="9" t="str">
        <f>_xll.BQL("CRM US Equity", "CF_EFFECT_FOREIGN_EXCHANGES/1M", "FPR=2022Y", "FPT=A", "FA_ACT_EST_DATA=E, EST_SOURCE=CWN", "ACT_EST_MAPPING=PRECISE", "FS=MRC", "CURRENCY=USD", "XLFILL=b")</f>
        <v/>
      </c>
      <c r="AC185" s="9" t="str">
        <f>_xll.BQL("CRM US Equity", "CF_EFFECT_FOREIGN_EXCHANGES/1M", "FPR=2022Y", "FPT=A", "FA_ACT_EST_DATA=E, EST_SOURCE=BNS", "ACT_EST_MAPPING=PRECISE", "FS=MRC", "CURRENCY=USD", "XLFILL=b")</f>
        <v/>
      </c>
      <c r="AD185" s="9" t="str">
        <f>_xll.BQL("CRM US Equity", "CF_EFFECT_FOREIGN_EXCHANGES/1M", "FPR=2022Y", "FPT=A", "FA_ACT_EST_DATA=E, EST_SOURCE=BAM", "ACT_EST_MAPPING=PRECISE", "FS=MRC", "CURRENCY=USD", "XLFILL=b")</f>
        <v/>
      </c>
      <c r="AE185" s="9" t="str">
        <f>_xll.BQL("CRM US Equity", "CF_EFFECT_FOREIGN_EXCHANGES/1M", "FPR=2022Y", "FPT=A", "FA_ACT_EST_DATA=E, EST_SOURCE=RBC", "ACT_EST_MAPPING=PRECISE", "FS=MRC", "CURRENCY=USD", "XLFILL=b")</f>
        <v/>
      </c>
      <c r="AF185" s="9" t="str">
        <f>_xll.BQL("CRM US Equity", "CF_EFFECT_FOREIGN_EXCHANGES/1M", "FPR=2022Y", "FPT=A", "FA_ACT_EST_DATA=E, EST_SOURCE=UBS", "ACT_EST_MAPPING=PRECISE", "FS=MRC", "CURRENCY=USD", "XLFILL=b")</f>
        <v/>
      </c>
      <c r="AG185" s="9" t="str">
        <f>_xll.BQL("CRM US Equity", "CF_EFFECT_FOREIGN_EXCHANGES/1M", "FPR=2022Y", "FPT=A", "FA_ACT_EST_DATA=E, EST_SOURCE=RHR", "ACT_EST_MAPPING=PRECISE", "FS=MRC", "CURRENCY=USD", "XLFILL=b")</f>
        <v/>
      </c>
      <c r="AH185" s="9" t="str">
        <f>_xll.BQL("CRM US Equity", "CF_EFFECT_FOREIGN_EXCHANGES/1M", "FPR=2022Y", "FPT=A", "FA_ACT_EST_DATA=E, EST_SOURCE=JEF", "ACT_EST_MAPPING=PRECISE", "FS=MRC", "CURRENCY=USD", "XLFILL=b")</f>
        <v/>
      </c>
      <c r="AI185" s="9" t="str">
        <f>_xll.BQL("CRM US Equity", "CF_EFFECT_FOREIGN_EXCHANGES/1M", "FPR=2022Y", "FPT=A", "FA_ACT_EST_DATA=E, EST_SOURCE=ATL", "ACT_EST_MAPPING=PRECISE", "FS=MRC", "CURRENCY=USD", "XLFILL=b")</f>
        <v/>
      </c>
      <c r="AJ185" s="9" t="str">
        <f>_xll.BQL("CRM US Equity", "CF_EFFECT_FOREIGN_EXCHANGES/1M", "FPR=2022Y", "FPT=A", "FA_ACT_EST_DATA=E, EST_SOURCE=MAC", "ACT_EST_MAPPING=PRECISE", "FS=MRC", "CURRENCY=USD", "XLFILL=b")</f>
        <v/>
      </c>
      <c r="AK185" s="9" t="str">
        <f>_xll.BQL("CRM US Equity", "CF_EFFECT_FOREIGN_EXCHANGES/1M", "FPR=2022Y", "FPT=A", "FA_ACT_EST_DATA=E, EST_SOURCE=EVR", "ACT_EST_MAPPING=PRECISE", "FS=MRC", "CURRENCY=USD", "XLFILL=b")</f>
        <v/>
      </c>
      <c r="AL185" s="9" t="str">
        <f>_xll.BQL("CRM US Equity", "CF_EFFECT_FOREIGN_EXCHANGES/1M", "FPR=2022Y", "FPT=A", "FA_ACT_EST_DATA=E, EST_SOURCE=MSR", "ACT_EST_MAPPING=PRECISE", "FS=MRC", "CURRENCY=USD", "XLFILL=b")</f>
        <v/>
      </c>
      <c r="AM185" s="9" t="str">
        <f>_xll.BQL("CRM US Equity", "CF_EFFECT_FOREIGN_EXCHANGES/1M", "FPR=2022Y", "FPT=A", "FA_ACT_EST_DATA=E, EST_SOURCE=KGI", "ACT_EST_MAPPING=PRECISE", "FS=MRC", "CURRENCY=USD", "XLFILL=b")</f>
        <v/>
      </c>
      <c r="AN185" s="9" t="str">
        <f>_xll.BQL("CRM US Equity", "CF_EFFECT_FOREIGN_EXCHANGES/1M", "FPR=2022Y", "FPT=A", "FA_ACT_EST_DATA=E, EST_SOURCE=ACC", "ACT_EST_MAPPING=PRECISE", "FS=MRC", "CURRENCY=USD", "XLFILL=b")</f>
        <v/>
      </c>
      <c r="AO185" s="9" t="str">
        <f>_xll.BQL("CRM US Equity", "CF_EFFECT_FOREIGN_EXCHANGES/1M", "FPR=2022Y", "FPT=A", "FA_ACT_EST_DATA=E, EST_SOURCE=GSR", "ACT_EST_MAPPING=PRECISE", "FS=MRC", "CURRENCY=USD", "XLFILL=b")</f>
        <v/>
      </c>
      <c r="AP185" s="9" t="str">
        <f>_xll.BQL("CRM US Equity", "CF_EFFECT_FOREIGN_EXCHANGES/1M", "FPR=2022Y", "FPT=A", "FA_ACT_EST_DATA=E, EST_SOURCE=PSG", "ACT_EST_MAPPING=PRECISE", "FS=MRC", "CURRENCY=USD", "XLFILL=b")</f>
        <v/>
      </c>
      <c r="AQ185" s="9" t="str">
        <f>_xll.BQL("CRM US Equity", "CF_EFFECT_FOREIGN_EXCHANGES/1M", "FPR=2022Y", "FPT=A", "FA_ACT_EST_DATA=E, EST_SOURCE=DWI", "ACT_EST_MAPPING=PRECISE", "FS=MRC", "CURRENCY=USD", "XLFILL=b")</f>
        <v/>
      </c>
      <c r="AR185" s="9" t="str">
        <f>_xll.BQL("CRM US Equity", "CF_EFFECT_FOREIGN_EXCHANGES/1M", "FPR=2022Y", "FPT=A", "FA_ACT_EST_DATA=E, EST_SOURCE=RWB", "ACT_EST_MAPPING=PRECISE", "FS=MRC", "CURRENCY=USD", "XLFILL=b")</f>
        <v/>
      </c>
      <c r="AS185" s="9" t="str">
        <f>_xll.BQL("CRM US Equity", "CF_EFFECT_FOREIGN_EXCHANGES/1M", "FPR=2022Y", "FPT=A", "FA_ACT_EST_DATA=E, EST_SOURCE=ARG", "ACT_EST_MAPPING=PRECISE", "FS=MRC", "CURRENCY=USD", "XLFILL=b")</f>
        <v/>
      </c>
      <c r="AT185" s="9" t="str">
        <f>_xll.BQL("CRM US Equity", "CF_EFFECT_FOREIGN_EXCHANGES/1M", "FPR=2022Y", "FPT=A", "FA_ACT_EST_DATA=E, EST_SOURCE=CTI", "ACT_EST_MAPPING=PRECISE", "FS=MRC", "CURRENCY=USD", "XLFILL=b")</f>
        <v/>
      </c>
      <c r="AU185" s="9" t="str">
        <f>_xll.BQL("CRM US Equity", "CF_EFFECT_FOREIGN_EXCHANGES/1M", "FPR=2022Y", "FPT=A", "FA_ACT_EST_DATA=E, EST_SOURCE=WFT", "ACT_EST_MAPPING=PRECISE", "FS=MRC", "CURRENCY=USD", "XLFILL=b")</f>
        <v/>
      </c>
      <c r="AV185" s="9" t="str">
        <f>_xll.BQL("CRM US Equity", "CF_EFFECT_FOREIGN_EXCHANGES/1M", "FPR=2022Y", "FPT=A", "FA_ACT_EST_DATA=E, EST_SOURCE=PJE", "ACT_EST_MAPPING=PRECISE", "FS=MRC", "CURRENCY=USD", "XLFILL=b")</f>
        <v/>
      </c>
      <c r="AW185" s="9" t="str">
        <f>_xll.BQL("CRM US Equity", "CF_EFFECT_FOREIGN_EXCHANGES/1M", "FPR=2022Y", "FPT=A", "FA_ACT_EST_DATA=E, EST_SOURCE=SGE", "ACT_EST_MAPPING=PRECISE", "FS=MRC", "CURRENCY=USD", "XLFILL=b")</f>
        <v/>
      </c>
      <c r="AX185" s="9" t="str">
        <f>_xll.BQL("CRM US Equity", "CF_EFFECT_FOREIGN_EXCHANGES/1M", "FPR=2022Y", "FPT=A", "FA_ACT_EST_DATA=E, EST_SOURCE=MZS", "ACT_EST_MAPPING=PRECISE", "FS=MRC", "CURRENCY=USD", "XLFILL=b")</f>
        <v/>
      </c>
      <c r="AY185" s="9" t="str">
        <f>_xll.BQL("CRM US Equity", "CF_EFFECT_FOREIGN_EXCHANGES/1M", "FPR=2022Y", "FPT=A", "FA_ACT_EST_DATA=E, EST_SOURCE=RCP", "ACT_EST_MAPPING=PRECISE", "FS=MRC", "CURRENCY=USD", "XLFILL=b")</f>
        <v/>
      </c>
      <c r="AZ185" s="9" t="str">
        <f>_xll.BQL("CRM US Equity", "CF_EFFECT_FOREIGN_EXCHANGES/1M", "FPR=2022Y", "FPT=A", "FA_ACT_EST_DATA=E, EST_SOURCE=WFR", "ACT_EST_MAPPING=PRECISE", "FS=MRC", "CURRENCY=USD", "XLFILL=b")</f>
        <v/>
      </c>
      <c r="BA185" s="9" t="str">
        <f>_xll.BQL("CRM US Equity", "CF_EFFECT_FOREIGN_EXCHANGES/1M", "FPR=2022Y", "FPT=A", "FA_ACT_EST_DATA=E, EST_SOURCE=NIK", "ACT_EST_MAPPING=PRECISE", "FS=MRC", "CURRENCY=USD", "XLFILL=b")</f>
        <v/>
      </c>
      <c r="BB185" s="9" t="str">
        <f>_xll.BQL("CRM US Equity", "CF_EFFECT_FOREIGN_EXCHANGES/1M", "FPR=2022Y", "FPT=A", "FA_ACT_EST_DATA=E, EST_SOURCE=ARE", "ACT_EST_MAPPING=PRECISE", "FS=MRC", "CURRENCY=USD", "XLFILL=b")</f>
        <v/>
      </c>
      <c r="BC185" s="9" t="str">
        <f>_xll.BQL("CRM US Equity", "CF_EFFECT_FOREIGN_EXCHANGES/1M", "FPR=2022Y", "FPT=A", "FA_ACT_EST_DATA=E, EST_SOURCE=RED", "ACT_EST_MAPPING=PRECISE", "FS=MRC", "CURRENCY=USD", "XLFILL=b")</f>
        <v/>
      </c>
      <c r="BD185" s="9" t="str">
        <f>_xll.BQL("CRM US Equity", "CF_EFFECT_FOREIGN_EXCHANGES/1M", "FPR=2022Y", "FPT=A", "FA_ACT_EST_DATA=E, EST_SOURCE=DIR", "ACT_EST_MAPPING=PRECISE", "FS=MRC", "CURRENCY=USD", "XLFILL=b")</f>
        <v/>
      </c>
    </row>
    <row r="186" spans="1:56" x14ac:dyDescent="0.55000000000000004">
      <c r="A186" s="8" t="s">
        <v>289</v>
      </c>
      <c r="B186" s="5"/>
      <c r="C186" s="5"/>
      <c r="D186" s="5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</row>
    <row r="187" spans="1:56" x14ac:dyDescent="0.55000000000000004">
      <c r="A187" s="8" t="s">
        <v>356</v>
      </c>
      <c r="B187" s="5" t="s">
        <v>357</v>
      </c>
      <c r="C187" s="5" t="s">
        <v>358</v>
      </c>
      <c r="D187" s="5"/>
      <c r="E187" s="9">
        <f>_xll.BQL("CRM US Equity", "CF_NET_CHNG_CASH/1M", "FPR=2022Y", "FPT=A", "FA_ACT_EST_DATA=E", "ACT_EST_MAPPING=PRECISE", "FS=MRC", "CURRENCY=USD", "XLFILL=b")</f>
        <v>25.549396414213739</v>
      </c>
      <c r="F187" s="9">
        <f>_xll.BQL("CRM US Equity", "CONTRIBUTOR_STATS(CF_NET_CHNG_CASH, MIN)/1M", "FPR=2022Y", "FPT=A", "FA_ACT_EST_DATA=E", "ACT_EST_MAPPING=PRECISE", "FS=MRC", "CURRENCY=USD", "XLFILL=b")</f>
        <v>-14.495096824997749</v>
      </c>
      <c r="G187" s="9">
        <f>_xll.BQL("CRM US Equity", "CONTRIBUTOR_STATS(CF_NET_CHNG_CASH, MAX)/1M", "FPR=2022Y", "FPT=A", "FA_ACT_EST_DATA=E", "ACT_EST_MAPPING=PRECISE", "FS=MRC", "CURRENCY=USD", "XLFILL=b")</f>
        <v>146.413507527468</v>
      </c>
      <c r="H187" s="9">
        <f>_xll.BQL("CRM US Equity", "CONTRIBUTOR_STATS(CF_NET_CHNG_CASH, STD)/1M", "FPR=2022Y", "FPT=A", "FA_ACT_EST_DATA=E", "ACT_EST_MAPPING=PRECISE", "FS=MRC", "CURRENCY=USD", "XLFILL=b")</f>
        <v>45.83806048732373</v>
      </c>
      <c r="I187" s="9">
        <f>_xll.BQL("CRM US Equity", "CONTRIBUTOR_STATS(CF_NET_CHNG_CASH, MEDIAN)/1M", "FPR=2022Y", "FPT=A", "FA_ACT_EST_DATA=E", "ACT_EST_MAPPING=PRECISE", "FS=MRC", "CURRENCY=USD", "XLFILL=b")</f>
        <v>17.495179375001271</v>
      </c>
      <c r="J187" s="9" t="str">
        <f>_xll.BQL("CRM US Equity", "CF_NET_CHNG_CASH/1M", "FPR=2022Y", "FPT=A", "FA_ACT_EST_DATA=E, EST_SOURCE=CMPY", "ACT_EST_MAPPING=PRECISE", "FS=MRC", "CURRENCY=USD", "XLFILL=b")</f>
        <v/>
      </c>
      <c r="K187" s="9" t="str">
        <f>_xll.BQL("CRM US Equity", "CF_NET_CHNG_CASH/1M", "FPR=2022Y", "FPT=A", "FA_ACT_EST_DATA=E, EST_SOURCE=WBL", "ACT_EST_MAPPING=PRECISE", "FS=MRC", "CURRENCY=USD", "XLFILL=b")</f>
        <v/>
      </c>
      <c r="L187" s="9" t="str">
        <f>_xll.BQL("CRM US Equity", "CF_NET_CHNG_CASH/1M", "FPR=2022Y", "FPT=A", "FA_ACT_EST_DATA=E, EST_SOURCE=BMO", "ACT_EST_MAPPING=PRECISE", "FS=MRC", "CURRENCY=USD", "XLFILL=b")</f>
        <v/>
      </c>
      <c r="M187" s="9">
        <f>_xll.BQL("CRM US Equity", "CF_NET_CHNG_CASH/1M", "FPR=2022Y", "FPT=A", "FA_ACT_EST_DATA=E, EST_SOURCE=BCA", "ACT_EST_MAPPING=PRECISE", "FS=MRC", "CURRENCY=USD", "XLFILL=b")</f>
        <v>-3.3197899859833342</v>
      </c>
      <c r="N187" s="9" t="str">
        <f>_xll.BQL("CRM US Equity", "CF_NET_CHNG_CASH/1M", "FPR=2022Y", "FPT=A", "FA_ACT_EST_DATA=E, EST_SOURCE=SNR", "ACT_EST_MAPPING=PRECISE", "FS=MRC", "CURRENCY=USD", "XLFILL=b")</f>
        <v/>
      </c>
      <c r="O187" s="9">
        <f>_xll.BQL("CRM US Equity", "CF_NET_CHNG_CASH/1M", "FPR=2022Y", "FPT=A", "FA_ACT_EST_DATA=E, EST_SOURCE=MSV", "ACT_EST_MAPPING=PRECISE", "FS=MRC", "CURRENCY=USD", "XLFILL=b")</f>
        <v>-5739.0693040760962</v>
      </c>
      <c r="P187" s="9">
        <f>_xll.BQL("CRM US Equity", "CF_NET_CHNG_CASH/1M", "FPR=2022Y", "FPT=A", "FA_ACT_EST_DATA=E, EST_SOURCE=DBG", "ACT_EST_MAPPING=PRECISE", "FS=MRC", "CURRENCY=USD", "XLFILL=b")</f>
        <v>1421.379393289144</v>
      </c>
      <c r="Q187" s="9" t="str">
        <f>_xll.BQL("CRM US Equity", "CF_NET_CHNG_CASH/1M", "FPR=2022Y", "FPT=A", "FA_ACT_EST_DATA=E, EST_SOURCE=NDH", "ACT_EST_MAPPING=PRECISE", "FS=MRC", "CURRENCY=USD", "XLFILL=b")</f>
        <v/>
      </c>
      <c r="R187" s="9" t="str">
        <f>_xll.BQL("CRM US Equity", "CF_NET_CHNG_CASH/1M", "FPR=2022Y", "FPT=A", "FA_ACT_EST_DATA=E, EST_SOURCE=CAN", "ACT_EST_MAPPING=PRECISE", "FS=MRC", "CURRENCY=USD", "XLFILL=b")</f>
        <v/>
      </c>
      <c r="S187" s="9" t="str">
        <f>_xll.BQL("CRM US Equity", "CF_NET_CHNG_CASH/1M", "FPR=2022Y", "FPT=A", "FA_ACT_EST_DATA=E, EST_SOURCE=SCB", "ACT_EST_MAPPING=PRECISE", "FS=MRC", "CURRENCY=USD", "XLFILL=b")</f>
        <v/>
      </c>
      <c r="T187" s="9" t="str">
        <f>_xll.BQL("CRM US Equity", "CF_NET_CHNG_CASH/1M", "FPR=2022Y", "FPT=A", "FA_ACT_EST_DATA=E, EST_SOURCE=JMP", "ACT_EST_MAPPING=PRECISE", "FS=MRC", "CURRENCY=USD", "XLFILL=b")</f>
        <v/>
      </c>
      <c r="U187" s="9">
        <f>_xll.BQL("CRM US Equity", "CF_NET_CHNG_CASH/1M", "FPR=2022Y", "FPT=A", "FA_ACT_EST_DATA=E, EST_SOURCE=RJA", "ACT_EST_MAPPING=PRECISE", "FS=MRC", "CURRENCY=USD", "XLFILL=b")</f>
        <v>-9.5271812708303329</v>
      </c>
      <c r="V187" s="9" t="str">
        <f>_xll.BQL("CRM US Equity", "CF_NET_CHNG_CASH/1M", "FPR=2022Y", "FPT=A", "FA_ACT_EST_DATA=E, EST_SOURCE=OPY", "ACT_EST_MAPPING=PRECISE", "FS=MRC", "CURRENCY=USD", "XLFILL=b")</f>
        <v/>
      </c>
      <c r="W187" s="9" t="str">
        <f>_xll.BQL("CRM US Equity", "CF_NET_CHNG_CASH/1M", "FPR=2022Y", "FPT=A", "FA_ACT_EST_DATA=E, EST_SOURCE=JPM", "ACT_EST_MAPPING=PRECISE", "FS=MRC", "CURRENCY=USD", "XLFILL=b")</f>
        <v/>
      </c>
      <c r="X187" s="9">
        <f>_xll.BQL("CRM US Equity", "CF_NET_CHNG_CASH/1M", "FPR=2022Y", "FPT=A", "FA_ACT_EST_DATA=E, EST_SOURCE=FBC", "ACT_EST_MAPPING=PRECISE", "FS=MRC", "CURRENCY=USD", "XLFILL=b")</f>
        <v>-505.71279516390399</v>
      </c>
      <c r="Y187" s="9">
        <f>_xll.BQL("CRM US Equity", "CF_NET_CHNG_CASH/1M", "FPR=2022Y", "FPT=A", "FA_ACT_EST_DATA=E, EST_SOURCE=WMS", "ACT_EST_MAPPING=PRECISE", "FS=MRC", "CURRENCY=USD", "XLFILL=b")</f>
        <v>7474.6406934218248</v>
      </c>
      <c r="Z187" s="9" t="str">
        <f>_xll.BQL("CRM US Equity", "CF_NET_CHNG_CASH/1M", "FPR=2022Y", "FPT=A", "FA_ACT_EST_DATA=E, EST_SOURCE=KEY", "ACT_EST_MAPPING=PRECISE", "FS=MRC", "CURRENCY=USD", "XLFILL=b")</f>
        <v/>
      </c>
      <c r="AA187" s="9" t="str">
        <f>_xll.BQL("CRM US Equity", "CF_NET_CHNG_CASH/1M", "FPR=2022Y", "FPT=A", "FA_ACT_EST_DATA=E, EST_SOURCE=LCM", "ACT_EST_MAPPING=PRECISE", "FS=MRC", "CURRENCY=USD", "XLFILL=b")</f>
        <v/>
      </c>
      <c r="AB187" s="9" t="str">
        <f>_xll.BQL("CRM US Equity", "CF_NET_CHNG_CASH/1M", "FPR=2022Y", "FPT=A", "FA_ACT_EST_DATA=E, EST_SOURCE=CWN", "ACT_EST_MAPPING=PRECISE", "FS=MRC", "CURRENCY=USD", "XLFILL=b")</f>
        <v/>
      </c>
      <c r="AC187" s="9" t="str">
        <f>_xll.BQL("CRM US Equity", "CF_NET_CHNG_CASH/1M", "FPR=2022Y", "FPT=A", "FA_ACT_EST_DATA=E, EST_SOURCE=BNS", "ACT_EST_MAPPING=PRECISE", "FS=MRC", "CURRENCY=USD", "XLFILL=b")</f>
        <v/>
      </c>
      <c r="AD187" s="9" t="str">
        <f>_xll.BQL("CRM US Equity", "CF_NET_CHNG_CASH/1M", "FPR=2022Y", "FPT=A", "FA_ACT_EST_DATA=E, EST_SOURCE=BAM", "ACT_EST_MAPPING=PRECISE", "FS=MRC", "CURRENCY=USD", "XLFILL=b")</f>
        <v/>
      </c>
      <c r="AE187" s="9" t="str">
        <f>_xll.BQL("CRM US Equity", "CF_NET_CHNG_CASH/1M", "FPR=2022Y", "FPT=A", "FA_ACT_EST_DATA=E, EST_SOURCE=RBC", "ACT_EST_MAPPING=PRECISE", "FS=MRC", "CURRENCY=USD", "XLFILL=b")</f>
        <v/>
      </c>
      <c r="AF187" s="9" t="str">
        <f>_xll.BQL("CRM US Equity", "CF_NET_CHNG_CASH/1M", "FPR=2022Y", "FPT=A", "FA_ACT_EST_DATA=E, EST_SOURCE=UBS", "ACT_EST_MAPPING=PRECISE", "FS=MRC", "CURRENCY=USD", "XLFILL=b")</f>
        <v/>
      </c>
      <c r="AG187" s="9" t="str">
        <f>_xll.BQL("CRM US Equity", "CF_NET_CHNG_CASH/1M", "FPR=2022Y", "FPT=A", "FA_ACT_EST_DATA=E, EST_SOURCE=RHR", "ACT_EST_MAPPING=PRECISE", "FS=MRC", "CURRENCY=USD", "XLFILL=b")</f>
        <v/>
      </c>
      <c r="AH187" s="9" t="str">
        <f>_xll.BQL("CRM US Equity", "CF_NET_CHNG_CASH/1M", "FPR=2022Y", "FPT=A", "FA_ACT_EST_DATA=E, EST_SOURCE=JEF", "ACT_EST_MAPPING=PRECISE", "FS=MRC", "CURRENCY=USD", "XLFILL=b")</f>
        <v/>
      </c>
      <c r="AI187" s="9" t="str">
        <f>_xll.BQL("CRM US Equity", "CF_NET_CHNG_CASH/1M", "FPR=2022Y", "FPT=A", "FA_ACT_EST_DATA=E, EST_SOURCE=ATL", "ACT_EST_MAPPING=PRECISE", "FS=MRC", "CURRENCY=USD", "XLFILL=b")</f>
        <v/>
      </c>
      <c r="AJ187" s="9" t="str">
        <f>_xll.BQL("CRM US Equity", "CF_NET_CHNG_CASH/1M", "FPR=2022Y", "FPT=A", "FA_ACT_EST_DATA=E, EST_SOURCE=MAC", "ACT_EST_MAPPING=PRECISE", "FS=MRC", "CURRENCY=USD", "XLFILL=b")</f>
        <v/>
      </c>
      <c r="AK187" s="9" t="str">
        <f>_xll.BQL("CRM US Equity", "CF_NET_CHNG_CASH/1M", "FPR=2022Y", "FPT=A", "FA_ACT_EST_DATA=E, EST_SOURCE=EVR", "ACT_EST_MAPPING=PRECISE", "FS=MRC", "CURRENCY=USD", "XLFILL=b")</f>
        <v/>
      </c>
      <c r="AL187" s="9" t="str">
        <f>_xll.BQL("CRM US Equity", "CF_NET_CHNG_CASH/1M", "FPR=2022Y", "FPT=A", "FA_ACT_EST_DATA=E, EST_SOURCE=MSR", "ACT_EST_MAPPING=PRECISE", "FS=MRC", "CURRENCY=USD", "XLFILL=b")</f>
        <v/>
      </c>
      <c r="AM187" s="9" t="str">
        <f>_xll.BQL("CRM US Equity", "CF_NET_CHNG_CASH/1M", "FPR=2022Y", "FPT=A", "FA_ACT_EST_DATA=E, EST_SOURCE=KGI", "ACT_EST_MAPPING=PRECISE", "FS=MRC", "CURRENCY=USD", "XLFILL=b")</f>
        <v/>
      </c>
      <c r="AN187" s="9" t="str">
        <f>_xll.BQL("CRM US Equity", "CF_NET_CHNG_CASH/1M", "FPR=2022Y", "FPT=A", "FA_ACT_EST_DATA=E, EST_SOURCE=ACC", "ACT_EST_MAPPING=PRECISE", "FS=MRC", "CURRENCY=USD", "XLFILL=b")</f>
        <v/>
      </c>
      <c r="AO187" s="9" t="str">
        <f>_xll.BQL("CRM US Equity", "CF_NET_CHNG_CASH/1M", "FPR=2022Y", "FPT=A", "FA_ACT_EST_DATA=E, EST_SOURCE=GSR", "ACT_EST_MAPPING=PRECISE", "FS=MRC", "CURRENCY=USD", "XLFILL=b")</f>
        <v/>
      </c>
      <c r="AP187" s="9" t="str">
        <f>_xll.BQL("CRM US Equity", "CF_NET_CHNG_CASH/1M", "FPR=2022Y", "FPT=A", "FA_ACT_EST_DATA=E, EST_SOURCE=PSG", "ACT_EST_MAPPING=PRECISE", "FS=MRC", "CURRENCY=USD", "XLFILL=b")</f>
        <v/>
      </c>
      <c r="AQ187" s="9" t="str">
        <f>_xll.BQL("CRM US Equity", "CF_NET_CHNG_CASH/1M", "FPR=2022Y", "FPT=A", "FA_ACT_EST_DATA=E, EST_SOURCE=DWI", "ACT_EST_MAPPING=PRECISE", "FS=MRC", "CURRENCY=USD", "XLFILL=b")</f>
        <v/>
      </c>
      <c r="AR187" s="9" t="str">
        <f>_xll.BQL("CRM US Equity", "CF_NET_CHNG_CASH/1M", "FPR=2022Y", "FPT=A", "FA_ACT_EST_DATA=E, EST_SOURCE=RWB", "ACT_EST_MAPPING=PRECISE", "FS=MRC", "CURRENCY=USD", "XLFILL=b")</f>
        <v/>
      </c>
      <c r="AS187" s="9" t="str">
        <f>_xll.BQL("CRM US Equity", "CF_NET_CHNG_CASH/1M", "FPR=2022Y", "FPT=A", "FA_ACT_EST_DATA=E, EST_SOURCE=ARG", "ACT_EST_MAPPING=PRECISE", "FS=MRC", "CURRENCY=USD", "XLFILL=b")</f>
        <v/>
      </c>
      <c r="AT187" s="9" t="str">
        <f>_xll.BQL("CRM US Equity", "CF_NET_CHNG_CASH/1M", "FPR=2022Y", "FPT=A", "FA_ACT_EST_DATA=E, EST_SOURCE=CTI", "ACT_EST_MAPPING=PRECISE", "FS=MRC", "CURRENCY=USD", "XLFILL=b")</f>
        <v/>
      </c>
      <c r="AU187" s="9" t="str">
        <f>_xll.BQL("CRM US Equity", "CF_NET_CHNG_CASH/1M", "FPR=2022Y", "FPT=A", "FA_ACT_EST_DATA=E, EST_SOURCE=WFT", "ACT_EST_MAPPING=PRECISE", "FS=MRC", "CURRENCY=USD", "XLFILL=b")</f>
        <v/>
      </c>
      <c r="AV187" s="9" t="str">
        <f>_xll.BQL("CRM US Equity", "CF_NET_CHNG_CASH/1M", "FPR=2022Y", "FPT=A", "FA_ACT_EST_DATA=E, EST_SOURCE=PJE", "ACT_EST_MAPPING=PRECISE", "FS=MRC", "CURRENCY=USD", "XLFILL=b")</f>
        <v/>
      </c>
      <c r="AW187" s="9" t="str">
        <f>_xll.BQL("CRM US Equity", "CF_NET_CHNG_CASH/1M", "FPR=2022Y", "FPT=A", "FA_ACT_EST_DATA=E, EST_SOURCE=SGE", "ACT_EST_MAPPING=PRECISE", "FS=MRC", "CURRENCY=USD", "XLFILL=b")</f>
        <v/>
      </c>
      <c r="AX187" s="9" t="str">
        <f>_xll.BQL("CRM US Equity", "CF_NET_CHNG_CASH/1M", "FPR=2022Y", "FPT=A", "FA_ACT_EST_DATA=E, EST_SOURCE=MZS", "ACT_EST_MAPPING=PRECISE", "FS=MRC", "CURRENCY=USD", "XLFILL=b")</f>
        <v/>
      </c>
      <c r="AY187" s="9" t="str">
        <f>_xll.BQL("CRM US Equity", "CF_NET_CHNG_CASH/1M", "FPR=2022Y", "FPT=A", "FA_ACT_EST_DATA=E, EST_SOURCE=RCP", "ACT_EST_MAPPING=PRECISE", "FS=MRC", "CURRENCY=USD", "XLFILL=b")</f>
        <v/>
      </c>
      <c r="AZ187" s="9" t="str">
        <f>_xll.BQL("CRM US Equity", "CF_NET_CHNG_CASH/1M", "FPR=2022Y", "FPT=A", "FA_ACT_EST_DATA=E, EST_SOURCE=WFR", "ACT_EST_MAPPING=PRECISE", "FS=MRC", "CURRENCY=USD", "XLFILL=b")</f>
        <v/>
      </c>
      <c r="BA187" s="9" t="str">
        <f>_xll.BQL("CRM US Equity", "CF_NET_CHNG_CASH/1M", "FPR=2022Y", "FPT=A", "FA_ACT_EST_DATA=E, EST_SOURCE=NIK", "ACT_EST_MAPPING=PRECISE", "FS=MRC", "CURRENCY=USD", "XLFILL=b")</f>
        <v/>
      </c>
      <c r="BB187" s="9" t="str">
        <f>_xll.BQL("CRM US Equity", "CF_NET_CHNG_CASH/1M", "FPR=2022Y", "FPT=A", "FA_ACT_EST_DATA=E, EST_SOURCE=ARE", "ACT_EST_MAPPING=PRECISE", "FS=MRC", "CURRENCY=USD", "XLFILL=b")</f>
        <v/>
      </c>
      <c r="BC187" s="9" t="str">
        <f>_xll.BQL("CRM US Equity", "CF_NET_CHNG_CASH/1M", "FPR=2022Y", "FPT=A", "FA_ACT_EST_DATA=E, EST_SOURCE=RED", "ACT_EST_MAPPING=PRECISE", "FS=MRC", "CURRENCY=USD", "XLFILL=b")</f>
        <v/>
      </c>
      <c r="BD187" s="9" t="str">
        <f>_xll.BQL("CRM US Equity", "CF_NET_CHNG_CASH/1M", "FPR=2022Y", "FPT=A", "FA_ACT_EST_DATA=E, EST_SOURCE=DIR", "ACT_EST_MAPPING=PRECISE", "FS=MRC", "CURRENCY=USD", "XLFILL=b")</f>
        <v/>
      </c>
    </row>
    <row r="188" spans="1:56" x14ac:dyDescent="0.55000000000000004">
      <c r="A188" s="8" t="s">
        <v>359</v>
      </c>
      <c r="B188" s="5" t="s">
        <v>195</v>
      </c>
      <c r="C188" s="5" t="s">
        <v>360</v>
      </c>
      <c r="D188" s="5"/>
      <c r="E188" s="9">
        <f>_xll.BQL("CRM US Equity", "BS_CASH_NEAR_CASH_ITEM/1M", "FPR=2022Y", "FPT=A", "FA_ACT_EST_DATA=E", "ACT_EST_MAPPING=PRECISE", "FS=MRC", "CURRENCY=USD", "XLFILL=b")</f>
        <v>6406.4677409735523</v>
      </c>
      <c r="F188" s="9">
        <f>_xll.BQL("CRM US Equity", "CONTRIBUTOR_STATS(BS_CASH_NEAR_CASH_ITEM, MIN)/1M", "FPR=2022Y", "FPT=A", "FA_ACT_EST_DATA=E", "ACT_EST_MAPPING=PRECISE", "FS=MRC", "CURRENCY=USD", "XLFILL=b")</f>
        <v>6180.5049031750023</v>
      </c>
      <c r="G188" s="9">
        <f>_xll.BQL("CRM US Equity", "CONTRIBUTOR_STATS(BS_CASH_NEAR_CASH_ITEM, MAX)/1M", "FPR=2022Y", "FPT=A", "FA_ACT_EST_DATA=E", "ACT_EST_MAPPING=PRECISE", "FS=MRC", "CURRENCY=USD", "XLFILL=b")</f>
        <v>7844.6291499999998</v>
      </c>
      <c r="H188" s="9">
        <f>_xll.BQL("CRM US Equity", "CONTRIBUTOR_STATS(BS_CASH_NEAR_CASH_ITEM, STD)/1M", "FPR=2022Y", "FPT=A", "FA_ACT_EST_DATA=E", "ACT_EST_MAPPING=PRECISE", "FS=MRC", "CURRENCY=USD", "XLFILL=b")</f>
        <v>541.26162342755993</v>
      </c>
      <c r="I188" s="9">
        <f>_xll.BQL("CRM US Equity", "CONTRIBUTOR_STATS(BS_CASH_NEAR_CASH_ITEM, MEDIAN)/1M", "FPR=2022Y", "FPT=A", "FA_ACT_EST_DATA=E", "ACT_EST_MAPPING=PRECISE", "FS=MRC", "CURRENCY=USD", "XLFILL=b")</f>
        <v>6221.5710327355901</v>
      </c>
      <c r="J188" s="9" t="str">
        <f>_xll.BQL("CRM US Equity", "BS_CASH_NEAR_CASH_ITEM/1M", "FPR=2022Y", "FPT=A", "FA_ACT_EST_DATA=E, EST_SOURCE=CMPY", "ACT_EST_MAPPING=PRECISE", "FS=MRC", "CURRENCY=USD", "XLFILL=b")</f>
        <v/>
      </c>
      <c r="K188" s="9" t="str">
        <f>_xll.BQL("CRM US Equity", "BS_CASH_NEAR_CASH_ITEM/1M", "FPR=2022Y", "FPT=A", "FA_ACT_EST_DATA=E, EST_SOURCE=WBL", "ACT_EST_MAPPING=PRECISE", "FS=MRC", "CURRENCY=USD", "XLFILL=b")</f>
        <v/>
      </c>
      <c r="L188" s="9" t="str">
        <f>_xll.BQL("CRM US Equity", "BS_CASH_NEAR_CASH_ITEM/1M", "FPR=2022Y", "FPT=A", "FA_ACT_EST_DATA=E, EST_SOURCE=BMO", "ACT_EST_MAPPING=PRECISE", "FS=MRC", "CURRENCY=USD", "XLFILL=b")</f>
        <v/>
      </c>
      <c r="M188" s="9">
        <f>_xll.BQL("CRM US Equity", "BS_CASH_NEAR_CASH_ITEM/1M", "FPR=2022Y", "FPT=A", "FA_ACT_EST_DATA=E, EST_SOURCE=BCA", "ACT_EST_MAPPING=PRECISE", "FS=MRC", "CURRENCY=USD", "XLFILL=b")</f>
        <v>6191.6802100140158</v>
      </c>
      <c r="N188" s="9" t="str">
        <f>_xll.BQL("CRM US Equity", "BS_CASH_NEAR_CASH_ITEM/1M", "FPR=2022Y", "FPT=A", "FA_ACT_EST_DATA=E, EST_SOURCE=SNR", "ACT_EST_MAPPING=PRECISE", "FS=MRC", "CURRENCY=USD", "XLFILL=b")</f>
        <v/>
      </c>
      <c r="O188" s="9">
        <f>_xll.BQL("CRM US Equity", "BS_CASH_NEAR_CASH_ITEM/1M", "FPR=2022Y", "FPT=A", "FA_ACT_EST_DATA=E, EST_SOURCE=MSV", "ACT_EST_MAPPING=PRECISE", "FS=MRC", "CURRENCY=USD", "XLFILL=b")</f>
        <v>10040.899011798349</v>
      </c>
      <c r="P188" s="9">
        <f>_xll.BQL("CRM US Equity", "BS_CASH_NEAR_CASH_ITEM/1M", "FPR=2022Y", "FPT=A", "FA_ACT_EST_DATA=E, EST_SOURCE=DBG", "ACT_EST_MAPPING=PRECISE", "FS=MRC", "CURRENCY=USD", "XLFILL=b")</f>
        <v>6221.5710327355901</v>
      </c>
      <c r="Q188" s="9">
        <f>_xll.BQL("CRM US Equity", "BS_CASH_NEAR_CASH_ITEM/1M", "FPR=2022Y", "FPT=A", "FA_ACT_EST_DATA=E, EST_SOURCE=NDH", "ACT_EST_MAPPING=PRECISE", "FS=MRC", "CURRENCY=USD", "XLFILL=b")</f>
        <v>7844.6291499999998</v>
      </c>
      <c r="R188" s="9" t="str">
        <f>_xll.BQL("CRM US Equity", "BS_CASH_NEAR_CASH_ITEM/1M", "FPR=2022Y", "FPT=A", "FA_ACT_EST_DATA=E, EST_SOURCE=CAN", "ACT_EST_MAPPING=PRECISE", "FS=MRC", "CURRENCY=USD", "XLFILL=b")</f>
        <v/>
      </c>
      <c r="S188" s="9" t="str">
        <f>_xll.BQL("CRM US Equity", "BS_CASH_NEAR_CASH_ITEM/1M", "FPR=2022Y", "FPT=A", "FA_ACT_EST_DATA=E, EST_SOURCE=SCB", "ACT_EST_MAPPING=PRECISE", "FS=MRC", "CURRENCY=USD", "XLFILL=b")</f>
        <v/>
      </c>
      <c r="T188" s="9" t="str">
        <f>_xll.BQL("CRM US Equity", "BS_CASH_NEAR_CASH_ITEM/1M", "FPR=2022Y", "FPT=A", "FA_ACT_EST_DATA=E, EST_SOURCE=JMP", "ACT_EST_MAPPING=PRECISE", "FS=MRC", "CURRENCY=USD", "XLFILL=b")</f>
        <v/>
      </c>
      <c r="U188" s="9" t="str">
        <f>_xll.BQL("CRM US Equity", "BS_CASH_NEAR_CASH_ITEM/1M", "FPR=2022Y", "FPT=A", "FA_ACT_EST_DATA=E, EST_SOURCE=RJA", "ACT_EST_MAPPING=PRECISE", "FS=MRC", "CURRENCY=USD", "XLFILL=b")</f>
        <v/>
      </c>
      <c r="V188" s="9" t="str">
        <f>_xll.BQL("CRM US Equity", "BS_CASH_NEAR_CASH_ITEM/1M", "FPR=2022Y", "FPT=A", "FA_ACT_EST_DATA=E, EST_SOURCE=OPY", "ACT_EST_MAPPING=PRECISE", "FS=MRC", "CURRENCY=USD", "XLFILL=b")</f>
        <v/>
      </c>
      <c r="W188" s="9" t="str">
        <f>_xll.BQL("CRM US Equity", "BS_CASH_NEAR_CASH_ITEM/1M", "FPR=2022Y", "FPT=A", "FA_ACT_EST_DATA=E, EST_SOURCE=JPM", "ACT_EST_MAPPING=PRECISE", "FS=MRC", "CURRENCY=USD", "XLFILL=b")</f>
        <v/>
      </c>
      <c r="X188" s="9">
        <f>_xll.BQL("CRM US Equity", "BS_CASH_NEAR_CASH_ITEM/1M", "FPR=2022Y", "FPT=A", "FA_ACT_EST_DATA=E, EST_SOURCE=FBC", "ACT_EST_MAPPING=PRECISE", "FS=MRC", "CURRENCY=USD", "XLFILL=b")</f>
        <v>12028.51475716339</v>
      </c>
      <c r="Y188" s="9">
        <f>_xll.BQL("CRM US Equity", "BS_CASH_NEAR_CASH_ITEM/1M", "FPR=2022Y", "FPT=A", "FA_ACT_EST_DATA=E, EST_SOURCE=WMS", "ACT_EST_MAPPING=PRECISE", "FS=MRC", "CURRENCY=USD", "XLFILL=b")</f>
        <v>15118.43681415036</v>
      </c>
      <c r="Z188" s="9">
        <f>_xll.BQL("CRM US Equity", "BS_CASH_NEAR_CASH_ITEM/1M", "FPR=2022Y", "FPT=A", "FA_ACT_EST_DATA=E, EST_SOURCE=KEY", "ACT_EST_MAPPING=PRECISE", "FS=MRC", "CURRENCY=USD", "XLFILL=b")</f>
        <v>7841.494451247886</v>
      </c>
      <c r="AA188" s="9" t="str">
        <f>_xll.BQL("CRM US Equity", "BS_CASH_NEAR_CASH_ITEM/1M", "FPR=2022Y", "FPT=A", "FA_ACT_EST_DATA=E, EST_SOURCE=LCM", "ACT_EST_MAPPING=PRECISE", "FS=MRC", "CURRENCY=USD", "XLFILL=b")</f>
        <v/>
      </c>
      <c r="AB188" s="9" t="str">
        <f>_xll.BQL("CRM US Equity", "BS_CASH_NEAR_CASH_ITEM/1M", "FPR=2022Y", "FPT=A", "FA_ACT_EST_DATA=E, EST_SOURCE=CWN", "ACT_EST_MAPPING=PRECISE", "FS=MRC", "CURRENCY=USD", "XLFILL=b")</f>
        <v/>
      </c>
      <c r="AC188" s="9" t="str">
        <f>_xll.BQL("CRM US Equity", "BS_CASH_NEAR_CASH_ITEM/1M", "FPR=2022Y", "FPT=A", "FA_ACT_EST_DATA=E, EST_SOURCE=BNS", "ACT_EST_MAPPING=PRECISE", "FS=MRC", "CURRENCY=USD", "XLFILL=b")</f>
        <v/>
      </c>
      <c r="AD188" s="9" t="str">
        <f>_xll.BQL("CRM US Equity", "BS_CASH_NEAR_CASH_ITEM/1M", "FPR=2022Y", "FPT=A", "FA_ACT_EST_DATA=E, EST_SOURCE=BAM", "ACT_EST_MAPPING=PRECISE", "FS=MRC", "CURRENCY=USD", "XLFILL=b")</f>
        <v/>
      </c>
      <c r="AE188" s="9" t="str">
        <f>_xll.BQL("CRM US Equity", "BS_CASH_NEAR_CASH_ITEM/1M", "FPR=2022Y", "FPT=A", "FA_ACT_EST_DATA=E, EST_SOURCE=RBC", "ACT_EST_MAPPING=PRECISE", "FS=MRC", "CURRENCY=USD", "XLFILL=b")</f>
        <v/>
      </c>
      <c r="AF188" s="9" t="str">
        <f>_xll.BQL("CRM US Equity", "BS_CASH_NEAR_CASH_ITEM/1M", "FPR=2022Y", "FPT=A", "FA_ACT_EST_DATA=E, EST_SOURCE=UBS", "ACT_EST_MAPPING=PRECISE", "FS=MRC", "CURRENCY=USD", "XLFILL=b")</f>
        <v/>
      </c>
      <c r="AG188" s="9" t="str">
        <f>_xll.BQL("CRM US Equity", "BS_CASH_NEAR_CASH_ITEM/1M", "FPR=2022Y", "FPT=A", "FA_ACT_EST_DATA=E, EST_SOURCE=RHR", "ACT_EST_MAPPING=PRECISE", "FS=MRC", "CURRENCY=USD", "XLFILL=b")</f>
        <v/>
      </c>
      <c r="AH188" s="9" t="str">
        <f>_xll.BQL("CRM US Equity", "BS_CASH_NEAR_CASH_ITEM/1M", "FPR=2022Y", "FPT=A", "FA_ACT_EST_DATA=E, EST_SOURCE=JEF", "ACT_EST_MAPPING=PRECISE", "FS=MRC", "CURRENCY=USD", "XLFILL=b")</f>
        <v/>
      </c>
      <c r="AI188" s="9" t="str">
        <f>_xll.BQL("CRM US Equity", "BS_CASH_NEAR_CASH_ITEM/1M", "FPR=2022Y", "FPT=A", "FA_ACT_EST_DATA=E, EST_SOURCE=ATL", "ACT_EST_MAPPING=PRECISE", "FS=MRC", "CURRENCY=USD", "XLFILL=b")</f>
        <v/>
      </c>
      <c r="AJ188" s="9" t="str">
        <f>_xll.BQL("CRM US Equity", "BS_CASH_NEAR_CASH_ITEM/1M", "FPR=2022Y", "FPT=A", "FA_ACT_EST_DATA=E, EST_SOURCE=MAC", "ACT_EST_MAPPING=PRECISE", "FS=MRC", "CURRENCY=USD", "XLFILL=b")</f>
        <v/>
      </c>
      <c r="AK188" s="9" t="str">
        <f>_xll.BQL("CRM US Equity", "BS_CASH_NEAR_CASH_ITEM/1M", "FPR=2022Y", "FPT=A", "FA_ACT_EST_DATA=E, EST_SOURCE=EVR", "ACT_EST_MAPPING=PRECISE", "FS=MRC", "CURRENCY=USD", "XLFILL=b")</f>
        <v/>
      </c>
      <c r="AL188" s="9" t="str">
        <f>_xll.BQL("CRM US Equity", "BS_CASH_NEAR_CASH_ITEM/1M", "FPR=2022Y", "FPT=A", "FA_ACT_EST_DATA=E, EST_SOURCE=MSR", "ACT_EST_MAPPING=PRECISE", "FS=MRC", "CURRENCY=USD", "XLFILL=b")</f>
        <v/>
      </c>
      <c r="AM188" s="9" t="str">
        <f>_xll.BQL("CRM US Equity", "BS_CASH_NEAR_CASH_ITEM/1M", "FPR=2022Y", "FPT=A", "FA_ACT_EST_DATA=E, EST_SOURCE=KGI", "ACT_EST_MAPPING=PRECISE", "FS=MRC", "CURRENCY=USD", "XLFILL=b")</f>
        <v/>
      </c>
      <c r="AN188" s="9" t="str">
        <f>_xll.BQL("CRM US Equity", "BS_CASH_NEAR_CASH_ITEM/1M", "FPR=2022Y", "FPT=A", "FA_ACT_EST_DATA=E, EST_SOURCE=ACC", "ACT_EST_MAPPING=PRECISE", "FS=MRC", "CURRENCY=USD", "XLFILL=b")</f>
        <v/>
      </c>
      <c r="AO188" s="9" t="str">
        <f>_xll.BQL("CRM US Equity", "BS_CASH_NEAR_CASH_ITEM/1M", "FPR=2022Y", "FPT=A", "FA_ACT_EST_DATA=E, EST_SOURCE=GSR", "ACT_EST_MAPPING=PRECISE", "FS=MRC", "CURRENCY=USD", "XLFILL=b")</f>
        <v/>
      </c>
      <c r="AP188" s="9" t="str">
        <f>_xll.BQL("CRM US Equity", "BS_CASH_NEAR_CASH_ITEM/1M", "FPR=2022Y", "FPT=A", "FA_ACT_EST_DATA=E, EST_SOURCE=PSG", "ACT_EST_MAPPING=PRECISE", "FS=MRC", "CURRENCY=USD", "XLFILL=b")</f>
        <v/>
      </c>
      <c r="AQ188" s="9" t="str">
        <f>_xll.BQL("CRM US Equity", "BS_CASH_NEAR_CASH_ITEM/1M", "FPR=2022Y", "FPT=A", "FA_ACT_EST_DATA=E, EST_SOURCE=DWI", "ACT_EST_MAPPING=PRECISE", "FS=MRC", "CURRENCY=USD", "XLFILL=b")</f>
        <v/>
      </c>
      <c r="AR188" s="9" t="str">
        <f>_xll.BQL("CRM US Equity", "BS_CASH_NEAR_CASH_ITEM/1M", "FPR=2022Y", "FPT=A", "FA_ACT_EST_DATA=E, EST_SOURCE=RWB", "ACT_EST_MAPPING=PRECISE", "FS=MRC", "CURRENCY=USD", "XLFILL=b")</f>
        <v/>
      </c>
      <c r="AS188" s="9" t="str">
        <f>_xll.BQL("CRM US Equity", "BS_CASH_NEAR_CASH_ITEM/1M", "FPR=2022Y", "FPT=A", "FA_ACT_EST_DATA=E, EST_SOURCE=ARG", "ACT_EST_MAPPING=PRECISE", "FS=MRC", "CURRENCY=USD", "XLFILL=b")</f>
        <v/>
      </c>
      <c r="AT188" s="9" t="str">
        <f>_xll.BQL("CRM US Equity", "BS_CASH_NEAR_CASH_ITEM/1M", "FPR=2022Y", "FPT=A", "FA_ACT_EST_DATA=E, EST_SOURCE=CTI", "ACT_EST_MAPPING=PRECISE", "FS=MRC", "CURRENCY=USD", "XLFILL=b")</f>
        <v/>
      </c>
      <c r="AU188" s="9" t="str">
        <f>_xll.BQL("CRM US Equity", "BS_CASH_NEAR_CASH_ITEM/1M", "FPR=2022Y", "FPT=A", "FA_ACT_EST_DATA=E, EST_SOURCE=WFT", "ACT_EST_MAPPING=PRECISE", "FS=MRC", "CURRENCY=USD", "XLFILL=b")</f>
        <v/>
      </c>
      <c r="AV188" s="9" t="str">
        <f>_xll.BQL("CRM US Equity", "BS_CASH_NEAR_CASH_ITEM/1M", "FPR=2022Y", "FPT=A", "FA_ACT_EST_DATA=E, EST_SOURCE=PJE", "ACT_EST_MAPPING=PRECISE", "FS=MRC", "CURRENCY=USD", "XLFILL=b")</f>
        <v/>
      </c>
      <c r="AW188" s="9" t="str">
        <f>_xll.BQL("CRM US Equity", "BS_CASH_NEAR_CASH_ITEM/1M", "FPR=2022Y", "FPT=A", "FA_ACT_EST_DATA=E, EST_SOURCE=SGE", "ACT_EST_MAPPING=PRECISE", "FS=MRC", "CURRENCY=USD", "XLFILL=b")</f>
        <v/>
      </c>
      <c r="AX188" s="9" t="str">
        <f>_xll.BQL("CRM US Equity", "BS_CASH_NEAR_CASH_ITEM/1M", "FPR=2022Y", "FPT=A", "FA_ACT_EST_DATA=E, EST_SOURCE=MZS", "ACT_EST_MAPPING=PRECISE", "FS=MRC", "CURRENCY=USD", "XLFILL=b")</f>
        <v/>
      </c>
      <c r="AY188" s="9" t="str">
        <f>_xll.BQL("CRM US Equity", "BS_CASH_NEAR_CASH_ITEM/1M", "FPR=2022Y", "FPT=A", "FA_ACT_EST_DATA=E, EST_SOURCE=RCP", "ACT_EST_MAPPING=PRECISE", "FS=MRC", "CURRENCY=USD", "XLFILL=b")</f>
        <v/>
      </c>
      <c r="AZ188" s="9" t="str">
        <f>_xll.BQL("CRM US Equity", "BS_CASH_NEAR_CASH_ITEM/1M", "FPR=2022Y", "FPT=A", "FA_ACT_EST_DATA=E, EST_SOURCE=WFR", "ACT_EST_MAPPING=PRECISE", "FS=MRC", "CURRENCY=USD", "XLFILL=b")</f>
        <v/>
      </c>
      <c r="BA188" s="9" t="str">
        <f>_xll.BQL("CRM US Equity", "BS_CASH_NEAR_CASH_ITEM/1M", "FPR=2022Y", "FPT=A", "FA_ACT_EST_DATA=E, EST_SOURCE=NIK", "ACT_EST_MAPPING=PRECISE", "FS=MRC", "CURRENCY=USD", "XLFILL=b")</f>
        <v/>
      </c>
      <c r="BB188" s="9" t="str">
        <f>_xll.BQL("CRM US Equity", "BS_CASH_NEAR_CASH_ITEM/1M", "FPR=2022Y", "FPT=A", "FA_ACT_EST_DATA=E, EST_SOURCE=ARE", "ACT_EST_MAPPING=PRECISE", "FS=MRC", "CURRENCY=USD", "XLFILL=b")</f>
        <v/>
      </c>
      <c r="BC188" s="9" t="str">
        <f>_xll.BQL("CRM US Equity", "BS_CASH_NEAR_CASH_ITEM/1M", "FPR=2022Y", "FPT=A", "FA_ACT_EST_DATA=E, EST_SOURCE=RED", "ACT_EST_MAPPING=PRECISE", "FS=MRC", "CURRENCY=USD", "XLFILL=b")</f>
        <v/>
      </c>
      <c r="BD188" s="9" t="str">
        <f>_xll.BQL("CRM US Equity", "BS_CASH_NEAR_CASH_ITEM/1M", "FPR=2022Y", "FPT=A", "FA_ACT_EST_DATA=E, EST_SOURCE=DIR", "ACT_EST_MAPPING=PRECISE", "FS=MRC", "CURRENCY=USD", "XLFILL=b")</f>
        <v/>
      </c>
    </row>
    <row r="189" spans="1:56" x14ac:dyDescent="0.55000000000000004">
      <c r="A189" s="8" t="s">
        <v>361</v>
      </c>
      <c r="B189" s="5" t="s">
        <v>362</v>
      </c>
      <c r="C189" s="5" t="s">
        <v>363</v>
      </c>
      <c r="D189" s="5"/>
      <c r="E189" s="9">
        <f>_xll.BQL("CRM US Equity", "CF_CASH_AND_CASH_EQUIV_BEG_BAL/1M", "FPR=2022Y", "FPT=A", "FA_ACT_EST_DATA=E", "ACT_EST_MAPPING=PRECISE", "FS=MRC", "CURRENCY=USD", "XLFILL=b")</f>
        <v>6195.6180909090908</v>
      </c>
      <c r="F189" s="9">
        <f>_xll.BQL("CRM US Equity", "CONTRIBUTOR_STATS(CF_CASH_AND_CASH_EQUIV_BEG_BAL, MIN)/1M", "FPR=2022Y", "FPT=A", "FA_ACT_EST_DATA=E", "ACT_EST_MAPPING=PRECISE", "FS=MRC", "CURRENCY=USD", "XLFILL=b")</f>
        <v>6193.6279999999997</v>
      </c>
      <c r="G189" s="9">
        <f>_xll.BQL("CRM US Equity", "CONTRIBUTOR_STATS(CF_CASH_AND_CASH_EQUIV_BEG_BAL, MAX)/1M", "FPR=2022Y", "FPT=A", "FA_ACT_EST_DATA=E", "ACT_EST_MAPPING=PRECISE", "FS=MRC", "CURRENCY=USD", "XLFILL=b")</f>
        <v>6203.8850000000002</v>
      </c>
      <c r="H189" s="9">
        <f>_xll.BQL("CRM US Equity", "CONTRIBUTOR_STATS(CF_CASH_AND_CASH_EQUIV_BEG_BAL, STD)/1M", "FPR=2022Y", "FPT=A", "FA_ACT_EST_DATA=E", "ACT_EST_MAPPING=PRECISE", "FS=MRC", "CURRENCY=USD", "XLFILL=b")</f>
        <v>2.7738142495324909</v>
      </c>
      <c r="I189" s="9">
        <f>_xll.BQL("CRM US Equity", "CONTRIBUTOR_STATS(CF_CASH_AND_CASH_EQUIV_BEG_BAL, MEDIAN)/1M", "FPR=2022Y", "FPT=A", "FA_ACT_EST_DATA=E", "ACT_EST_MAPPING=PRECISE", "FS=MRC", "CURRENCY=USD", "XLFILL=b")</f>
        <v>6195</v>
      </c>
      <c r="J189" s="9" t="str">
        <f>_xll.BQL("CRM US Equity", "CF_CASH_AND_CASH_EQUIV_BEG_BAL/1M", "FPR=2022Y", "FPT=A", "FA_ACT_EST_DATA=E, EST_SOURCE=CMPY", "ACT_EST_MAPPING=PRECISE", "FS=MRC", "CURRENCY=USD", "XLFILL=b")</f>
        <v/>
      </c>
      <c r="K189" s="9" t="str">
        <f>_xll.BQL("CRM US Equity", "CF_CASH_AND_CASH_EQUIV_BEG_BAL/1M", "FPR=2022Y", "FPT=A", "FA_ACT_EST_DATA=E, EST_SOURCE=WBL", "ACT_EST_MAPPING=PRECISE", "FS=MRC", "CURRENCY=USD", "XLFILL=b")</f>
        <v/>
      </c>
      <c r="L189" s="9" t="str">
        <f>_xll.BQL("CRM US Equity", "CF_CASH_AND_CASH_EQUIV_BEG_BAL/1M", "FPR=2022Y", "FPT=A", "FA_ACT_EST_DATA=E, EST_SOURCE=BMO", "ACT_EST_MAPPING=PRECISE", "FS=MRC", "CURRENCY=USD", "XLFILL=b")</f>
        <v/>
      </c>
      <c r="M189" s="9">
        <f>_xll.BQL("CRM US Equity", "CF_CASH_AND_CASH_EQUIV_BEG_BAL/1M", "FPR=2022Y", "FPT=A", "FA_ACT_EST_DATA=E, EST_SOURCE=BCA", "ACT_EST_MAPPING=PRECISE", "FS=MRC", "CURRENCY=USD", "XLFILL=b")</f>
        <v>6194.9999999999991</v>
      </c>
      <c r="N189" s="9" t="str">
        <f>_xll.BQL("CRM US Equity", "CF_CASH_AND_CASH_EQUIV_BEG_BAL/1M", "FPR=2022Y", "FPT=A", "FA_ACT_EST_DATA=E, EST_SOURCE=SNR", "ACT_EST_MAPPING=PRECISE", "FS=MRC", "CURRENCY=USD", "XLFILL=b")</f>
        <v/>
      </c>
      <c r="O189" s="9">
        <f>_xll.BQL("CRM US Equity", "CF_CASH_AND_CASH_EQUIV_BEG_BAL/1M", "FPR=2022Y", "FPT=A", "FA_ACT_EST_DATA=E, EST_SOURCE=MSV", "ACT_EST_MAPPING=PRECISE", "FS=MRC", "CURRENCY=USD", "XLFILL=b")</f>
        <v>6195</v>
      </c>
      <c r="P189" s="9">
        <f>_xll.BQL("CRM US Equity", "CF_CASH_AND_CASH_EQUIV_BEG_BAL/1M", "FPR=2022Y", "FPT=A", "FA_ACT_EST_DATA=E, EST_SOURCE=DBG", "ACT_EST_MAPPING=PRECISE", "FS=MRC", "CURRENCY=USD", "XLFILL=b")</f>
        <v>6194.6629999999986</v>
      </c>
      <c r="Q189" s="9" t="str">
        <f>_xll.BQL("CRM US Equity", "CF_CASH_AND_CASH_EQUIV_BEG_BAL/1M", "FPR=2022Y", "FPT=A", "FA_ACT_EST_DATA=E, EST_SOURCE=NDH", "ACT_EST_MAPPING=PRECISE", "FS=MRC", "CURRENCY=USD", "XLFILL=b")</f>
        <v/>
      </c>
      <c r="R189" s="9" t="str">
        <f>_xll.BQL("CRM US Equity", "CF_CASH_AND_CASH_EQUIV_BEG_BAL/1M", "FPR=2022Y", "FPT=A", "FA_ACT_EST_DATA=E, EST_SOURCE=CAN", "ACT_EST_MAPPING=PRECISE", "FS=MRC", "CURRENCY=USD", "XLFILL=b")</f>
        <v/>
      </c>
      <c r="S189" s="9" t="str">
        <f>_xll.BQL("CRM US Equity", "CF_CASH_AND_CASH_EQUIV_BEG_BAL/1M", "FPR=2022Y", "FPT=A", "FA_ACT_EST_DATA=E, EST_SOURCE=SCB", "ACT_EST_MAPPING=PRECISE", "FS=MRC", "CURRENCY=USD", "XLFILL=b")</f>
        <v/>
      </c>
      <c r="T189" s="9" t="str">
        <f>_xll.BQL("CRM US Equity", "CF_CASH_AND_CASH_EQUIV_BEG_BAL/1M", "FPR=2022Y", "FPT=A", "FA_ACT_EST_DATA=E, EST_SOURCE=JMP", "ACT_EST_MAPPING=PRECISE", "FS=MRC", "CURRENCY=USD", "XLFILL=b")</f>
        <v/>
      </c>
      <c r="U189" s="9" t="str">
        <f>_xll.BQL("CRM US Equity", "CF_CASH_AND_CASH_EQUIV_BEG_BAL/1M", "FPR=2022Y", "FPT=A", "FA_ACT_EST_DATA=E, EST_SOURCE=RJA", "ACT_EST_MAPPING=PRECISE", "FS=MRC", "CURRENCY=USD", "XLFILL=b")</f>
        <v/>
      </c>
      <c r="V189" s="9" t="str">
        <f>_xll.BQL("CRM US Equity", "CF_CASH_AND_CASH_EQUIV_BEG_BAL/1M", "FPR=2022Y", "FPT=A", "FA_ACT_EST_DATA=E, EST_SOURCE=OPY", "ACT_EST_MAPPING=PRECISE", "FS=MRC", "CURRENCY=USD", "XLFILL=b")</f>
        <v/>
      </c>
      <c r="W189" s="9" t="str">
        <f>_xll.BQL("CRM US Equity", "CF_CASH_AND_CASH_EQUIV_BEG_BAL/1M", "FPR=2022Y", "FPT=A", "FA_ACT_EST_DATA=E, EST_SOURCE=JPM", "ACT_EST_MAPPING=PRECISE", "FS=MRC", "CURRENCY=USD", "XLFILL=b")</f>
        <v/>
      </c>
      <c r="X189" s="9">
        <f>_xll.BQL("CRM US Equity", "CF_CASH_AND_CASH_EQUIV_BEG_BAL/1M", "FPR=2022Y", "FPT=A", "FA_ACT_EST_DATA=E, EST_SOURCE=FBC", "ACT_EST_MAPPING=PRECISE", "FS=MRC", "CURRENCY=USD", "XLFILL=b")</f>
        <v>6194.6629999999986</v>
      </c>
      <c r="Y189" s="9">
        <f>_xll.BQL("CRM US Equity", "CF_CASH_AND_CASH_EQUIV_BEG_BAL/1M", "FPR=2022Y", "FPT=A", "FA_ACT_EST_DATA=E, EST_SOURCE=WMS", "ACT_EST_MAPPING=PRECISE", "FS=MRC", "CURRENCY=USD", "XLFILL=b")</f>
        <v>7643.7961207285334</v>
      </c>
      <c r="Z189" s="9">
        <f>_xll.BQL("CRM US Equity", "CF_CASH_AND_CASH_EQUIV_BEG_BAL/1M", "FPR=2022Y", "FPT=A", "FA_ACT_EST_DATA=E, EST_SOURCE=KEY", "ACT_EST_MAPPING=PRECISE", "FS=MRC", "CURRENCY=USD", "XLFILL=b")</f>
        <v>6195</v>
      </c>
      <c r="AA189" s="9" t="str">
        <f>_xll.BQL("CRM US Equity", "CF_CASH_AND_CASH_EQUIV_BEG_BAL/1M", "FPR=2022Y", "FPT=A", "FA_ACT_EST_DATA=E, EST_SOURCE=LCM", "ACT_EST_MAPPING=PRECISE", "FS=MRC", "CURRENCY=USD", "XLFILL=b")</f>
        <v/>
      </c>
      <c r="AB189" s="9" t="str">
        <f>_xll.BQL("CRM US Equity", "CF_CASH_AND_CASH_EQUIV_BEG_BAL/1M", "FPR=2022Y", "FPT=A", "FA_ACT_EST_DATA=E, EST_SOURCE=CWN", "ACT_EST_MAPPING=PRECISE", "FS=MRC", "CURRENCY=USD", "XLFILL=b")</f>
        <v/>
      </c>
      <c r="AC189" s="9" t="str">
        <f>_xll.BQL("CRM US Equity", "CF_CASH_AND_CASH_EQUIV_BEG_BAL/1M", "FPR=2022Y", "FPT=A", "FA_ACT_EST_DATA=E, EST_SOURCE=BNS", "ACT_EST_MAPPING=PRECISE", "FS=MRC", "CURRENCY=USD", "XLFILL=b")</f>
        <v/>
      </c>
      <c r="AD189" s="9" t="str">
        <f>_xll.BQL("CRM US Equity", "CF_CASH_AND_CASH_EQUIV_BEG_BAL/1M", "FPR=2022Y", "FPT=A", "FA_ACT_EST_DATA=E, EST_SOURCE=BAM", "ACT_EST_MAPPING=PRECISE", "FS=MRC", "CURRENCY=USD", "XLFILL=b")</f>
        <v/>
      </c>
      <c r="AE189" s="9" t="str">
        <f>_xll.BQL("CRM US Equity", "CF_CASH_AND_CASH_EQUIV_BEG_BAL/1M", "FPR=2022Y", "FPT=A", "FA_ACT_EST_DATA=E, EST_SOURCE=RBC", "ACT_EST_MAPPING=PRECISE", "FS=MRC", "CURRENCY=USD", "XLFILL=b")</f>
        <v/>
      </c>
      <c r="AF189" s="9" t="str">
        <f>_xll.BQL("CRM US Equity", "CF_CASH_AND_CASH_EQUIV_BEG_BAL/1M", "FPR=2022Y", "FPT=A", "FA_ACT_EST_DATA=E, EST_SOURCE=UBS", "ACT_EST_MAPPING=PRECISE", "FS=MRC", "CURRENCY=USD", "XLFILL=b")</f>
        <v/>
      </c>
      <c r="AG189" s="9" t="str">
        <f>_xll.BQL("CRM US Equity", "CF_CASH_AND_CASH_EQUIV_BEG_BAL/1M", "FPR=2022Y", "FPT=A", "FA_ACT_EST_DATA=E, EST_SOURCE=RHR", "ACT_EST_MAPPING=PRECISE", "FS=MRC", "CURRENCY=USD", "XLFILL=b")</f>
        <v/>
      </c>
      <c r="AH189" s="9" t="str">
        <f>_xll.BQL("CRM US Equity", "CF_CASH_AND_CASH_EQUIV_BEG_BAL/1M", "FPR=2022Y", "FPT=A", "FA_ACT_EST_DATA=E, EST_SOURCE=JEF", "ACT_EST_MAPPING=PRECISE", "FS=MRC", "CURRENCY=USD", "XLFILL=b")</f>
        <v/>
      </c>
      <c r="AI189" s="9" t="str">
        <f>_xll.BQL("CRM US Equity", "CF_CASH_AND_CASH_EQUIV_BEG_BAL/1M", "FPR=2022Y", "FPT=A", "FA_ACT_EST_DATA=E, EST_SOURCE=ATL", "ACT_EST_MAPPING=PRECISE", "FS=MRC", "CURRENCY=USD", "XLFILL=b")</f>
        <v/>
      </c>
      <c r="AJ189" s="9" t="str">
        <f>_xll.BQL("CRM US Equity", "CF_CASH_AND_CASH_EQUIV_BEG_BAL/1M", "FPR=2022Y", "FPT=A", "FA_ACT_EST_DATA=E, EST_SOURCE=MAC", "ACT_EST_MAPPING=PRECISE", "FS=MRC", "CURRENCY=USD", "XLFILL=b")</f>
        <v/>
      </c>
      <c r="AK189" s="9" t="str">
        <f>_xll.BQL("CRM US Equity", "CF_CASH_AND_CASH_EQUIV_BEG_BAL/1M", "FPR=2022Y", "FPT=A", "FA_ACT_EST_DATA=E, EST_SOURCE=EVR", "ACT_EST_MAPPING=PRECISE", "FS=MRC", "CURRENCY=USD", "XLFILL=b")</f>
        <v/>
      </c>
      <c r="AL189" s="9" t="str">
        <f>_xll.BQL("CRM US Equity", "CF_CASH_AND_CASH_EQUIV_BEG_BAL/1M", "FPR=2022Y", "FPT=A", "FA_ACT_EST_DATA=E, EST_SOURCE=MSR", "ACT_EST_MAPPING=PRECISE", "FS=MRC", "CURRENCY=USD", "XLFILL=b")</f>
        <v/>
      </c>
      <c r="AM189" s="9" t="str">
        <f>_xll.BQL("CRM US Equity", "CF_CASH_AND_CASH_EQUIV_BEG_BAL/1M", "FPR=2022Y", "FPT=A", "FA_ACT_EST_DATA=E, EST_SOURCE=KGI", "ACT_EST_MAPPING=PRECISE", "FS=MRC", "CURRENCY=USD", "XLFILL=b")</f>
        <v/>
      </c>
      <c r="AN189" s="9" t="str">
        <f>_xll.BQL("CRM US Equity", "CF_CASH_AND_CASH_EQUIV_BEG_BAL/1M", "FPR=2022Y", "FPT=A", "FA_ACT_EST_DATA=E, EST_SOURCE=ACC", "ACT_EST_MAPPING=PRECISE", "FS=MRC", "CURRENCY=USD", "XLFILL=b")</f>
        <v/>
      </c>
      <c r="AO189" s="9" t="str">
        <f>_xll.BQL("CRM US Equity", "CF_CASH_AND_CASH_EQUIV_BEG_BAL/1M", "FPR=2022Y", "FPT=A", "FA_ACT_EST_DATA=E, EST_SOURCE=GSR", "ACT_EST_MAPPING=PRECISE", "FS=MRC", "CURRENCY=USD", "XLFILL=b")</f>
        <v/>
      </c>
      <c r="AP189" s="9" t="str">
        <f>_xll.BQL("CRM US Equity", "CF_CASH_AND_CASH_EQUIV_BEG_BAL/1M", "FPR=2022Y", "FPT=A", "FA_ACT_EST_DATA=E, EST_SOURCE=PSG", "ACT_EST_MAPPING=PRECISE", "FS=MRC", "CURRENCY=USD", "XLFILL=b")</f>
        <v/>
      </c>
      <c r="AQ189" s="9" t="str">
        <f>_xll.BQL("CRM US Equity", "CF_CASH_AND_CASH_EQUIV_BEG_BAL/1M", "FPR=2022Y", "FPT=A", "FA_ACT_EST_DATA=E, EST_SOURCE=DWI", "ACT_EST_MAPPING=PRECISE", "FS=MRC", "CURRENCY=USD", "XLFILL=b")</f>
        <v/>
      </c>
      <c r="AR189" s="9" t="str">
        <f>_xll.BQL("CRM US Equity", "CF_CASH_AND_CASH_EQUIV_BEG_BAL/1M", "FPR=2022Y", "FPT=A", "FA_ACT_EST_DATA=E, EST_SOURCE=RWB", "ACT_EST_MAPPING=PRECISE", "FS=MRC", "CURRENCY=USD", "XLFILL=b")</f>
        <v/>
      </c>
      <c r="AS189" s="9" t="str">
        <f>_xll.BQL("CRM US Equity", "CF_CASH_AND_CASH_EQUIV_BEG_BAL/1M", "FPR=2022Y", "FPT=A", "FA_ACT_EST_DATA=E, EST_SOURCE=ARG", "ACT_EST_MAPPING=PRECISE", "FS=MRC", "CURRENCY=USD", "XLFILL=b")</f>
        <v/>
      </c>
      <c r="AT189" s="9" t="str">
        <f>_xll.BQL("CRM US Equity", "CF_CASH_AND_CASH_EQUIV_BEG_BAL/1M", "FPR=2022Y", "FPT=A", "FA_ACT_EST_DATA=E, EST_SOURCE=CTI", "ACT_EST_MAPPING=PRECISE", "FS=MRC", "CURRENCY=USD", "XLFILL=b")</f>
        <v/>
      </c>
      <c r="AU189" s="9" t="str">
        <f>_xll.BQL("CRM US Equity", "CF_CASH_AND_CASH_EQUIV_BEG_BAL/1M", "FPR=2022Y", "FPT=A", "FA_ACT_EST_DATA=E, EST_SOURCE=WFT", "ACT_EST_MAPPING=PRECISE", "FS=MRC", "CURRENCY=USD", "XLFILL=b")</f>
        <v/>
      </c>
      <c r="AV189" s="9" t="str">
        <f>_xll.BQL("CRM US Equity", "CF_CASH_AND_CASH_EQUIV_BEG_BAL/1M", "FPR=2022Y", "FPT=A", "FA_ACT_EST_DATA=E, EST_SOURCE=PJE", "ACT_EST_MAPPING=PRECISE", "FS=MRC", "CURRENCY=USD", "XLFILL=b")</f>
        <v/>
      </c>
      <c r="AW189" s="9" t="str">
        <f>_xll.BQL("CRM US Equity", "CF_CASH_AND_CASH_EQUIV_BEG_BAL/1M", "FPR=2022Y", "FPT=A", "FA_ACT_EST_DATA=E, EST_SOURCE=SGE", "ACT_EST_MAPPING=PRECISE", "FS=MRC", "CURRENCY=USD", "XLFILL=b")</f>
        <v/>
      </c>
      <c r="AX189" s="9" t="str">
        <f>_xll.BQL("CRM US Equity", "CF_CASH_AND_CASH_EQUIV_BEG_BAL/1M", "FPR=2022Y", "FPT=A", "FA_ACT_EST_DATA=E, EST_SOURCE=MZS", "ACT_EST_MAPPING=PRECISE", "FS=MRC", "CURRENCY=USD", "XLFILL=b")</f>
        <v/>
      </c>
      <c r="AY189" s="9" t="str">
        <f>_xll.BQL("CRM US Equity", "CF_CASH_AND_CASH_EQUIV_BEG_BAL/1M", "FPR=2022Y", "FPT=A", "FA_ACT_EST_DATA=E, EST_SOURCE=RCP", "ACT_EST_MAPPING=PRECISE", "FS=MRC", "CURRENCY=USD", "XLFILL=b")</f>
        <v/>
      </c>
      <c r="AZ189" s="9" t="str">
        <f>_xll.BQL("CRM US Equity", "CF_CASH_AND_CASH_EQUIV_BEG_BAL/1M", "FPR=2022Y", "FPT=A", "FA_ACT_EST_DATA=E, EST_SOURCE=WFR", "ACT_EST_MAPPING=PRECISE", "FS=MRC", "CURRENCY=USD", "XLFILL=b")</f>
        <v/>
      </c>
      <c r="BA189" s="9" t="str">
        <f>_xll.BQL("CRM US Equity", "CF_CASH_AND_CASH_EQUIV_BEG_BAL/1M", "FPR=2022Y", "FPT=A", "FA_ACT_EST_DATA=E, EST_SOURCE=NIK", "ACT_EST_MAPPING=PRECISE", "FS=MRC", "CURRENCY=USD", "XLFILL=b")</f>
        <v/>
      </c>
      <c r="BB189" s="9" t="str">
        <f>_xll.BQL("CRM US Equity", "CF_CASH_AND_CASH_EQUIV_BEG_BAL/1M", "FPR=2022Y", "FPT=A", "FA_ACT_EST_DATA=E, EST_SOURCE=ARE", "ACT_EST_MAPPING=PRECISE", "FS=MRC", "CURRENCY=USD", "XLFILL=b")</f>
        <v/>
      </c>
      <c r="BC189" s="9" t="str">
        <f>_xll.BQL("CRM US Equity", "CF_CASH_AND_CASH_EQUIV_BEG_BAL/1M", "FPR=2022Y", "FPT=A", "FA_ACT_EST_DATA=E, EST_SOURCE=RED", "ACT_EST_MAPPING=PRECISE", "FS=MRC", "CURRENCY=USD", "XLFILL=b")</f>
        <v/>
      </c>
      <c r="BD189" s="9" t="str">
        <f>_xll.BQL("CRM US Equity", "CF_CASH_AND_CASH_EQUIV_BEG_BAL/1M", "FPR=2022Y", "FPT=A", "FA_ACT_EST_DATA=E, EST_SOURCE=DIR", "ACT_EST_MAPPING=PRECISE", "FS=MRC", "CURRENCY=USD", "XLFILL=b")</f>
        <v/>
      </c>
    </row>
    <row r="190" spans="1:56" x14ac:dyDescent="0.55000000000000004">
      <c r="A190" s="8" t="s">
        <v>289</v>
      </c>
      <c r="B190" s="5"/>
      <c r="C190" s="5"/>
      <c r="D190" s="5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</row>
    <row r="191" spans="1:56" x14ac:dyDescent="0.55000000000000004">
      <c r="A191" s="8" t="s">
        <v>364</v>
      </c>
      <c r="B191" s="5" t="s">
        <v>365</v>
      </c>
      <c r="C191" s="5" t="s">
        <v>366</v>
      </c>
      <c r="D191" s="5"/>
      <c r="E191" s="9">
        <f>_xll.BQL("CRM US Equity", "CF_FREE_CASH_FLOW/1M", "FPR=2022Y", "FPT=A", "FA_ACT_EST_DATA=E", "ACT_EST_MAPPING=PRECISE", "FS=MRC", "CURRENCY=USD", "XLFILL=b")</f>
        <v>5286.4257071214588</v>
      </c>
      <c r="F191" s="9">
        <f>_xll.BQL("CRM US Equity", "CONTRIBUTOR_STATS(CF_FREE_CASH_FLOW, MIN)/1M", "FPR=2022Y", "FPT=A", "FA_ACT_EST_DATA=E", "ACT_EST_MAPPING=PRECISE", "FS=MRC", "CURRENCY=USD", "XLFILL=b")</f>
        <v>4895.0249999999996</v>
      </c>
      <c r="G191" s="9">
        <f>_xll.BQL("CRM US Equity", "CONTRIBUTOR_STATS(CF_FREE_CASH_FLOW, MAX)/1M", "FPR=2022Y", "FPT=A", "FA_ACT_EST_DATA=E", "ACT_EST_MAPPING=PRECISE", "FS=MRC", "CURRENCY=USD", "XLFILL=b")</f>
        <v>7825.6163687503113</v>
      </c>
      <c r="H191" s="9">
        <f>_xll.BQL("CRM US Equity", "CONTRIBUTOR_STATS(CF_FREE_CASH_FLOW, STD)/1M", "FPR=2022Y", "FPT=A", "FA_ACT_EST_DATA=E", "ACT_EST_MAPPING=PRECISE", "FS=MRC", "CURRENCY=USD", "XLFILL=b")</f>
        <v>840.6965843386904</v>
      </c>
      <c r="I191" s="9">
        <f>_xll.BQL("CRM US Equity", "CONTRIBUTOR_STATS(CF_FREE_CASH_FLOW, MEDIAN)/1M", "FPR=2022Y", "FPT=A", "FA_ACT_EST_DATA=E", "ACT_EST_MAPPING=PRECISE", "FS=MRC", "CURRENCY=USD", "XLFILL=b")</f>
        <v>4931.5977750996881</v>
      </c>
      <c r="J191" s="9" t="str">
        <f>_xll.BQL("CRM US Equity", "CF_FREE_CASH_FLOW/1M", "FPR=2022Y", "FPT=A", "FA_ACT_EST_DATA=E, EST_SOURCE=CMPY", "ACT_EST_MAPPING=PRECISE", "FS=MRC", "CURRENCY=USD", "XLFILL=b")</f>
        <v/>
      </c>
      <c r="K191" s="9">
        <f>_xll.BQL("CRM US Equity", "CF_FREE_CASH_FLOW/1M", "FPR=2022Y", "FPT=A", "FA_ACT_EST_DATA=E, EST_SOURCE=WBL", "ACT_EST_MAPPING=PRECISE", "FS=MRC", "CURRENCY=USD", "XLFILL=b")</f>
        <v>4929.9903587500012</v>
      </c>
      <c r="L191" s="9">
        <f>_xll.BQL("CRM US Equity", "CF_FREE_CASH_FLOW/1M", "FPR=2022Y", "FPT=A", "FA_ACT_EST_DATA=E, EST_SOURCE=BMO", "ACT_EST_MAPPING=PRECISE", "FS=MRC", "CURRENCY=USD", "XLFILL=b")</f>
        <v>4939.4723127465759</v>
      </c>
      <c r="M191" s="9">
        <f>_xll.BQL("CRM US Equity", "CF_FREE_CASH_FLOW/1M", "FPR=2022Y", "FPT=A", "FA_ACT_EST_DATA=E, EST_SOURCE=BCA", "ACT_EST_MAPPING=PRECISE", "FS=MRC", "CURRENCY=USD", "XLFILL=b")</f>
        <v>4906.6802100140167</v>
      </c>
      <c r="N191" s="9">
        <f>_xll.BQL("CRM US Equity", "CF_FREE_CASH_FLOW/1M", "FPR=2022Y", "FPT=A", "FA_ACT_EST_DATA=E, EST_SOURCE=SNR", "ACT_EST_MAPPING=PRECISE", "FS=MRC", "CURRENCY=USD", "XLFILL=b")</f>
        <v>4925.0000000000018</v>
      </c>
      <c r="O191" s="9">
        <f>_xll.BQL("CRM US Equity", "CF_FREE_CASH_FLOW/1M", "FPR=2022Y", "FPT=A", "FA_ACT_EST_DATA=E, EST_SOURCE=MSV", "ACT_EST_MAPPING=PRECISE", "FS=MRC", "CURRENCY=USD", "XLFILL=b")</f>
        <v>7825.6163687503113</v>
      </c>
      <c r="P191" s="9">
        <f>_xll.BQL("CRM US Equity", "CF_FREE_CASH_FLOW/1M", "FPR=2022Y", "FPT=A", "FA_ACT_EST_DATA=E, EST_SOURCE=DBG", "ACT_EST_MAPPING=PRECISE", "FS=MRC", "CURRENCY=USD", "XLFILL=b")</f>
        <v>4936.5710327355901</v>
      </c>
      <c r="Q191" s="9">
        <f>_xll.BQL("CRM US Equity", "CF_FREE_CASH_FLOW/1M", "FPR=2022Y", "FPT=A", "FA_ACT_EST_DATA=E, EST_SOURCE=NDH", "ACT_EST_MAPPING=PRECISE", "FS=MRC", "CURRENCY=USD", "XLFILL=b")</f>
        <v>6552.6291500000007</v>
      </c>
      <c r="R191" s="9">
        <f>_xll.BQL("CRM US Equity", "CF_FREE_CASH_FLOW/1M", "FPR=2022Y", "FPT=A", "FA_ACT_EST_DATA=E, EST_SOURCE=CAN", "ACT_EST_MAPPING=PRECISE", "FS=MRC", "CURRENCY=USD", "XLFILL=b")</f>
        <v>4919.913507527468</v>
      </c>
      <c r="S191" s="9">
        <f>_xll.BQL("CRM US Equity", "CF_FREE_CASH_FLOW/1M", "FPR=2022Y", "FPT=A", "FA_ACT_EST_DATA=E, EST_SOURCE=SCB", "ACT_EST_MAPPING=PRECISE", "FS=MRC", "CURRENCY=USD", "XLFILL=b")</f>
        <v>4962.6235082849553</v>
      </c>
      <c r="T191" s="9">
        <f>_xll.BQL("CRM US Equity", "CF_FREE_CASH_FLOW/1M", "FPR=2022Y", "FPT=A", "FA_ACT_EST_DATA=E, EST_SOURCE=JMP", "ACT_EST_MAPPING=PRECISE", "FS=MRC", "CURRENCY=USD", "XLFILL=b")</f>
        <v>4895.0249999999996</v>
      </c>
      <c r="U191" s="9">
        <f>_xll.BQL("CRM US Equity", "CF_FREE_CASH_FLOW/1M", "FPR=2022Y", "FPT=A", "FA_ACT_EST_DATA=E, EST_SOURCE=RJA", "ACT_EST_MAPPING=PRECISE", "FS=MRC", "CURRENCY=USD", "XLFILL=b")</f>
        <v>4900.4728187291703</v>
      </c>
      <c r="V191" s="9">
        <f>_xll.BQL("CRM US Equity", "CF_FREE_CASH_FLOW/1M", "FPR=2022Y", "FPT=A", "FA_ACT_EST_DATA=E, EST_SOURCE=OPY", "ACT_EST_MAPPING=PRECISE", "FS=MRC", "CURRENCY=USD", "XLFILL=b")</f>
        <v>4933.2051914493759</v>
      </c>
      <c r="W191" s="9" t="str">
        <f>_xll.BQL("CRM US Equity", "CF_FREE_CASH_FLOW/1M", "FPR=2022Y", "FPT=A", "FA_ACT_EST_DATA=E, EST_SOURCE=JPM", "ACT_EST_MAPPING=PRECISE", "FS=MRC", "CURRENCY=USD", "XLFILL=b")</f>
        <v/>
      </c>
      <c r="X191" s="9">
        <f>_xll.BQL("CRM US Equity", "CF_FREE_CASH_FLOW/1M", "FPR=2022Y", "FPT=A", "FA_ACT_EST_DATA=E, EST_SOURCE=FBC", "ACT_EST_MAPPING=PRECISE", "FS=MRC", "CURRENCY=USD", "XLFILL=b")</f>
        <v>4760.492776251911</v>
      </c>
      <c r="Y191" s="9" t="str">
        <f>_xll.BQL("CRM US Equity", "CF_FREE_CASH_FLOW/1M", "FPR=2022Y", "FPT=A", "FA_ACT_EST_DATA=E, EST_SOURCE=WMS", "ACT_EST_MAPPING=PRECISE", "FS=MRC", "CURRENCY=USD", "XLFILL=b")</f>
        <v/>
      </c>
      <c r="Z191" s="9">
        <f>_xll.BQL("CRM US Equity", "CF_FREE_CASH_FLOW/1M", "FPR=2022Y", "FPT=A", "FA_ACT_EST_DATA=E, EST_SOURCE=KEY", "ACT_EST_MAPPING=PRECISE", "FS=MRC", "CURRENCY=USD", "XLFILL=b")</f>
        <v>4772.4944512478869</v>
      </c>
      <c r="AA191" s="9" t="str">
        <f>_xll.BQL("CRM US Equity", "CF_FREE_CASH_FLOW/1M", "FPR=2022Y", "FPT=A", "FA_ACT_EST_DATA=E, EST_SOURCE=LCM", "ACT_EST_MAPPING=PRECISE", "FS=MRC", "CURRENCY=USD", "XLFILL=b")</f>
        <v/>
      </c>
      <c r="AB191" s="9" t="str">
        <f>_xll.BQL("CRM US Equity", "CF_FREE_CASH_FLOW/1M", "FPR=2022Y", "FPT=A", "FA_ACT_EST_DATA=E, EST_SOURCE=CWN", "ACT_EST_MAPPING=PRECISE", "FS=MRC", "CURRENCY=USD", "XLFILL=b")</f>
        <v/>
      </c>
      <c r="AC191" s="9" t="str">
        <f>_xll.BQL("CRM US Equity", "CF_FREE_CASH_FLOW/1M", "FPR=2022Y", "FPT=A", "FA_ACT_EST_DATA=E, EST_SOURCE=BNS", "ACT_EST_MAPPING=PRECISE", "FS=MRC", "CURRENCY=USD", "XLFILL=b")</f>
        <v/>
      </c>
      <c r="AD191" s="9" t="str">
        <f>_xll.BQL("CRM US Equity", "CF_FREE_CASH_FLOW/1M", "FPR=2022Y", "FPT=A", "FA_ACT_EST_DATA=E, EST_SOURCE=BAM", "ACT_EST_MAPPING=PRECISE", "FS=MRC", "CURRENCY=USD", "XLFILL=b")</f>
        <v/>
      </c>
      <c r="AE191" s="9" t="str">
        <f>_xll.BQL("CRM US Equity", "CF_FREE_CASH_FLOW/1M", "FPR=2022Y", "FPT=A", "FA_ACT_EST_DATA=E, EST_SOURCE=RBC", "ACT_EST_MAPPING=PRECISE", "FS=MRC", "CURRENCY=USD", "XLFILL=b")</f>
        <v/>
      </c>
      <c r="AF191" s="9" t="str">
        <f>_xll.BQL("CRM US Equity", "CF_FREE_CASH_FLOW/1M", "FPR=2022Y", "FPT=A", "FA_ACT_EST_DATA=E, EST_SOURCE=UBS", "ACT_EST_MAPPING=PRECISE", "FS=MRC", "CURRENCY=USD", "XLFILL=b")</f>
        <v/>
      </c>
      <c r="AG191" s="9">
        <f>_xll.BQL("CRM US Equity", "CF_FREE_CASH_FLOW/1M", "FPR=2022Y", "FPT=A", "FA_ACT_EST_DATA=E, EST_SOURCE=RHR", "ACT_EST_MAPPING=PRECISE", "FS=MRC", "CURRENCY=USD", "XLFILL=b")</f>
        <v>4713.2215555125977</v>
      </c>
      <c r="AH191" s="9" t="str">
        <f>_xll.BQL("CRM US Equity", "CF_FREE_CASH_FLOW/1M", "FPR=2022Y", "FPT=A", "FA_ACT_EST_DATA=E, EST_SOURCE=JEF", "ACT_EST_MAPPING=PRECISE", "FS=MRC", "CURRENCY=USD", "XLFILL=b")</f>
        <v/>
      </c>
      <c r="AI191" s="9">
        <f>_xll.BQL("CRM US Equity", "CF_FREE_CASH_FLOW/1M", "FPR=2022Y", "FPT=A", "FA_ACT_EST_DATA=E, EST_SOURCE=ATL", "ACT_EST_MAPPING=PRECISE", "FS=MRC", "CURRENCY=USD", "XLFILL=b")</f>
        <v>4877.4451489115036</v>
      </c>
      <c r="AJ191" s="9" t="str">
        <f>_xll.BQL("CRM US Equity", "CF_FREE_CASH_FLOW/1M", "FPR=2022Y", "FPT=A", "FA_ACT_EST_DATA=E, EST_SOURCE=MAC", "ACT_EST_MAPPING=PRECISE", "FS=MRC", "CURRENCY=USD", "XLFILL=b")</f>
        <v/>
      </c>
      <c r="AK191" s="9" t="str">
        <f>_xll.BQL("CRM US Equity", "CF_FREE_CASH_FLOW/1M", "FPR=2022Y", "FPT=A", "FA_ACT_EST_DATA=E, EST_SOURCE=EVR", "ACT_EST_MAPPING=PRECISE", "FS=MRC", "CURRENCY=USD", "XLFILL=b")</f>
        <v/>
      </c>
      <c r="AL191" s="9" t="str">
        <f>_xll.BQL("CRM US Equity", "CF_FREE_CASH_FLOW/1M", "FPR=2022Y", "FPT=A", "FA_ACT_EST_DATA=E, EST_SOURCE=MSR", "ACT_EST_MAPPING=PRECISE", "FS=MRC", "CURRENCY=USD", "XLFILL=b")</f>
        <v/>
      </c>
      <c r="AM191" s="9" t="str">
        <f>_xll.BQL("CRM US Equity", "CF_FREE_CASH_FLOW/1M", "FPR=2022Y", "FPT=A", "FA_ACT_EST_DATA=E, EST_SOURCE=KGI", "ACT_EST_MAPPING=PRECISE", "FS=MRC", "CURRENCY=USD", "XLFILL=b")</f>
        <v/>
      </c>
      <c r="AN191" s="9" t="str">
        <f>_xll.BQL("CRM US Equity", "CF_FREE_CASH_FLOW/1M", "FPR=2022Y", "FPT=A", "FA_ACT_EST_DATA=E, EST_SOURCE=ACC", "ACT_EST_MAPPING=PRECISE", "FS=MRC", "CURRENCY=USD", "XLFILL=b")</f>
        <v/>
      </c>
      <c r="AO191" s="9" t="str">
        <f>_xll.BQL("CRM US Equity", "CF_FREE_CASH_FLOW/1M", "FPR=2022Y", "FPT=A", "FA_ACT_EST_DATA=E, EST_SOURCE=GSR", "ACT_EST_MAPPING=PRECISE", "FS=MRC", "CURRENCY=USD", "XLFILL=b")</f>
        <v/>
      </c>
      <c r="AP191" s="9" t="str">
        <f>_xll.BQL("CRM US Equity", "CF_FREE_CASH_FLOW/1M", "FPR=2022Y", "FPT=A", "FA_ACT_EST_DATA=E, EST_SOURCE=PSG", "ACT_EST_MAPPING=PRECISE", "FS=MRC", "CURRENCY=USD", "XLFILL=b")</f>
        <v/>
      </c>
      <c r="AQ191" s="9" t="str">
        <f>_xll.BQL("CRM US Equity", "CF_FREE_CASH_FLOW/1M", "FPR=2022Y", "FPT=A", "FA_ACT_EST_DATA=E, EST_SOURCE=DWI", "ACT_EST_MAPPING=PRECISE", "FS=MRC", "CURRENCY=USD", "XLFILL=b")</f>
        <v/>
      </c>
      <c r="AR191" s="9" t="str">
        <f>_xll.BQL("CRM US Equity", "CF_FREE_CASH_FLOW/1M", "FPR=2022Y", "FPT=A", "FA_ACT_EST_DATA=E, EST_SOURCE=RWB", "ACT_EST_MAPPING=PRECISE", "FS=MRC", "CURRENCY=USD", "XLFILL=b")</f>
        <v/>
      </c>
      <c r="AS191" s="9" t="str">
        <f>_xll.BQL("CRM US Equity", "CF_FREE_CASH_FLOW/1M", "FPR=2022Y", "FPT=A", "FA_ACT_EST_DATA=E, EST_SOURCE=ARG", "ACT_EST_MAPPING=PRECISE", "FS=MRC", "CURRENCY=USD", "XLFILL=b")</f>
        <v/>
      </c>
      <c r="AT191" s="9" t="str">
        <f>_xll.BQL("CRM US Equity", "CF_FREE_CASH_FLOW/1M", "FPR=2022Y", "FPT=A", "FA_ACT_EST_DATA=E, EST_SOURCE=CTI", "ACT_EST_MAPPING=PRECISE", "FS=MRC", "CURRENCY=USD", "XLFILL=b")</f>
        <v/>
      </c>
      <c r="AU191" s="9" t="str">
        <f>_xll.BQL("CRM US Equity", "CF_FREE_CASH_FLOW/1M", "FPR=2022Y", "FPT=A", "FA_ACT_EST_DATA=E, EST_SOURCE=WFT", "ACT_EST_MAPPING=PRECISE", "FS=MRC", "CURRENCY=USD", "XLFILL=b")</f>
        <v/>
      </c>
      <c r="AV191" s="9" t="str">
        <f>_xll.BQL("CRM US Equity", "CF_FREE_CASH_FLOW/1M", "FPR=2022Y", "FPT=A", "FA_ACT_EST_DATA=E, EST_SOURCE=PJE", "ACT_EST_MAPPING=PRECISE", "FS=MRC", "CURRENCY=USD", "XLFILL=b")</f>
        <v/>
      </c>
      <c r="AW191" s="9" t="str">
        <f>_xll.BQL("CRM US Equity", "CF_FREE_CASH_FLOW/1M", "FPR=2022Y", "FPT=A", "FA_ACT_EST_DATA=E, EST_SOURCE=SGE", "ACT_EST_MAPPING=PRECISE", "FS=MRC", "CURRENCY=USD", "XLFILL=b")</f>
        <v/>
      </c>
      <c r="AX191" s="9" t="str">
        <f>_xll.BQL("CRM US Equity", "CF_FREE_CASH_FLOW/1M", "FPR=2022Y", "FPT=A", "FA_ACT_EST_DATA=E, EST_SOURCE=MZS", "ACT_EST_MAPPING=PRECISE", "FS=MRC", "CURRENCY=USD", "XLFILL=b")</f>
        <v/>
      </c>
      <c r="AY191" s="9" t="str">
        <f>_xll.BQL("CRM US Equity", "CF_FREE_CASH_FLOW/1M", "FPR=2022Y", "FPT=A", "FA_ACT_EST_DATA=E, EST_SOURCE=RCP", "ACT_EST_MAPPING=PRECISE", "FS=MRC", "CURRENCY=USD", "XLFILL=b")</f>
        <v/>
      </c>
      <c r="AZ191" s="9" t="str">
        <f>_xll.BQL("CRM US Equity", "CF_FREE_CASH_FLOW/1M", "FPR=2022Y", "FPT=A", "FA_ACT_EST_DATA=E, EST_SOURCE=WFR", "ACT_EST_MAPPING=PRECISE", "FS=MRC", "CURRENCY=USD", "XLFILL=b")</f>
        <v/>
      </c>
      <c r="BA191" s="9" t="str">
        <f>_xll.BQL("CRM US Equity", "CF_FREE_CASH_FLOW/1M", "FPR=2022Y", "FPT=A", "FA_ACT_EST_DATA=E, EST_SOURCE=NIK", "ACT_EST_MAPPING=PRECISE", "FS=MRC", "CURRENCY=USD", "XLFILL=b")</f>
        <v/>
      </c>
      <c r="BB191" s="9" t="str">
        <f>_xll.BQL("CRM US Equity", "CF_FREE_CASH_FLOW/1M", "FPR=2022Y", "FPT=A", "FA_ACT_EST_DATA=E, EST_SOURCE=ARE", "ACT_EST_MAPPING=PRECISE", "FS=MRC", "CURRENCY=USD", "XLFILL=b")</f>
        <v/>
      </c>
      <c r="BC191" s="9" t="str">
        <f>_xll.BQL("CRM US Equity", "CF_FREE_CASH_FLOW/1M", "FPR=2022Y", "FPT=A", "FA_ACT_EST_DATA=E, EST_SOURCE=RED", "ACT_EST_MAPPING=PRECISE", "FS=MRC", "CURRENCY=USD", "XLFILL=b")</f>
        <v/>
      </c>
      <c r="BD191" s="9" t="str">
        <f>_xll.BQL("CRM US Equity", "CF_FREE_CASH_FLOW/1M", "FPR=2022Y", "FPT=A", "FA_ACT_EST_DATA=E, EST_SOURCE=DIR", "ACT_EST_MAPPING=PRECISE", "FS=MRC", "CURRENCY=USD", "XLFILL=b")</f>
        <v/>
      </c>
    </row>
    <row r="192" spans="1:56" x14ac:dyDescent="0.55000000000000004">
      <c r="A192" s="8" t="s">
        <v>367</v>
      </c>
      <c r="B192" s="5" t="s">
        <v>368</v>
      </c>
      <c r="C192" s="5" t="s">
        <v>369</v>
      </c>
      <c r="D192" s="5"/>
      <c r="E192" s="9">
        <f>_xll.BQL("CRM US Equity", "FREE_CASH_FLOW_MARGIN", "FPR=2022Y", "FPT=A", "FA_ACT_EST_DATA=E", "ACT_EST_MAPPING=PRECISE", "FS=MRC", "CURRENCY=USD", "XLFILL=b")</f>
        <v>18.641936933912689</v>
      </c>
      <c r="F192" s="9">
        <f>_xll.BQL("CRM US Equity", "CONTRIBUTOR_STATS(FREE_CASH_FLOW_MARGIN, MIN)", "FPR=2022Y", "FPT=A", "FA_ACT_EST_DATA=E", "ACT_EST_MAPPING=PRECISE", "FS=MRC", "CURRENCY=USD", "XLFILL=b")</f>
        <v>18.544571147143511</v>
      </c>
      <c r="G192" s="9">
        <f>_xll.BQL("CRM US Equity", "CONTRIBUTOR_STATS(FREE_CASH_FLOW_MARGIN, MAX)", "FPR=2022Y", "FPT=A", "FA_ACT_EST_DATA=E", "ACT_EST_MAPPING=PRECISE", "FS=MRC", "CURRENCY=USD", "XLFILL=b")</f>
        <v>18.731766844633661</v>
      </c>
      <c r="H192" s="9">
        <f>_xll.BQL("CRM US Equity", "CONTRIBUTOR_STATS(FREE_CASH_FLOW_MARGIN, STD)", "FPR=2022Y", "FPT=A", "FA_ACT_EST_DATA=E", "ACT_EST_MAPPING=PRECISE", "FS=MRC", "CURRENCY=USD", "XLFILL=b")</f>
        <v>6.8450283856695715E-2</v>
      </c>
      <c r="I192" s="9">
        <f>_xll.BQL("CRM US Equity", "CONTRIBUTOR_STATS(FREE_CASH_FLOW_MARGIN, MEDIAN)", "FPR=2022Y", "FPT=A", "FA_ACT_EST_DATA=E", "ACT_EST_MAPPING=PRECISE", "FS=MRC", "CURRENCY=USD", "XLFILL=b")</f>
        <v>18.645669521832328</v>
      </c>
      <c r="J192" s="9" t="str">
        <f>_xll.BQL("CRM US Equity", "FREE_CASH_FLOW_MARGIN", "FPR=2022Y", "FPT=A", "FA_ACT_EST_DATA=E, EST_SOURCE=CMPY", "ACT_EST_MAPPING=PRECISE", "FS=MRC", "CURRENCY=USD", "XLFILL=b")</f>
        <v/>
      </c>
      <c r="K192" s="9" t="str">
        <f>_xll.BQL("CRM US Equity", "FREE_CASH_FLOW_MARGIN", "FPR=2022Y", "FPT=A", "FA_ACT_EST_DATA=E, EST_SOURCE=WBL", "ACT_EST_MAPPING=PRECISE", "FS=MRC", "CURRENCY=USD", "XLFILL=b")</f>
        <v/>
      </c>
      <c r="L192" s="9" t="str">
        <f>_xll.BQL("CRM US Equity", "FREE_CASH_FLOW_MARGIN", "FPR=2022Y", "FPT=A", "FA_ACT_EST_DATA=E, EST_SOURCE=BMO", "ACT_EST_MAPPING=PRECISE", "FS=MRC", "CURRENCY=USD", "XLFILL=b")</f>
        <v/>
      </c>
      <c r="M192" s="9">
        <f>_xll.BQL("CRM US Equity", "FREE_CASH_FLOW_MARGIN", "FPR=2022Y", "FPT=A", "FA_ACT_EST_DATA=E, EST_SOURCE=BCA", "ACT_EST_MAPPING=PRECISE", "FS=MRC", "CURRENCY=USD", "XLFILL=b")</f>
        <v>18.589685794726631</v>
      </c>
      <c r="N192" s="9" t="str">
        <f>_xll.BQL("CRM US Equity", "FREE_CASH_FLOW_MARGIN", "FPR=2022Y", "FPT=A", "FA_ACT_EST_DATA=E, EST_SOURCE=SNR", "ACT_EST_MAPPING=PRECISE", "FS=MRC", "CURRENCY=USD", "XLFILL=b")</f>
        <v/>
      </c>
      <c r="O192" s="9">
        <f>_xll.BQL("CRM US Equity", "FREE_CASH_FLOW_MARGIN", "FPR=2022Y", "FPT=A", "FA_ACT_EST_DATA=E, EST_SOURCE=MSV", "ACT_EST_MAPPING=PRECISE", "FS=MRC", "CURRENCY=USD", "XLFILL=b")</f>
        <v>23.761365270790261</v>
      </c>
      <c r="P192" s="9" t="str">
        <f>_xll.BQL("CRM US Equity", "FREE_CASH_FLOW_MARGIN", "FPR=2022Y", "FPT=A", "FA_ACT_EST_DATA=E, EST_SOURCE=DBG", "ACT_EST_MAPPING=PRECISE", "FS=MRC", "CURRENCY=USD", "XLFILL=b")</f>
        <v/>
      </c>
      <c r="Q192" s="9" t="str">
        <f>_xll.BQL("CRM US Equity", "FREE_CASH_FLOW_MARGIN", "FPR=2022Y", "FPT=A", "FA_ACT_EST_DATA=E, EST_SOURCE=NDH", "ACT_EST_MAPPING=PRECISE", "FS=MRC", "CURRENCY=USD", "XLFILL=b")</f>
        <v/>
      </c>
      <c r="R192" s="9" t="str">
        <f>_xll.BQL("CRM US Equity", "FREE_CASH_FLOW_MARGIN", "FPR=2022Y", "FPT=A", "FA_ACT_EST_DATA=E, EST_SOURCE=CAN", "ACT_EST_MAPPING=PRECISE", "FS=MRC", "CURRENCY=USD", "XLFILL=b")</f>
        <v/>
      </c>
      <c r="S192" s="9" t="str">
        <f>_xll.BQL("CRM US Equity", "FREE_CASH_FLOW_MARGIN", "FPR=2022Y", "FPT=A", "FA_ACT_EST_DATA=E, EST_SOURCE=SCB", "ACT_EST_MAPPING=PRECISE", "FS=MRC", "CURRENCY=USD", "XLFILL=b")</f>
        <v/>
      </c>
      <c r="T192" s="9">
        <f>_xll.BQL("CRM US Equity", "FREE_CASH_FLOW_MARGIN", "FPR=2022Y", "FPT=A", "FA_ACT_EST_DATA=E, EST_SOURCE=JMP", "ACT_EST_MAPPING=PRECISE", "FS=MRC", "CURRENCY=USD", "XLFILL=b")</f>
        <v>18.544571147143511</v>
      </c>
      <c r="U192" s="9">
        <f>_xll.BQL("CRM US Equity", "FREE_CASH_FLOW_MARGIN", "FPR=2022Y", "FPT=A", "FA_ACT_EST_DATA=E, EST_SOURCE=RJA", "ACT_EST_MAPPING=PRECISE", "FS=MRC", "CURRENCY=USD", "XLFILL=b")</f>
        <v>18.5658971342028</v>
      </c>
      <c r="V192" s="9" t="str">
        <f>_xll.BQL("CRM US Equity", "FREE_CASH_FLOW_MARGIN", "FPR=2022Y", "FPT=A", "FA_ACT_EST_DATA=E, EST_SOURCE=OPY", "ACT_EST_MAPPING=PRECISE", "FS=MRC", "CURRENCY=USD", "XLFILL=b")</f>
        <v/>
      </c>
      <c r="W192" s="9" t="str">
        <f>_xll.BQL("CRM US Equity", "FREE_CASH_FLOW_MARGIN", "FPR=2022Y", "FPT=A", "FA_ACT_EST_DATA=E, EST_SOURCE=JPM", "ACT_EST_MAPPING=PRECISE", "FS=MRC", "CURRENCY=USD", "XLFILL=b")</f>
        <v/>
      </c>
      <c r="X192" s="9">
        <f>_xll.BQL("CRM US Equity", "FREE_CASH_FLOW_MARGIN", "FPR=2022Y", "FPT=A", "FA_ACT_EST_DATA=E, EST_SOURCE=FBC", "ACT_EST_MAPPING=PRECISE", "FS=MRC", "CURRENCY=USD", "XLFILL=b")</f>
        <v>17.97010885857711</v>
      </c>
      <c r="Y192" s="9">
        <f>_xll.BQL("CRM US Equity", "FREE_CASH_FLOW_MARGIN", "FPR=2022Y", "FPT=A", "FA_ACT_EST_DATA=E, EST_SOURCE=WMS", "ACT_EST_MAPPING=PRECISE", "FS=MRC", "CURRENCY=USD", "XLFILL=b")</f>
        <v>26.81954138093495</v>
      </c>
      <c r="Z192" s="9">
        <f>_xll.BQL("CRM US Equity", "FREE_CASH_FLOW_MARGIN", "FPR=2022Y", "FPT=A", "FA_ACT_EST_DATA=E, EST_SOURCE=KEY", "ACT_EST_MAPPING=PRECISE", "FS=MRC", "CURRENCY=USD", "XLFILL=b")</f>
        <v>18.14709744870672</v>
      </c>
      <c r="AA192" s="9" t="str">
        <f>_xll.BQL("CRM US Equity", "FREE_CASH_FLOW_MARGIN", "FPR=2022Y", "FPT=A", "FA_ACT_EST_DATA=E, EST_SOURCE=LCM", "ACT_EST_MAPPING=PRECISE", "FS=MRC", "CURRENCY=USD", "XLFILL=b")</f>
        <v/>
      </c>
      <c r="AB192" s="9" t="str">
        <f>_xll.BQL("CRM US Equity", "FREE_CASH_FLOW_MARGIN", "FPR=2022Y", "FPT=A", "FA_ACT_EST_DATA=E, EST_SOURCE=CWN", "ACT_EST_MAPPING=PRECISE", "FS=MRC", "CURRENCY=USD", "XLFILL=b")</f>
        <v/>
      </c>
      <c r="AC192" s="9" t="str">
        <f>_xll.BQL("CRM US Equity", "FREE_CASH_FLOW_MARGIN", "FPR=2022Y", "FPT=A", "FA_ACT_EST_DATA=E, EST_SOURCE=BNS", "ACT_EST_MAPPING=PRECISE", "FS=MRC", "CURRENCY=USD", "XLFILL=b")</f>
        <v/>
      </c>
      <c r="AD192" s="9" t="str">
        <f>_xll.BQL("CRM US Equity", "FREE_CASH_FLOW_MARGIN", "FPR=2022Y", "FPT=A", "FA_ACT_EST_DATA=E, EST_SOURCE=BAM", "ACT_EST_MAPPING=PRECISE", "FS=MRC", "CURRENCY=USD", "XLFILL=b")</f>
        <v/>
      </c>
      <c r="AE192" s="9" t="str">
        <f>_xll.BQL("CRM US Equity", "FREE_CASH_FLOW_MARGIN", "FPR=2022Y", "FPT=A", "FA_ACT_EST_DATA=E, EST_SOURCE=RBC", "ACT_EST_MAPPING=PRECISE", "FS=MRC", "CURRENCY=USD", "XLFILL=b")</f>
        <v/>
      </c>
      <c r="AF192" s="9" t="str">
        <f>_xll.BQL("CRM US Equity", "FREE_CASH_FLOW_MARGIN", "FPR=2022Y", "FPT=A", "FA_ACT_EST_DATA=E, EST_SOURCE=UBS", "ACT_EST_MAPPING=PRECISE", "FS=MRC", "CURRENCY=USD", "XLFILL=b")</f>
        <v/>
      </c>
      <c r="AG192" s="9" t="str">
        <f>_xll.BQL("CRM US Equity", "FREE_CASH_FLOW_MARGIN", "FPR=2022Y", "FPT=A", "FA_ACT_EST_DATA=E, EST_SOURCE=RHR", "ACT_EST_MAPPING=PRECISE", "FS=MRC", "CURRENCY=USD", "XLFILL=b")</f>
        <v/>
      </c>
      <c r="AH192" s="9" t="str">
        <f>_xll.BQL("CRM US Equity", "FREE_CASH_FLOW_MARGIN", "FPR=2022Y", "FPT=A", "FA_ACT_EST_DATA=E, EST_SOURCE=JEF", "ACT_EST_MAPPING=PRECISE", "FS=MRC", "CURRENCY=USD", "XLFILL=b")</f>
        <v/>
      </c>
      <c r="AI192" s="9" t="str">
        <f>_xll.BQL("CRM US Equity", "FREE_CASH_FLOW_MARGIN", "FPR=2022Y", "FPT=A", "FA_ACT_EST_DATA=E, EST_SOURCE=ATL", "ACT_EST_MAPPING=PRECISE", "FS=MRC", "CURRENCY=USD", "XLFILL=b")</f>
        <v/>
      </c>
      <c r="AJ192" s="9" t="str">
        <f>_xll.BQL("CRM US Equity", "FREE_CASH_FLOW_MARGIN", "FPR=2022Y", "FPT=A", "FA_ACT_EST_DATA=E, EST_SOURCE=MAC", "ACT_EST_MAPPING=PRECISE", "FS=MRC", "CURRENCY=USD", "XLFILL=b")</f>
        <v/>
      </c>
      <c r="AK192" s="9" t="str">
        <f>_xll.BQL("CRM US Equity", "FREE_CASH_FLOW_MARGIN", "FPR=2022Y", "FPT=A", "FA_ACT_EST_DATA=E, EST_SOURCE=EVR", "ACT_EST_MAPPING=PRECISE", "FS=MRC", "CURRENCY=USD", "XLFILL=b")</f>
        <v/>
      </c>
      <c r="AL192" s="9" t="str">
        <f>_xll.BQL("CRM US Equity", "FREE_CASH_FLOW_MARGIN", "FPR=2022Y", "FPT=A", "FA_ACT_EST_DATA=E, EST_SOURCE=MSR", "ACT_EST_MAPPING=PRECISE", "FS=MRC", "CURRENCY=USD", "XLFILL=b")</f>
        <v/>
      </c>
      <c r="AM192" s="9" t="str">
        <f>_xll.BQL("CRM US Equity", "FREE_CASH_FLOW_MARGIN", "FPR=2022Y", "FPT=A", "FA_ACT_EST_DATA=E, EST_SOURCE=KGI", "ACT_EST_MAPPING=PRECISE", "FS=MRC", "CURRENCY=USD", "XLFILL=b")</f>
        <v/>
      </c>
      <c r="AN192" s="9" t="str">
        <f>_xll.BQL("CRM US Equity", "FREE_CASH_FLOW_MARGIN", "FPR=2022Y", "FPT=A", "FA_ACT_EST_DATA=E, EST_SOURCE=ACC", "ACT_EST_MAPPING=PRECISE", "FS=MRC", "CURRENCY=USD", "XLFILL=b")</f>
        <v/>
      </c>
      <c r="AO192" s="9" t="str">
        <f>_xll.BQL("CRM US Equity", "FREE_CASH_FLOW_MARGIN", "FPR=2022Y", "FPT=A", "FA_ACT_EST_DATA=E, EST_SOURCE=GSR", "ACT_EST_MAPPING=PRECISE", "FS=MRC", "CURRENCY=USD", "XLFILL=b")</f>
        <v/>
      </c>
      <c r="AP192" s="9" t="str">
        <f>_xll.BQL("CRM US Equity", "FREE_CASH_FLOW_MARGIN", "FPR=2022Y", "FPT=A", "FA_ACT_EST_DATA=E, EST_SOURCE=PSG", "ACT_EST_MAPPING=PRECISE", "FS=MRC", "CURRENCY=USD", "XLFILL=b")</f>
        <v/>
      </c>
      <c r="AQ192" s="9" t="str">
        <f>_xll.BQL("CRM US Equity", "FREE_CASH_FLOW_MARGIN", "FPR=2022Y", "FPT=A", "FA_ACT_EST_DATA=E, EST_SOURCE=DWI", "ACT_EST_MAPPING=PRECISE", "FS=MRC", "CURRENCY=USD", "XLFILL=b")</f>
        <v/>
      </c>
      <c r="AR192" s="9" t="str">
        <f>_xll.BQL("CRM US Equity", "FREE_CASH_FLOW_MARGIN", "FPR=2022Y", "FPT=A", "FA_ACT_EST_DATA=E, EST_SOURCE=RWB", "ACT_EST_MAPPING=PRECISE", "FS=MRC", "CURRENCY=USD", "XLFILL=b")</f>
        <v/>
      </c>
      <c r="AS192" s="9" t="str">
        <f>_xll.BQL("CRM US Equity", "FREE_CASH_FLOW_MARGIN", "FPR=2022Y", "FPT=A", "FA_ACT_EST_DATA=E, EST_SOURCE=ARG", "ACT_EST_MAPPING=PRECISE", "FS=MRC", "CURRENCY=USD", "XLFILL=b")</f>
        <v/>
      </c>
      <c r="AT192" s="9" t="str">
        <f>_xll.BQL("CRM US Equity", "FREE_CASH_FLOW_MARGIN", "FPR=2022Y", "FPT=A", "FA_ACT_EST_DATA=E, EST_SOURCE=CTI", "ACT_EST_MAPPING=PRECISE", "FS=MRC", "CURRENCY=USD", "XLFILL=b")</f>
        <v/>
      </c>
      <c r="AU192" s="9" t="str">
        <f>_xll.BQL("CRM US Equity", "FREE_CASH_FLOW_MARGIN", "FPR=2022Y", "FPT=A", "FA_ACT_EST_DATA=E, EST_SOURCE=WFT", "ACT_EST_MAPPING=PRECISE", "FS=MRC", "CURRENCY=USD", "XLFILL=b")</f>
        <v/>
      </c>
      <c r="AV192" s="9" t="str">
        <f>_xll.BQL("CRM US Equity", "FREE_CASH_FLOW_MARGIN", "FPR=2022Y", "FPT=A", "FA_ACT_EST_DATA=E, EST_SOURCE=PJE", "ACT_EST_MAPPING=PRECISE", "FS=MRC", "CURRENCY=USD", "XLFILL=b")</f>
        <v/>
      </c>
      <c r="AW192" s="9" t="str">
        <f>_xll.BQL("CRM US Equity", "FREE_CASH_FLOW_MARGIN", "FPR=2022Y", "FPT=A", "FA_ACT_EST_DATA=E, EST_SOURCE=SGE", "ACT_EST_MAPPING=PRECISE", "FS=MRC", "CURRENCY=USD", "XLFILL=b")</f>
        <v/>
      </c>
      <c r="AX192" s="9" t="str">
        <f>_xll.BQL("CRM US Equity", "FREE_CASH_FLOW_MARGIN", "FPR=2022Y", "FPT=A", "FA_ACT_EST_DATA=E, EST_SOURCE=MZS", "ACT_EST_MAPPING=PRECISE", "FS=MRC", "CURRENCY=USD", "XLFILL=b")</f>
        <v/>
      </c>
      <c r="AY192" s="9" t="str">
        <f>_xll.BQL("CRM US Equity", "FREE_CASH_FLOW_MARGIN", "FPR=2022Y", "FPT=A", "FA_ACT_EST_DATA=E, EST_SOURCE=RCP", "ACT_EST_MAPPING=PRECISE", "FS=MRC", "CURRENCY=USD", "XLFILL=b")</f>
        <v/>
      </c>
      <c r="AZ192" s="9" t="str">
        <f>_xll.BQL("CRM US Equity", "FREE_CASH_FLOW_MARGIN", "FPR=2022Y", "FPT=A", "FA_ACT_EST_DATA=E, EST_SOURCE=WFR", "ACT_EST_MAPPING=PRECISE", "FS=MRC", "CURRENCY=USD", "XLFILL=b")</f>
        <v/>
      </c>
      <c r="BA192" s="9" t="str">
        <f>_xll.BQL("CRM US Equity", "FREE_CASH_FLOW_MARGIN", "FPR=2022Y", "FPT=A", "FA_ACT_EST_DATA=E, EST_SOURCE=NIK", "ACT_EST_MAPPING=PRECISE", "FS=MRC", "CURRENCY=USD", "XLFILL=b")</f>
        <v/>
      </c>
      <c r="BB192" s="9" t="str">
        <f>_xll.BQL("CRM US Equity", "FREE_CASH_FLOW_MARGIN", "FPR=2022Y", "FPT=A", "FA_ACT_EST_DATA=E, EST_SOURCE=ARE", "ACT_EST_MAPPING=PRECISE", "FS=MRC", "CURRENCY=USD", "XLFILL=b")</f>
        <v/>
      </c>
      <c r="BC192" s="9" t="str">
        <f>_xll.BQL("CRM US Equity", "FREE_CASH_FLOW_MARGIN", "FPR=2022Y", "FPT=A", "FA_ACT_EST_DATA=E, EST_SOURCE=RED", "ACT_EST_MAPPING=PRECISE", "FS=MRC", "CURRENCY=USD", "XLFILL=b")</f>
        <v/>
      </c>
      <c r="BD192" s="9" t="str">
        <f>_xll.BQL("CRM US Equity", "FREE_CASH_FLOW_MARGIN", "FPR=2022Y", "FPT=A", "FA_ACT_EST_DATA=E, EST_SOURCE=DIR", "ACT_EST_MAPPING=PRECISE", "FS=MRC", "CURRENCY=USD", "XLFILL=b")</f>
        <v/>
      </c>
    </row>
    <row r="193" spans="1:56" x14ac:dyDescent="0.55000000000000004">
      <c r="A193" s="8" t="s">
        <v>370</v>
      </c>
      <c r="B193" s="5" t="s">
        <v>371</v>
      </c>
      <c r="C193" s="5" t="s">
        <v>372</v>
      </c>
      <c r="D193" s="5"/>
      <c r="E193" s="9">
        <f>_xll.BQL("CRM US Equity", "FCF_PER_DIL_SHR", "FPR=2022Y", "FPT=A", "FA_ACT_EST_DATA=E", "ACT_EST_MAPPING=PRECISE", "FS=MRC", "CURRENCY=USD", "XLFILL=b")</f>
        <v>5.0460374832794068</v>
      </c>
      <c r="F193" s="9">
        <f>_xll.BQL("CRM US Equity", "CONTRIBUTOR_STATS(FCF_PER_DIL_SHR, MIN)", "FPR=2022Y", "FPT=A", "FA_ACT_EST_DATA=E", "ACT_EST_MAPPING=PRECISE", "FS=MRC", "CURRENCY=USD", "XLFILL=b")</f>
        <v>5.0158861712858611</v>
      </c>
      <c r="G193" s="9">
        <f>_xll.BQL("CRM US Equity", "CONTRIBUTOR_STATS(FCF_PER_DIL_SHR, MAX)", "FPR=2022Y", "FPT=A", "FA_ACT_EST_DATA=E", "ACT_EST_MAPPING=PRECISE", "FS=MRC", "CURRENCY=USD", "XLFILL=b")</f>
        <v>5.0807069077798914</v>
      </c>
      <c r="H193" s="9">
        <f>_xll.BQL("CRM US Equity", "CONTRIBUTOR_STATS(FCF_PER_DIL_SHR, STD)", "FPR=2022Y", "FPT=A", "FA_ACT_EST_DATA=E", "ACT_EST_MAPPING=PRECISE", "FS=MRC", "CURRENCY=USD", "XLFILL=b")</f>
        <v>2.1111013204139471E-2</v>
      </c>
      <c r="I193" s="9">
        <f>_xll.BQL("CRM US Equity", "CONTRIBUTOR_STATS(FCF_PER_DIL_SHR, MEDIAN)", "FPR=2022Y", "FPT=A", "FA_ACT_EST_DATA=E", "ACT_EST_MAPPING=PRECISE", "FS=MRC", "CURRENCY=USD", "XLFILL=b")</f>
        <v>5.0514085641266941</v>
      </c>
      <c r="J193" s="9" t="str">
        <f>_xll.BQL("CRM US Equity", "FCF_PER_DIL_SHR", "FPR=2022Y", "FPT=A", "FA_ACT_EST_DATA=E, EST_SOURCE=CMPY", "ACT_EST_MAPPING=PRECISE", "FS=MRC", "CURRENCY=USD", "XLFILL=b")</f>
        <v/>
      </c>
      <c r="K193" s="9" t="str">
        <f>_xll.BQL("CRM US Equity", "FCF_PER_DIL_SHR", "FPR=2022Y", "FPT=A", "FA_ACT_EST_DATA=E, EST_SOURCE=WBL", "ACT_EST_MAPPING=PRECISE", "FS=MRC", "CURRENCY=USD", "XLFILL=b")</f>
        <v/>
      </c>
      <c r="L193" s="9" t="str">
        <f>_xll.BQL("CRM US Equity", "FCF_PER_DIL_SHR", "FPR=2022Y", "FPT=A", "FA_ACT_EST_DATA=E, EST_SOURCE=BMO", "ACT_EST_MAPPING=PRECISE", "FS=MRC", "CURRENCY=USD", "XLFILL=b")</f>
        <v/>
      </c>
      <c r="M193" s="9">
        <f>_xll.BQL("CRM US Equity", "FCF_PER_DIL_SHR", "FPR=2022Y", "FPT=A", "FA_ACT_EST_DATA=E, EST_SOURCE=BCA", "ACT_EST_MAPPING=PRECISE", "FS=MRC", "CURRENCY=USD", "XLFILL=b")</f>
        <v>5.2121901028645112</v>
      </c>
      <c r="N193" s="9" t="str">
        <f>_xll.BQL("CRM US Equity", "FCF_PER_DIL_SHR", "FPR=2022Y", "FPT=A", "FA_ACT_EST_DATA=E, EST_SOURCE=SNR", "ACT_EST_MAPPING=PRECISE", "FS=MRC", "CURRENCY=USD", "XLFILL=b")</f>
        <v/>
      </c>
      <c r="O193" s="9">
        <f>_xll.BQL("CRM US Equity", "FCF_PER_DIL_SHR", "FPR=2022Y", "FPT=A", "FA_ACT_EST_DATA=E, EST_SOURCE=MSV", "ACT_EST_MAPPING=PRECISE", "FS=MRC", "CURRENCY=USD", "XLFILL=b")</f>
        <v>8.01804955814581</v>
      </c>
      <c r="P193" s="9" t="str">
        <f>_xll.BQL("CRM US Equity", "FCF_PER_DIL_SHR", "FPR=2022Y", "FPT=A", "FA_ACT_EST_DATA=E, EST_SOURCE=DBG", "ACT_EST_MAPPING=PRECISE", "FS=MRC", "CURRENCY=USD", "XLFILL=b")</f>
        <v/>
      </c>
      <c r="Q193" s="9">
        <f>_xll.BQL("CRM US Equity", "FCF_PER_DIL_SHR", "FPR=2022Y", "FPT=A", "FA_ACT_EST_DATA=E, EST_SOURCE=NDH", "ACT_EST_MAPPING=PRECISE", "FS=MRC", "CURRENCY=USD", "XLFILL=b")</f>
        <v>6.7137593750000013</v>
      </c>
      <c r="R193" s="9" t="str">
        <f>_xll.BQL("CRM US Equity", "FCF_PER_DIL_SHR", "FPR=2022Y", "FPT=A", "FA_ACT_EST_DATA=E, EST_SOURCE=CAN", "ACT_EST_MAPPING=PRECISE", "FS=MRC", "CURRENCY=USD", "XLFILL=b")</f>
        <v/>
      </c>
      <c r="S193" s="9" t="str">
        <f>_xll.BQL("CRM US Equity", "FCF_PER_DIL_SHR", "FPR=2022Y", "FPT=A", "FA_ACT_EST_DATA=E, EST_SOURCE=SCB", "ACT_EST_MAPPING=PRECISE", "FS=MRC", "CURRENCY=USD", "XLFILL=b")</f>
        <v/>
      </c>
      <c r="T193" s="9">
        <f>_xll.BQL("CRM US Equity", "FCF_PER_DIL_SHR", "FPR=2022Y", "FPT=A", "FA_ACT_EST_DATA=E, EST_SOURCE=JMP", "ACT_EST_MAPPING=PRECISE", "FS=MRC", "CURRENCY=USD", "XLFILL=b")</f>
        <v>5.0807069077798914</v>
      </c>
      <c r="U193" s="9">
        <f>_xll.BQL("CRM US Equity", "FCF_PER_DIL_SHR", "FPR=2022Y", "FPT=A", "FA_ACT_EST_DATA=E, EST_SOURCE=RJA", "ACT_EST_MAPPING=PRECISE", "FS=MRC", "CURRENCY=USD", "XLFILL=b")</f>
        <v>5.0209762486979201</v>
      </c>
      <c r="V193" s="9" t="str">
        <f>_xll.BQL("CRM US Equity", "FCF_PER_DIL_SHR", "FPR=2022Y", "FPT=A", "FA_ACT_EST_DATA=E, EST_SOURCE=OPY", "ACT_EST_MAPPING=PRECISE", "FS=MRC", "CURRENCY=USD", "XLFILL=b")</f>
        <v/>
      </c>
      <c r="W193" s="9" t="str">
        <f>_xll.BQL("CRM US Equity", "FCF_PER_DIL_SHR", "FPR=2022Y", "FPT=A", "FA_ACT_EST_DATA=E, EST_SOURCE=JPM", "ACT_EST_MAPPING=PRECISE", "FS=MRC", "CURRENCY=USD", "XLFILL=b")</f>
        <v/>
      </c>
      <c r="X193" s="9">
        <f>_xll.BQL("CRM US Equity", "FCF_PER_DIL_SHR", "FPR=2022Y", "FPT=A", "FA_ACT_EST_DATA=E, EST_SOURCE=FBC", "ACT_EST_MAPPING=PRECISE", "FS=MRC", "CURRENCY=USD", "XLFILL=b")</f>
        <v>4.9866055514629792</v>
      </c>
      <c r="Y193" s="9">
        <f>_xll.BQL("CRM US Equity", "FCF_PER_DIL_SHR", "FPR=2022Y", "FPT=A", "FA_ACT_EST_DATA=E, EST_SOURCE=WMS", "ACT_EST_MAPPING=PRECISE", "FS=MRC", "CURRENCY=USD", "XLFILL=b")</f>
        <v>6.4640806549019629</v>
      </c>
      <c r="Z193" s="9">
        <f>_xll.BQL("CRM US Equity", "FCF_PER_DIL_SHR", "FPR=2022Y", "FPT=A", "FA_ACT_EST_DATA=E, EST_SOURCE=KEY", "ACT_EST_MAPPING=PRECISE", "FS=MRC", "CURRENCY=USD", "XLFILL=b")</f>
        <v>4.8803630205338377</v>
      </c>
      <c r="AA193" s="9" t="str">
        <f>_xll.BQL("CRM US Equity", "FCF_PER_DIL_SHR", "FPR=2022Y", "FPT=A", "FA_ACT_EST_DATA=E, EST_SOURCE=LCM", "ACT_EST_MAPPING=PRECISE", "FS=MRC", "CURRENCY=USD", "XLFILL=b")</f>
        <v/>
      </c>
      <c r="AB193" s="9" t="str">
        <f>_xll.BQL("CRM US Equity", "FCF_PER_DIL_SHR", "FPR=2022Y", "FPT=A", "FA_ACT_EST_DATA=E, EST_SOURCE=CWN", "ACT_EST_MAPPING=PRECISE", "FS=MRC", "CURRENCY=USD", "XLFILL=b")</f>
        <v/>
      </c>
      <c r="AC193" s="9" t="str">
        <f>_xll.BQL("CRM US Equity", "FCF_PER_DIL_SHR", "FPR=2022Y", "FPT=A", "FA_ACT_EST_DATA=E, EST_SOURCE=BNS", "ACT_EST_MAPPING=PRECISE", "FS=MRC", "CURRENCY=USD", "XLFILL=b")</f>
        <v/>
      </c>
      <c r="AD193" s="9" t="str">
        <f>_xll.BQL("CRM US Equity", "FCF_PER_DIL_SHR", "FPR=2022Y", "FPT=A", "FA_ACT_EST_DATA=E, EST_SOURCE=BAM", "ACT_EST_MAPPING=PRECISE", "FS=MRC", "CURRENCY=USD", "XLFILL=b")</f>
        <v/>
      </c>
      <c r="AE193" s="9" t="str">
        <f>_xll.BQL("CRM US Equity", "FCF_PER_DIL_SHR", "FPR=2022Y", "FPT=A", "FA_ACT_EST_DATA=E, EST_SOURCE=RBC", "ACT_EST_MAPPING=PRECISE", "FS=MRC", "CURRENCY=USD", "XLFILL=b")</f>
        <v/>
      </c>
      <c r="AF193" s="9" t="str">
        <f>_xll.BQL("CRM US Equity", "FCF_PER_DIL_SHR", "FPR=2022Y", "FPT=A", "FA_ACT_EST_DATA=E, EST_SOURCE=UBS", "ACT_EST_MAPPING=PRECISE", "FS=MRC", "CURRENCY=USD", "XLFILL=b")</f>
        <v/>
      </c>
      <c r="AG193" s="9" t="str">
        <f>_xll.BQL("CRM US Equity", "FCF_PER_DIL_SHR", "FPR=2022Y", "FPT=A", "FA_ACT_EST_DATA=E, EST_SOURCE=RHR", "ACT_EST_MAPPING=PRECISE", "FS=MRC", "CURRENCY=USD", "XLFILL=b")</f>
        <v/>
      </c>
      <c r="AH193" s="9" t="str">
        <f>_xll.BQL("CRM US Equity", "FCF_PER_DIL_SHR", "FPR=2022Y", "FPT=A", "FA_ACT_EST_DATA=E, EST_SOURCE=JEF", "ACT_EST_MAPPING=PRECISE", "FS=MRC", "CURRENCY=USD", "XLFILL=b")</f>
        <v/>
      </c>
      <c r="AI193" s="9" t="str">
        <f>_xll.BQL("CRM US Equity", "FCF_PER_DIL_SHR", "FPR=2022Y", "FPT=A", "FA_ACT_EST_DATA=E, EST_SOURCE=ATL", "ACT_EST_MAPPING=PRECISE", "FS=MRC", "CURRENCY=USD", "XLFILL=b")</f>
        <v/>
      </c>
      <c r="AJ193" s="9" t="str">
        <f>_xll.BQL("CRM US Equity", "FCF_PER_DIL_SHR", "FPR=2022Y", "FPT=A", "FA_ACT_EST_DATA=E, EST_SOURCE=MAC", "ACT_EST_MAPPING=PRECISE", "FS=MRC", "CURRENCY=USD", "XLFILL=b")</f>
        <v/>
      </c>
      <c r="AK193" s="9" t="str">
        <f>_xll.BQL("CRM US Equity", "FCF_PER_DIL_SHR", "FPR=2022Y", "FPT=A", "FA_ACT_EST_DATA=E, EST_SOURCE=EVR", "ACT_EST_MAPPING=PRECISE", "FS=MRC", "CURRENCY=USD", "XLFILL=b")</f>
        <v/>
      </c>
      <c r="AL193" s="9" t="str">
        <f>_xll.BQL("CRM US Equity", "FCF_PER_DIL_SHR", "FPR=2022Y", "FPT=A", "FA_ACT_EST_DATA=E, EST_SOURCE=MSR", "ACT_EST_MAPPING=PRECISE", "FS=MRC", "CURRENCY=USD", "XLFILL=b")</f>
        <v/>
      </c>
      <c r="AM193" s="9" t="str">
        <f>_xll.BQL("CRM US Equity", "FCF_PER_DIL_SHR", "FPR=2022Y", "FPT=A", "FA_ACT_EST_DATA=E, EST_SOURCE=KGI", "ACT_EST_MAPPING=PRECISE", "FS=MRC", "CURRENCY=USD", "XLFILL=b")</f>
        <v/>
      </c>
      <c r="AN193" s="9" t="str">
        <f>_xll.BQL("CRM US Equity", "FCF_PER_DIL_SHR", "FPR=2022Y", "FPT=A", "FA_ACT_EST_DATA=E, EST_SOURCE=ACC", "ACT_EST_MAPPING=PRECISE", "FS=MRC", "CURRENCY=USD", "XLFILL=b")</f>
        <v/>
      </c>
      <c r="AO193" s="9" t="str">
        <f>_xll.BQL("CRM US Equity", "FCF_PER_DIL_SHR", "FPR=2022Y", "FPT=A", "FA_ACT_EST_DATA=E, EST_SOURCE=GSR", "ACT_EST_MAPPING=PRECISE", "FS=MRC", "CURRENCY=USD", "XLFILL=b")</f>
        <v/>
      </c>
      <c r="AP193" s="9" t="str">
        <f>_xll.BQL("CRM US Equity", "FCF_PER_DIL_SHR", "FPR=2022Y", "FPT=A", "FA_ACT_EST_DATA=E, EST_SOURCE=PSG", "ACT_EST_MAPPING=PRECISE", "FS=MRC", "CURRENCY=USD", "XLFILL=b")</f>
        <v/>
      </c>
      <c r="AQ193" s="9" t="str">
        <f>_xll.BQL("CRM US Equity", "FCF_PER_DIL_SHR", "FPR=2022Y", "FPT=A", "FA_ACT_EST_DATA=E, EST_SOURCE=DWI", "ACT_EST_MAPPING=PRECISE", "FS=MRC", "CURRENCY=USD", "XLFILL=b")</f>
        <v/>
      </c>
      <c r="AR193" s="9" t="str">
        <f>_xll.BQL("CRM US Equity", "FCF_PER_DIL_SHR", "FPR=2022Y", "FPT=A", "FA_ACT_EST_DATA=E, EST_SOURCE=RWB", "ACT_EST_MAPPING=PRECISE", "FS=MRC", "CURRENCY=USD", "XLFILL=b")</f>
        <v/>
      </c>
      <c r="AS193" s="9" t="str">
        <f>_xll.BQL("CRM US Equity", "FCF_PER_DIL_SHR", "FPR=2022Y", "FPT=A", "FA_ACT_EST_DATA=E, EST_SOURCE=ARG", "ACT_EST_MAPPING=PRECISE", "FS=MRC", "CURRENCY=USD", "XLFILL=b")</f>
        <v/>
      </c>
      <c r="AT193" s="9" t="str">
        <f>_xll.BQL("CRM US Equity", "FCF_PER_DIL_SHR", "FPR=2022Y", "FPT=A", "FA_ACT_EST_DATA=E, EST_SOURCE=CTI", "ACT_EST_MAPPING=PRECISE", "FS=MRC", "CURRENCY=USD", "XLFILL=b")</f>
        <v/>
      </c>
      <c r="AU193" s="9" t="str">
        <f>_xll.BQL("CRM US Equity", "FCF_PER_DIL_SHR", "FPR=2022Y", "FPT=A", "FA_ACT_EST_DATA=E, EST_SOURCE=WFT", "ACT_EST_MAPPING=PRECISE", "FS=MRC", "CURRENCY=USD", "XLFILL=b")</f>
        <v/>
      </c>
      <c r="AV193" s="9" t="str">
        <f>_xll.BQL("CRM US Equity", "FCF_PER_DIL_SHR", "FPR=2022Y", "FPT=A", "FA_ACT_EST_DATA=E, EST_SOURCE=PJE", "ACT_EST_MAPPING=PRECISE", "FS=MRC", "CURRENCY=USD", "XLFILL=b")</f>
        <v/>
      </c>
      <c r="AW193" s="9" t="str">
        <f>_xll.BQL("CRM US Equity", "FCF_PER_DIL_SHR", "FPR=2022Y", "FPT=A", "FA_ACT_EST_DATA=E, EST_SOURCE=SGE", "ACT_EST_MAPPING=PRECISE", "FS=MRC", "CURRENCY=USD", "XLFILL=b")</f>
        <v/>
      </c>
      <c r="AX193" s="9" t="str">
        <f>_xll.BQL("CRM US Equity", "FCF_PER_DIL_SHR", "FPR=2022Y", "FPT=A", "FA_ACT_EST_DATA=E, EST_SOURCE=MZS", "ACT_EST_MAPPING=PRECISE", "FS=MRC", "CURRENCY=USD", "XLFILL=b")</f>
        <v/>
      </c>
      <c r="AY193" s="9" t="str">
        <f>_xll.BQL("CRM US Equity", "FCF_PER_DIL_SHR", "FPR=2022Y", "FPT=A", "FA_ACT_EST_DATA=E, EST_SOURCE=RCP", "ACT_EST_MAPPING=PRECISE", "FS=MRC", "CURRENCY=USD", "XLFILL=b")</f>
        <v/>
      </c>
      <c r="AZ193" s="9" t="str">
        <f>_xll.BQL("CRM US Equity", "FCF_PER_DIL_SHR", "FPR=2022Y", "FPT=A", "FA_ACT_EST_DATA=E, EST_SOURCE=WFR", "ACT_EST_MAPPING=PRECISE", "FS=MRC", "CURRENCY=USD", "XLFILL=b")</f>
        <v/>
      </c>
      <c r="BA193" s="9" t="str">
        <f>_xll.BQL("CRM US Equity", "FCF_PER_DIL_SHR", "FPR=2022Y", "FPT=A", "FA_ACT_EST_DATA=E, EST_SOURCE=NIK", "ACT_EST_MAPPING=PRECISE", "FS=MRC", "CURRENCY=USD", "XLFILL=b")</f>
        <v/>
      </c>
      <c r="BB193" s="9" t="str">
        <f>_xll.BQL("CRM US Equity", "FCF_PER_DIL_SHR", "FPR=2022Y", "FPT=A", "FA_ACT_EST_DATA=E, EST_SOURCE=ARE", "ACT_EST_MAPPING=PRECISE", "FS=MRC", "CURRENCY=USD", "XLFILL=b")</f>
        <v/>
      </c>
      <c r="BC193" s="9" t="str">
        <f>_xll.BQL("CRM US Equity", "FCF_PER_DIL_SHR", "FPR=2022Y", "FPT=A", "FA_ACT_EST_DATA=E, EST_SOURCE=RED", "ACT_EST_MAPPING=PRECISE", "FS=MRC", "CURRENCY=USD", "XLFILL=b")</f>
        <v/>
      </c>
      <c r="BD193" s="9" t="str">
        <f>_xll.BQL("CRM US Equity", "FCF_PER_DIL_SHR", "FPR=2022Y", "FPT=A", "FA_ACT_EST_DATA=E, EST_SOURCE=DIR", "ACT_EST_MAPPING=PRECISE", "FS=MRC", "CURRENCY=USD", "XLFILL=b")</f>
        <v/>
      </c>
    </row>
    <row r="194" spans="1:56" x14ac:dyDescent="0.55000000000000004">
      <c r="A194" s="6" t="s">
        <v>373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</row>
  </sheetData>
  <mergeCells count="2">
    <mergeCell ref="A1:BD1"/>
    <mergeCell ref="A2:B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Xie, Shibin (AllianzGI)</cp:lastModifiedBy>
  <dcterms:created xsi:type="dcterms:W3CDTF">2013-04-03T15:49:21Z</dcterms:created>
  <dcterms:modified xsi:type="dcterms:W3CDTF">2021-12-17T19:37:15Z</dcterms:modified>
</cp:coreProperties>
</file>